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torage03\programs\FluxEstimator\2023\"/>
    </mc:Choice>
  </mc:AlternateContent>
  <xr:revisionPtr revIDLastSave="0" documentId="13_ncr:1_{5647A9E9-A761-4A1A-9E87-2248DE0F1A34}" xr6:coauthVersionLast="47" xr6:coauthVersionMax="47" xr10:uidLastSave="{00000000-0000-0000-0000-000000000000}"/>
  <bookViews>
    <workbookView xWindow="-108" yWindow="-108" windowWidth="23256" windowHeight="12576" tabRatio="762" xr2:uid="{719FD638-DA0E-4987-93BF-4DBFD4092616}"/>
  </bookViews>
  <sheets>
    <sheet name="1. Mixture Model Inputs" sheetId="1" r:id="rId1"/>
    <sheet name="2. Salmon Passage by Bin" sheetId="3" r:id="rId2"/>
    <sheet name="3. Select Chinook Method" sheetId="4" r:id="rId3"/>
    <sheet name="FW Catch" sheetId="10" r:id="rId4"/>
    <sheet name="FW Summary" sheetId="9" r:id="rId5"/>
    <sheet name="Chinook All Ages Proportions" sheetId="6" r:id="rId6"/>
    <sheet name="Chinook Adult Proportions" sheetId="2" r:id="rId7"/>
    <sheet name="Chinook Jack Proportions" sheetId="5" r:id="rId8"/>
    <sheet name="Pink Proportion" sheetId="7" r:id="rId9"/>
    <sheet name="WhonSpComp" sheetId="8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ARISBin1">'Chinook All Ages Proportions'!$L$6,'Chinook All Ages Proportions'!$M$6,'Chinook All Ages Proportions'!$N$6:$R$6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5" i="3" l="1"/>
  <c r="C56" i="3"/>
  <c r="AD40" i="3"/>
  <c r="W100" i="1" l="1" a="1"/>
  <c r="W100" i="1" s="1"/>
  <c r="X100" i="1" a="1"/>
  <c r="X100" i="1" s="1"/>
  <c r="Y100" i="1" a="1"/>
  <c r="Y100" i="1" s="1"/>
  <c r="W101" i="1" a="1"/>
  <c r="W101" i="1" s="1"/>
  <c r="X101" i="1" a="1"/>
  <c r="X101" i="1" s="1"/>
  <c r="Y101" i="1" a="1"/>
  <c r="Y101" i="1" s="1"/>
  <c r="W102" i="1" a="1"/>
  <c r="W102" i="1" s="1"/>
  <c r="X102" i="1" a="1"/>
  <c r="X102" i="1" s="1"/>
  <c r="Y102" i="1" a="1"/>
  <c r="Y102" i="1" s="1"/>
  <c r="W103" i="1" a="1"/>
  <c r="W103" i="1" s="1"/>
  <c r="X103" i="1" a="1"/>
  <c r="X103" i="1" s="1"/>
  <c r="Y103" i="1" a="1"/>
  <c r="Y103" i="1" s="1"/>
  <c r="W104" i="1" a="1"/>
  <c r="W104" i="1" s="1"/>
  <c r="X104" i="1" a="1"/>
  <c r="X104" i="1" s="1"/>
  <c r="Y104" i="1" a="1"/>
  <c r="Y104" i="1" s="1"/>
  <c r="W105" i="1" a="1"/>
  <c r="W105" i="1" s="1"/>
  <c r="X105" i="1" a="1"/>
  <c r="X105" i="1" s="1"/>
  <c r="Y105" i="1" a="1"/>
  <c r="Y105" i="1" s="1"/>
  <c r="W106" i="1" a="1"/>
  <c r="W106" i="1" s="1"/>
  <c r="X106" i="1" a="1"/>
  <c r="X106" i="1" s="1"/>
  <c r="Y106" i="1" a="1"/>
  <c r="Y106" i="1" s="1"/>
  <c r="W107" i="1" a="1"/>
  <c r="W107" i="1" s="1"/>
  <c r="X107" i="1" a="1"/>
  <c r="X107" i="1" s="1"/>
  <c r="Y107" i="1" a="1"/>
  <c r="Y107" i="1" s="1"/>
  <c r="W108" i="1" a="1"/>
  <c r="W108" i="1" s="1"/>
  <c r="X108" i="1" a="1"/>
  <c r="X108" i="1" s="1"/>
  <c r="Y108" i="1" a="1"/>
  <c r="Y108" i="1" s="1"/>
  <c r="W109" i="1" a="1"/>
  <c r="W109" i="1" s="1"/>
  <c r="X109" i="1" a="1"/>
  <c r="X109" i="1" s="1"/>
  <c r="Y109" i="1" a="1"/>
  <c r="Y109" i="1" s="1"/>
  <c r="W110" i="1" a="1"/>
  <c r="W110" i="1" s="1"/>
  <c r="X110" i="1" a="1"/>
  <c r="X110" i="1" s="1"/>
  <c r="Y110" i="1" a="1"/>
  <c r="Y110" i="1" s="1"/>
  <c r="W111" i="1" a="1"/>
  <c r="W111" i="1" s="1"/>
  <c r="X111" i="1" a="1"/>
  <c r="X111" i="1" s="1"/>
  <c r="Y111" i="1" a="1"/>
  <c r="Y111" i="1" s="1"/>
  <c r="W112" i="1" a="1"/>
  <c r="W112" i="1" s="1"/>
  <c r="X112" i="1" a="1"/>
  <c r="X112" i="1" s="1"/>
  <c r="Y112" i="1" a="1"/>
  <c r="Y112" i="1" s="1"/>
  <c r="W113" i="1" a="1"/>
  <c r="W113" i="1" s="1"/>
  <c r="X113" i="1" a="1"/>
  <c r="X113" i="1" s="1"/>
  <c r="Y113" i="1" a="1"/>
  <c r="Y113" i="1" s="1"/>
  <c r="W114" i="1" a="1"/>
  <c r="W114" i="1" s="1"/>
  <c r="X114" i="1" a="1"/>
  <c r="X114" i="1" s="1"/>
  <c r="Y114" i="1" a="1"/>
  <c r="Y114" i="1" s="1"/>
  <c r="W115" i="1" a="1"/>
  <c r="W115" i="1" s="1"/>
  <c r="X115" i="1" a="1"/>
  <c r="X115" i="1" s="1"/>
  <c r="Y115" i="1" a="1"/>
  <c r="Y115" i="1" s="1"/>
  <c r="W116" i="1" a="1"/>
  <c r="W116" i="1" s="1"/>
  <c r="X116" i="1" a="1"/>
  <c r="X116" i="1" s="1"/>
  <c r="Y116" i="1" a="1"/>
  <c r="Y116" i="1" s="1"/>
  <c r="W117" i="1" a="1"/>
  <c r="W117" i="1" s="1"/>
  <c r="X117" i="1" a="1"/>
  <c r="X117" i="1" s="1"/>
  <c r="Y117" i="1" a="1"/>
  <c r="Y117" i="1" s="1"/>
  <c r="W118" i="1" a="1"/>
  <c r="W118" i="1" s="1"/>
  <c r="X118" i="1" a="1"/>
  <c r="X118" i="1" s="1"/>
  <c r="Y118" i="1" a="1"/>
  <c r="Y118" i="1" s="1"/>
  <c r="W119" i="1" a="1"/>
  <c r="W119" i="1" s="1"/>
  <c r="X119" i="1" a="1"/>
  <c r="X119" i="1" s="1"/>
  <c r="Y119" i="1" a="1"/>
  <c r="Y119" i="1" s="1"/>
  <c r="W120" i="1" a="1"/>
  <c r="W120" i="1" s="1"/>
  <c r="X120" i="1" a="1"/>
  <c r="X120" i="1" s="1"/>
  <c r="Y120" i="1" a="1"/>
  <c r="Y120" i="1" s="1"/>
  <c r="W121" i="1" a="1"/>
  <c r="W121" i="1" s="1"/>
  <c r="X121" i="1" a="1"/>
  <c r="X121" i="1" s="1"/>
  <c r="Y121" i="1" a="1"/>
  <c r="Y121" i="1" s="1"/>
  <c r="W122" i="1" a="1"/>
  <c r="W122" i="1" s="1"/>
  <c r="X122" i="1" a="1"/>
  <c r="X122" i="1" s="1"/>
  <c r="Y122" i="1" a="1"/>
  <c r="Y122" i="1" s="1"/>
  <c r="W123" i="1" a="1"/>
  <c r="W123" i="1" s="1"/>
  <c r="X123" i="1" a="1"/>
  <c r="X123" i="1" s="1"/>
  <c r="Y123" i="1" a="1"/>
  <c r="Y123" i="1" s="1"/>
  <c r="W124" i="1" a="1"/>
  <c r="W124" i="1" s="1"/>
  <c r="X124" i="1" a="1"/>
  <c r="X124" i="1" s="1"/>
  <c r="Y124" i="1" a="1"/>
  <c r="Y124" i="1" s="1"/>
  <c r="W125" i="1" a="1"/>
  <c r="W125" i="1" s="1"/>
  <c r="X125" i="1" a="1"/>
  <c r="X125" i="1" s="1"/>
  <c r="Y125" i="1" a="1"/>
  <c r="Y125" i="1" s="1"/>
  <c r="W126" i="1" a="1"/>
  <c r="W126" i="1" s="1"/>
  <c r="X126" i="1" a="1"/>
  <c r="X126" i="1" s="1"/>
  <c r="Y126" i="1" a="1"/>
  <c r="Y126" i="1" s="1"/>
  <c r="W127" i="1" a="1"/>
  <c r="W127" i="1" s="1"/>
  <c r="X127" i="1" a="1"/>
  <c r="X127" i="1" s="1"/>
  <c r="Y127" i="1" a="1"/>
  <c r="Y127" i="1" s="1"/>
  <c r="W128" i="1" a="1"/>
  <c r="W128" i="1" s="1"/>
  <c r="X128" i="1" a="1"/>
  <c r="X128" i="1" s="1"/>
  <c r="Y128" i="1" a="1"/>
  <c r="Y128" i="1" s="1"/>
  <c r="C38" i="3" l="1"/>
  <c r="C37" i="3"/>
  <c r="C32" i="3" l="1"/>
  <c r="C31" i="3" l="1"/>
  <c r="S128" i="1" l="1" a="1"/>
  <c r="S128" i="1" s="1"/>
  <c r="AF128" i="1" a="1"/>
  <c r="AF128" i="1" s="1"/>
  <c r="J128" i="7" s="1"/>
  <c r="AL128" i="1" a="1"/>
  <c r="AL128" i="1" s="1"/>
  <c r="AI128" i="1" a="1"/>
  <c r="AI128" i="1" s="1"/>
  <c r="AD128" i="1" a="1"/>
  <c r="AD128" i="1" s="1"/>
  <c r="AA128" i="1" a="1"/>
  <c r="AA128" i="1" s="1"/>
  <c r="T128" i="1" a="1"/>
  <c r="T128" i="1" s="1"/>
  <c r="M128" i="1" a="1"/>
  <c r="M128" i="1" s="1"/>
  <c r="AJ128" i="1" a="1"/>
  <c r="AJ128" i="1" s="1"/>
  <c r="AH128" i="1" a="1"/>
  <c r="AH128" i="1" s="1"/>
  <c r="P128" i="1" a="1"/>
  <c r="P128" i="1" s="1"/>
  <c r="AM128" i="1" a="1"/>
  <c r="AM128" i="1" s="1"/>
  <c r="Z128" i="1" a="1"/>
  <c r="Z128" i="1" s="1"/>
  <c r="N128" i="1" a="1"/>
  <c r="N128" i="1" s="1"/>
  <c r="L128" i="1" a="1"/>
  <c r="L128" i="1" s="1"/>
  <c r="AO128" i="1" a="1"/>
  <c r="AO128" i="1" s="1"/>
  <c r="AK128" i="1" a="1"/>
  <c r="AK128" i="1" s="1"/>
  <c r="U128" i="1" a="1"/>
  <c r="U128" i="1" s="1"/>
  <c r="Q128" i="1" a="1"/>
  <c r="Q128" i="1" s="1"/>
  <c r="AE128" i="1" a="1"/>
  <c r="AE128" i="1" s="1"/>
  <c r="I128" i="7" s="1"/>
  <c r="AB128" i="1" a="1"/>
  <c r="AB128" i="1" s="1"/>
  <c r="V128" i="1" a="1"/>
  <c r="V128" i="1" s="1"/>
  <c r="R128" i="1" a="1"/>
  <c r="R128" i="1" s="1"/>
  <c r="O128" i="1" a="1"/>
  <c r="O128" i="1" s="1"/>
  <c r="AC128" i="1" a="1"/>
  <c r="AC128" i="1" s="1"/>
  <c r="AN128" i="1" a="1"/>
  <c r="AN128" i="1" s="1"/>
  <c r="AG128" i="1" a="1"/>
  <c r="AG128" i="1" s="1"/>
  <c r="K128" i="7" s="1"/>
  <c r="AG127" i="1" a="1"/>
  <c r="AG127" i="1" s="1"/>
  <c r="K127" i="7" s="1"/>
  <c r="AB127" i="1" a="1"/>
  <c r="AB127" i="1" s="1"/>
  <c r="AC127" i="1" a="1"/>
  <c r="AC127" i="1" s="1"/>
  <c r="U127" i="1" a="1"/>
  <c r="U127" i="1" s="1"/>
  <c r="AJ127" i="1" a="1"/>
  <c r="AJ127" i="1" s="1"/>
  <c r="T127" i="1" a="1"/>
  <c r="T127" i="1" s="1"/>
  <c r="V127" i="1" a="1"/>
  <c r="V127" i="1" s="1"/>
  <c r="AI127" i="1" a="1"/>
  <c r="AI127" i="1" s="1"/>
  <c r="J128" i="1" a="1"/>
  <c r="J128" i="1" s="1"/>
  <c r="AA127" i="1" a="1"/>
  <c r="AA127" i="1" s="1"/>
  <c r="K128" i="1" a="1"/>
  <c r="K128" i="1" s="1"/>
  <c r="I128" i="1" a="1"/>
  <c r="I128" i="1" s="1"/>
  <c r="AE127" i="1" a="1"/>
  <c r="AE127" i="1" s="1"/>
  <c r="I127" i="7" s="1"/>
  <c r="H128" i="1" a="1"/>
  <c r="H128" i="1" s="1"/>
  <c r="G128" i="1" a="1"/>
  <c r="G128" i="1" s="1"/>
  <c r="F128" i="1" a="1"/>
  <c r="F128" i="1" s="1"/>
  <c r="C128" i="1" a="1"/>
  <c r="C128" i="1" s="1"/>
  <c r="Z127" i="1" a="1"/>
  <c r="Z127" i="1" s="1"/>
  <c r="AM127" i="1" a="1"/>
  <c r="AM127" i="1" s="1"/>
  <c r="AK127" i="1" a="1"/>
  <c r="AK127" i="1" s="1"/>
  <c r="AH127" i="1" a="1"/>
  <c r="AH127" i="1" s="1"/>
  <c r="AF127" i="1" a="1"/>
  <c r="AF127" i="1" s="1"/>
  <c r="J127" i="7" s="1"/>
  <c r="AD127" i="1" a="1"/>
  <c r="AD127" i="1" s="1"/>
  <c r="AL127" i="1" a="1"/>
  <c r="AL127" i="1" s="1"/>
  <c r="E128" i="1" a="1"/>
  <c r="E128" i="1" s="1"/>
  <c r="D128" i="1" a="1"/>
  <c r="D128" i="1" s="1"/>
  <c r="B128" i="1" a="1"/>
  <c r="B128" i="1" s="1"/>
  <c r="AO127" i="1" a="1"/>
  <c r="AO127" i="1" s="1"/>
  <c r="AN127" i="1" a="1"/>
  <c r="AN127" i="1" s="1"/>
  <c r="AF126" i="1" a="1"/>
  <c r="AF126" i="1" s="1"/>
  <c r="J126" i="7" s="1"/>
  <c r="AJ126" i="1" a="1"/>
  <c r="AJ126" i="1" s="1"/>
  <c r="AG126" i="1" a="1"/>
  <c r="AG126" i="1" s="1"/>
  <c r="K126" i="7" s="1"/>
  <c r="E127" i="1" a="1"/>
  <c r="E127" i="1" s="1"/>
  <c r="B127" i="1" a="1"/>
  <c r="B127" i="1" s="1"/>
  <c r="C127" i="1" a="1"/>
  <c r="C127" i="1" s="1"/>
  <c r="AM126" i="1" a="1"/>
  <c r="AM126" i="1" s="1"/>
  <c r="AD126" i="1" a="1"/>
  <c r="AD126" i="1" s="1"/>
  <c r="AI126" i="1" a="1"/>
  <c r="AI126" i="1" s="1"/>
  <c r="AC126" i="1" a="1"/>
  <c r="AC126" i="1" s="1"/>
  <c r="AH126" i="1" a="1"/>
  <c r="AH126" i="1" s="1"/>
  <c r="AE126" i="1" a="1"/>
  <c r="AE126" i="1" s="1"/>
  <c r="I126" i="7" s="1"/>
  <c r="M127" i="1" a="1"/>
  <c r="M127" i="1" s="1"/>
  <c r="G127" i="1" a="1"/>
  <c r="G127" i="1" s="1"/>
  <c r="J127" i="1" a="1"/>
  <c r="J127" i="1" s="1"/>
  <c r="Q127" i="1" a="1"/>
  <c r="Q127" i="1" s="1"/>
  <c r="N127" i="1" a="1"/>
  <c r="N127" i="1" s="1"/>
  <c r="K127" i="1" a="1"/>
  <c r="K127" i="1" s="1"/>
  <c r="F127" i="1" a="1"/>
  <c r="F127" i="1" s="1"/>
  <c r="AO126" i="1" a="1"/>
  <c r="AO126" i="1" s="1"/>
  <c r="AB126" i="1" a="1"/>
  <c r="AB126" i="1" s="1"/>
  <c r="S127" i="1" a="1"/>
  <c r="S127" i="1" s="1"/>
  <c r="AN126" i="1" a="1"/>
  <c r="AN126" i="1" s="1"/>
  <c r="R127" i="1" a="1"/>
  <c r="R127" i="1" s="1"/>
  <c r="I127" i="1" a="1"/>
  <c r="I127" i="1" s="1"/>
  <c r="P127" i="1" a="1"/>
  <c r="P127" i="1" s="1"/>
  <c r="O127" i="1" a="1"/>
  <c r="O127" i="1" s="1"/>
  <c r="L127" i="1" a="1"/>
  <c r="L127" i="1" s="1"/>
  <c r="H127" i="1" a="1"/>
  <c r="H127" i="1" s="1"/>
  <c r="D127" i="1" a="1"/>
  <c r="D127" i="1" s="1"/>
  <c r="AL126" i="1" a="1"/>
  <c r="AL126" i="1" s="1"/>
  <c r="AK126" i="1" a="1"/>
  <c r="AK126" i="1" s="1"/>
  <c r="U126" i="1" a="1"/>
  <c r="U126" i="1" s="1"/>
  <c r="T126" i="1" a="1"/>
  <c r="T126" i="1" s="1"/>
  <c r="C126" i="1" a="1"/>
  <c r="C126" i="1" s="1"/>
  <c r="S126" i="1" a="1"/>
  <c r="S126" i="1" s="1"/>
  <c r="AO125" i="1" a="1"/>
  <c r="AO125" i="1" s="1"/>
  <c r="O126" i="1" a="1"/>
  <c r="O126" i="1" s="1"/>
  <c r="M126" i="1" a="1"/>
  <c r="M126" i="1" s="1"/>
  <c r="D126" i="1" a="1"/>
  <c r="D126" i="1" s="1"/>
  <c r="K126" i="1" a="1"/>
  <c r="K126" i="1" s="1"/>
  <c r="J126" i="1" a="1"/>
  <c r="J126" i="1" s="1"/>
  <c r="F126" i="1" a="1"/>
  <c r="F126" i="1" s="1"/>
  <c r="AM125" i="1" a="1"/>
  <c r="AM125" i="1" s="1"/>
  <c r="AN125" i="1" a="1"/>
  <c r="AN125" i="1" s="1"/>
  <c r="AL125" i="1" a="1"/>
  <c r="AL125" i="1" s="1"/>
  <c r="AJ125" i="1" a="1"/>
  <c r="AJ125" i="1" s="1"/>
  <c r="AA126" i="1" a="1"/>
  <c r="AA126" i="1" s="1"/>
  <c r="P126" i="1" a="1"/>
  <c r="P126" i="1" s="1"/>
  <c r="L126" i="1" a="1"/>
  <c r="L126" i="1" s="1"/>
  <c r="E126" i="1" a="1"/>
  <c r="E126" i="1" s="1"/>
  <c r="B126" i="1" a="1"/>
  <c r="B126" i="1" s="1"/>
  <c r="H126" i="1" a="1"/>
  <c r="H126" i="1" s="1"/>
  <c r="AK125" i="1" a="1"/>
  <c r="AK125" i="1" s="1"/>
  <c r="Z126" i="1" a="1"/>
  <c r="Z126" i="1" s="1"/>
  <c r="Q126" i="1" a="1"/>
  <c r="Q126" i="1" s="1"/>
  <c r="R126" i="1" a="1"/>
  <c r="R126" i="1" s="1"/>
  <c r="I126" i="1" a="1"/>
  <c r="I126" i="1" s="1"/>
  <c r="N126" i="1" a="1"/>
  <c r="N126" i="1" s="1"/>
  <c r="G126" i="1" a="1"/>
  <c r="G126" i="1" s="1"/>
  <c r="V126" i="1" a="1"/>
  <c r="V126" i="1" s="1"/>
  <c r="K125" i="1" a="1"/>
  <c r="K125" i="1" s="1"/>
  <c r="I125" i="1" a="1"/>
  <c r="I125" i="1" s="1"/>
  <c r="E125" i="1" a="1"/>
  <c r="E125" i="1" s="1"/>
  <c r="G125" i="1" a="1"/>
  <c r="G125" i="1" s="1"/>
  <c r="H125" i="1" a="1"/>
  <c r="H125" i="1" s="1"/>
  <c r="F125" i="1" a="1"/>
  <c r="F125" i="1" s="1"/>
  <c r="D125" i="1" a="1"/>
  <c r="D125" i="1" s="1"/>
  <c r="N125" i="1" a="1"/>
  <c r="N125" i="1" s="1"/>
  <c r="Q125" i="1" a="1"/>
  <c r="Q125" i="1" s="1"/>
  <c r="J125" i="1" a="1"/>
  <c r="J125" i="1" s="1"/>
  <c r="AD125" i="1" a="1"/>
  <c r="AD125" i="1" s="1"/>
  <c r="Z125" i="1" a="1"/>
  <c r="Z125" i="1" s="1"/>
  <c r="T125" i="1" a="1"/>
  <c r="T125" i="1" s="1"/>
  <c r="P125" i="1" a="1"/>
  <c r="P125" i="1" s="1"/>
  <c r="U125" i="1" a="1"/>
  <c r="U125" i="1" s="1"/>
  <c r="AB125" i="1" a="1"/>
  <c r="AB125" i="1" s="1"/>
  <c r="V125" i="1" a="1"/>
  <c r="V125" i="1" s="1"/>
  <c r="O125" i="1" a="1"/>
  <c r="O125" i="1" s="1"/>
  <c r="AE125" i="1" a="1"/>
  <c r="AE125" i="1" s="1"/>
  <c r="I125" i="7" s="1"/>
  <c r="AI125" i="1" a="1"/>
  <c r="AI125" i="1" s="1"/>
  <c r="AH125" i="1" a="1"/>
  <c r="AH125" i="1" s="1"/>
  <c r="S125" i="1" a="1"/>
  <c r="S125" i="1" s="1"/>
  <c r="AG125" i="1" a="1"/>
  <c r="AG125" i="1" s="1"/>
  <c r="K125" i="7" s="1"/>
  <c r="AF125" i="1" a="1"/>
  <c r="AF125" i="1" s="1"/>
  <c r="J125" i="7" s="1"/>
  <c r="AC125" i="1" a="1"/>
  <c r="AC125" i="1" s="1"/>
  <c r="AA125" i="1" a="1"/>
  <c r="AA125" i="1" s="1"/>
  <c r="R125" i="1" a="1"/>
  <c r="R125" i="1" s="1"/>
  <c r="M125" i="1" a="1"/>
  <c r="M125" i="1" s="1"/>
  <c r="L125" i="1" a="1"/>
  <c r="L125" i="1" s="1"/>
  <c r="P124" i="1" a="1"/>
  <c r="P124" i="1" s="1"/>
  <c r="AL124" i="1" a="1"/>
  <c r="AL124" i="1" s="1"/>
  <c r="AN124" i="1" a="1"/>
  <c r="AN124" i="1" s="1"/>
  <c r="C125" i="1" a="1"/>
  <c r="C125" i="1" s="1"/>
  <c r="AH124" i="1" a="1"/>
  <c r="AH124" i="1" s="1"/>
  <c r="Z124" i="1" a="1"/>
  <c r="Z124" i="1" s="1"/>
  <c r="AD124" i="1" a="1"/>
  <c r="AD124" i="1" s="1"/>
  <c r="AF124" i="1" a="1"/>
  <c r="AF124" i="1" s="1"/>
  <c r="J124" i="7" s="1"/>
  <c r="V124" i="1" a="1"/>
  <c r="V124" i="1" s="1"/>
  <c r="B125" i="1" a="1"/>
  <c r="B125" i="1" s="1"/>
  <c r="AE124" i="1" a="1"/>
  <c r="AE124" i="1" s="1"/>
  <c r="I124" i="7" s="1"/>
  <c r="M124" i="1" a="1"/>
  <c r="M124" i="1" s="1"/>
  <c r="AM124" i="1" a="1"/>
  <c r="AM124" i="1" s="1"/>
  <c r="AI124" i="1" a="1"/>
  <c r="AI124" i="1" s="1"/>
  <c r="AC124" i="1" a="1"/>
  <c r="AC124" i="1" s="1"/>
  <c r="S124" i="1" a="1"/>
  <c r="S124" i="1" s="1"/>
  <c r="AK124" i="1" a="1"/>
  <c r="AK124" i="1" s="1"/>
  <c r="O124" i="1" a="1"/>
  <c r="O124" i="1" s="1"/>
  <c r="L124" i="1" a="1"/>
  <c r="L124" i="1" s="1"/>
  <c r="AA124" i="1" a="1"/>
  <c r="AA124" i="1" s="1"/>
  <c r="N124" i="1" a="1"/>
  <c r="N124" i="1" s="1"/>
  <c r="T124" i="1" a="1"/>
  <c r="T124" i="1" s="1"/>
  <c r="U124" i="1" a="1"/>
  <c r="U124" i="1" s="1"/>
  <c r="Q124" i="1" a="1"/>
  <c r="Q124" i="1" s="1"/>
  <c r="AG124" i="1" a="1"/>
  <c r="AG124" i="1" s="1"/>
  <c r="K124" i="7" s="1"/>
  <c r="AJ124" i="1" a="1"/>
  <c r="AJ124" i="1" s="1"/>
  <c r="AB124" i="1" a="1"/>
  <c r="AB124" i="1" s="1"/>
  <c r="AO124" i="1" a="1"/>
  <c r="AO124" i="1" s="1"/>
  <c r="R124" i="1" a="1"/>
  <c r="R124" i="1" s="1"/>
  <c r="T123" i="1" a="1"/>
  <c r="T123" i="1" s="1"/>
  <c r="E124" i="1" a="1"/>
  <c r="E124" i="1" s="1"/>
  <c r="C124" i="1" a="1"/>
  <c r="C124" i="1" s="1"/>
  <c r="AC123" i="1" a="1"/>
  <c r="AC123" i="1" s="1"/>
  <c r="Z123" i="1" a="1"/>
  <c r="Z123" i="1" s="1"/>
  <c r="AA123" i="1" a="1"/>
  <c r="AA123" i="1" s="1"/>
  <c r="AK123" i="1" a="1"/>
  <c r="AK123" i="1" s="1"/>
  <c r="AG123" i="1" a="1"/>
  <c r="AG123" i="1" s="1"/>
  <c r="K123" i="7" s="1"/>
  <c r="AM123" i="1" a="1"/>
  <c r="AM123" i="1" s="1"/>
  <c r="AH123" i="1" a="1"/>
  <c r="AH123" i="1" s="1"/>
  <c r="K124" i="1" a="1"/>
  <c r="K124" i="1" s="1"/>
  <c r="D124" i="1" a="1"/>
  <c r="D124" i="1" s="1"/>
  <c r="B124" i="1" a="1"/>
  <c r="B124" i="1" s="1"/>
  <c r="AN123" i="1" a="1"/>
  <c r="AN123" i="1" s="1"/>
  <c r="AI123" i="1" a="1"/>
  <c r="AI123" i="1" s="1"/>
  <c r="U123" i="1" a="1"/>
  <c r="U123" i="1" s="1"/>
  <c r="AF123" i="1" a="1"/>
  <c r="AF123" i="1" s="1"/>
  <c r="J123" i="7" s="1"/>
  <c r="J124" i="1" a="1"/>
  <c r="J124" i="1" s="1"/>
  <c r="I124" i="1" a="1"/>
  <c r="I124" i="1" s="1"/>
  <c r="AO123" i="1" a="1"/>
  <c r="AO123" i="1" s="1"/>
  <c r="AL123" i="1" a="1"/>
  <c r="AL123" i="1" s="1"/>
  <c r="AJ123" i="1" a="1"/>
  <c r="AJ123" i="1" s="1"/>
  <c r="AE123" i="1" a="1"/>
  <c r="AE123" i="1" s="1"/>
  <c r="I123" i="7" s="1"/>
  <c r="H124" i="1" a="1"/>
  <c r="H124" i="1" s="1"/>
  <c r="G124" i="1" a="1"/>
  <c r="G124" i="1" s="1"/>
  <c r="F124" i="1" a="1"/>
  <c r="F124" i="1" s="1"/>
  <c r="AD123" i="1" a="1"/>
  <c r="AD123" i="1" s="1"/>
  <c r="AB123" i="1" a="1"/>
  <c r="AB123" i="1" s="1"/>
  <c r="V123" i="1" a="1"/>
  <c r="V123" i="1" s="1"/>
  <c r="K123" i="1" a="1"/>
  <c r="K123" i="1" s="1"/>
  <c r="J123" i="1" a="1"/>
  <c r="J123" i="1" s="1"/>
  <c r="D123" i="1" a="1"/>
  <c r="D123" i="1" s="1"/>
  <c r="AD122" i="1" a="1"/>
  <c r="AD122" i="1" s="1"/>
  <c r="R123" i="1" a="1"/>
  <c r="R123" i="1" s="1"/>
  <c r="Q123" i="1" a="1"/>
  <c r="Q123" i="1" s="1"/>
  <c r="G123" i="1" a="1"/>
  <c r="G123" i="1" s="1"/>
  <c r="AH122" i="1" a="1"/>
  <c r="AH122" i="1" s="1"/>
  <c r="B123" i="1" a="1"/>
  <c r="B123" i="1" s="1"/>
  <c r="AG122" i="1" a="1"/>
  <c r="AG122" i="1" s="1"/>
  <c r="K122" i="7" s="1"/>
  <c r="AL122" i="1" a="1"/>
  <c r="AL122" i="1" s="1"/>
  <c r="N123" i="1" a="1"/>
  <c r="N123" i="1" s="1"/>
  <c r="M123" i="1" a="1"/>
  <c r="M123" i="1" s="1"/>
  <c r="F123" i="1" a="1"/>
  <c r="F123" i="1" s="1"/>
  <c r="C123" i="1" a="1"/>
  <c r="C123" i="1" s="1"/>
  <c r="AC122" i="1" a="1"/>
  <c r="AC122" i="1" s="1"/>
  <c r="AO122" i="1" a="1"/>
  <c r="AO122" i="1" s="1"/>
  <c r="I123" i="1" a="1"/>
  <c r="I123" i="1" s="1"/>
  <c r="H123" i="1" a="1"/>
  <c r="H123" i="1" s="1"/>
  <c r="AJ122" i="1" a="1"/>
  <c r="AJ122" i="1" s="1"/>
  <c r="AF122" i="1" a="1"/>
  <c r="AF122" i="1" s="1"/>
  <c r="J122" i="7" s="1"/>
  <c r="AM122" i="1" a="1"/>
  <c r="AM122" i="1" s="1"/>
  <c r="AK122" i="1" a="1"/>
  <c r="AK122" i="1" s="1"/>
  <c r="AE122" i="1" a="1"/>
  <c r="AE122" i="1" s="1"/>
  <c r="I122" i="7" s="1"/>
  <c r="AB122" i="1" a="1"/>
  <c r="AB122" i="1" s="1"/>
  <c r="E123" i="1" a="1"/>
  <c r="E123" i="1" s="1"/>
  <c r="AI122" i="1" a="1"/>
  <c r="AI122" i="1" s="1"/>
  <c r="S123" i="1" a="1"/>
  <c r="S123" i="1" s="1"/>
  <c r="P123" i="1" a="1"/>
  <c r="P123" i="1" s="1"/>
  <c r="O123" i="1" a="1"/>
  <c r="O123" i="1" s="1"/>
  <c r="L123" i="1" a="1"/>
  <c r="L123" i="1" s="1"/>
  <c r="AN122" i="1" a="1"/>
  <c r="AN122" i="1" s="1"/>
  <c r="AM121" i="1" a="1"/>
  <c r="AM121" i="1" s="1"/>
  <c r="F122" i="1" a="1"/>
  <c r="F122" i="1" s="1"/>
  <c r="AJ121" i="1" a="1"/>
  <c r="AJ121" i="1" s="1"/>
  <c r="B122" i="1" a="1"/>
  <c r="B122" i="1" s="1"/>
  <c r="H122" i="1" a="1"/>
  <c r="H122" i="1" s="1"/>
  <c r="O122" i="1" a="1"/>
  <c r="O122" i="1" s="1"/>
  <c r="AO121" i="1" a="1"/>
  <c r="AO121" i="1" s="1"/>
  <c r="K122" i="1" a="1"/>
  <c r="K122" i="1" s="1"/>
  <c r="E122" i="1" a="1"/>
  <c r="E122" i="1" s="1"/>
  <c r="AN121" i="1" a="1"/>
  <c r="AN121" i="1" s="1"/>
  <c r="AL121" i="1" a="1"/>
  <c r="AL121" i="1" s="1"/>
  <c r="AK121" i="1" a="1"/>
  <c r="AK121" i="1" s="1"/>
  <c r="AA122" i="1" a="1"/>
  <c r="AA122" i="1" s="1"/>
  <c r="Z122" i="1" a="1"/>
  <c r="Z122" i="1" s="1"/>
  <c r="G122" i="1" a="1"/>
  <c r="G122" i="1" s="1"/>
  <c r="N122" i="1" a="1"/>
  <c r="N122" i="1" s="1"/>
  <c r="L122" i="1" a="1"/>
  <c r="L122" i="1" s="1"/>
  <c r="J122" i="1" a="1"/>
  <c r="J122" i="1" s="1"/>
  <c r="D122" i="1" a="1"/>
  <c r="D122" i="1" s="1"/>
  <c r="U122" i="1" a="1"/>
  <c r="U122" i="1" s="1"/>
  <c r="V122" i="1" a="1"/>
  <c r="V122" i="1" s="1"/>
  <c r="C122" i="1" a="1"/>
  <c r="C122" i="1" s="1"/>
  <c r="T122" i="1" a="1"/>
  <c r="T122" i="1" s="1"/>
  <c r="S122" i="1" a="1"/>
  <c r="S122" i="1" s="1"/>
  <c r="M122" i="1" a="1"/>
  <c r="M122" i="1" s="1"/>
  <c r="R122" i="1" a="1"/>
  <c r="R122" i="1" s="1"/>
  <c r="Q122" i="1" a="1"/>
  <c r="Q122" i="1" s="1"/>
  <c r="P122" i="1" a="1"/>
  <c r="P122" i="1" s="1"/>
  <c r="I122" i="1" a="1"/>
  <c r="I122" i="1" s="1"/>
  <c r="R121" i="1" a="1"/>
  <c r="R121" i="1" s="1"/>
  <c r="N121" i="1" a="1"/>
  <c r="N121" i="1" s="1"/>
  <c r="Q121" i="1" a="1"/>
  <c r="Q121" i="1" s="1"/>
  <c r="Z121" i="1" a="1"/>
  <c r="Z121" i="1" s="1"/>
  <c r="E121" i="1" a="1"/>
  <c r="E121" i="1" s="1"/>
  <c r="L121" i="1" a="1"/>
  <c r="L121" i="1" s="1"/>
  <c r="I121" i="1" a="1"/>
  <c r="I121" i="1" s="1"/>
  <c r="M121" i="1" a="1"/>
  <c r="M121" i="1" s="1"/>
  <c r="AD121" i="1" a="1"/>
  <c r="AD121" i="1" s="1"/>
  <c r="H121" i="1" a="1"/>
  <c r="H121" i="1" s="1"/>
  <c r="U121" i="1" a="1"/>
  <c r="U121" i="1" s="1"/>
  <c r="K121" i="1" a="1"/>
  <c r="K121" i="1" s="1"/>
  <c r="AF121" i="1" a="1"/>
  <c r="AF121" i="1" s="1"/>
  <c r="J121" i="7" s="1"/>
  <c r="AI121" i="1" a="1"/>
  <c r="AI121" i="1" s="1"/>
  <c r="AH121" i="1" a="1"/>
  <c r="AH121" i="1" s="1"/>
  <c r="AG121" i="1" a="1"/>
  <c r="AG121" i="1" s="1"/>
  <c r="K121" i="7" s="1"/>
  <c r="AC121" i="1" a="1"/>
  <c r="AC121" i="1" s="1"/>
  <c r="AA121" i="1" a="1"/>
  <c r="AA121" i="1" s="1"/>
  <c r="P121" i="1" a="1"/>
  <c r="P121" i="1" s="1"/>
  <c r="O121" i="1" a="1"/>
  <c r="O121" i="1" s="1"/>
  <c r="F121" i="1" a="1"/>
  <c r="F121" i="1" s="1"/>
  <c r="D121" i="1" a="1"/>
  <c r="D121" i="1" s="1"/>
  <c r="AE121" i="1" a="1"/>
  <c r="AE121" i="1" s="1"/>
  <c r="I121" i="7" s="1"/>
  <c r="J121" i="1" a="1"/>
  <c r="J121" i="1" s="1"/>
  <c r="T121" i="1" a="1"/>
  <c r="T121" i="1" s="1"/>
  <c r="V121" i="1" a="1"/>
  <c r="V121" i="1" s="1"/>
  <c r="AB121" i="1" a="1"/>
  <c r="AB121" i="1" s="1"/>
  <c r="S121" i="1" a="1"/>
  <c r="S121" i="1" s="1"/>
  <c r="G121" i="1" a="1"/>
  <c r="G121" i="1" s="1"/>
  <c r="O120" i="1" a="1"/>
  <c r="O120" i="1" s="1"/>
  <c r="AM120" i="1" a="1"/>
  <c r="AM120" i="1" s="1"/>
  <c r="AJ120" i="1" a="1"/>
  <c r="AJ120" i="1" s="1"/>
  <c r="AH120" i="1" a="1"/>
  <c r="AH120" i="1" s="1"/>
  <c r="T120" i="1" a="1"/>
  <c r="T120" i="1" s="1"/>
  <c r="AG120" i="1" a="1"/>
  <c r="AG120" i="1" s="1"/>
  <c r="K120" i="7" s="1"/>
  <c r="AD120" i="1" a="1"/>
  <c r="AD120" i="1" s="1"/>
  <c r="AC120" i="1" a="1"/>
  <c r="AC120" i="1" s="1"/>
  <c r="P120" i="1" a="1"/>
  <c r="P120" i="1" s="1"/>
  <c r="Z120" i="1" a="1"/>
  <c r="Z120" i="1" s="1"/>
  <c r="AB120" i="1" a="1"/>
  <c r="AB120" i="1" s="1"/>
  <c r="S120" i="1" a="1"/>
  <c r="S120" i="1" s="1"/>
  <c r="Q120" i="1" a="1"/>
  <c r="Q120" i="1" s="1"/>
  <c r="AA120" i="1" a="1"/>
  <c r="AA120" i="1" s="1"/>
  <c r="U120" i="1" a="1"/>
  <c r="U120" i="1" s="1"/>
  <c r="L120" i="1" a="1"/>
  <c r="L120" i="1" s="1"/>
  <c r="R120" i="1" a="1"/>
  <c r="R120" i="1" s="1"/>
  <c r="N120" i="1" a="1"/>
  <c r="N120" i="1" s="1"/>
  <c r="AK120" i="1" a="1"/>
  <c r="AK120" i="1" s="1"/>
  <c r="AN120" i="1" a="1"/>
  <c r="AN120" i="1" s="1"/>
  <c r="M120" i="1" a="1"/>
  <c r="M120" i="1" s="1"/>
  <c r="AI120" i="1" a="1"/>
  <c r="AI120" i="1" s="1"/>
  <c r="V120" i="1" a="1"/>
  <c r="V120" i="1" s="1"/>
  <c r="AL120" i="1" a="1"/>
  <c r="AL120" i="1" s="1"/>
  <c r="C121" i="1" a="1"/>
  <c r="C121" i="1" s="1"/>
  <c r="B121" i="1" a="1"/>
  <c r="B121" i="1" s="1"/>
  <c r="AO120" i="1" a="1"/>
  <c r="AO120" i="1" s="1"/>
  <c r="AE120" i="1" a="1"/>
  <c r="AE120" i="1" s="1"/>
  <c r="I120" i="7" s="1"/>
  <c r="AF120" i="1" a="1"/>
  <c r="AF120" i="1" s="1"/>
  <c r="J120" i="7" s="1"/>
  <c r="AG119" i="1" a="1"/>
  <c r="AG119" i="1" s="1"/>
  <c r="K119" i="7" s="1"/>
  <c r="D120" i="1" a="1"/>
  <c r="D120" i="1" s="1"/>
  <c r="AK119" i="1" a="1"/>
  <c r="AK119" i="1" s="1"/>
  <c r="AH119" i="1" a="1"/>
  <c r="AH119" i="1" s="1"/>
  <c r="AF119" i="1" a="1"/>
  <c r="AF119" i="1" s="1"/>
  <c r="J119" i="7" s="1"/>
  <c r="AE119" i="1" a="1"/>
  <c r="AE119" i="1" s="1"/>
  <c r="I119" i="7" s="1"/>
  <c r="Z119" i="1" a="1"/>
  <c r="Z119" i="1" s="1"/>
  <c r="U119" i="1" a="1"/>
  <c r="U119" i="1" s="1"/>
  <c r="K120" i="1" a="1"/>
  <c r="K120" i="1" s="1"/>
  <c r="G120" i="1" a="1"/>
  <c r="G120" i="1" s="1"/>
  <c r="B120" i="1" a="1"/>
  <c r="B120" i="1" s="1"/>
  <c r="J120" i="1" a="1"/>
  <c r="J120" i="1" s="1"/>
  <c r="AB119" i="1" a="1"/>
  <c r="AB119" i="1" s="1"/>
  <c r="AJ119" i="1" a="1"/>
  <c r="AJ119" i="1" s="1"/>
  <c r="F120" i="1" a="1"/>
  <c r="F120" i="1" s="1"/>
  <c r="AM119" i="1" a="1"/>
  <c r="AM119" i="1" s="1"/>
  <c r="T119" i="1" a="1"/>
  <c r="T119" i="1" s="1"/>
  <c r="AD119" i="1" a="1"/>
  <c r="AD119" i="1" s="1"/>
  <c r="AL119" i="1" a="1"/>
  <c r="AL119" i="1" s="1"/>
  <c r="I120" i="1" a="1"/>
  <c r="I120" i="1" s="1"/>
  <c r="AC119" i="1" a="1"/>
  <c r="AC119" i="1" s="1"/>
  <c r="E120" i="1" a="1"/>
  <c r="E120" i="1" s="1"/>
  <c r="V119" i="1" a="1"/>
  <c r="V119" i="1" s="1"/>
  <c r="AO119" i="1" a="1"/>
  <c r="AO119" i="1" s="1"/>
  <c r="H120" i="1" a="1"/>
  <c r="H120" i="1" s="1"/>
  <c r="C120" i="1" a="1"/>
  <c r="C120" i="1" s="1"/>
  <c r="AN119" i="1" a="1"/>
  <c r="AN119" i="1" s="1"/>
  <c r="AI119" i="1" a="1"/>
  <c r="AI119" i="1" s="1"/>
  <c r="AA119" i="1" a="1"/>
  <c r="AA119" i="1" s="1"/>
  <c r="AC118" i="1" a="1"/>
  <c r="AC118" i="1" s="1"/>
  <c r="AI118" i="1" a="1"/>
  <c r="AI118" i="1" s="1"/>
  <c r="AH118" i="1" a="1"/>
  <c r="AH118" i="1" s="1"/>
  <c r="E119" i="1" a="1"/>
  <c r="E119" i="1" s="1"/>
  <c r="AO118" i="1" a="1"/>
  <c r="AO118" i="1" s="1"/>
  <c r="AD118" i="1" a="1"/>
  <c r="AD118" i="1" s="1"/>
  <c r="K119" i="1" a="1"/>
  <c r="K119" i="1" s="1"/>
  <c r="D119" i="1" a="1"/>
  <c r="D119" i="1" s="1"/>
  <c r="AG118" i="1" a="1"/>
  <c r="AG118" i="1" s="1"/>
  <c r="K118" i="7" s="1"/>
  <c r="AL118" i="1" a="1"/>
  <c r="AL118" i="1" s="1"/>
  <c r="B119" i="1" a="1"/>
  <c r="B119" i="1" s="1"/>
  <c r="AK118" i="1" a="1"/>
  <c r="AK118" i="1" s="1"/>
  <c r="AE118" i="1" a="1"/>
  <c r="AE118" i="1" s="1"/>
  <c r="I118" i="7" s="1"/>
  <c r="C119" i="1" a="1"/>
  <c r="C119" i="1" s="1"/>
  <c r="S119" i="1" a="1"/>
  <c r="S119" i="1" s="1"/>
  <c r="R119" i="1" a="1"/>
  <c r="R119" i="1" s="1"/>
  <c r="Q119" i="1" a="1"/>
  <c r="Q119" i="1" s="1"/>
  <c r="P119" i="1" a="1"/>
  <c r="P119" i="1" s="1"/>
  <c r="O119" i="1" a="1"/>
  <c r="O119" i="1" s="1"/>
  <c r="G119" i="1" a="1"/>
  <c r="G119" i="1" s="1"/>
  <c r="AJ118" i="1" a="1"/>
  <c r="AJ118" i="1" s="1"/>
  <c r="N119" i="1" a="1"/>
  <c r="N119" i="1" s="1"/>
  <c r="L119" i="1" a="1"/>
  <c r="L119" i="1" s="1"/>
  <c r="F119" i="1" a="1"/>
  <c r="F119" i="1" s="1"/>
  <c r="J119" i="1" a="1"/>
  <c r="J119" i="1" s="1"/>
  <c r="M119" i="1" a="1"/>
  <c r="M119" i="1" s="1"/>
  <c r="I119" i="1" a="1"/>
  <c r="I119" i="1" s="1"/>
  <c r="H119" i="1" a="1"/>
  <c r="H119" i="1" s="1"/>
  <c r="AB118" i="1" a="1"/>
  <c r="AB118" i="1" s="1"/>
  <c r="AN118" i="1" a="1"/>
  <c r="AN118" i="1" s="1"/>
  <c r="AM118" i="1" a="1"/>
  <c r="AM118" i="1" s="1"/>
  <c r="AF118" i="1" a="1"/>
  <c r="AF118" i="1" s="1"/>
  <c r="J118" i="7" s="1"/>
  <c r="F118" i="1" a="1"/>
  <c r="F118" i="1" s="1"/>
  <c r="B118" i="1" a="1"/>
  <c r="B118" i="1" s="1"/>
  <c r="D118" i="1" a="1"/>
  <c r="D118" i="1" s="1"/>
  <c r="AM117" i="1" a="1"/>
  <c r="AM117" i="1" s="1"/>
  <c r="AO117" i="1" a="1"/>
  <c r="AO117" i="1" s="1"/>
  <c r="M118" i="1" a="1"/>
  <c r="M118" i="1" s="1"/>
  <c r="C118" i="1" a="1"/>
  <c r="C118" i="1" s="1"/>
  <c r="E118" i="1" a="1"/>
  <c r="E118" i="1" s="1"/>
  <c r="I118" i="1" a="1"/>
  <c r="I118" i="1" s="1"/>
  <c r="T118" i="1" a="1"/>
  <c r="T118" i="1" s="1"/>
  <c r="J118" i="1" a="1"/>
  <c r="J118" i="1" s="1"/>
  <c r="N118" i="1" a="1"/>
  <c r="N118" i="1" s="1"/>
  <c r="AA118" i="1" a="1"/>
  <c r="AA118" i="1" s="1"/>
  <c r="Z118" i="1" a="1"/>
  <c r="Z118" i="1" s="1"/>
  <c r="K118" i="1" a="1"/>
  <c r="K118" i="1" s="1"/>
  <c r="AL117" i="1" a="1"/>
  <c r="AL117" i="1" s="1"/>
  <c r="AN117" i="1" a="1"/>
  <c r="AN117" i="1" s="1"/>
  <c r="AK117" i="1" a="1"/>
  <c r="AK117" i="1" s="1"/>
  <c r="V118" i="1" a="1"/>
  <c r="V118" i="1" s="1"/>
  <c r="H118" i="1" a="1"/>
  <c r="H118" i="1" s="1"/>
  <c r="U118" i="1" a="1"/>
  <c r="U118" i="1" s="1"/>
  <c r="S118" i="1" a="1"/>
  <c r="S118" i="1" s="1"/>
  <c r="R118" i="1" a="1"/>
  <c r="R118" i="1" s="1"/>
  <c r="AJ117" i="1" a="1"/>
  <c r="AJ117" i="1" s="1"/>
  <c r="Q118" i="1" a="1"/>
  <c r="Q118" i="1" s="1"/>
  <c r="L118" i="1" a="1"/>
  <c r="L118" i="1" s="1"/>
  <c r="P118" i="1" a="1"/>
  <c r="P118" i="1" s="1"/>
  <c r="O118" i="1" a="1"/>
  <c r="O118" i="1" s="1"/>
  <c r="G118" i="1" a="1"/>
  <c r="G118" i="1" s="1"/>
  <c r="K117" i="1" a="1"/>
  <c r="K117" i="1" s="1"/>
  <c r="R117" i="1" a="1"/>
  <c r="R117" i="1" s="1"/>
  <c r="J117" i="1" a="1"/>
  <c r="J117" i="1" s="1"/>
  <c r="V117" i="1" a="1"/>
  <c r="V117" i="1" s="1"/>
  <c r="U117" i="1" a="1"/>
  <c r="U117" i="1" s="1"/>
  <c r="Q117" i="1" a="1"/>
  <c r="Q117" i="1" s="1"/>
  <c r="N117" i="1" a="1"/>
  <c r="N117" i="1" s="1"/>
  <c r="H117" i="1" a="1"/>
  <c r="H117" i="1" s="1"/>
  <c r="G117" i="1" a="1"/>
  <c r="G117" i="1" s="1"/>
  <c r="E117" i="1" a="1"/>
  <c r="E117" i="1" s="1"/>
  <c r="AF117" i="1" a="1"/>
  <c r="AF117" i="1" s="1"/>
  <c r="J117" i="7" s="1"/>
  <c r="P117" i="1" a="1"/>
  <c r="P117" i="1" s="1"/>
  <c r="L117" i="1" a="1"/>
  <c r="L117" i="1" s="1"/>
  <c r="AI117" i="1" a="1"/>
  <c r="AI117" i="1" s="1"/>
  <c r="D117" i="1" a="1"/>
  <c r="D117" i="1" s="1"/>
  <c r="AH117" i="1" a="1"/>
  <c r="AH117" i="1" s="1"/>
  <c r="F117" i="1" a="1"/>
  <c r="F117" i="1" s="1"/>
  <c r="AG117" i="1" a="1"/>
  <c r="AG117" i="1" s="1"/>
  <c r="K117" i="7" s="1"/>
  <c r="AE117" i="1" a="1"/>
  <c r="AE117" i="1" s="1"/>
  <c r="I117" i="7" s="1"/>
  <c r="AB117" i="1" a="1"/>
  <c r="AB117" i="1" s="1"/>
  <c r="M117" i="1" a="1"/>
  <c r="M117" i="1" s="1"/>
  <c r="AD117" i="1" a="1"/>
  <c r="AD117" i="1" s="1"/>
  <c r="O117" i="1" a="1"/>
  <c r="O117" i="1" s="1"/>
  <c r="AC117" i="1" a="1"/>
  <c r="AC117" i="1" s="1"/>
  <c r="S117" i="1" a="1"/>
  <c r="S117" i="1" s="1"/>
  <c r="AA117" i="1" a="1"/>
  <c r="AA117" i="1" s="1"/>
  <c r="Z117" i="1" a="1"/>
  <c r="Z117" i="1" s="1"/>
  <c r="I117" i="1" a="1"/>
  <c r="I117" i="1" s="1"/>
  <c r="T117" i="1" a="1"/>
  <c r="T117" i="1" s="1"/>
  <c r="AB116" i="1" a="1"/>
  <c r="AB116" i="1" s="1"/>
  <c r="AG116" i="1" a="1"/>
  <c r="AG116" i="1" s="1"/>
  <c r="K116" i="7" s="1"/>
  <c r="AF116" i="1" a="1"/>
  <c r="AF116" i="1" s="1"/>
  <c r="J116" i="7" s="1"/>
  <c r="Z116" i="1" a="1"/>
  <c r="Z116" i="1" s="1"/>
  <c r="U116" i="1" a="1"/>
  <c r="U116" i="1" s="1"/>
  <c r="N116" i="1" a="1"/>
  <c r="N116" i="1" s="1"/>
  <c r="M116" i="1" a="1"/>
  <c r="M116" i="1" s="1"/>
  <c r="T116" i="1" a="1"/>
  <c r="T116" i="1" s="1"/>
  <c r="S116" i="1" a="1"/>
  <c r="S116" i="1" s="1"/>
  <c r="Q116" i="1" a="1"/>
  <c r="Q116" i="1" s="1"/>
  <c r="V116" i="1" a="1"/>
  <c r="V116" i="1" s="1"/>
  <c r="P116" i="1" a="1"/>
  <c r="P116" i="1" s="1"/>
  <c r="AA116" i="1" a="1"/>
  <c r="AA116" i="1" s="1"/>
  <c r="O116" i="1" a="1"/>
  <c r="O116" i="1" s="1"/>
  <c r="C117" i="1" a="1"/>
  <c r="C117" i="1" s="1"/>
  <c r="AO116" i="1" a="1"/>
  <c r="AO116" i="1" s="1"/>
  <c r="AM116" i="1" a="1"/>
  <c r="AM116" i="1" s="1"/>
  <c r="AJ116" i="1" a="1"/>
  <c r="AJ116" i="1" s="1"/>
  <c r="AD116" i="1" a="1"/>
  <c r="AD116" i="1" s="1"/>
  <c r="AL116" i="1" a="1"/>
  <c r="AL116" i="1" s="1"/>
  <c r="L116" i="1" a="1"/>
  <c r="L116" i="1" s="1"/>
  <c r="AE116" i="1" a="1"/>
  <c r="AE116" i="1" s="1"/>
  <c r="I116" i="7" s="1"/>
  <c r="R116" i="1" a="1"/>
  <c r="R116" i="1" s="1"/>
  <c r="AK116" i="1" a="1"/>
  <c r="AK116" i="1" s="1"/>
  <c r="AI116" i="1" a="1"/>
  <c r="AI116" i="1" s="1"/>
  <c r="AC116" i="1" a="1"/>
  <c r="AC116" i="1" s="1"/>
  <c r="B117" i="1" a="1"/>
  <c r="B117" i="1" s="1"/>
  <c r="AN116" i="1" a="1"/>
  <c r="AN116" i="1" s="1"/>
  <c r="AH116" i="1" a="1"/>
  <c r="AH116" i="1" s="1"/>
  <c r="AE115" i="1" a="1"/>
  <c r="AE115" i="1" s="1"/>
  <c r="I115" i="7" s="1"/>
  <c r="AI115" i="1" a="1"/>
  <c r="AI115" i="1" s="1"/>
  <c r="AB115" i="1" a="1"/>
  <c r="AB115" i="1" s="1"/>
  <c r="Z115" i="1" a="1"/>
  <c r="Z115" i="1" s="1"/>
  <c r="K116" i="1" a="1"/>
  <c r="K116" i="1" s="1"/>
  <c r="AO115" i="1" a="1"/>
  <c r="AO115" i="1" s="1"/>
  <c r="AA115" i="1" a="1"/>
  <c r="AA115" i="1" s="1"/>
  <c r="AC115" i="1" a="1"/>
  <c r="AC115" i="1" s="1"/>
  <c r="F116" i="1" a="1"/>
  <c r="F116" i="1" s="1"/>
  <c r="J116" i="1" a="1"/>
  <c r="J116" i="1" s="1"/>
  <c r="AD115" i="1" a="1"/>
  <c r="AD115" i="1" s="1"/>
  <c r="I116" i="1" a="1"/>
  <c r="I116" i="1" s="1"/>
  <c r="D116" i="1" a="1"/>
  <c r="D116" i="1" s="1"/>
  <c r="B116" i="1" a="1"/>
  <c r="B116" i="1" s="1"/>
  <c r="AJ115" i="1" a="1"/>
  <c r="AJ115" i="1" s="1"/>
  <c r="AN115" i="1" a="1"/>
  <c r="AN115" i="1" s="1"/>
  <c r="AL115" i="1" a="1"/>
  <c r="AL115" i="1" s="1"/>
  <c r="U115" i="1" a="1"/>
  <c r="U115" i="1" s="1"/>
  <c r="AG115" i="1" a="1"/>
  <c r="AG115" i="1" s="1"/>
  <c r="K115" i="7" s="1"/>
  <c r="AK115" i="1" a="1"/>
  <c r="AK115" i="1" s="1"/>
  <c r="AH115" i="1" a="1"/>
  <c r="AH115" i="1" s="1"/>
  <c r="V115" i="1" a="1"/>
  <c r="V115" i="1" s="1"/>
  <c r="AF115" i="1" a="1"/>
  <c r="AF115" i="1" s="1"/>
  <c r="J115" i="7" s="1"/>
  <c r="E116" i="1" a="1"/>
  <c r="E116" i="1" s="1"/>
  <c r="C116" i="1" a="1"/>
  <c r="C116" i="1" s="1"/>
  <c r="H116" i="1" a="1"/>
  <c r="H116" i="1" s="1"/>
  <c r="AM115" i="1" a="1"/>
  <c r="AM115" i="1" s="1"/>
  <c r="G116" i="1" a="1"/>
  <c r="G116" i="1" s="1"/>
  <c r="T115" i="1" a="1"/>
  <c r="T115" i="1" s="1"/>
  <c r="O115" i="1" a="1"/>
  <c r="O115" i="1" s="1"/>
  <c r="N115" i="1" a="1"/>
  <c r="N115" i="1" s="1"/>
  <c r="F115" i="1" a="1"/>
  <c r="F115" i="1" s="1"/>
  <c r="AM114" i="1" a="1"/>
  <c r="AM114" i="1" s="1"/>
  <c r="M115" i="1" a="1"/>
  <c r="M115" i="1" s="1"/>
  <c r="AO114" i="1" a="1"/>
  <c r="AO114" i="1" s="1"/>
  <c r="L115" i="1" a="1"/>
  <c r="L115" i="1" s="1"/>
  <c r="AI114" i="1" a="1"/>
  <c r="AI114" i="1" s="1"/>
  <c r="K115" i="1" a="1"/>
  <c r="K115" i="1" s="1"/>
  <c r="G115" i="1" a="1"/>
  <c r="G115" i="1" s="1"/>
  <c r="AG114" i="1" a="1"/>
  <c r="AG114" i="1" s="1"/>
  <c r="K114" i="7" s="1"/>
  <c r="AD114" i="1" a="1"/>
  <c r="AD114" i="1" s="1"/>
  <c r="S115" i="1" a="1"/>
  <c r="S115" i="1" s="1"/>
  <c r="AF114" i="1" a="1"/>
  <c r="AF114" i="1" s="1"/>
  <c r="J114" i="7" s="1"/>
  <c r="AE114" i="1" a="1"/>
  <c r="AE114" i="1" s="1"/>
  <c r="I114" i="7" s="1"/>
  <c r="R115" i="1" a="1"/>
  <c r="R115" i="1" s="1"/>
  <c r="Q115" i="1" a="1"/>
  <c r="Q115" i="1" s="1"/>
  <c r="J115" i="1" a="1"/>
  <c r="J115" i="1" s="1"/>
  <c r="AH114" i="1" a="1"/>
  <c r="AH114" i="1" s="1"/>
  <c r="B115" i="1" a="1"/>
  <c r="B115" i="1" s="1"/>
  <c r="AL114" i="1" a="1"/>
  <c r="AL114" i="1" s="1"/>
  <c r="AK114" i="1" a="1"/>
  <c r="AK114" i="1" s="1"/>
  <c r="AB114" i="1" a="1"/>
  <c r="AB114" i="1" s="1"/>
  <c r="H115" i="1" a="1"/>
  <c r="H115" i="1" s="1"/>
  <c r="I115" i="1" a="1"/>
  <c r="I115" i="1" s="1"/>
  <c r="D115" i="1" a="1"/>
  <c r="D115" i="1" s="1"/>
  <c r="AC114" i="1" a="1"/>
  <c r="AC114" i="1" s="1"/>
  <c r="E115" i="1" a="1"/>
  <c r="E115" i="1" s="1"/>
  <c r="C115" i="1" a="1"/>
  <c r="C115" i="1" s="1"/>
  <c r="P115" i="1" a="1"/>
  <c r="P115" i="1" s="1"/>
  <c r="AJ114" i="1" a="1"/>
  <c r="AJ114" i="1" s="1"/>
  <c r="AN114" i="1" a="1"/>
  <c r="AN114" i="1" s="1"/>
  <c r="E114" i="1" a="1"/>
  <c r="E114" i="1" s="1"/>
  <c r="AA114" i="1" a="1"/>
  <c r="AA114" i="1" s="1"/>
  <c r="T114" i="1" a="1"/>
  <c r="T114" i="1" s="1"/>
  <c r="S114" i="1" a="1"/>
  <c r="S114" i="1" s="1"/>
  <c r="R114" i="1" a="1"/>
  <c r="R114" i="1" s="1"/>
  <c r="N114" i="1" a="1"/>
  <c r="N114" i="1" s="1"/>
  <c r="M114" i="1" a="1"/>
  <c r="M114" i="1" s="1"/>
  <c r="K114" i="1" a="1"/>
  <c r="K114" i="1" s="1"/>
  <c r="J114" i="1" a="1"/>
  <c r="J114" i="1" s="1"/>
  <c r="AO113" i="1" a="1"/>
  <c r="AO113" i="1" s="1"/>
  <c r="AN113" i="1" a="1"/>
  <c r="AN113" i="1" s="1"/>
  <c r="F114" i="1" a="1"/>
  <c r="F114" i="1" s="1"/>
  <c r="O114" i="1" a="1"/>
  <c r="O114" i="1" s="1"/>
  <c r="L114" i="1" a="1"/>
  <c r="L114" i="1" s="1"/>
  <c r="H114" i="1" a="1"/>
  <c r="H114" i="1" s="1"/>
  <c r="B114" i="1" a="1"/>
  <c r="B114" i="1" s="1"/>
  <c r="AM113" i="1" a="1"/>
  <c r="AM113" i="1" s="1"/>
  <c r="AJ113" i="1" a="1"/>
  <c r="AJ113" i="1" s="1"/>
  <c r="Z114" i="1" a="1"/>
  <c r="Z114" i="1" s="1"/>
  <c r="D114" i="1" a="1"/>
  <c r="D114" i="1" s="1"/>
  <c r="U114" i="1" a="1"/>
  <c r="U114" i="1" s="1"/>
  <c r="C114" i="1" a="1"/>
  <c r="C114" i="1" s="1"/>
  <c r="AK113" i="1" a="1"/>
  <c r="AK113" i="1" s="1"/>
  <c r="V114" i="1" a="1"/>
  <c r="V114" i="1" s="1"/>
  <c r="G114" i="1" a="1"/>
  <c r="G114" i="1" s="1"/>
  <c r="Q114" i="1" a="1"/>
  <c r="Q114" i="1" s="1"/>
  <c r="AL113" i="1" a="1"/>
  <c r="AL113" i="1" s="1"/>
  <c r="I114" i="1" a="1"/>
  <c r="I114" i="1" s="1"/>
  <c r="P114" i="1" a="1"/>
  <c r="P114" i="1" s="1"/>
  <c r="N113" i="1" a="1"/>
  <c r="N113" i="1" s="1"/>
  <c r="AG113" i="1" a="1"/>
  <c r="AG113" i="1" s="1"/>
  <c r="K113" i="7" s="1"/>
  <c r="AF113" i="1" a="1"/>
  <c r="AF113" i="1" s="1"/>
  <c r="J113" i="7" s="1"/>
  <c r="M113" i="1" a="1"/>
  <c r="M113" i="1" s="1"/>
  <c r="F113" i="1" a="1"/>
  <c r="F113" i="1" s="1"/>
  <c r="U113" i="1" a="1"/>
  <c r="U113" i="1" s="1"/>
  <c r="AE113" i="1" a="1"/>
  <c r="AE113" i="1" s="1"/>
  <c r="I113" i="7" s="1"/>
  <c r="E113" i="1" a="1"/>
  <c r="E113" i="1" s="1"/>
  <c r="Q113" i="1" a="1"/>
  <c r="Q113" i="1" s="1"/>
  <c r="J113" i="1" a="1"/>
  <c r="J113" i="1" s="1"/>
  <c r="L113" i="1" a="1"/>
  <c r="L113" i="1" s="1"/>
  <c r="AD113" i="1" a="1"/>
  <c r="AD113" i="1" s="1"/>
  <c r="AA113" i="1" a="1"/>
  <c r="AA113" i="1" s="1"/>
  <c r="AB113" i="1" a="1"/>
  <c r="AB113" i="1" s="1"/>
  <c r="T113" i="1" a="1"/>
  <c r="T113" i="1" s="1"/>
  <c r="G113" i="1" a="1"/>
  <c r="G113" i="1" s="1"/>
  <c r="R113" i="1" a="1"/>
  <c r="R113" i="1" s="1"/>
  <c r="D113" i="1" a="1"/>
  <c r="D113" i="1" s="1"/>
  <c r="O113" i="1" a="1"/>
  <c r="O113" i="1" s="1"/>
  <c r="V113" i="1" a="1"/>
  <c r="V113" i="1" s="1"/>
  <c r="P113" i="1" a="1"/>
  <c r="P113" i="1" s="1"/>
  <c r="I113" i="1" a="1"/>
  <c r="I113" i="1" s="1"/>
  <c r="H113" i="1" a="1"/>
  <c r="H113" i="1" s="1"/>
  <c r="S113" i="1" a="1"/>
  <c r="S113" i="1" s="1"/>
  <c r="K113" i="1" a="1"/>
  <c r="K113" i="1" s="1"/>
  <c r="AC113" i="1" a="1"/>
  <c r="AC113" i="1" s="1"/>
  <c r="AI113" i="1" a="1"/>
  <c r="AI113" i="1" s="1"/>
  <c r="AH113" i="1" a="1"/>
  <c r="AH113" i="1" s="1"/>
  <c r="Z113" i="1" a="1"/>
  <c r="Z113" i="1" s="1"/>
  <c r="V112" i="1" a="1"/>
  <c r="V112" i="1" s="1"/>
  <c r="T112" i="1" a="1"/>
  <c r="T112" i="1" s="1"/>
  <c r="S112" i="1" a="1"/>
  <c r="S112" i="1" s="1"/>
  <c r="AI112" i="1" a="1"/>
  <c r="AI112" i="1" s="1"/>
  <c r="AH112" i="1" a="1"/>
  <c r="AH112" i="1" s="1"/>
  <c r="AK112" i="1" a="1"/>
  <c r="AK112" i="1" s="1"/>
  <c r="AA112" i="1" a="1"/>
  <c r="AA112" i="1" s="1"/>
  <c r="M112" i="1" a="1"/>
  <c r="M112" i="1" s="1"/>
  <c r="R112" i="1" a="1"/>
  <c r="R112" i="1" s="1"/>
  <c r="Q112" i="1" a="1"/>
  <c r="Q112" i="1" s="1"/>
  <c r="C113" i="1" a="1"/>
  <c r="C113" i="1" s="1"/>
  <c r="N112" i="1" a="1"/>
  <c r="N112" i="1" s="1"/>
  <c r="AN112" i="1" a="1"/>
  <c r="AN112" i="1" s="1"/>
  <c r="AG112" i="1" a="1"/>
  <c r="AG112" i="1" s="1"/>
  <c r="K112" i="7" s="1"/>
  <c r="AD112" i="1" a="1"/>
  <c r="AD112" i="1" s="1"/>
  <c r="AC112" i="1" a="1"/>
  <c r="AC112" i="1" s="1"/>
  <c r="U112" i="1" a="1"/>
  <c r="U112" i="1" s="1"/>
  <c r="L112" i="1" a="1"/>
  <c r="L112" i="1" s="1"/>
  <c r="AF112" i="1" a="1"/>
  <c r="AF112" i="1" s="1"/>
  <c r="J112" i="7" s="1"/>
  <c r="B113" i="1" a="1"/>
  <c r="B113" i="1" s="1"/>
  <c r="AO112" i="1" a="1"/>
  <c r="AO112" i="1" s="1"/>
  <c r="AM112" i="1" a="1"/>
  <c r="AM112" i="1" s="1"/>
  <c r="AL112" i="1" a="1"/>
  <c r="AL112" i="1" s="1"/>
  <c r="AE112" i="1" a="1"/>
  <c r="AE112" i="1" s="1"/>
  <c r="I112" i="7" s="1"/>
  <c r="AJ112" i="1" a="1"/>
  <c r="AJ112" i="1" s="1"/>
  <c r="O112" i="1" a="1"/>
  <c r="O112" i="1" s="1"/>
  <c r="P112" i="1" a="1"/>
  <c r="P112" i="1" s="1"/>
  <c r="AB112" i="1" a="1"/>
  <c r="AB112" i="1" s="1"/>
  <c r="Z112" i="1" a="1"/>
  <c r="Z112" i="1" s="1"/>
  <c r="AK111" i="1" a="1"/>
  <c r="AK111" i="1" s="1"/>
  <c r="V111" i="1" a="1"/>
  <c r="V111" i="1" s="1"/>
  <c r="H112" i="1" a="1"/>
  <c r="H112" i="1" s="1"/>
  <c r="F112" i="1" a="1"/>
  <c r="F112" i="1" s="1"/>
  <c r="AN111" i="1" a="1"/>
  <c r="AN111" i="1" s="1"/>
  <c r="AB111" i="1" a="1"/>
  <c r="AB111" i="1" s="1"/>
  <c r="C112" i="1" a="1"/>
  <c r="C112" i="1" s="1"/>
  <c r="AE111" i="1" a="1"/>
  <c r="AE111" i="1" s="1"/>
  <c r="I111" i="7" s="1"/>
  <c r="B112" i="1" a="1"/>
  <c r="B112" i="1" s="1"/>
  <c r="AO111" i="1" a="1"/>
  <c r="AO111" i="1" s="1"/>
  <c r="AG111" i="1" a="1"/>
  <c r="AG111" i="1" s="1"/>
  <c r="K111" i="7" s="1"/>
  <c r="AD111" i="1" a="1"/>
  <c r="AD111" i="1" s="1"/>
  <c r="AC111" i="1" a="1"/>
  <c r="AC111" i="1" s="1"/>
  <c r="Z111" i="1" a="1"/>
  <c r="Z111" i="1" s="1"/>
  <c r="AA111" i="1" a="1"/>
  <c r="AA111" i="1" s="1"/>
  <c r="AJ111" i="1" a="1"/>
  <c r="AJ111" i="1" s="1"/>
  <c r="I112" i="1" a="1"/>
  <c r="I112" i="1" s="1"/>
  <c r="E112" i="1" a="1"/>
  <c r="E112" i="1" s="1"/>
  <c r="AI111" i="1" a="1"/>
  <c r="AI111" i="1" s="1"/>
  <c r="AL111" i="1" a="1"/>
  <c r="AL111" i="1" s="1"/>
  <c r="AF111" i="1" a="1"/>
  <c r="AF111" i="1" s="1"/>
  <c r="J111" i="7" s="1"/>
  <c r="D112" i="1" a="1"/>
  <c r="D112" i="1" s="1"/>
  <c r="U111" i="1" a="1"/>
  <c r="U111" i="1" s="1"/>
  <c r="AM111" i="1" a="1"/>
  <c r="AM111" i="1" s="1"/>
  <c r="T111" i="1" a="1"/>
  <c r="T111" i="1" s="1"/>
  <c r="K112" i="1" a="1"/>
  <c r="K112" i="1" s="1"/>
  <c r="G112" i="1" a="1"/>
  <c r="G112" i="1" s="1"/>
  <c r="AH111" i="1" a="1"/>
  <c r="AH111" i="1" s="1"/>
  <c r="J112" i="1" a="1"/>
  <c r="J112" i="1" s="1"/>
  <c r="O111" i="1" a="1"/>
  <c r="O111" i="1" s="1"/>
  <c r="L111" i="1" a="1"/>
  <c r="L111" i="1" s="1"/>
  <c r="E111" i="1" a="1"/>
  <c r="E111" i="1" s="1"/>
  <c r="N111" i="1" a="1"/>
  <c r="N111" i="1" s="1"/>
  <c r="M111" i="1" a="1"/>
  <c r="M111" i="1" s="1"/>
  <c r="I111" i="1" a="1"/>
  <c r="I111" i="1" s="1"/>
  <c r="H111" i="1" a="1"/>
  <c r="H111" i="1" s="1"/>
  <c r="C111" i="1" a="1"/>
  <c r="C111" i="1" s="1"/>
  <c r="B111" i="1" a="1"/>
  <c r="B111" i="1" s="1"/>
  <c r="AD110" i="1" a="1"/>
  <c r="AD110" i="1" s="1"/>
  <c r="AM110" i="1" a="1"/>
  <c r="AM110" i="1" s="1"/>
  <c r="AL110" i="1" a="1"/>
  <c r="AL110" i="1" s="1"/>
  <c r="AI110" i="1" a="1"/>
  <c r="AI110" i="1" s="1"/>
  <c r="AH110" i="1" a="1"/>
  <c r="AH110" i="1" s="1"/>
  <c r="AE110" i="1" a="1"/>
  <c r="AE110" i="1" s="1"/>
  <c r="I110" i="7" s="1"/>
  <c r="AG110" i="1" a="1"/>
  <c r="AG110" i="1" s="1"/>
  <c r="K110" i="7" s="1"/>
  <c r="AC110" i="1" a="1"/>
  <c r="AC110" i="1" s="1"/>
  <c r="S111" i="1" a="1"/>
  <c r="S111" i="1" s="1"/>
  <c r="AB110" i="1" a="1"/>
  <c r="AB110" i="1" s="1"/>
  <c r="R111" i="1" a="1"/>
  <c r="R111" i="1" s="1"/>
  <c r="J111" i="1" a="1"/>
  <c r="J111" i="1" s="1"/>
  <c r="D111" i="1" a="1"/>
  <c r="D111" i="1" s="1"/>
  <c r="P111" i="1" a="1"/>
  <c r="P111" i="1" s="1"/>
  <c r="AJ110" i="1" a="1"/>
  <c r="AJ110" i="1" s="1"/>
  <c r="AF110" i="1" a="1"/>
  <c r="AF110" i="1" s="1"/>
  <c r="J110" i="7" s="1"/>
  <c r="K111" i="1" a="1"/>
  <c r="K111" i="1" s="1"/>
  <c r="AN110" i="1" a="1"/>
  <c r="AN110" i="1" s="1"/>
  <c r="G111" i="1" a="1"/>
  <c r="G111" i="1" s="1"/>
  <c r="F111" i="1" a="1"/>
  <c r="F111" i="1" s="1"/>
  <c r="AO110" i="1" a="1"/>
  <c r="AO110" i="1" s="1"/>
  <c r="Q111" i="1" a="1"/>
  <c r="Q111" i="1" s="1"/>
  <c r="AK110" i="1" a="1"/>
  <c r="AK110" i="1" s="1"/>
  <c r="I110" i="1" a="1"/>
  <c r="I110" i="1" s="1"/>
  <c r="AK109" i="1" a="1"/>
  <c r="AK109" i="1" s="1"/>
  <c r="R110" i="1" a="1"/>
  <c r="R110" i="1" s="1"/>
  <c r="T110" i="1" a="1"/>
  <c r="T110" i="1" s="1"/>
  <c r="N110" i="1" a="1"/>
  <c r="N110" i="1" s="1"/>
  <c r="F110" i="1" a="1"/>
  <c r="F110" i="1" s="1"/>
  <c r="D110" i="1" a="1"/>
  <c r="D110" i="1" s="1"/>
  <c r="AN109" i="1" a="1"/>
  <c r="AN109" i="1" s="1"/>
  <c r="O110" i="1" a="1"/>
  <c r="O110" i="1" s="1"/>
  <c r="AM109" i="1" a="1"/>
  <c r="AM109" i="1" s="1"/>
  <c r="AA110" i="1" a="1"/>
  <c r="AA110" i="1" s="1"/>
  <c r="Z110" i="1" a="1"/>
  <c r="Z110" i="1" s="1"/>
  <c r="V110" i="1" a="1"/>
  <c r="V110" i="1" s="1"/>
  <c r="E110" i="1" a="1"/>
  <c r="E110" i="1" s="1"/>
  <c r="L110" i="1" a="1"/>
  <c r="L110" i="1" s="1"/>
  <c r="U110" i="1" a="1"/>
  <c r="U110" i="1" s="1"/>
  <c r="H110" i="1" a="1"/>
  <c r="H110" i="1" s="1"/>
  <c r="C110" i="1" a="1"/>
  <c r="C110" i="1" s="1"/>
  <c r="M110" i="1" a="1"/>
  <c r="M110" i="1" s="1"/>
  <c r="S110" i="1" a="1"/>
  <c r="S110" i="1" s="1"/>
  <c r="AL109" i="1" a="1"/>
  <c r="AL109" i="1" s="1"/>
  <c r="Q110" i="1" a="1"/>
  <c r="Q110" i="1" s="1"/>
  <c r="P110" i="1" a="1"/>
  <c r="P110" i="1" s="1"/>
  <c r="B110" i="1" a="1"/>
  <c r="B110" i="1" s="1"/>
  <c r="K110" i="1" a="1"/>
  <c r="K110" i="1" s="1"/>
  <c r="AO109" i="1" a="1"/>
  <c r="AO109" i="1" s="1"/>
  <c r="AJ109" i="1" a="1"/>
  <c r="AJ109" i="1" s="1"/>
  <c r="J110" i="1" a="1"/>
  <c r="J110" i="1" s="1"/>
  <c r="G110" i="1" a="1"/>
  <c r="G110" i="1" s="1"/>
  <c r="AN108" i="1" a="1"/>
  <c r="AN108" i="1" s="1"/>
  <c r="AL108" i="1" a="1"/>
  <c r="AL108" i="1" s="1"/>
  <c r="AJ108" i="1" a="1"/>
  <c r="AJ108" i="1" s="1"/>
  <c r="AK108" i="1" a="1"/>
  <c r="AK108" i="1" s="1"/>
  <c r="AM108" i="1" a="1"/>
  <c r="AM108" i="1" s="1"/>
  <c r="C109" i="1" a="1"/>
  <c r="C109" i="1" s="1"/>
  <c r="B109" i="1" a="1"/>
  <c r="B109" i="1" s="1"/>
  <c r="AO108" i="1" a="1"/>
  <c r="AO108" i="1" s="1"/>
  <c r="Q108" i="1" a="1"/>
  <c r="Q108" i="1" s="1"/>
  <c r="N108" i="1" a="1"/>
  <c r="N108" i="1" s="1"/>
  <c r="AB108" i="1" a="1"/>
  <c r="AB108" i="1" s="1"/>
  <c r="Z108" i="1" a="1"/>
  <c r="Z108" i="1" s="1"/>
  <c r="O108" i="1" a="1"/>
  <c r="O108" i="1" s="1"/>
  <c r="S108" i="1" a="1"/>
  <c r="S108" i="1" s="1"/>
  <c r="AI108" i="1" a="1"/>
  <c r="AI108" i="1" s="1"/>
  <c r="AE108" i="1" a="1"/>
  <c r="AE108" i="1" s="1"/>
  <c r="I108" i="7" s="1"/>
  <c r="P108" i="1" a="1"/>
  <c r="P108" i="1" s="1"/>
  <c r="AH108" i="1" a="1"/>
  <c r="AH108" i="1" s="1"/>
  <c r="AC108" i="1" a="1"/>
  <c r="AC108" i="1" s="1"/>
  <c r="AF108" i="1" a="1"/>
  <c r="AF108" i="1" s="1"/>
  <c r="J108" i="7" s="1"/>
  <c r="U108" i="1" a="1"/>
  <c r="U108" i="1" s="1"/>
  <c r="J108" i="1" a="1"/>
  <c r="J108" i="1" s="1"/>
  <c r="F108" i="1" a="1"/>
  <c r="F108" i="1" s="1"/>
  <c r="G108" i="1" a="1"/>
  <c r="G108" i="1" s="1"/>
  <c r="AG108" i="1" a="1"/>
  <c r="AG108" i="1" s="1"/>
  <c r="K108" i="7" s="1"/>
  <c r="AA108" i="1" a="1"/>
  <c r="AA108" i="1" s="1"/>
  <c r="T108" i="1" a="1"/>
  <c r="T108" i="1" s="1"/>
  <c r="H108" i="1" a="1"/>
  <c r="H108" i="1" s="1"/>
  <c r="I108" i="1" a="1"/>
  <c r="I108" i="1" s="1"/>
  <c r="R108" i="1" a="1"/>
  <c r="R108" i="1" s="1"/>
  <c r="K108" i="1" a="1"/>
  <c r="K108" i="1" s="1"/>
  <c r="D108" i="1" a="1"/>
  <c r="D108" i="1" s="1"/>
  <c r="M108" i="1" a="1"/>
  <c r="M108" i="1" s="1"/>
  <c r="E108" i="1" a="1"/>
  <c r="E108" i="1" s="1"/>
  <c r="AD108" i="1" a="1"/>
  <c r="AD108" i="1" s="1"/>
  <c r="V108" i="1" a="1"/>
  <c r="V108" i="1" s="1"/>
  <c r="L108" i="1" a="1"/>
  <c r="L108" i="1" s="1"/>
  <c r="M107" i="1" a="1"/>
  <c r="M107" i="1" s="1"/>
  <c r="C108" i="1" a="1"/>
  <c r="C108" i="1" s="1"/>
  <c r="B108" i="1" a="1"/>
  <c r="B108" i="1" s="1"/>
  <c r="AK107" i="1" a="1"/>
  <c r="AK107" i="1" s="1"/>
  <c r="AF107" i="1" a="1"/>
  <c r="AF107" i="1" s="1"/>
  <c r="J107" i="7" s="1"/>
  <c r="Q107" i="1" a="1"/>
  <c r="Q107" i="1" s="1"/>
  <c r="AO107" i="1" a="1"/>
  <c r="AO107" i="1" s="1"/>
  <c r="AH107" i="1" a="1"/>
  <c r="AH107" i="1" s="1"/>
  <c r="O107" i="1" a="1"/>
  <c r="O107" i="1" s="1"/>
  <c r="AI107" i="1" a="1"/>
  <c r="AI107" i="1" s="1"/>
  <c r="AC107" i="1" a="1"/>
  <c r="AC107" i="1" s="1"/>
  <c r="L107" i="1" a="1"/>
  <c r="L107" i="1" s="1"/>
  <c r="AN107" i="1" a="1"/>
  <c r="AN107" i="1" s="1"/>
  <c r="AD107" i="1" a="1"/>
  <c r="AD107" i="1" s="1"/>
  <c r="AA107" i="1" a="1"/>
  <c r="AA107" i="1" s="1"/>
  <c r="U107" i="1" a="1"/>
  <c r="U107" i="1" s="1"/>
  <c r="R107" i="1" a="1"/>
  <c r="R107" i="1" s="1"/>
  <c r="AE107" i="1" a="1"/>
  <c r="AE107" i="1" s="1"/>
  <c r="I107" i="7" s="1"/>
  <c r="V107" i="1" a="1"/>
  <c r="V107" i="1" s="1"/>
  <c r="AM107" i="1" a="1"/>
  <c r="AM107" i="1" s="1"/>
  <c r="AL107" i="1" a="1"/>
  <c r="AL107" i="1" s="1"/>
  <c r="AJ107" i="1" a="1"/>
  <c r="AJ107" i="1" s="1"/>
  <c r="AB107" i="1" a="1"/>
  <c r="AB107" i="1" s="1"/>
  <c r="N107" i="1" a="1"/>
  <c r="N107" i="1" s="1"/>
  <c r="P107" i="1" a="1"/>
  <c r="P107" i="1" s="1"/>
  <c r="T107" i="1" a="1"/>
  <c r="T107" i="1" s="1"/>
  <c r="AG107" i="1" a="1"/>
  <c r="AG107" i="1" s="1"/>
  <c r="K107" i="7" s="1"/>
  <c r="Z107" i="1" a="1"/>
  <c r="Z107" i="1" s="1"/>
  <c r="S107" i="1" a="1"/>
  <c r="S107" i="1" s="1"/>
  <c r="F107" i="1" a="1"/>
  <c r="F107" i="1" s="1"/>
  <c r="AD106" i="1" a="1"/>
  <c r="AD106" i="1" s="1"/>
  <c r="E107" i="1" a="1"/>
  <c r="E107" i="1" s="1"/>
  <c r="AE106" i="1" a="1"/>
  <c r="AE106" i="1" s="1"/>
  <c r="I106" i="7" s="1"/>
  <c r="Z106" i="1" a="1"/>
  <c r="Z106" i="1" s="1"/>
  <c r="D107" i="1" a="1"/>
  <c r="D107" i="1" s="1"/>
  <c r="U106" i="1" a="1"/>
  <c r="U106" i="1" s="1"/>
  <c r="C107" i="1" a="1"/>
  <c r="C107" i="1" s="1"/>
  <c r="B107" i="1" a="1"/>
  <c r="B107" i="1" s="1"/>
  <c r="AL106" i="1" a="1"/>
  <c r="AL106" i="1" s="1"/>
  <c r="AF106" i="1" a="1"/>
  <c r="AF106" i="1" s="1"/>
  <c r="J106" i="7" s="1"/>
  <c r="AC106" i="1" a="1"/>
  <c r="AC106" i="1" s="1"/>
  <c r="AH106" i="1" a="1"/>
  <c r="AH106" i="1" s="1"/>
  <c r="AN106" i="1" a="1"/>
  <c r="AN106" i="1" s="1"/>
  <c r="AK106" i="1" a="1"/>
  <c r="AK106" i="1" s="1"/>
  <c r="AB106" i="1" a="1"/>
  <c r="AB106" i="1" s="1"/>
  <c r="AJ106" i="1" a="1"/>
  <c r="AJ106" i="1" s="1"/>
  <c r="AI106" i="1" a="1"/>
  <c r="AI106" i="1" s="1"/>
  <c r="AA106" i="1" a="1"/>
  <c r="AA106" i="1" s="1"/>
  <c r="V106" i="1" a="1"/>
  <c r="V106" i="1" s="1"/>
  <c r="AM106" i="1" a="1"/>
  <c r="AM106" i="1" s="1"/>
  <c r="AG106" i="1" a="1"/>
  <c r="AG106" i="1" s="1"/>
  <c r="K106" i="7" s="1"/>
  <c r="T106" i="1" a="1"/>
  <c r="T106" i="1" s="1"/>
  <c r="K107" i="1" a="1"/>
  <c r="K107" i="1" s="1"/>
  <c r="J107" i="1" a="1"/>
  <c r="J107" i="1" s="1"/>
  <c r="I107" i="1" a="1"/>
  <c r="I107" i="1" s="1"/>
  <c r="AO106" i="1" a="1"/>
  <c r="AO106" i="1" s="1"/>
  <c r="H107" i="1" a="1"/>
  <c r="H107" i="1" s="1"/>
  <c r="G107" i="1" a="1"/>
  <c r="G107" i="1" s="1"/>
  <c r="D106" i="1" a="1"/>
  <c r="D106" i="1" s="1"/>
  <c r="N106" i="1" a="1"/>
  <c r="N106" i="1" s="1"/>
  <c r="K106" i="1" a="1"/>
  <c r="K106" i="1" s="1"/>
  <c r="C106" i="1" a="1"/>
  <c r="C106" i="1" s="1"/>
  <c r="H106" i="1" a="1"/>
  <c r="H106" i="1" s="1"/>
  <c r="G106" i="1" a="1"/>
  <c r="G106" i="1" s="1"/>
  <c r="AI105" i="1" a="1"/>
  <c r="AI105" i="1" s="1"/>
  <c r="AK105" i="1" a="1"/>
  <c r="AK105" i="1" s="1"/>
  <c r="AC105" i="1" a="1"/>
  <c r="AC105" i="1" s="1"/>
  <c r="AH105" i="1" a="1"/>
  <c r="AH105" i="1" s="1"/>
  <c r="L106" i="1" a="1"/>
  <c r="L106" i="1" s="1"/>
  <c r="S106" i="1" a="1"/>
  <c r="S106" i="1" s="1"/>
  <c r="O106" i="1" a="1"/>
  <c r="O106" i="1" s="1"/>
  <c r="AN105" i="1" a="1"/>
  <c r="AN105" i="1" s="1"/>
  <c r="R106" i="1" a="1"/>
  <c r="R106" i="1" s="1"/>
  <c r="Q106" i="1" a="1"/>
  <c r="Q106" i="1" s="1"/>
  <c r="AB105" i="1" a="1"/>
  <c r="AB105" i="1" s="1"/>
  <c r="AG105" i="1" a="1"/>
  <c r="AG105" i="1" s="1"/>
  <c r="K105" i="7" s="1"/>
  <c r="P106" i="1" a="1"/>
  <c r="P106" i="1" s="1"/>
  <c r="I106" i="1" a="1"/>
  <c r="I106" i="1" s="1"/>
  <c r="AL105" i="1" a="1"/>
  <c r="AL105" i="1" s="1"/>
  <c r="AF105" i="1" a="1"/>
  <c r="AF105" i="1" s="1"/>
  <c r="J105" i="7" s="1"/>
  <c r="AD105" i="1" a="1"/>
  <c r="AD105" i="1" s="1"/>
  <c r="AM105" i="1" a="1"/>
  <c r="AM105" i="1" s="1"/>
  <c r="AE105" i="1" a="1"/>
  <c r="AE105" i="1" s="1"/>
  <c r="I105" i="7" s="1"/>
  <c r="E106" i="1" a="1"/>
  <c r="E106" i="1" s="1"/>
  <c r="AO105" i="1" a="1"/>
  <c r="AO105" i="1" s="1"/>
  <c r="B106" i="1" a="1"/>
  <c r="B106" i="1" s="1"/>
  <c r="AJ105" i="1" a="1"/>
  <c r="AJ105" i="1" s="1"/>
  <c r="M106" i="1" a="1"/>
  <c r="M106" i="1" s="1"/>
  <c r="J106" i="1" a="1"/>
  <c r="J106" i="1" s="1"/>
  <c r="F106" i="1" a="1"/>
  <c r="F106" i="1" s="1"/>
  <c r="B105" i="1" a="1"/>
  <c r="B105" i="1" s="1"/>
  <c r="V105" i="1" a="1"/>
  <c r="V105" i="1" s="1"/>
  <c r="U105" i="1" a="1"/>
  <c r="U105" i="1" s="1"/>
  <c r="AL104" i="1" a="1"/>
  <c r="AL104" i="1" s="1"/>
  <c r="S105" i="1" a="1"/>
  <c r="S105" i="1" s="1"/>
  <c r="N105" i="1" a="1"/>
  <c r="N105" i="1" s="1"/>
  <c r="R105" i="1" a="1"/>
  <c r="R105" i="1" s="1"/>
  <c r="P105" i="1" a="1"/>
  <c r="P105" i="1" s="1"/>
  <c r="L105" i="1" a="1"/>
  <c r="L105" i="1" s="1"/>
  <c r="J105" i="1" a="1"/>
  <c r="J105" i="1" s="1"/>
  <c r="D105" i="1" a="1"/>
  <c r="D105" i="1" s="1"/>
  <c r="H105" i="1" a="1"/>
  <c r="H105" i="1" s="1"/>
  <c r="I105" i="1" a="1"/>
  <c r="I105" i="1" s="1"/>
  <c r="Q105" i="1" a="1"/>
  <c r="Q105" i="1" s="1"/>
  <c r="AN104" i="1" a="1"/>
  <c r="AN104" i="1" s="1"/>
  <c r="M105" i="1" a="1"/>
  <c r="M105" i="1" s="1"/>
  <c r="E105" i="1" a="1"/>
  <c r="E105" i="1" s="1"/>
  <c r="AO104" i="1" a="1"/>
  <c r="AO104" i="1" s="1"/>
  <c r="AA105" i="1" a="1"/>
  <c r="AA105" i="1" s="1"/>
  <c r="F105" i="1" a="1"/>
  <c r="F105" i="1" s="1"/>
  <c r="Z105" i="1" a="1"/>
  <c r="Z105" i="1" s="1"/>
  <c r="G105" i="1" a="1"/>
  <c r="G105" i="1" s="1"/>
  <c r="AM104" i="1" a="1"/>
  <c r="AM104" i="1" s="1"/>
  <c r="AK104" i="1" a="1"/>
  <c r="AK104" i="1" s="1"/>
  <c r="T105" i="1" a="1"/>
  <c r="T105" i="1" s="1"/>
  <c r="O105" i="1" a="1"/>
  <c r="O105" i="1" s="1"/>
  <c r="C105" i="1" a="1"/>
  <c r="C105" i="1" s="1"/>
  <c r="K105" i="1" a="1"/>
  <c r="K105" i="1" s="1"/>
  <c r="AJ104" i="1" a="1"/>
  <c r="AJ104" i="1" s="1"/>
  <c r="AE104" i="1" a="1"/>
  <c r="AE104" i="1" s="1"/>
  <c r="I104" i="7" s="1"/>
  <c r="AA104" i="1" a="1"/>
  <c r="AA104" i="1" s="1"/>
  <c r="V104" i="1" a="1"/>
  <c r="V104" i="1" s="1"/>
  <c r="S104" i="1" a="1"/>
  <c r="S104" i="1" s="1"/>
  <c r="AC104" i="1" a="1"/>
  <c r="AC104" i="1" s="1"/>
  <c r="G104" i="1" a="1"/>
  <c r="G104" i="1" s="1"/>
  <c r="H104" i="1" a="1"/>
  <c r="H104" i="1" s="1"/>
  <c r="I104" i="1" a="1"/>
  <c r="I104" i="1" s="1"/>
  <c r="U104" i="1" a="1"/>
  <c r="U104" i="1" s="1"/>
  <c r="D104" i="1" a="1"/>
  <c r="D104" i="1" s="1"/>
  <c r="N104" i="1" a="1"/>
  <c r="N104" i="1" s="1"/>
  <c r="P104" i="1" a="1"/>
  <c r="P104" i="1" s="1"/>
  <c r="J104" i="1" a="1"/>
  <c r="J104" i="1" s="1"/>
  <c r="M104" i="1" a="1"/>
  <c r="M104" i="1" s="1"/>
  <c r="F104" i="1" a="1"/>
  <c r="F104" i="1" s="1"/>
  <c r="AI104" i="1" a="1"/>
  <c r="AI104" i="1" s="1"/>
  <c r="K104" i="1" a="1"/>
  <c r="K104" i="1" s="1"/>
  <c r="AH104" i="1" a="1"/>
  <c r="AH104" i="1" s="1"/>
  <c r="AB104" i="1" a="1"/>
  <c r="AB104" i="1" s="1"/>
  <c r="AG104" i="1" a="1"/>
  <c r="AG104" i="1" s="1"/>
  <c r="K104" i="7" s="1"/>
  <c r="T104" i="1" a="1"/>
  <c r="T104" i="1" s="1"/>
  <c r="Q104" i="1" a="1"/>
  <c r="Q104" i="1" s="1"/>
  <c r="L104" i="1" a="1"/>
  <c r="L104" i="1" s="1"/>
  <c r="R104" i="1" a="1"/>
  <c r="R104" i="1" s="1"/>
  <c r="O104" i="1" a="1"/>
  <c r="O104" i="1" s="1"/>
  <c r="AF104" i="1" a="1"/>
  <c r="AF104" i="1" s="1"/>
  <c r="J104" i="7" s="1"/>
  <c r="AD104" i="1" a="1"/>
  <c r="AD104" i="1" s="1"/>
  <c r="Z104" i="1" a="1"/>
  <c r="Z104" i="1" s="1"/>
  <c r="E104" i="1" a="1"/>
  <c r="E104" i="1" s="1"/>
  <c r="AC103" i="1" a="1"/>
  <c r="AC103" i="1" s="1"/>
  <c r="AJ103" i="1" a="1"/>
  <c r="AJ103" i="1" s="1"/>
  <c r="AI103" i="1" a="1"/>
  <c r="AI103" i="1" s="1"/>
  <c r="AH103" i="1" a="1"/>
  <c r="AH103" i="1" s="1"/>
  <c r="AG103" i="1" a="1"/>
  <c r="AG103" i="1" s="1"/>
  <c r="K103" i="7" s="1"/>
  <c r="AE103" i="1" a="1"/>
  <c r="AE103" i="1" s="1"/>
  <c r="I103" i="7" s="1"/>
  <c r="Z103" i="1" a="1"/>
  <c r="Z103" i="1" s="1"/>
  <c r="AA103" i="1" a="1"/>
  <c r="AA103" i="1" s="1"/>
  <c r="AD103" i="1" a="1"/>
  <c r="AD103" i="1" s="1"/>
  <c r="V103" i="1" a="1"/>
  <c r="V103" i="1" s="1"/>
  <c r="R103" i="1" a="1"/>
  <c r="R103" i="1" s="1"/>
  <c r="M103" i="1" a="1"/>
  <c r="M103" i="1" s="1"/>
  <c r="AF103" i="1" a="1"/>
  <c r="AF103" i="1" s="1"/>
  <c r="J103" i="7" s="1"/>
  <c r="N103" i="1" a="1"/>
  <c r="N103" i="1" s="1"/>
  <c r="AB103" i="1" a="1"/>
  <c r="AB103" i="1" s="1"/>
  <c r="Q103" i="1" a="1"/>
  <c r="Q103" i="1" s="1"/>
  <c r="P103" i="1" a="1"/>
  <c r="P103" i="1" s="1"/>
  <c r="C104" i="1" a="1"/>
  <c r="C104" i="1" s="1"/>
  <c r="B104" i="1" a="1"/>
  <c r="B104" i="1" s="1"/>
  <c r="U103" i="1" a="1"/>
  <c r="U103" i="1" s="1"/>
  <c r="AO103" i="1" a="1"/>
  <c r="AO103" i="1" s="1"/>
  <c r="AN103" i="1" a="1"/>
  <c r="AN103" i="1" s="1"/>
  <c r="AL103" i="1" a="1"/>
  <c r="AL103" i="1" s="1"/>
  <c r="L103" i="1" a="1"/>
  <c r="L103" i="1" s="1"/>
  <c r="AM103" i="1" a="1"/>
  <c r="AM103" i="1" s="1"/>
  <c r="O103" i="1" a="1"/>
  <c r="O103" i="1" s="1"/>
  <c r="AK103" i="1" a="1"/>
  <c r="AK103" i="1" s="1"/>
  <c r="T103" i="1" a="1"/>
  <c r="T103" i="1" s="1"/>
  <c r="S103" i="1" a="1"/>
  <c r="S103" i="1" s="1"/>
  <c r="AJ102" i="1" a="1"/>
  <c r="AJ102" i="1" s="1"/>
  <c r="G103" i="1" a="1"/>
  <c r="G103" i="1" s="1"/>
  <c r="AL102" i="1" a="1"/>
  <c r="AL102" i="1" s="1"/>
  <c r="AD102" i="1" a="1"/>
  <c r="AD102" i="1" s="1"/>
  <c r="U102" i="1" a="1"/>
  <c r="U102" i="1" s="1"/>
  <c r="B103" i="1" a="1"/>
  <c r="B103" i="1" s="1"/>
  <c r="AO102" i="1" a="1"/>
  <c r="AO102" i="1" s="1"/>
  <c r="AI102" i="1" a="1"/>
  <c r="AI102" i="1" s="1"/>
  <c r="H103" i="1" a="1"/>
  <c r="H103" i="1" s="1"/>
  <c r="AF102" i="1" a="1"/>
  <c r="AF102" i="1" s="1"/>
  <c r="J102" i="7" s="1"/>
  <c r="V102" i="1" a="1"/>
  <c r="V102" i="1" s="1"/>
  <c r="K103" i="1" a="1"/>
  <c r="K103" i="1" s="1"/>
  <c r="F103" i="1" a="1"/>
  <c r="F103" i="1" s="1"/>
  <c r="D103" i="1" a="1"/>
  <c r="D103" i="1" s="1"/>
  <c r="AA102" i="1" a="1"/>
  <c r="AA102" i="1" s="1"/>
  <c r="AK102" i="1" a="1"/>
  <c r="AK102" i="1" s="1"/>
  <c r="AE102" i="1" a="1"/>
  <c r="AE102" i="1" s="1"/>
  <c r="I102" i="7" s="1"/>
  <c r="J103" i="1" a="1"/>
  <c r="J103" i="1" s="1"/>
  <c r="AB102" i="1" a="1"/>
  <c r="AB102" i="1" s="1"/>
  <c r="C103" i="1" a="1"/>
  <c r="C103" i="1" s="1"/>
  <c r="Z102" i="1" a="1"/>
  <c r="Z102" i="1" s="1"/>
  <c r="AM102" i="1" a="1"/>
  <c r="AM102" i="1" s="1"/>
  <c r="E103" i="1" a="1"/>
  <c r="E103" i="1" s="1"/>
  <c r="AC102" i="1" a="1"/>
  <c r="AC102" i="1" s="1"/>
  <c r="AH102" i="1" a="1"/>
  <c r="AH102" i="1" s="1"/>
  <c r="AG102" i="1" a="1"/>
  <c r="AG102" i="1" s="1"/>
  <c r="K102" i="7" s="1"/>
  <c r="AN102" i="1" a="1"/>
  <c r="AN102" i="1" s="1"/>
  <c r="T102" i="1" a="1"/>
  <c r="T102" i="1" s="1"/>
  <c r="I103" i="1" a="1"/>
  <c r="I103" i="1" s="1"/>
  <c r="G102" i="1" a="1"/>
  <c r="G102" i="1" s="1"/>
  <c r="F102" i="1" a="1"/>
  <c r="F102" i="1" s="1"/>
  <c r="E102" i="1" a="1"/>
  <c r="E102" i="1" s="1"/>
  <c r="D102" i="1" a="1"/>
  <c r="D102" i="1" s="1"/>
  <c r="B102" i="1" a="1"/>
  <c r="B102" i="1" s="1"/>
  <c r="AI101" i="1" a="1"/>
  <c r="AI101" i="1" s="1"/>
  <c r="J102" i="1" a="1"/>
  <c r="J102" i="1" s="1"/>
  <c r="AO101" i="1" a="1"/>
  <c r="AO101" i="1" s="1"/>
  <c r="AM101" i="1" a="1"/>
  <c r="AM101" i="1" s="1"/>
  <c r="AL101" i="1" a="1"/>
  <c r="AL101" i="1" s="1"/>
  <c r="AK101" i="1" a="1"/>
  <c r="AK101" i="1" s="1"/>
  <c r="AJ101" i="1" a="1"/>
  <c r="AJ101" i="1" s="1"/>
  <c r="AH101" i="1" a="1"/>
  <c r="AH101" i="1" s="1"/>
  <c r="AG101" i="1" a="1"/>
  <c r="AG101" i="1" s="1"/>
  <c r="K101" i="7" s="1"/>
  <c r="AB101" i="1" a="1"/>
  <c r="AB101" i="1" s="1"/>
  <c r="AC101" i="1" a="1"/>
  <c r="AC101" i="1" s="1"/>
  <c r="AD101" i="1" a="1"/>
  <c r="AD101" i="1" s="1"/>
  <c r="S102" i="1" a="1"/>
  <c r="S102" i="1" s="1"/>
  <c r="C102" i="1" a="1"/>
  <c r="C102" i="1" s="1"/>
  <c r="AN101" i="1" a="1"/>
  <c r="AN101" i="1" s="1"/>
  <c r="AE101" i="1" a="1"/>
  <c r="AE101" i="1" s="1"/>
  <c r="I101" i="7" s="1"/>
  <c r="R102" i="1" a="1"/>
  <c r="R102" i="1" s="1"/>
  <c r="AF101" i="1" a="1"/>
  <c r="AF101" i="1" s="1"/>
  <c r="J101" i="7" s="1"/>
  <c r="N102" i="1" a="1"/>
  <c r="N102" i="1" s="1"/>
  <c r="Q102" i="1" a="1"/>
  <c r="Q102" i="1" s="1"/>
  <c r="P102" i="1" a="1"/>
  <c r="P102" i="1" s="1"/>
  <c r="O102" i="1" a="1"/>
  <c r="O102" i="1" s="1"/>
  <c r="I102" i="1" a="1"/>
  <c r="I102" i="1" s="1"/>
  <c r="M102" i="1" a="1"/>
  <c r="M102" i="1" s="1"/>
  <c r="L102" i="1" a="1"/>
  <c r="L102" i="1" s="1"/>
  <c r="K102" i="1" a="1"/>
  <c r="K102" i="1" s="1"/>
  <c r="H102" i="1" a="1"/>
  <c r="H102" i="1" s="1"/>
  <c r="Q101" i="1" a="1"/>
  <c r="Q101" i="1" s="1"/>
  <c r="I101" i="1" a="1"/>
  <c r="I101" i="1" s="1"/>
  <c r="AJ100" i="1" a="1"/>
  <c r="AJ100" i="1" s="1"/>
  <c r="K101" i="1" a="1"/>
  <c r="K101" i="1" s="1"/>
  <c r="E101" i="1" a="1"/>
  <c r="E101" i="1" s="1"/>
  <c r="AN100" i="1" a="1"/>
  <c r="AN100" i="1" s="1"/>
  <c r="AO100" i="1" a="1"/>
  <c r="AO100" i="1" s="1"/>
  <c r="AK100" i="1" a="1"/>
  <c r="AK100" i="1" s="1"/>
  <c r="R101" i="1" a="1"/>
  <c r="R101" i="1" s="1"/>
  <c r="C101" i="1" a="1"/>
  <c r="C101" i="1" s="1"/>
  <c r="O101" i="1" a="1"/>
  <c r="O101" i="1" s="1"/>
  <c r="AA101" i="1" a="1"/>
  <c r="AA101" i="1" s="1"/>
  <c r="J101" i="1" a="1"/>
  <c r="J101" i="1" s="1"/>
  <c r="Z101" i="1" a="1"/>
  <c r="Z101" i="1" s="1"/>
  <c r="B101" i="1" a="1"/>
  <c r="B101" i="1" s="1"/>
  <c r="F101" i="1" a="1"/>
  <c r="F101" i="1" s="1"/>
  <c r="P101" i="1" a="1"/>
  <c r="P101" i="1" s="1"/>
  <c r="AM100" i="1" a="1"/>
  <c r="AM100" i="1" s="1"/>
  <c r="V101" i="1" a="1"/>
  <c r="V101" i="1" s="1"/>
  <c r="U101" i="1" a="1"/>
  <c r="U101" i="1" s="1"/>
  <c r="T101" i="1" a="1"/>
  <c r="T101" i="1" s="1"/>
  <c r="H101" i="1" a="1"/>
  <c r="H101" i="1" s="1"/>
  <c r="S101" i="1" a="1"/>
  <c r="S101" i="1" s="1"/>
  <c r="G101" i="1" a="1"/>
  <c r="G101" i="1" s="1"/>
  <c r="N101" i="1" a="1"/>
  <c r="N101" i="1" s="1"/>
  <c r="L101" i="1" a="1"/>
  <c r="L101" i="1" s="1"/>
  <c r="AL100" i="1" a="1"/>
  <c r="AL100" i="1" s="1"/>
  <c r="D101" i="1" a="1"/>
  <c r="D101" i="1" s="1"/>
  <c r="M101" i="1" a="1"/>
  <c r="M101" i="1" s="1"/>
  <c r="AF100" i="1" a="1"/>
  <c r="AF100" i="1" s="1"/>
  <c r="J100" i="7" s="1"/>
  <c r="AC100" i="1" a="1"/>
  <c r="AC100" i="1" s="1"/>
  <c r="S100" i="1" a="1"/>
  <c r="S100" i="1" s="1"/>
  <c r="U100" i="1" a="1"/>
  <c r="U100" i="1" s="1"/>
  <c r="G100" i="1" a="1"/>
  <c r="G100" i="1" s="1"/>
  <c r="N100" i="1" a="1"/>
  <c r="N100" i="1" s="1"/>
  <c r="I100" i="1" a="1"/>
  <c r="I100" i="1" s="1"/>
  <c r="P100" i="1" a="1"/>
  <c r="P100" i="1" s="1"/>
  <c r="M100" i="1" a="1"/>
  <c r="M100" i="1" s="1"/>
  <c r="J100" i="1" a="1"/>
  <c r="J100" i="1" s="1"/>
  <c r="E100" i="1" a="1"/>
  <c r="E100" i="1" s="1"/>
  <c r="AI100" i="1" a="1"/>
  <c r="AI100" i="1" s="1"/>
  <c r="Z100" i="1" a="1"/>
  <c r="Z100" i="1" s="1"/>
  <c r="R100" i="1" a="1"/>
  <c r="R100" i="1" s="1"/>
  <c r="AE100" i="1" a="1"/>
  <c r="AE100" i="1" s="1"/>
  <c r="I100" i="7" s="1"/>
  <c r="D100" i="1" a="1"/>
  <c r="D100" i="1" s="1"/>
  <c r="AA100" i="1" a="1"/>
  <c r="AA100" i="1" s="1"/>
  <c r="T100" i="1" a="1"/>
  <c r="T100" i="1" s="1"/>
  <c r="Q100" i="1" a="1"/>
  <c r="Q100" i="1" s="1"/>
  <c r="O100" i="1" a="1"/>
  <c r="O100" i="1" s="1"/>
  <c r="AD100" i="1" a="1"/>
  <c r="AD100" i="1" s="1"/>
  <c r="H100" i="1" a="1"/>
  <c r="H100" i="1" s="1"/>
  <c r="AB100" i="1" a="1"/>
  <c r="AB100" i="1" s="1"/>
  <c r="K100" i="1" a="1"/>
  <c r="K100" i="1" s="1"/>
  <c r="V100" i="1" a="1"/>
  <c r="V100" i="1" s="1"/>
  <c r="L100" i="1" a="1"/>
  <c r="L100" i="1" s="1"/>
  <c r="F100" i="1" a="1"/>
  <c r="F100" i="1" s="1"/>
  <c r="AH100" i="1" a="1"/>
  <c r="AH100" i="1" s="1"/>
  <c r="AG100" i="1" a="1"/>
  <c r="AG100" i="1" s="1"/>
  <c r="K100" i="7" s="1"/>
  <c r="C100" i="1" a="1"/>
  <c r="C100" i="1" s="1"/>
  <c r="B100" i="1" a="1"/>
  <c r="B100" i="1" s="1"/>
  <c r="AG109" i="1" a="1"/>
  <c r="AG109" i="1" s="1"/>
  <c r="K109" i="7" s="1"/>
  <c r="K109" i="1" a="1"/>
  <c r="K109" i="1" s="1"/>
  <c r="J109" i="1" a="1"/>
  <c r="J109" i="1" s="1"/>
  <c r="H109" i="1" a="1"/>
  <c r="H109" i="1" s="1"/>
  <c r="AC109" i="1" a="1"/>
  <c r="AC109" i="1" s="1"/>
  <c r="P109" i="1" a="1"/>
  <c r="P109" i="1" s="1"/>
  <c r="AB109" i="1" a="1"/>
  <c r="AB109" i="1" s="1"/>
  <c r="Q109" i="1" a="1"/>
  <c r="Q109" i="1" s="1"/>
  <c r="O109" i="1" a="1"/>
  <c r="O109" i="1" s="1"/>
  <c r="M109" i="1" a="1"/>
  <c r="M109" i="1" s="1"/>
  <c r="T109" i="1" a="1"/>
  <c r="T109" i="1" s="1"/>
  <c r="E109" i="1" a="1"/>
  <c r="E109" i="1" s="1"/>
  <c r="U109" i="1" a="1"/>
  <c r="U109" i="1" s="1"/>
  <c r="AD109" i="1" a="1"/>
  <c r="AD109" i="1" s="1"/>
  <c r="AA109" i="1" a="1"/>
  <c r="AA109" i="1" s="1"/>
  <c r="D109" i="1" a="1"/>
  <c r="D109" i="1" s="1"/>
  <c r="AF109" i="1" a="1"/>
  <c r="AF109" i="1" s="1"/>
  <c r="J109" i="7" s="1"/>
  <c r="F109" i="1" a="1"/>
  <c r="F109" i="1" s="1"/>
  <c r="Z109" i="1" a="1"/>
  <c r="Z109" i="1" s="1"/>
  <c r="I109" i="1" a="1"/>
  <c r="I109" i="1" s="1"/>
  <c r="N109" i="1" a="1"/>
  <c r="N109" i="1" s="1"/>
  <c r="S109" i="1" a="1"/>
  <c r="S109" i="1" s="1"/>
  <c r="AI109" i="1" a="1"/>
  <c r="AI109" i="1" s="1"/>
  <c r="AE109" i="1" a="1"/>
  <c r="AE109" i="1" s="1"/>
  <c r="I109" i="7" s="1"/>
  <c r="G109" i="1" a="1"/>
  <c r="G109" i="1" s="1"/>
  <c r="AH109" i="1" a="1"/>
  <c r="AH109" i="1" s="1"/>
  <c r="R109" i="1" a="1"/>
  <c r="R109" i="1" s="1"/>
  <c r="V109" i="1" a="1"/>
  <c r="V109" i="1" s="1"/>
  <c r="L109" i="1" a="1"/>
  <c r="L109" i="1" s="1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A2" i="8"/>
  <c r="A3" i="9" l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J4" i="10" l="1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3" i="10"/>
  <c r="H4" i="10" l="1"/>
  <c r="I4" i="10"/>
  <c r="H5" i="10"/>
  <c r="I5" i="10"/>
  <c r="H6" i="10"/>
  <c r="I6" i="10"/>
  <c r="H7" i="10"/>
  <c r="I7" i="10"/>
  <c r="H8" i="10"/>
  <c r="I8" i="10"/>
  <c r="H9" i="10"/>
  <c r="I9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H32" i="10"/>
  <c r="I32" i="10"/>
  <c r="H33" i="10"/>
  <c r="I33" i="10"/>
  <c r="H34" i="10"/>
  <c r="I34" i="10"/>
  <c r="H35" i="10"/>
  <c r="I35" i="10"/>
  <c r="H36" i="10"/>
  <c r="I36" i="10"/>
  <c r="H37" i="10"/>
  <c r="I37" i="10"/>
  <c r="H38" i="10"/>
  <c r="I38" i="10"/>
  <c r="H39" i="10"/>
  <c r="I39" i="10"/>
  <c r="H40" i="10"/>
  <c r="I40" i="10"/>
  <c r="H41" i="10"/>
  <c r="I41" i="10"/>
  <c r="H42" i="10"/>
  <c r="I42" i="10"/>
  <c r="H43" i="10"/>
  <c r="I43" i="10"/>
  <c r="H44" i="10"/>
  <c r="I44" i="10"/>
  <c r="H45" i="10"/>
  <c r="I45" i="10"/>
  <c r="H46" i="10"/>
  <c r="I46" i="10"/>
  <c r="H47" i="10"/>
  <c r="I47" i="10"/>
  <c r="H48" i="10"/>
  <c r="I48" i="10"/>
  <c r="H49" i="10"/>
  <c r="I49" i="10"/>
  <c r="H50" i="10"/>
  <c r="I50" i="10"/>
  <c r="H51" i="10"/>
  <c r="I51" i="10"/>
  <c r="H52" i="10"/>
  <c r="I52" i="10"/>
  <c r="H53" i="10"/>
  <c r="I53" i="10"/>
  <c r="H54" i="10"/>
  <c r="I54" i="10"/>
  <c r="H55" i="10"/>
  <c r="I55" i="10"/>
  <c r="H56" i="10"/>
  <c r="I56" i="10"/>
  <c r="H57" i="10"/>
  <c r="I57" i="10"/>
  <c r="H58" i="10"/>
  <c r="I58" i="10"/>
  <c r="H59" i="10"/>
  <c r="I59" i="10"/>
  <c r="H60" i="10"/>
  <c r="I60" i="10"/>
  <c r="H61" i="10"/>
  <c r="I61" i="10"/>
  <c r="H62" i="10"/>
  <c r="I62" i="10"/>
  <c r="H63" i="10"/>
  <c r="I63" i="10"/>
  <c r="H64" i="10"/>
  <c r="I64" i="10"/>
  <c r="H65" i="10"/>
  <c r="I65" i="10"/>
  <c r="H66" i="10"/>
  <c r="I66" i="10"/>
  <c r="H67" i="10"/>
  <c r="I67" i="10"/>
  <c r="H68" i="10"/>
  <c r="I68" i="10"/>
  <c r="H69" i="10"/>
  <c r="I69" i="10"/>
  <c r="H70" i="10"/>
  <c r="I70" i="10"/>
  <c r="H71" i="10"/>
  <c r="I71" i="10"/>
  <c r="H72" i="10"/>
  <c r="I72" i="10"/>
  <c r="H73" i="10"/>
  <c r="I73" i="10"/>
  <c r="H74" i="10"/>
  <c r="I74" i="10"/>
  <c r="H75" i="10"/>
  <c r="I75" i="10"/>
  <c r="H76" i="10"/>
  <c r="I76" i="10"/>
  <c r="H77" i="10"/>
  <c r="I77" i="10"/>
  <c r="H78" i="10"/>
  <c r="I78" i="10"/>
  <c r="H79" i="10"/>
  <c r="I79" i="10"/>
  <c r="H80" i="10"/>
  <c r="I80" i="10"/>
  <c r="H81" i="10"/>
  <c r="I81" i="10"/>
  <c r="H82" i="10"/>
  <c r="I82" i="10"/>
  <c r="H83" i="10"/>
  <c r="I83" i="10"/>
  <c r="H84" i="10"/>
  <c r="I84" i="10"/>
  <c r="H85" i="10"/>
  <c r="I85" i="10"/>
  <c r="H86" i="10"/>
  <c r="I86" i="10"/>
  <c r="H87" i="10"/>
  <c r="I87" i="10"/>
  <c r="H88" i="10"/>
  <c r="I88" i="10"/>
  <c r="H89" i="10"/>
  <c r="I89" i="10"/>
  <c r="H90" i="10"/>
  <c r="I90" i="10"/>
  <c r="H91" i="10"/>
  <c r="I91" i="10"/>
  <c r="H92" i="10"/>
  <c r="I92" i="10"/>
  <c r="H93" i="10"/>
  <c r="I93" i="10"/>
  <c r="H94" i="10"/>
  <c r="I94" i="10"/>
  <c r="H95" i="10"/>
  <c r="I95" i="10"/>
  <c r="I3" i="10"/>
  <c r="H3" i="10"/>
  <c r="G3" i="10"/>
  <c r="F3" i="10"/>
  <c r="D123" i="7"/>
  <c r="M123" i="7" s="1"/>
  <c r="D119" i="7"/>
  <c r="M119" i="7" s="1"/>
  <c r="D114" i="7"/>
  <c r="M114" i="7" s="1"/>
  <c r="F109" i="7"/>
  <c r="E113" i="7" l="1"/>
  <c r="F122" i="7"/>
  <c r="G111" i="7"/>
  <c r="G100" i="7"/>
  <c r="G103" i="7"/>
  <c r="F105" i="7"/>
  <c r="G108" i="7"/>
  <c r="G113" i="7"/>
  <c r="G117" i="7"/>
  <c r="C128" i="7"/>
  <c r="L128" i="7" s="1"/>
  <c r="C104" i="7"/>
  <c r="L104" i="7" s="1"/>
  <c r="G112" i="7"/>
  <c r="D118" i="7"/>
  <c r="M118" i="7" s="1"/>
  <c r="D127" i="7"/>
  <c r="M127" i="7" s="1"/>
  <c r="G124" i="7"/>
  <c r="G110" i="7"/>
  <c r="C122" i="7"/>
  <c r="L122" i="7" s="1"/>
  <c r="F127" i="7"/>
  <c r="C110" i="7"/>
  <c r="L110" i="7" s="1"/>
  <c r="C114" i="7"/>
  <c r="L114" i="7" s="1"/>
  <c r="C116" i="7"/>
  <c r="L116" i="7" s="1"/>
  <c r="C119" i="7"/>
  <c r="L119" i="7" s="1"/>
  <c r="D101" i="7"/>
  <c r="M101" i="7" s="1"/>
  <c r="F114" i="7"/>
  <c r="E110" i="7"/>
  <c r="F124" i="7"/>
  <c r="E126" i="7"/>
  <c r="F126" i="7"/>
  <c r="C118" i="7"/>
  <c r="L118" i="7" s="1"/>
  <c r="G118" i="7"/>
  <c r="F116" i="7"/>
  <c r="C117" i="7"/>
  <c r="L117" i="7" s="1"/>
  <c r="F117" i="7"/>
  <c r="C125" i="7"/>
  <c r="L125" i="7" s="1"/>
  <c r="E125" i="7"/>
  <c r="C126" i="7"/>
  <c r="L126" i="7" s="1"/>
  <c r="D128" i="7"/>
  <c r="M128" i="7" s="1"/>
  <c r="E105" i="7"/>
  <c r="F121" i="7"/>
  <c r="F118" i="7"/>
  <c r="D107" i="7"/>
  <c r="M107" i="7" s="1"/>
  <c r="E102" i="7"/>
  <c r="F104" i="7"/>
  <c r="G104" i="7"/>
  <c r="C113" i="7"/>
  <c r="L113" i="7" s="1"/>
  <c r="E120" i="7"/>
  <c r="E116" i="7"/>
  <c r="E119" i="7"/>
  <c r="D111" i="7"/>
  <c r="M111" i="7" s="1"/>
  <c r="F119" i="7"/>
  <c r="F100" i="7"/>
  <c r="E103" i="7"/>
  <c r="F111" i="7"/>
  <c r="E114" i="7"/>
  <c r="D121" i="7"/>
  <c r="M121" i="7" s="1"/>
  <c r="E127" i="7"/>
  <c r="F128" i="7"/>
  <c r="F115" i="7"/>
  <c r="E101" i="7"/>
  <c r="G107" i="7"/>
  <c r="C112" i="7"/>
  <c r="L112" i="7" s="1"/>
  <c r="C120" i="7"/>
  <c r="L120" i="7" s="1"/>
  <c r="C121" i="7"/>
  <c r="L121" i="7" s="1"/>
  <c r="G123" i="7"/>
  <c r="E115" i="7"/>
  <c r="G115" i="7"/>
  <c r="F102" i="7"/>
  <c r="D104" i="7"/>
  <c r="M104" i="7" s="1"/>
  <c r="G105" i="7"/>
  <c r="C107" i="7"/>
  <c r="L107" i="7" s="1"/>
  <c r="D108" i="7"/>
  <c r="M108" i="7" s="1"/>
  <c r="F108" i="7"/>
  <c r="D112" i="7"/>
  <c r="M112" i="7" s="1"/>
  <c r="F123" i="7"/>
  <c r="D124" i="7"/>
  <c r="M124" i="7" s="1"/>
  <c r="G125" i="7"/>
  <c r="F125" i="7"/>
  <c r="E100" i="7"/>
  <c r="C102" i="7"/>
  <c r="L102" i="7" s="1"/>
  <c r="F107" i="7"/>
  <c r="D110" i="7"/>
  <c r="M110" i="7" s="1"/>
  <c r="D116" i="7"/>
  <c r="M116" i="7" s="1"/>
  <c r="E117" i="7"/>
  <c r="C101" i="7"/>
  <c r="L101" i="7" s="1"/>
  <c r="D102" i="7"/>
  <c r="M102" i="7" s="1"/>
  <c r="D103" i="7"/>
  <c r="M103" i="7" s="1"/>
  <c r="E104" i="7"/>
  <c r="G106" i="7"/>
  <c r="C109" i="7"/>
  <c r="L109" i="7" s="1"/>
  <c r="F110" i="7"/>
  <c r="E118" i="7"/>
  <c r="G120" i="7"/>
  <c r="E121" i="7"/>
  <c r="E122" i="7"/>
  <c r="G128" i="7"/>
  <c r="E128" i="7"/>
  <c r="C103" i="7"/>
  <c r="L103" i="7" s="1"/>
  <c r="C105" i="7"/>
  <c r="L105" i="7" s="1"/>
  <c r="E108" i="7"/>
  <c r="G109" i="7"/>
  <c r="D113" i="7"/>
  <c r="M113" i="7" s="1"/>
  <c r="D126" i="7"/>
  <c r="M126" i="7" s="1"/>
  <c r="G101" i="7"/>
  <c r="F103" i="7"/>
  <c r="C106" i="7"/>
  <c r="L106" i="7" s="1"/>
  <c r="E107" i="7"/>
  <c r="E111" i="7"/>
  <c r="G114" i="7"/>
  <c r="D115" i="7"/>
  <c r="M115" i="7" s="1"/>
  <c r="G119" i="7"/>
  <c r="F120" i="7"/>
  <c r="D122" i="7"/>
  <c r="M122" i="7" s="1"/>
  <c r="G122" i="7"/>
  <c r="G126" i="7"/>
  <c r="C100" i="7"/>
  <c r="L100" i="7" s="1"/>
  <c r="F101" i="7"/>
  <c r="G102" i="7"/>
  <c r="D106" i="7"/>
  <c r="M106" i="7" s="1"/>
  <c r="F106" i="7"/>
  <c r="C111" i="7"/>
  <c r="L111" i="7" s="1"/>
  <c r="E112" i="7"/>
  <c r="F112" i="7"/>
  <c r="D120" i="7"/>
  <c r="M120" i="7" s="1"/>
  <c r="C124" i="7"/>
  <c r="L124" i="7" s="1"/>
  <c r="C127" i="7"/>
  <c r="L127" i="7" s="1"/>
  <c r="D100" i="7"/>
  <c r="M100" i="7" s="1"/>
  <c r="D105" i="7"/>
  <c r="M105" i="7" s="1"/>
  <c r="E109" i="7"/>
  <c r="D109" i="7"/>
  <c r="M109" i="7" s="1"/>
  <c r="D117" i="7"/>
  <c r="M117" i="7" s="1"/>
  <c r="G121" i="7"/>
  <c r="C123" i="7"/>
  <c r="L123" i="7" s="1"/>
  <c r="E124" i="7"/>
  <c r="D125" i="7"/>
  <c r="M125" i="7" s="1"/>
  <c r="G127" i="7"/>
  <c r="E106" i="7"/>
  <c r="C108" i="7"/>
  <c r="L108" i="7" s="1"/>
  <c r="F113" i="7"/>
  <c r="C115" i="7"/>
  <c r="L115" i="7" s="1"/>
  <c r="G116" i="7"/>
  <c r="E123" i="7"/>
  <c r="AR20" i="1" l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6" i="1"/>
  <c r="G4" i="10" l="1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M22" i="9" s="1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A4" i="9" l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F4" i="10"/>
  <c r="F5" i="10"/>
  <c r="F6" i="10"/>
  <c r="F7" i="10"/>
  <c r="F8" i="10"/>
  <c r="F9" i="10"/>
  <c r="F10" i="10"/>
  <c r="F11" i="10"/>
  <c r="F12" i="10"/>
  <c r="F13" i="10"/>
  <c r="F14" i="10"/>
  <c r="F9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15" i="10"/>
  <c r="A50" i="10" l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R3" i="9"/>
  <c r="W3" i="9"/>
  <c r="W4" i="9"/>
  <c r="R4" i="9"/>
  <c r="H3" i="9"/>
  <c r="M3" i="9"/>
  <c r="A5" i="9"/>
  <c r="M4" i="9"/>
  <c r="H4" i="9"/>
  <c r="W5" i="9" l="1"/>
  <c r="R5" i="9"/>
  <c r="H5" i="9"/>
  <c r="A6" i="9"/>
  <c r="M5" i="9"/>
  <c r="E100" i="6"/>
  <c r="E101" i="6"/>
  <c r="I101" i="4" s="1"/>
  <c r="E102" i="6"/>
  <c r="I102" i="4" s="1"/>
  <c r="E103" i="6"/>
  <c r="I103" i="4" s="1"/>
  <c r="E104" i="6"/>
  <c r="I104" i="4" s="1"/>
  <c r="E105" i="6"/>
  <c r="I105" i="4" s="1"/>
  <c r="E106" i="6"/>
  <c r="I106" i="4" s="1"/>
  <c r="E107" i="6"/>
  <c r="I107" i="4" s="1"/>
  <c r="E108" i="6"/>
  <c r="I108" i="4" s="1"/>
  <c r="E109" i="6"/>
  <c r="I109" i="4" s="1"/>
  <c r="E110" i="6"/>
  <c r="I110" i="4" s="1"/>
  <c r="E111" i="6"/>
  <c r="I111" i="4" s="1"/>
  <c r="E112" i="6"/>
  <c r="I112" i="4" s="1"/>
  <c r="E113" i="6"/>
  <c r="I113" i="4" s="1"/>
  <c r="E114" i="6"/>
  <c r="I114" i="4" s="1"/>
  <c r="E115" i="6"/>
  <c r="I115" i="4" s="1"/>
  <c r="E116" i="6"/>
  <c r="I116" i="4" s="1"/>
  <c r="E117" i="6"/>
  <c r="I117" i="4" s="1"/>
  <c r="E118" i="6"/>
  <c r="I118" i="4" s="1"/>
  <c r="E119" i="6"/>
  <c r="I119" i="4" s="1"/>
  <c r="E120" i="6"/>
  <c r="I120" i="4" s="1"/>
  <c r="E121" i="6"/>
  <c r="I121" i="4" s="1"/>
  <c r="E122" i="6"/>
  <c r="I122" i="4" s="1"/>
  <c r="E123" i="6"/>
  <c r="I123" i="4" s="1"/>
  <c r="E124" i="6"/>
  <c r="I124" i="4" s="1"/>
  <c r="E125" i="6"/>
  <c r="I125" i="4" s="1"/>
  <c r="E126" i="6"/>
  <c r="I126" i="4" s="1"/>
  <c r="E127" i="6"/>
  <c r="I127" i="4" s="1"/>
  <c r="E128" i="6"/>
  <c r="I128" i="4" s="1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R6" i="9" l="1"/>
  <c r="W6" i="9"/>
  <c r="I100" i="4"/>
  <c r="A7" i="9"/>
  <c r="M6" i="9"/>
  <c r="H6" i="9"/>
  <c r="R7" i="9" l="1"/>
  <c r="W7" i="9"/>
  <c r="A8" i="9"/>
  <c r="M7" i="9"/>
  <c r="H7" i="9"/>
  <c r="R8" i="9" l="1"/>
  <c r="W8" i="9"/>
  <c r="A9" i="9"/>
  <c r="M8" i="9"/>
  <c r="H8" i="9"/>
  <c r="R9" i="9" l="1"/>
  <c r="W9" i="9"/>
  <c r="A10" i="9"/>
  <c r="M9" i="9"/>
  <c r="H9" i="9"/>
  <c r="R10" i="9" l="1"/>
  <c r="W10" i="9"/>
  <c r="A11" i="9"/>
  <c r="M10" i="9"/>
  <c r="H10" i="9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W11" i="9" l="1"/>
  <c r="R11" i="9"/>
  <c r="A12" i="9"/>
  <c r="M11" i="9"/>
  <c r="H11" i="9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W12" i="9" l="1"/>
  <c r="R12" i="9"/>
  <c r="A13" i="9"/>
  <c r="M12" i="9"/>
  <c r="H12" i="9"/>
  <c r="H118" i="5"/>
  <c r="H119" i="5"/>
  <c r="H120" i="5"/>
  <c r="H121" i="5"/>
  <c r="H122" i="5"/>
  <c r="H123" i="5"/>
  <c r="H124" i="5"/>
  <c r="H125" i="5"/>
  <c r="H126" i="5"/>
  <c r="H127" i="5"/>
  <c r="H128" i="5"/>
  <c r="H118" i="2"/>
  <c r="H119" i="2"/>
  <c r="H120" i="2"/>
  <c r="H121" i="2"/>
  <c r="H122" i="2"/>
  <c r="H123" i="2"/>
  <c r="H124" i="2"/>
  <c r="H125" i="2"/>
  <c r="H126" i="2"/>
  <c r="H127" i="2"/>
  <c r="H128" i="2"/>
  <c r="H118" i="6"/>
  <c r="H119" i="6"/>
  <c r="H120" i="6"/>
  <c r="H121" i="6"/>
  <c r="H122" i="6"/>
  <c r="H123" i="6"/>
  <c r="H124" i="6"/>
  <c r="H125" i="6"/>
  <c r="H126" i="6"/>
  <c r="H127" i="6"/>
  <c r="H128" i="6"/>
  <c r="H118" i="7"/>
  <c r="H119" i="7"/>
  <c r="H120" i="7"/>
  <c r="H121" i="7"/>
  <c r="H122" i="7"/>
  <c r="H123" i="7"/>
  <c r="H124" i="7"/>
  <c r="H125" i="7"/>
  <c r="H126" i="7"/>
  <c r="H127" i="7"/>
  <c r="H128" i="7"/>
  <c r="W13" i="9" l="1"/>
  <c r="R13" i="9"/>
  <c r="A14" i="9"/>
  <c r="M13" i="9"/>
  <c r="H13" i="9"/>
  <c r="Q15" i="8"/>
  <c r="I15" i="8"/>
  <c r="M15" i="8"/>
  <c r="E15" i="8"/>
  <c r="J15" i="8"/>
  <c r="H15" i="8"/>
  <c r="G15" i="8"/>
  <c r="P15" i="8"/>
  <c r="F15" i="8"/>
  <c r="O15" i="8"/>
  <c r="D15" i="8"/>
  <c r="N15" i="8"/>
  <c r="L15" i="8"/>
  <c r="K15" i="8"/>
  <c r="Q31" i="8"/>
  <c r="I31" i="8"/>
  <c r="N31" i="8"/>
  <c r="F31" i="8"/>
  <c r="M31" i="8"/>
  <c r="E31" i="8"/>
  <c r="D31" i="8"/>
  <c r="P31" i="8"/>
  <c r="O31" i="8"/>
  <c r="L31" i="8"/>
  <c r="K31" i="8"/>
  <c r="J31" i="8"/>
  <c r="H31" i="8"/>
  <c r="G31" i="8"/>
  <c r="O47" i="8"/>
  <c r="G47" i="8"/>
  <c r="N47" i="8"/>
  <c r="F47" i="8"/>
  <c r="Q47" i="8"/>
  <c r="E47" i="8"/>
  <c r="L47" i="8"/>
  <c r="K47" i="8"/>
  <c r="H47" i="8"/>
  <c r="D47" i="8"/>
  <c r="P47" i="8"/>
  <c r="M47" i="8"/>
  <c r="J47" i="8"/>
  <c r="I47" i="8"/>
  <c r="M67" i="8"/>
  <c r="E67" i="8"/>
  <c r="Q67" i="8"/>
  <c r="I67" i="8"/>
  <c r="H67" i="8"/>
  <c r="G67" i="8"/>
  <c r="P67" i="8"/>
  <c r="F67" i="8"/>
  <c r="N67" i="8"/>
  <c r="L67" i="8"/>
  <c r="K67" i="8"/>
  <c r="J67" i="8"/>
  <c r="D67" i="8"/>
  <c r="O67" i="8"/>
  <c r="P83" i="8"/>
  <c r="H83" i="8"/>
  <c r="L83" i="8"/>
  <c r="D83" i="8"/>
  <c r="I83" i="8"/>
  <c r="N83" i="8"/>
  <c r="F83" i="8"/>
  <c r="E83" i="8"/>
  <c r="Q83" i="8"/>
  <c r="M83" i="8"/>
  <c r="K83" i="8"/>
  <c r="J83" i="8"/>
  <c r="G83" i="8"/>
  <c r="O83" i="8"/>
  <c r="Q99" i="8"/>
  <c r="I99" i="8"/>
  <c r="K99" i="8"/>
  <c r="O99" i="8"/>
  <c r="F99" i="8"/>
  <c r="N99" i="8"/>
  <c r="H99" i="8"/>
  <c r="G99" i="8"/>
  <c r="E99" i="8"/>
  <c r="D99" i="8"/>
  <c r="P99" i="8"/>
  <c r="M99" i="8"/>
  <c r="L99" i="8"/>
  <c r="J99" i="8"/>
  <c r="Q111" i="8"/>
  <c r="I111" i="8"/>
  <c r="P111" i="8"/>
  <c r="G111" i="8"/>
  <c r="L111" i="8"/>
  <c r="E111" i="8"/>
  <c r="K111" i="8"/>
  <c r="O111" i="8"/>
  <c r="N111" i="8"/>
  <c r="J111" i="8"/>
  <c r="H111" i="8"/>
  <c r="F111" i="8"/>
  <c r="D111" i="8"/>
  <c r="M111" i="8"/>
  <c r="Q127" i="8"/>
  <c r="AK127" i="8" s="1"/>
  <c r="I127" i="8"/>
  <c r="Y127" i="8" s="1"/>
  <c r="O127" i="8"/>
  <c r="AH127" i="8" s="1"/>
  <c r="F127" i="8"/>
  <c r="L127" i="8"/>
  <c r="K127" i="8"/>
  <c r="AB127" i="8" s="1"/>
  <c r="P127" i="8"/>
  <c r="G127" i="8"/>
  <c r="V127" i="8" s="1"/>
  <c r="H127" i="8"/>
  <c r="E127" i="8"/>
  <c r="S127" i="8" s="1"/>
  <c r="D127" i="8"/>
  <c r="N127" i="8"/>
  <c r="M127" i="8"/>
  <c r="AE127" i="8" s="1"/>
  <c r="J127" i="8"/>
  <c r="AA127" i="8" s="1"/>
  <c r="Q7" i="8"/>
  <c r="AK7" i="8" s="1"/>
  <c r="I7" i="8"/>
  <c r="Y7" i="8" s="1"/>
  <c r="P7" i="8"/>
  <c r="H7" i="8"/>
  <c r="O7" i="8"/>
  <c r="AH7" i="8" s="1"/>
  <c r="G7" i="8"/>
  <c r="V7" i="8" s="1"/>
  <c r="N7" i="8"/>
  <c r="F7" i="8"/>
  <c r="E7" i="8"/>
  <c r="S7" i="8" s="1"/>
  <c r="M7" i="8"/>
  <c r="AE7" i="8" s="1"/>
  <c r="L7" i="8"/>
  <c r="AD7" i="8" s="1"/>
  <c r="D7" i="8"/>
  <c r="K7" i="8"/>
  <c r="AB7" i="8" s="1"/>
  <c r="J7" i="8"/>
  <c r="Q27" i="8"/>
  <c r="I27" i="8"/>
  <c r="N27" i="8"/>
  <c r="F27" i="8"/>
  <c r="M27" i="8"/>
  <c r="E27" i="8"/>
  <c r="K27" i="8"/>
  <c r="J27" i="8"/>
  <c r="H27" i="8"/>
  <c r="G27" i="8"/>
  <c r="D27" i="8"/>
  <c r="P27" i="8"/>
  <c r="O27" i="8"/>
  <c r="L27" i="8"/>
  <c r="Q39" i="8"/>
  <c r="I39" i="8"/>
  <c r="N39" i="8"/>
  <c r="F39" i="8"/>
  <c r="M39" i="8"/>
  <c r="E39" i="8"/>
  <c r="J39" i="8"/>
  <c r="H39" i="8"/>
  <c r="G39" i="8"/>
  <c r="D39" i="8"/>
  <c r="P39" i="8"/>
  <c r="O39" i="8"/>
  <c r="L39" i="8"/>
  <c r="K39" i="8"/>
  <c r="L55" i="8"/>
  <c r="D55" i="8"/>
  <c r="K55" i="8"/>
  <c r="Q55" i="8"/>
  <c r="I55" i="8"/>
  <c r="P55" i="8"/>
  <c r="H55" i="8"/>
  <c r="O55" i="8"/>
  <c r="G55" i="8"/>
  <c r="N55" i="8"/>
  <c r="F55" i="8"/>
  <c r="M55" i="8"/>
  <c r="J55" i="8"/>
  <c r="E55" i="8"/>
  <c r="M71" i="8"/>
  <c r="E71" i="8"/>
  <c r="Q71" i="8"/>
  <c r="I71" i="8"/>
  <c r="P71" i="8"/>
  <c r="F71" i="8"/>
  <c r="O71" i="8"/>
  <c r="D71" i="8"/>
  <c r="N71" i="8"/>
  <c r="K71" i="8"/>
  <c r="J71" i="8"/>
  <c r="H71" i="8"/>
  <c r="G71" i="8"/>
  <c r="L71" i="8"/>
  <c r="P79" i="8"/>
  <c r="H79" i="8"/>
  <c r="L79" i="8"/>
  <c r="D79" i="8"/>
  <c r="K79" i="8"/>
  <c r="Q79" i="8"/>
  <c r="F79" i="8"/>
  <c r="E79" i="8"/>
  <c r="O79" i="8"/>
  <c r="M79" i="8"/>
  <c r="J79" i="8"/>
  <c r="I79" i="8"/>
  <c r="G79" i="8"/>
  <c r="N79" i="8"/>
  <c r="Q91" i="8"/>
  <c r="I91" i="8"/>
  <c r="M91" i="8"/>
  <c r="D91" i="8"/>
  <c r="H91" i="8"/>
  <c r="P91" i="8"/>
  <c r="E91" i="8"/>
  <c r="K91" i="8"/>
  <c r="F91" i="8"/>
  <c r="N91" i="8"/>
  <c r="L91" i="8"/>
  <c r="J91" i="8"/>
  <c r="G91" i="8"/>
  <c r="O91" i="8"/>
  <c r="Q103" i="8"/>
  <c r="I103" i="8"/>
  <c r="J103" i="8"/>
  <c r="N103" i="8"/>
  <c r="E103" i="8"/>
  <c r="G103" i="8"/>
  <c r="M103" i="8"/>
  <c r="P103" i="8"/>
  <c r="O103" i="8"/>
  <c r="L103" i="8"/>
  <c r="H103" i="8"/>
  <c r="F103" i="8"/>
  <c r="D103" i="8"/>
  <c r="K103" i="8"/>
  <c r="Q115" i="8"/>
  <c r="I115" i="8"/>
  <c r="O115" i="8"/>
  <c r="F115" i="8"/>
  <c r="K115" i="8"/>
  <c r="J115" i="8"/>
  <c r="P115" i="8"/>
  <c r="D115" i="8"/>
  <c r="L115" i="8"/>
  <c r="H115" i="8"/>
  <c r="G115" i="8"/>
  <c r="N115" i="8"/>
  <c r="M115" i="8"/>
  <c r="E115" i="8"/>
  <c r="Q119" i="8"/>
  <c r="I119" i="8"/>
  <c r="N119" i="8"/>
  <c r="E119" i="8"/>
  <c r="J119" i="8"/>
  <c r="O119" i="8"/>
  <c r="H119" i="8"/>
  <c r="D119" i="8"/>
  <c r="P119" i="8"/>
  <c r="L119" i="8"/>
  <c r="K119" i="8"/>
  <c r="G119" i="8"/>
  <c r="F119" i="8"/>
  <c r="M119" i="8"/>
  <c r="Q131" i="8"/>
  <c r="AK131" i="8" s="1"/>
  <c r="I131" i="8"/>
  <c r="Y131" i="8" s="1"/>
  <c r="N131" i="8"/>
  <c r="E131" i="8"/>
  <c r="S131" i="8" s="1"/>
  <c r="K131" i="8"/>
  <c r="AB131" i="8" s="1"/>
  <c r="J131" i="8"/>
  <c r="O131" i="8"/>
  <c r="AH131" i="8" s="1"/>
  <c r="F131" i="8"/>
  <c r="P131" i="8"/>
  <c r="G131" i="8"/>
  <c r="V131" i="8" s="1"/>
  <c r="L131" i="8"/>
  <c r="H131" i="8"/>
  <c r="D131" i="8"/>
  <c r="M131" i="8"/>
  <c r="AE131" i="8" s="1"/>
  <c r="K12" i="8"/>
  <c r="O12" i="8"/>
  <c r="G12" i="8"/>
  <c r="I12" i="8"/>
  <c r="H12" i="8"/>
  <c r="Q12" i="8"/>
  <c r="F12" i="8"/>
  <c r="P12" i="8"/>
  <c r="E12" i="8"/>
  <c r="N12" i="8"/>
  <c r="D12" i="8"/>
  <c r="M12" i="8"/>
  <c r="L12" i="8"/>
  <c r="J12" i="8"/>
  <c r="K20" i="8"/>
  <c r="P20" i="8"/>
  <c r="H20" i="8"/>
  <c r="O20" i="8"/>
  <c r="G20" i="8"/>
  <c r="E20" i="8"/>
  <c r="Q20" i="8"/>
  <c r="D20" i="8"/>
  <c r="N20" i="8"/>
  <c r="L20" i="8"/>
  <c r="M20" i="8"/>
  <c r="J20" i="8"/>
  <c r="I20" i="8"/>
  <c r="F20" i="8"/>
  <c r="K28" i="8"/>
  <c r="P28" i="8"/>
  <c r="H28" i="8"/>
  <c r="O28" i="8"/>
  <c r="G28" i="8"/>
  <c r="I28" i="8"/>
  <c r="F28" i="8"/>
  <c r="E28" i="8"/>
  <c r="Q28" i="8"/>
  <c r="D28" i="8"/>
  <c r="N28" i="8"/>
  <c r="M28" i="8"/>
  <c r="L28" i="8"/>
  <c r="J28" i="8"/>
  <c r="K32" i="8"/>
  <c r="P32" i="8"/>
  <c r="H32" i="8"/>
  <c r="O32" i="8"/>
  <c r="G32" i="8"/>
  <c r="E32" i="8"/>
  <c r="Q32" i="8"/>
  <c r="D32" i="8"/>
  <c r="N32" i="8"/>
  <c r="M32" i="8"/>
  <c r="L32" i="8"/>
  <c r="J32" i="8"/>
  <c r="I32" i="8"/>
  <c r="F32" i="8"/>
  <c r="K36" i="8"/>
  <c r="P36" i="8"/>
  <c r="H36" i="8"/>
  <c r="O36" i="8"/>
  <c r="G36" i="8"/>
  <c r="M36" i="8"/>
  <c r="L36" i="8"/>
  <c r="J36" i="8"/>
  <c r="E36" i="8"/>
  <c r="I36" i="8"/>
  <c r="F36" i="8"/>
  <c r="Q36" i="8"/>
  <c r="D36" i="8"/>
  <c r="N36" i="8"/>
  <c r="K40" i="8"/>
  <c r="P40" i="8"/>
  <c r="H40" i="8"/>
  <c r="O40" i="8"/>
  <c r="G40" i="8"/>
  <c r="F40" i="8"/>
  <c r="E40" i="8"/>
  <c r="Q40" i="8"/>
  <c r="D40" i="8"/>
  <c r="N40" i="8"/>
  <c r="M40" i="8"/>
  <c r="L40" i="8"/>
  <c r="J40" i="8"/>
  <c r="I40" i="8"/>
  <c r="Q44" i="8"/>
  <c r="I44" i="8"/>
  <c r="P44" i="8"/>
  <c r="H44" i="8"/>
  <c r="O44" i="8"/>
  <c r="E44" i="8"/>
  <c r="L44" i="8"/>
  <c r="K44" i="8"/>
  <c r="N44" i="8"/>
  <c r="M44" i="8"/>
  <c r="J44" i="8"/>
  <c r="G44" i="8"/>
  <c r="F44" i="8"/>
  <c r="D44" i="8"/>
  <c r="Q48" i="8"/>
  <c r="I48" i="8"/>
  <c r="P48" i="8"/>
  <c r="H48" i="8"/>
  <c r="M48" i="8"/>
  <c r="J48" i="8"/>
  <c r="G48" i="8"/>
  <c r="L48" i="8"/>
  <c r="K48" i="8"/>
  <c r="F48" i="8"/>
  <c r="E48" i="8"/>
  <c r="D48" i="8"/>
  <c r="O48" i="8"/>
  <c r="N48" i="8"/>
  <c r="M52" i="8"/>
  <c r="J52" i="8"/>
  <c r="Q52" i="8"/>
  <c r="I52" i="8"/>
  <c r="P52" i="8"/>
  <c r="H52" i="8"/>
  <c r="L52" i="8"/>
  <c r="F52" i="8"/>
  <c r="E52" i="8"/>
  <c r="D52" i="8"/>
  <c r="O52" i="8"/>
  <c r="N52" i="8"/>
  <c r="K52" i="8"/>
  <c r="G52" i="8"/>
  <c r="N56" i="8"/>
  <c r="F56" i="8"/>
  <c r="M56" i="8"/>
  <c r="E56" i="8"/>
  <c r="K56" i="8"/>
  <c r="J56" i="8"/>
  <c r="Q56" i="8"/>
  <c r="I56" i="8"/>
  <c r="P56" i="8"/>
  <c r="H56" i="8"/>
  <c r="O56" i="8"/>
  <c r="D56" i="8"/>
  <c r="L56" i="8"/>
  <c r="G56" i="8"/>
  <c r="N60" i="8"/>
  <c r="F60" i="8"/>
  <c r="M60" i="8"/>
  <c r="E60" i="8"/>
  <c r="K60" i="8"/>
  <c r="J60" i="8"/>
  <c r="Q60" i="8"/>
  <c r="I60" i="8"/>
  <c r="P60" i="8"/>
  <c r="H60" i="8"/>
  <c r="L60" i="8"/>
  <c r="G60" i="8"/>
  <c r="O60" i="8"/>
  <c r="D60" i="8"/>
  <c r="O64" i="8"/>
  <c r="G64" i="8"/>
  <c r="K64" i="8"/>
  <c r="H64" i="8"/>
  <c r="Q64" i="8"/>
  <c r="F64" i="8"/>
  <c r="P64" i="8"/>
  <c r="E64" i="8"/>
  <c r="M64" i="8"/>
  <c r="L64" i="8"/>
  <c r="J64" i="8"/>
  <c r="I64" i="8"/>
  <c r="N64" i="8"/>
  <c r="D64" i="8"/>
  <c r="O68" i="8"/>
  <c r="G68" i="8"/>
  <c r="K68" i="8"/>
  <c r="P68" i="8"/>
  <c r="E68" i="8"/>
  <c r="N68" i="8"/>
  <c r="D68" i="8"/>
  <c r="M68" i="8"/>
  <c r="J68" i="8"/>
  <c r="I68" i="8"/>
  <c r="H68" i="8"/>
  <c r="Q68" i="8"/>
  <c r="F68" i="8"/>
  <c r="L68" i="8"/>
  <c r="O72" i="8"/>
  <c r="G72" i="8"/>
  <c r="K72" i="8"/>
  <c r="M72" i="8"/>
  <c r="L72" i="8"/>
  <c r="J72" i="8"/>
  <c r="H72" i="8"/>
  <c r="Q72" i="8"/>
  <c r="F72" i="8"/>
  <c r="P72" i="8"/>
  <c r="E72" i="8"/>
  <c r="N72" i="8"/>
  <c r="D72" i="8"/>
  <c r="I72" i="8"/>
  <c r="O76" i="8"/>
  <c r="G76" i="8"/>
  <c r="K76" i="8"/>
  <c r="J76" i="8"/>
  <c r="I76" i="8"/>
  <c r="H76" i="8"/>
  <c r="P76" i="8"/>
  <c r="E76" i="8"/>
  <c r="N76" i="8"/>
  <c r="D76" i="8"/>
  <c r="M76" i="8"/>
  <c r="L76" i="8"/>
  <c r="Q76" i="8"/>
  <c r="F76" i="8"/>
  <c r="J80" i="8"/>
  <c r="N80" i="8"/>
  <c r="F80" i="8"/>
  <c r="H80" i="8"/>
  <c r="M80" i="8"/>
  <c r="E80" i="8"/>
  <c r="Q80" i="8"/>
  <c r="D80" i="8"/>
  <c r="P80" i="8"/>
  <c r="L80" i="8"/>
  <c r="K80" i="8"/>
  <c r="I80" i="8"/>
  <c r="G80" i="8"/>
  <c r="O80" i="8"/>
  <c r="K84" i="8"/>
  <c r="J84" i="8"/>
  <c r="O84" i="8"/>
  <c r="F84" i="8"/>
  <c r="Q84" i="8"/>
  <c r="E84" i="8"/>
  <c r="L84" i="8"/>
  <c r="G84" i="8"/>
  <c r="D84" i="8"/>
  <c r="N84" i="8"/>
  <c r="M84" i="8"/>
  <c r="I84" i="8"/>
  <c r="H84" i="8"/>
  <c r="P84" i="8"/>
  <c r="K88" i="8"/>
  <c r="I88" i="8"/>
  <c r="N88" i="8"/>
  <c r="E88" i="8"/>
  <c r="J88" i="8"/>
  <c r="P88" i="8"/>
  <c r="D88" i="8"/>
  <c r="O88" i="8"/>
  <c r="M88" i="8"/>
  <c r="L88" i="8"/>
  <c r="G88" i="8"/>
  <c r="F88" i="8"/>
  <c r="Q88" i="8"/>
  <c r="H88" i="8"/>
  <c r="K92" i="8"/>
  <c r="Q92" i="8"/>
  <c r="H92" i="8"/>
  <c r="M92" i="8"/>
  <c r="D92" i="8"/>
  <c r="O92" i="8"/>
  <c r="I92" i="8"/>
  <c r="G92" i="8"/>
  <c r="F92" i="8"/>
  <c r="E92" i="8"/>
  <c r="P92" i="8"/>
  <c r="N92" i="8"/>
  <c r="L92" i="8"/>
  <c r="J92" i="8"/>
  <c r="K96" i="8"/>
  <c r="P96" i="8"/>
  <c r="G96" i="8"/>
  <c r="L96" i="8"/>
  <c r="H96" i="8"/>
  <c r="N96" i="8"/>
  <c r="Q96" i="8"/>
  <c r="O96" i="8"/>
  <c r="M96" i="8"/>
  <c r="I96" i="8"/>
  <c r="F96" i="8"/>
  <c r="E96" i="8"/>
  <c r="D96" i="8"/>
  <c r="J96" i="8"/>
  <c r="K100" i="8"/>
  <c r="O100" i="8"/>
  <c r="F100" i="8"/>
  <c r="J100" i="8"/>
  <c r="M100" i="8"/>
  <c r="G100" i="8"/>
  <c r="I100" i="8"/>
  <c r="H100" i="8"/>
  <c r="E100" i="8"/>
  <c r="Q100" i="8"/>
  <c r="P100" i="8"/>
  <c r="N100" i="8"/>
  <c r="L100" i="8"/>
  <c r="D100" i="8"/>
  <c r="K104" i="8"/>
  <c r="N104" i="8"/>
  <c r="E104" i="8"/>
  <c r="I104" i="8"/>
  <c r="Q104" i="8"/>
  <c r="F104" i="8"/>
  <c r="L104" i="8"/>
  <c r="P104" i="8"/>
  <c r="O104" i="8"/>
  <c r="J104" i="8"/>
  <c r="H104" i="8"/>
  <c r="G104" i="8"/>
  <c r="D104" i="8"/>
  <c r="M104" i="8"/>
  <c r="K108" i="8"/>
  <c r="M108" i="8"/>
  <c r="D108" i="8"/>
  <c r="Q108" i="8"/>
  <c r="H108" i="8"/>
  <c r="J108" i="8"/>
  <c r="P108" i="8"/>
  <c r="E108" i="8"/>
  <c r="L108" i="8"/>
  <c r="I108" i="8"/>
  <c r="G108" i="8"/>
  <c r="O108" i="8"/>
  <c r="N108" i="8"/>
  <c r="F108" i="8"/>
  <c r="K112" i="8"/>
  <c r="L112" i="8"/>
  <c r="P112" i="8"/>
  <c r="G112" i="8"/>
  <c r="O112" i="8"/>
  <c r="D112" i="8"/>
  <c r="I112" i="8"/>
  <c r="E112" i="8"/>
  <c r="Q112" i="8"/>
  <c r="M112" i="8"/>
  <c r="J112" i="8"/>
  <c r="H112" i="8"/>
  <c r="F112" i="8"/>
  <c r="N112" i="8"/>
  <c r="K116" i="8"/>
  <c r="J116" i="8"/>
  <c r="O116" i="8"/>
  <c r="F116" i="8"/>
  <c r="H116" i="8"/>
  <c r="N116" i="8"/>
  <c r="M116" i="8"/>
  <c r="L116" i="8"/>
  <c r="I116" i="8"/>
  <c r="E116" i="8"/>
  <c r="D116" i="8"/>
  <c r="Q116" i="8"/>
  <c r="P116" i="8"/>
  <c r="G116" i="8"/>
  <c r="K120" i="8"/>
  <c r="I120" i="8"/>
  <c r="N120" i="8"/>
  <c r="E120" i="8"/>
  <c r="M120" i="8"/>
  <c r="G120" i="8"/>
  <c r="F120" i="8"/>
  <c r="D120" i="8"/>
  <c r="Q120" i="8"/>
  <c r="O120" i="8"/>
  <c r="L120" i="8"/>
  <c r="J120" i="8"/>
  <c r="H120" i="8"/>
  <c r="P120" i="8"/>
  <c r="K124" i="8"/>
  <c r="AB124" i="8" s="1"/>
  <c r="Q124" i="8"/>
  <c r="AK124" i="8" s="1"/>
  <c r="H124" i="8"/>
  <c r="M124" i="8"/>
  <c r="AE124" i="8" s="1"/>
  <c r="D124" i="8"/>
  <c r="F124" i="8"/>
  <c r="U124" i="8" s="1"/>
  <c r="L124" i="8"/>
  <c r="AD124" i="8" s="1"/>
  <c r="O124" i="8"/>
  <c r="AH124" i="8" s="1"/>
  <c r="N124" i="8"/>
  <c r="J124" i="8"/>
  <c r="G124" i="8"/>
  <c r="V124" i="8" s="1"/>
  <c r="E124" i="8"/>
  <c r="S124" i="8" s="1"/>
  <c r="P124" i="8"/>
  <c r="I124" i="8"/>
  <c r="Y124" i="8" s="1"/>
  <c r="K128" i="8"/>
  <c r="AB128" i="8" s="1"/>
  <c r="J128" i="8"/>
  <c r="P128" i="8"/>
  <c r="G128" i="8"/>
  <c r="V128" i="8" s="1"/>
  <c r="O128" i="8"/>
  <c r="AH128" i="8" s="1"/>
  <c r="F128" i="8"/>
  <c r="L128" i="8"/>
  <c r="D128" i="8"/>
  <c r="M128" i="8"/>
  <c r="AE128" i="8" s="1"/>
  <c r="Q128" i="8"/>
  <c r="AK128" i="8" s="1"/>
  <c r="N128" i="8"/>
  <c r="I128" i="8"/>
  <c r="Y128" i="8" s="1"/>
  <c r="E128" i="8"/>
  <c r="S128" i="8" s="1"/>
  <c r="H128" i="8"/>
  <c r="Q132" i="8"/>
  <c r="AK132" i="8" s="1"/>
  <c r="P132" i="8"/>
  <c r="AJ132" i="8" s="1"/>
  <c r="O132" i="8"/>
  <c r="AH132" i="8" s="1"/>
  <c r="N132" i="8"/>
  <c r="AG132" i="8" s="1"/>
  <c r="M132" i="8"/>
  <c r="AE132" i="8" s="1"/>
  <c r="L132" i="8"/>
  <c r="K132" i="8"/>
  <c r="AB132" i="8" s="1"/>
  <c r="J132" i="8"/>
  <c r="I132" i="8"/>
  <c r="Y132" i="8" s="1"/>
  <c r="F132" i="8"/>
  <c r="U132" i="8" s="1"/>
  <c r="E132" i="8"/>
  <c r="S132" i="8" s="1"/>
  <c r="H132" i="8"/>
  <c r="X132" i="8" s="1"/>
  <c r="G132" i="8"/>
  <c r="V132" i="8" s="1"/>
  <c r="D132" i="8"/>
  <c r="R132" i="8" s="1"/>
  <c r="Q11" i="8"/>
  <c r="AK11" i="8" s="1"/>
  <c r="I11" i="8"/>
  <c r="Y11" i="8" s="1"/>
  <c r="M11" i="8"/>
  <c r="AE11" i="8" s="1"/>
  <c r="E11" i="8"/>
  <c r="S11" i="8" s="1"/>
  <c r="K11" i="8"/>
  <c r="AB11" i="8" s="1"/>
  <c r="J11" i="8"/>
  <c r="P11" i="8"/>
  <c r="H11" i="8"/>
  <c r="F11" i="8"/>
  <c r="G11" i="8"/>
  <c r="V11" i="8" s="1"/>
  <c r="O11" i="8"/>
  <c r="AH11" i="8" s="1"/>
  <c r="D11" i="8"/>
  <c r="N11" i="8"/>
  <c r="AG11" i="8" s="1"/>
  <c r="L11" i="8"/>
  <c r="Q23" i="8"/>
  <c r="I23" i="8"/>
  <c r="N23" i="8"/>
  <c r="F23" i="8"/>
  <c r="M23" i="8"/>
  <c r="E23" i="8"/>
  <c r="P23" i="8"/>
  <c r="O23" i="8"/>
  <c r="L23" i="8"/>
  <c r="H23" i="8"/>
  <c r="K23" i="8"/>
  <c r="J23" i="8"/>
  <c r="G23" i="8"/>
  <c r="D23" i="8"/>
  <c r="Q35" i="8"/>
  <c r="I35" i="8"/>
  <c r="N35" i="8"/>
  <c r="F35" i="8"/>
  <c r="M35" i="8"/>
  <c r="E35" i="8"/>
  <c r="L35" i="8"/>
  <c r="K35" i="8"/>
  <c r="J35" i="8"/>
  <c r="G35" i="8"/>
  <c r="H35" i="8"/>
  <c r="D35" i="8"/>
  <c r="P35" i="8"/>
  <c r="O35" i="8"/>
  <c r="O51" i="8"/>
  <c r="G51" i="8"/>
  <c r="N51" i="8"/>
  <c r="F51" i="8"/>
  <c r="M51" i="8"/>
  <c r="J51" i="8"/>
  <c r="I51" i="8"/>
  <c r="Q51" i="8"/>
  <c r="P51" i="8"/>
  <c r="L51" i="8"/>
  <c r="K51" i="8"/>
  <c r="H51" i="8"/>
  <c r="E51" i="8"/>
  <c r="D51" i="8"/>
  <c r="L63" i="8"/>
  <c r="D63" i="8"/>
  <c r="K63" i="8"/>
  <c r="Q63" i="8"/>
  <c r="I63" i="8"/>
  <c r="P63" i="8"/>
  <c r="H63" i="8"/>
  <c r="O63" i="8"/>
  <c r="G63" i="8"/>
  <c r="N63" i="8"/>
  <c r="F63" i="8"/>
  <c r="M63" i="8"/>
  <c r="J63" i="8"/>
  <c r="E63" i="8"/>
  <c r="M75" i="8"/>
  <c r="E75" i="8"/>
  <c r="Q75" i="8"/>
  <c r="I75" i="8"/>
  <c r="N75" i="8"/>
  <c r="L75" i="8"/>
  <c r="K75" i="8"/>
  <c r="H75" i="8"/>
  <c r="G75" i="8"/>
  <c r="P75" i="8"/>
  <c r="F75" i="8"/>
  <c r="O75" i="8"/>
  <c r="D75" i="8"/>
  <c r="J75" i="8"/>
  <c r="Q95" i="8"/>
  <c r="I95" i="8"/>
  <c r="L95" i="8"/>
  <c r="P95" i="8"/>
  <c r="G95" i="8"/>
  <c r="J95" i="8"/>
  <c r="O95" i="8"/>
  <c r="D95" i="8"/>
  <c r="N95" i="8"/>
  <c r="M95" i="8"/>
  <c r="K95" i="8"/>
  <c r="F95" i="8"/>
  <c r="E95" i="8"/>
  <c r="H95" i="8"/>
  <c r="Q107" i="8"/>
  <c r="I107" i="8"/>
  <c r="H107" i="8"/>
  <c r="M107" i="8"/>
  <c r="D107" i="8"/>
  <c r="L107" i="8"/>
  <c r="F107" i="8"/>
  <c r="J107" i="8"/>
  <c r="G107" i="8"/>
  <c r="E107" i="8"/>
  <c r="P107" i="8"/>
  <c r="O107" i="8"/>
  <c r="N107" i="8"/>
  <c r="K107" i="8"/>
  <c r="Q123" i="8"/>
  <c r="AK123" i="8" s="1"/>
  <c r="I123" i="8"/>
  <c r="Y123" i="8" s="1"/>
  <c r="M123" i="8"/>
  <c r="AE123" i="8" s="1"/>
  <c r="D123" i="8"/>
  <c r="H123" i="8"/>
  <c r="G123" i="8"/>
  <c r="V123" i="8" s="1"/>
  <c r="N123" i="8"/>
  <c r="L123" i="8"/>
  <c r="K123" i="8"/>
  <c r="AB123" i="8" s="1"/>
  <c r="J123" i="8"/>
  <c r="E123" i="8"/>
  <c r="S123" i="8" s="1"/>
  <c r="P123" i="8"/>
  <c r="O123" i="8"/>
  <c r="AH123" i="8" s="1"/>
  <c r="F123" i="8"/>
  <c r="O8" i="8"/>
  <c r="AH8" i="8" s="1"/>
  <c r="D8" i="8"/>
  <c r="K8" i="8"/>
  <c r="AB8" i="8" s="1"/>
  <c r="J8" i="8"/>
  <c r="P8" i="8"/>
  <c r="I8" i="8"/>
  <c r="Y8" i="8" s="1"/>
  <c r="G8" i="8"/>
  <c r="V8" i="8" s="1"/>
  <c r="Q8" i="8"/>
  <c r="AK8" i="8" s="1"/>
  <c r="H8" i="8"/>
  <c r="N8" i="8"/>
  <c r="F8" i="8"/>
  <c r="M8" i="8"/>
  <c r="AE8" i="8" s="1"/>
  <c r="E8" i="8"/>
  <c r="S8" i="8" s="1"/>
  <c r="L8" i="8"/>
  <c r="AD8" i="8" s="1"/>
  <c r="K16" i="8"/>
  <c r="O16" i="8"/>
  <c r="G16" i="8"/>
  <c r="P16" i="8"/>
  <c r="E16" i="8"/>
  <c r="N16" i="8"/>
  <c r="D16" i="8"/>
  <c r="M16" i="8"/>
  <c r="J16" i="8"/>
  <c r="L16" i="8"/>
  <c r="I16" i="8"/>
  <c r="H16" i="8"/>
  <c r="Q16" i="8"/>
  <c r="F16" i="8"/>
  <c r="K24" i="8"/>
  <c r="P24" i="8"/>
  <c r="H24" i="8"/>
  <c r="O24" i="8"/>
  <c r="G24" i="8"/>
  <c r="M24" i="8"/>
  <c r="L24" i="8"/>
  <c r="J24" i="8"/>
  <c r="F24" i="8"/>
  <c r="I24" i="8"/>
  <c r="E24" i="8"/>
  <c r="Q24" i="8"/>
  <c r="D24" i="8"/>
  <c r="N24" i="8"/>
  <c r="Q19" i="8"/>
  <c r="I19" i="8"/>
  <c r="N19" i="8"/>
  <c r="F19" i="8"/>
  <c r="M19" i="8"/>
  <c r="E19" i="8"/>
  <c r="H19" i="8"/>
  <c r="G19" i="8"/>
  <c r="D19" i="8"/>
  <c r="L19" i="8"/>
  <c r="P19" i="8"/>
  <c r="O19" i="8"/>
  <c r="K19" i="8"/>
  <c r="J19" i="8"/>
  <c r="O43" i="8"/>
  <c r="G43" i="8"/>
  <c r="N43" i="8"/>
  <c r="F43" i="8"/>
  <c r="I43" i="8"/>
  <c r="P43" i="8"/>
  <c r="D43" i="8"/>
  <c r="M43" i="8"/>
  <c r="K43" i="8"/>
  <c r="J43" i="8"/>
  <c r="H43" i="8"/>
  <c r="E43" i="8"/>
  <c r="Q43" i="8"/>
  <c r="L43" i="8"/>
  <c r="L59" i="8"/>
  <c r="D59" i="8"/>
  <c r="K59" i="8"/>
  <c r="Q59" i="8"/>
  <c r="I59" i="8"/>
  <c r="P59" i="8"/>
  <c r="H59" i="8"/>
  <c r="O59" i="8"/>
  <c r="G59" i="8"/>
  <c r="N59" i="8"/>
  <c r="F59" i="8"/>
  <c r="E59" i="8"/>
  <c r="M59" i="8"/>
  <c r="J59" i="8"/>
  <c r="Q87" i="8"/>
  <c r="I87" i="8"/>
  <c r="N87" i="8"/>
  <c r="E87" i="8"/>
  <c r="J87" i="8"/>
  <c r="L87" i="8"/>
  <c r="F87" i="8"/>
  <c r="M87" i="8"/>
  <c r="K87" i="8"/>
  <c r="H87" i="8"/>
  <c r="D87" i="8"/>
  <c r="P87" i="8"/>
  <c r="O87" i="8"/>
  <c r="G87" i="8"/>
  <c r="M5" i="8"/>
  <c r="AE5" i="8" s="1"/>
  <c r="L5" i="8"/>
  <c r="D5" i="8"/>
  <c r="Q5" i="8"/>
  <c r="AK5" i="8" s="1"/>
  <c r="I5" i="8"/>
  <c r="Y5" i="8" s="1"/>
  <c r="H5" i="8"/>
  <c r="K5" i="8"/>
  <c r="AB5" i="8" s="1"/>
  <c r="J5" i="8"/>
  <c r="P5" i="8"/>
  <c r="O5" i="8"/>
  <c r="AH5" i="8" s="1"/>
  <c r="G5" i="8"/>
  <c r="V5" i="8" s="1"/>
  <c r="E5" i="8"/>
  <c r="S5" i="8" s="1"/>
  <c r="N5" i="8"/>
  <c r="F5" i="8"/>
  <c r="M9" i="8"/>
  <c r="AE9" i="8" s="1"/>
  <c r="E9" i="8"/>
  <c r="S9" i="8" s="1"/>
  <c r="Q9" i="8"/>
  <c r="AK9" i="8" s="1"/>
  <c r="I9" i="8"/>
  <c r="H9" i="8"/>
  <c r="X9" i="8" s="1"/>
  <c r="G9" i="8"/>
  <c r="V9" i="8" s="1"/>
  <c r="P9" i="8"/>
  <c r="F9" i="8"/>
  <c r="U9" i="8" s="1"/>
  <c r="O9" i="8"/>
  <c r="AH9" i="8" s="1"/>
  <c r="D9" i="8"/>
  <c r="R9" i="8" s="1"/>
  <c r="N9" i="8"/>
  <c r="AG9" i="8" s="1"/>
  <c r="L9" i="8"/>
  <c r="AD9" i="8" s="1"/>
  <c r="K9" i="8"/>
  <c r="AB9" i="8" s="1"/>
  <c r="J9" i="8"/>
  <c r="AA9" i="8" s="1"/>
  <c r="M13" i="8"/>
  <c r="E13" i="8"/>
  <c r="Q13" i="8"/>
  <c r="I13" i="8"/>
  <c r="P13" i="8"/>
  <c r="O13" i="8"/>
  <c r="D13" i="8"/>
  <c r="N13" i="8"/>
  <c r="L13" i="8"/>
  <c r="K13" i="8"/>
  <c r="J13" i="8"/>
  <c r="H13" i="8"/>
  <c r="G13" i="8"/>
  <c r="F13" i="8"/>
  <c r="M17" i="8"/>
  <c r="E17" i="8"/>
  <c r="Q17" i="8"/>
  <c r="I17" i="8"/>
  <c r="N17" i="8"/>
  <c r="L17" i="8"/>
  <c r="K17" i="8"/>
  <c r="G17" i="8"/>
  <c r="J17" i="8"/>
  <c r="H17" i="8"/>
  <c r="P17" i="8"/>
  <c r="F17" i="8"/>
  <c r="O17" i="8"/>
  <c r="D17" i="8"/>
  <c r="M21" i="8"/>
  <c r="E21" i="8"/>
  <c r="J21" i="8"/>
  <c r="Q21" i="8"/>
  <c r="I21" i="8"/>
  <c r="F21" i="8"/>
  <c r="P21" i="8"/>
  <c r="D21" i="8"/>
  <c r="O21" i="8"/>
  <c r="N21" i="8"/>
  <c r="L21" i="8"/>
  <c r="K21" i="8"/>
  <c r="H21" i="8"/>
  <c r="G21" i="8"/>
  <c r="M25" i="8"/>
  <c r="E25" i="8"/>
  <c r="J25" i="8"/>
  <c r="Q25" i="8"/>
  <c r="I25" i="8"/>
  <c r="N25" i="8"/>
  <c r="L25" i="8"/>
  <c r="K25" i="8"/>
  <c r="H25" i="8"/>
  <c r="G25" i="8"/>
  <c r="F25" i="8"/>
  <c r="P25" i="8"/>
  <c r="D25" i="8"/>
  <c r="O25" i="8"/>
  <c r="M29" i="8"/>
  <c r="E29" i="8"/>
  <c r="J29" i="8"/>
  <c r="Q29" i="8"/>
  <c r="I29" i="8"/>
  <c r="H29" i="8"/>
  <c r="G29" i="8"/>
  <c r="F29" i="8"/>
  <c r="P29" i="8"/>
  <c r="D29" i="8"/>
  <c r="N29" i="8"/>
  <c r="O29" i="8"/>
  <c r="L29" i="8"/>
  <c r="K29" i="8"/>
  <c r="M33" i="8"/>
  <c r="E33" i="8"/>
  <c r="J33" i="8"/>
  <c r="Q33" i="8"/>
  <c r="I33" i="8"/>
  <c r="P33" i="8"/>
  <c r="O33" i="8"/>
  <c r="N33" i="8"/>
  <c r="L33" i="8"/>
  <c r="K33" i="8"/>
  <c r="H33" i="8"/>
  <c r="G33" i="8"/>
  <c r="F33" i="8"/>
  <c r="D33" i="8"/>
  <c r="M37" i="8"/>
  <c r="E37" i="8"/>
  <c r="J37" i="8"/>
  <c r="Q37" i="8"/>
  <c r="I37" i="8"/>
  <c r="K37" i="8"/>
  <c r="H37" i="8"/>
  <c r="G37" i="8"/>
  <c r="F37" i="8"/>
  <c r="D37" i="8"/>
  <c r="P37" i="8"/>
  <c r="O37" i="8"/>
  <c r="N37" i="8"/>
  <c r="L37" i="8"/>
  <c r="K41" i="8"/>
  <c r="J41" i="8"/>
  <c r="O41" i="8"/>
  <c r="E41" i="8"/>
  <c r="L41" i="8"/>
  <c r="I41" i="8"/>
  <c r="F41" i="8"/>
  <c r="D41" i="8"/>
  <c r="Q41" i="8"/>
  <c r="P41" i="8"/>
  <c r="N41" i="8"/>
  <c r="M41" i="8"/>
  <c r="H41" i="8"/>
  <c r="G41" i="8"/>
  <c r="K45" i="8"/>
  <c r="J45" i="8"/>
  <c r="M45" i="8"/>
  <c r="H45" i="8"/>
  <c r="Q45" i="8"/>
  <c r="G45" i="8"/>
  <c r="P45" i="8"/>
  <c r="O45" i="8"/>
  <c r="N45" i="8"/>
  <c r="L45" i="8"/>
  <c r="I45" i="8"/>
  <c r="F45" i="8"/>
  <c r="E45" i="8"/>
  <c r="D45" i="8"/>
  <c r="K49" i="8"/>
  <c r="J49" i="8"/>
  <c r="I49" i="8"/>
  <c r="P49" i="8"/>
  <c r="F49" i="8"/>
  <c r="O49" i="8"/>
  <c r="E49" i="8"/>
  <c r="M49" i="8"/>
  <c r="L49" i="8"/>
  <c r="H49" i="8"/>
  <c r="D49" i="8"/>
  <c r="G49" i="8"/>
  <c r="Q49" i="8"/>
  <c r="N49" i="8"/>
  <c r="P53" i="8"/>
  <c r="H53" i="8"/>
  <c r="O53" i="8"/>
  <c r="G53" i="8"/>
  <c r="M53" i="8"/>
  <c r="E53" i="8"/>
  <c r="L53" i="8"/>
  <c r="D53" i="8"/>
  <c r="K53" i="8"/>
  <c r="J53" i="8"/>
  <c r="N53" i="8"/>
  <c r="I53" i="8"/>
  <c r="Q53" i="8"/>
  <c r="F53" i="8"/>
  <c r="P57" i="8"/>
  <c r="H57" i="8"/>
  <c r="O57" i="8"/>
  <c r="G57" i="8"/>
  <c r="M57" i="8"/>
  <c r="E57" i="8"/>
  <c r="L57" i="8"/>
  <c r="D57" i="8"/>
  <c r="K57" i="8"/>
  <c r="J57" i="8"/>
  <c r="Q57" i="8"/>
  <c r="N57" i="8"/>
  <c r="I57" i="8"/>
  <c r="F57" i="8"/>
  <c r="P61" i="8"/>
  <c r="H61" i="8"/>
  <c r="O61" i="8"/>
  <c r="G61" i="8"/>
  <c r="M61" i="8"/>
  <c r="E61" i="8"/>
  <c r="L61" i="8"/>
  <c r="D61" i="8"/>
  <c r="K61" i="8"/>
  <c r="J61" i="8"/>
  <c r="I61" i="8"/>
  <c r="Q61" i="8"/>
  <c r="N61" i="8"/>
  <c r="F61" i="8"/>
  <c r="Q65" i="8"/>
  <c r="I65" i="8"/>
  <c r="M65" i="8"/>
  <c r="E65" i="8"/>
  <c r="O65" i="8"/>
  <c r="D65" i="8"/>
  <c r="N65" i="8"/>
  <c r="L65" i="8"/>
  <c r="J65" i="8"/>
  <c r="H65" i="8"/>
  <c r="G65" i="8"/>
  <c r="P65" i="8"/>
  <c r="F65" i="8"/>
  <c r="K65" i="8"/>
  <c r="Q69" i="8"/>
  <c r="I69" i="8"/>
  <c r="M69" i="8"/>
  <c r="E69" i="8"/>
  <c r="L69" i="8"/>
  <c r="K69" i="8"/>
  <c r="J69" i="8"/>
  <c r="G69" i="8"/>
  <c r="P69" i="8"/>
  <c r="F69" i="8"/>
  <c r="O69" i="8"/>
  <c r="D69" i="8"/>
  <c r="N69" i="8"/>
  <c r="H69" i="8"/>
  <c r="Q73" i="8"/>
  <c r="I73" i="8"/>
  <c r="M73" i="8"/>
  <c r="E73" i="8"/>
  <c r="J73" i="8"/>
  <c r="H73" i="8"/>
  <c r="G73" i="8"/>
  <c r="O73" i="8"/>
  <c r="D73" i="8"/>
  <c r="N73" i="8"/>
  <c r="L73" i="8"/>
  <c r="K73" i="8"/>
  <c r="F73" i="8"/>
  <c r="P73" i="8"/>
  <c r="P77" i="8"/>
  <c r="I77" i="8"/>
  <c r="M77" i="8"/>
  <c r="E77" i="8"/>
  <c r="G77" i="8"/>
  <c r="Q77" i="8"/>
  <c r="F77" i="8"/>
  <c r="O77" i="8"/>
  <c r="D77" i="8"/>
  <c r="L77" i="8"/>
  <c r="K77" i="8"/>
  <c r="J77" i="8"/>
  <c r="H77" i="8"/>
  <c r="N77" i="8"/>
  <c r="L81" i="8"/>
  <c r="D81" i="8"/>
  <c r="P81" i="8"/>
  <c r="H81" i="8"/>
  <c r="O81" i="8"/>
  <c r="E81" i="8"/>
  <c r="J81" i="8"/>
  <c r="F81" i="8"/>
  <c r="Q81" i="8"/>
  <c r="M81" i="8"/>
  <c r="K81" i="8"/>
  <c r="I81" i="8"/>
  <c r="G81" i="8"/>
  <c r="N81" i="8"/>
  <c r="M85" i="8"/>
  <c r="E85" i="8"/>
  <c r="O85" i="8"/>
  <c r="F85" i="8"/>
  <c r="J85" i="8"/>
  <c r="P85" i="8"/>
  <c r="I85" i="8"/>
  <c r="H85" i="8"/>
  <c r="G85" i="8"/>
  <c r="D85" i="8"/>
  <c r="Q85" i="8"/>
  <c r="N85" i="8"/>
  <c r="L85" i="8"/>
  <c r="K85" i="8"/>
  <c r="M89" i="8"/>
  <c r="E89" i="8"/>
  <c r="N89" i="8"/>
  <c r="D89" i="8"/>
  <c r="I89" i="8"/>
  <c r="H89" i="8"/>
  <c r="O89" i="8"/>
  <c r="Q89" i="8"/>
  <c r="P89" i="8"/>
  <c r="L89" i="8"/>
  <c r="J89" i="8"/>
  <c r="G89" i="8"/>
  <c r="F89" i="8"/>
  <c r="K89" i="8"/>
  <c r="M93" i="8"/>
  <c r="E93" i="8"/>
  <c r="L93" i="8"/>
  <c r="Q93" i="8"/>
  <c r="H93" i="8"/>
  <c r="N93" i="8"/>
  <c r="G93" i="8"/>
  <c r="J93" i="8"/>
  <c r="I93" i="8"/>
  <c r="F93" i="8"/>
  <c r="P93" i="8"/>
  <c r="O93" i="8"/>
  <c r="K93" i="8"/>
  <c r="D93" i="8"/>
  <c r="M97" i="8"/>
  <c r="E97" i="8"/>
  <c r="K97" i="8"/>
  <c r="P97" i="8"/>
  <c r="G97" i="8"/>
  <c r="F97" i="8"/>
  <c r="L97" i="8"/>
  <c r="Q97" i="8"/>
  <c r="O97" i="8"/>
  <c r="J97" i="8"/>
  <c r="I97" i="8"/>
  <c r="H97" i="8"/>
  <c r="D97" i="8"/>
  <c r="N97" i="8"/>
  <c r="M101" i="8"/>
  <c r="E101" i="8"/>
  <c r="J101" i="8"/>
  <c r="O101" i="8"/>
  <c r="F101" i="8"/>
  <c r="K101" i="8"/>
  <c r="Q101" i="8"/>
  <c r="D101" i="8"/>
  <c r="L101" i="8"/>
  <c r="I101" i="8"/>
  <c r="H101" i="8"/>
  <c r="P101" i="8"/>
  <c r="N101" i="8"/>
  <c r="G101" i="8"/>
  <c r="M105" i="8"/>
  <c r="E105" i="8"/>
  <c r="I105" i="8"/>
  <c r="N105" i="8"/>
  <c r="D105" i="8"/>
  <c r="P105" i="8"/>
  <c r="J105" i="8"/>
  <c r="F105" i="8"/>
  <c r="Q105" i="8"/>
  <c r="L105" i="8"/>
  <c r="K105" i="8"/>
  <c r="H105" i="8"/>
  <c r="G105" i="8"/>
  <c r="O105" i="8"/>
  <c r="M109" i="8"/>
  <c r="E109" i="8"/>
  <c r="Q109" i="8"/>
  <c r="H109" i="8"/>
  <c r="L109" i="8"/>
  <c r="I109" i="8"/>
  <c r="O109" i="8"/>
  <c r="N109" i="8"/>
  <c r="K109" i="8"/>
  <c r="J109" i="8"/>
  <c r="F109" i="8"/>
  <c r="D109" i="8"/>
  <c r="P109" i="8"/>
  <c r="G109" i="8"/>
  <c r="M113" i="8"/>
  <c r="E113" i="8"/>
  <c r="P113" i="8"/>
  <c r="G113" i="8"/>
  <c r="K113" i="8"/>
  <c r="N113" i="8"/>
  <c r="H113" i="8"/>
  <c r="F113" i="8"/>
  <c r="D113" i="8"/>
  <c r="O113" i="8"/>
  <c r="L113" i="8"/>
  <c r="J113" i="8"/>
  <c r="I113" i="8"/>
  <c r="Q113" i="8"/>
  <c r="M117" i="8"/>
  <c r="E117" i="8"/>
  <c r="O117" i="8"/>
  <c r="F117" i="8"/>
  <c r="J117" i="8"/>
  <c r="G117" i="8"/>
  <c r="L117" i="8"/>
  <c r="P117" i="8"/>
  <c r="N117" i="8"/>
  <c r="K117" i="8"/>
  <c r="H117" i="8"/>
  <c r="D117" i="8"/>
  <c r="Q117" i="8"/>
  <c r="I117" i="8"/>
  <c r="M121" i="8"/>
  <c r="E121" i="8"/>
  <c r="N121" i="8"/>
  <c r="D121" i="8"/>
  <c r="I121" i="8"/>
  <c r="K121" i="8"/>
  <c r="Q121" i="8"/>
  <c r="F121" i="8"/>
  <c r="H121" i="8"/>
  <c r="G121" i="8"/>
  <c r="P121" i="8"/>
  <c r="O121" i="8"/>
  <c r="L121" i="8"/>
  <c r="J121" i="8"/>
  <c r="M125" i="8"/>
  <c r="AE125" i="8" s="1"/>
  <c r="E125" i="8"/>
  <c r="L125" i="8"/>
  <c r="AD125" i="8" s="1"/>
  <c r="Q125" i="8"/>
  <c r="AK125" i="8" s="1"/>
  <c r="H125" i="8"/>
  <c r="P125" i="8"/>
  <c r="D125" i="8"/>
  <c r="R125" i="8" s="1"/>
  <c r="J125" i="8"/>
  <c r="O125" i="8"/>
  <c r="AH125" i="8" s="1"/>
  <c r="N125" i="8"/>
  <c r="I125" i="8"/>
  <c r="Y125" i="8" s="1"/>
  <c r="G125" i="8"/>
  <c r="V125" i="8" s="1"/>
  <c r="F125" i="8"/>
  <c r="K125" i="8"/>
  <c r="AB125" i="8" s="1"/>
  <c r="M129" i="8"/>
  <c r="AE129" i="8" s="1"/>
  <c r="E129" i="8"/>
  <c r="S129" i="8" s="1"/>
  <c r="O129" i="8"/>
  <c r="AH129" i="8" s="1"/>
  <c r="F129" i="8"/>
  <c r="K129" i="8"/>
  <c r="AB129" i="8" s="1"/>
  <c r="J129" i="8"/>
  <c r="P129" i="8"/>
  <c r="G129" i="8"/>
  <c r="V129" i="8" s="1"/>
  <c r="H129" i="8"/>
  <c r="Q129" i="8"/>
  <c r="AK129" i="8" s="1"/>
  <c r="N129" i="8"/>
  <c r="L129" i="8"/>
  <c r="I129" i="8"/>
  <c r="Y129" i="8" s="1"/>
  <c r="D129" i="8"/>
  <c r="O14" i="8"/>
  <c r="G14" i="8"/>
  <c r="K14" i="8"/>
  <c r="L14" i="8"/>
  <c r="J14" i="8"/>
  <c r="Q14" i="8"/>
  <c r="I14" i="8"/>
  <c r="F14" i="8"/>
  <c r="H14" i="8"/>
  <c r="P14" i="8"/>
  <c r="E14" i="8"/>
  <c r="N14" i="8"/>
  <c r="D14" i="8"/>
  <c r="M14" i="8"/>
  <c r="O22" i="8"/>
  <c r="G22" i="8"/>
  <c r="L22" i="8"/>
  <c r="D22" i="8"/>
  <c r="K22" i="8"/>
  <c r="P22" i="8"/>
  <c r="N22" i="8"/>
  <c r="M22" i="8"/>
  <c r="J22" i="8"/>
  <c r="I22" i="8"/>
  <c r="H22" i="8"/>
  <c r="F22" i="8"/>
  <c r="Q22" i="8"/>
  <c r="E22" i="8"/>
  <c r="O26" i="8"/>
  <c r="G26" i="8"/>
  <c r="L26" i="8"/>
  <c r="D26" i="8"/>
  <c r="K26" i="8"/>
  <c r="J26" i="8"/>
  <c r="I26" i="8"/>
  <c r="Q26" i="8"/>
  <c r="H26" i="8"/>
  <c r="F26" i="8"/>
  <c r="E26" i="8"/>
  <c r="P26" i="8"/>
  <c r="N26" i="8"/>
  <c r="M26" i="8"/>
  <c r="O30" i="8"/>
  <c r="G30" i="8"/>
  <c r="L30" i="8"/>
  <c r="D30" i="8"/>
  <c r="K30" i="8"/>
  <c r="F30" i="8"/>
  <c r="Q30" i="8"/>
  <c r="E30" i="8"/>
  <c r="M30" i="8"/>
  <c r="P30" i="8"/>
  <c r="N30" i="8"/>
  <c r="J30" i="8"/>
  <c r="I30" i="8"/>
  <c r="H30" i="8"/>
  <c r="O34" i="8"/>
  <c r="G34" i="8"/>
  <c r="L34" i="8"/>
  <c r="D34" i="8"/>
  <c r="K34" i="8"/>
  <c r="N34" i="8"/>
  <c r="M34" i="8"/>
  <c r="J34" i="8"/>
  <c r="I34" i="8"/>
  <c r="H34" i="8"/>
  <c r="F34" i="8"/>
  <c r="Q34" i="8"/>
  <c r="E34" i="8"/>
  <c r="P34" i="8"/>
  <c r="O38" i="8"/>
  <c r="G38" i="8"/>
  <c r="L38" i="8"/>
  <c r="D38" i="8"/>
  <c r="K38" i="8"/>
  <c r="I38" i="8"/>
  <c r="H38" i="8"/>
  <c r="F38" i="8"/>
  <c r="Q38" i="8"/>
  <c r="E38" i="8"/>
  <c r="P38" i="8"/>
  <c r="N38" i="8"/>
  <c r="M38" i="8"/>
  <c r="J38" i="8"/>
  <c r="M42" i="8"/>
  <c r="E42" i="8"/>
  <c r="L42" i="8"/>
  <c r="D42" i="8"/>
  <c r="K42" i="8"/>
  <c r="H42" i="8"/>
  <c r="Q42" i="8"/>
  <c r="G42" i="8"/>
  <c r="J42" i="8"/>
  <c r="I42" i="8"/>
  <c r="F42" i="8"/>
  <c r="P42" i="8"/>
  <c r="O42" i="8"/>
  <c r="N42" i="8"/>
  <c r="M46" i="8"/>
  <c r="E46" i="8"/>
  <c r="L46" i="8"/>
  <c r="D46" i="8"/>
  <c r="I46" i="8"/>
  <c r="P46" i="8"/>
  <c r="F46" i="8"/>
  <c r="O46" i="8"/>
  <c r="Q46" i="8"/>
  <c r="N46" i="8"/>
  <c r="K46" i="8"/>
  <c r="J46" i="8"/>
  <c r="H46" i="8"/>
  <c r="G46" i="8"/>
  <c r="M50" i="8"/>
  <c r="E50" i="8"/>
  <c r="L50" i="8"/>
  <c r="D50" i="8"/>
  <c r="Q50" i="8"/>
  <c r="G50" i="8"/>
  <c r="N50" i="8"/>
  <c r="K50" i="8"/>
  <c r="P50" i="8"/>
  <c r="O50" i="8"/>
  <c r="J50" i="8"/>
  <c r="I50" i="8"/>
  <c r="H50" i="8"/>
  <c r="F50" i="8"/>
  <c r="J54" i="8"/>
  <c r="Q54" i="8"/>
  <c r="I54" i="8"/>
  <c r="O54" i="8"/>
  <c r="G54" i="8"/>
  <c r="N54" i="8"/>
  <c r="F54" i="8"/>
  <c r="M54" i="8"/>
  <c r="E54" i="8"/>
  <c r="L54" i="8"/>
  <c r="D54" i="8"/>
  <c r="K54" i="8"/>
  <c r="P54" i="8"/>
  <c r="H54" i="8"/>
  <c r="J58" i="8"/>
  <c r="Q58" i="8"/>
  <c r="I58" i="8"/>
  <c r="O58" i="8"/>
  <c r="G58" i="8"/>
  <c r="N58" i="8"/>
  <c r="F58" i="8"/>
  <c r="M58" i="8"/>
  <c r="E58" i="8"/>
  <c r="L58" i="8"/>
  <c r="D58" i="8"/>
  <c r="H58" i="8"/>
  <c r="P58" i="8"/>
  <c r="K58" i="8"/>
  <c r="J62" i="8"/>
  <c r="Q62" i="8"/>
  <c r="I62" i="8"/>
  <c r="O62" i="8"/>
  <c r="G62" i="8"/>
  <c r="N62" i="8"/>
  <c r="F62" i="8"/>
  <c r="M62" i="8"/>
  <c r="E62" i="8"/>
  <c r="L62" i="8"/>
  <c r="D62" i="8"/>
  <c r="P62" i="8"/>
  <c r="K62" i="8"/>
  <c r="H62" i="8"/>
  <c r="K66" i="8"/>
  <c r="O66" i="8"/>
  <c r="G66" i="8"/>
  <c r="L66" i="8"/>
  <c r="J66" i="8"/>
  <c r="I66" i="8"/>
  <c r="Q66" i="8"/>
  <c r="F66" i="8"/>
  <c r="P66" i="8"/>
  <c r="E66" i="8"/>
  <c r="N66" i="8"/>
  <c r="D66" i="8"/>
  <c r="M66" i="8"/>
  <c r="H66" i="8"/>
  <c r="K70" i="8"/>
  <c r="O70" i="8"/>
  <c r="G70" i="8"/>
  <c r="I70" i="8"/>
  <c r="H70" i="8"/>
  <c r="Q70" i="8"/>
  <c r="F70" i="8"/>
  <c r="N70" i="8"/>
  <c r="D70" i="8"/>
  <c r="M70" i="8"/>
  <c r="L70" i="8"/>
  <c r="J70" i="8"/>
  <c r="P70" i="8"/>
  <c r="E70" i="8"/>
  <c r="K74" i="8"/>
  <c r="O74" i="8"/>
  <c r="G74" i="8"/>
  <c r="Q74" i="8"/>
  <c r="F74" i="8"/>
  <c r="P74" i="8"/>
  <c r="E74" i="8"/>
  <c r="N74" i="8"/>
  <c r="D74" i="8"/>
  <c r="L74" i="8"/>
  <c r="J74" i="8"/>
  <c r="I74" i="8"/>
  <c r="H74" i="8"/>
  <c r="M74" i="8"/>
  <c r="N78" i="8"/>
  <c r="F78" i="8"/>
  <c r="J78" i="8"/>
  <c r="O78" i="8"/>
  <c r="D78" i="8"/>
  <c r="I78" i="8"/>
  <c r="E78" i="8"/>
  <c r="Q78" i="8"/>
  <c r="P78" i="8"/>
  <c r="L78" i="8"/>
  <c r="K78" i="8"/>
  <c r="H78" i="8"/>
  <c r="G78" i="8"/>
  <c r="M78" i="8"/>
  <c r="N82" i="8"/>
  <c r="F82" i="8"/>
  <c r="J82" i="8"/>
  <c r="L82" i="8"/>
  <c r="Q82" i="8"/>
  <c r="G82" i="8"/>
  <c r="E82" i="8"/>
  <c r="D82" i="8"/>
  <c r="P82" i="8"/>
  <c r="M82" i="8"/>
  <c r="K82" i="8"/>
  <c r="I82" i="8"/>
  <c r="H82" i="8"/>
  <c r="O82" i="8"/>
  <c r="O86" i="8"/>
  <c r="G86" i="8"/>
  <c r="J86" i="8"/>
  <c r="N86" i="8"/>
  <c r="E86" i="8"/>
  <c r="M86" i="8"/>
  <c r="H86" i="8"/>
  <c r="K86" i="8"/>
  <c r="I86" i="8"/>
  <c r="F86" i="8"/>
  <c r="Q86" i="8"/>
  <c r="P86" i="8"/>
  <c r="L86" i="8"/>
  <c r="D86" i="8"/>
  <c r="O90" i="8"/>
  <c r="G90" i="8"/>
  <c r="I90" i="8"/>
  <c r="M90" i="8"/>
  <c r="D90" i="8"/>
  <c r="F90" i="8"/>
  <c r="L90" i="8"/>
  <c r="Q90" i="8"/>
  <c r="P90" i="8"/>
  <c r="K90" i="8"/>
  <c r="J90" i="8"/>
  <c r="H90" i="8"/>
  <c r="E90" i="8"/>
  <c r="N90" i="8"/>
  <c r="O94" i="8"/>
  <c r="G94" i="8"/>
  <c r="Q94" i="8"/>
  <c r="H94" i="8"/>
  <c r="L94" i="8"/>
  <c r="K94" i="8"/>
  <c r="E94" i="8"/>
  <c r="M94" i="8"/>
  <c r="J94" i="8"/>
  <c r="I94" i="8"/>
  <c r="D94" i="8"/>
  <c r="P94" i="8"/>
  <c r="N94" i="8"/>
  <c r="F94" i="8"/>
  <c r="O98" i="8"/>
  <c r="G98" i="8"/>
  <c r="P98" i="8"/>
  <c r="F98" i="8"/>
  <c r="K98" i="8"/>
  <c r="Q98" i="8"/>
  <c r="D98" i="8"/>
  <c r="J98" i="8"/>
  <c r="E98" i="8"/>
  <c r="M98" i="8"/>
  <c r="L98" i="8"/>
  <c r="I98" i="8"/>
  <c r="H98" i="8"/>
  <c r="N98" i="8"/>
  <c r="O102" i="8"/>
  <c r="G102" i="8"/>
  <c r="N102" i="8"/>
  <c r="E102" i="8"/>
  <c r="J102" i="8"/>
  <c r="I102" i="8"/>
  <c r="P102" i="8"/>
  <c r="M102" i="8"/>
  <c r="L102" i="8"/>
  <c r="K102" i="8"/>
  <c r="F102" i="8"/>
  <c r="D102" i="8"/>
  <c r="Q102" i="8"/>
  <c r="H102" i="8"/>
  <c r="O106" i="8"/>
  <c r="G106" i="8"/>
  <c r="M106" i="8"/>
  <c r="D106" i="8"/>
  <c r="I106" i="8"/>
  <c r="N106" i="8"/>
  <c r="H106" i="8"/>
  <c r="F106" i="8"/>
  <c r="E106" i="8"/>
  <c r="P106" i="8"/>
  <c r="L106" i="8"/>
  <c r="K106" i="8"/>
  <c r="J106" i="8"/>
  <c r="Q106" i="8"/>
  <c r="O110" i="8"/>
  <c r="G110" i="8"/>
  <c r="L110" i="8"/>
  <c r="Q110" i="8"/>
  <c r="H110" i="8"/>
  <c r="F110" i="8"/>
  <c r="M110" i="8"/>
  <c r="P110" i="8"/>
  <c r="N110" i="8"/>
  <c r="K110" i="8"/>
  <c r="I110" i="8"/>
  <c r="E110" i="8"/>
  <c r="D110" i="8"/>
  <c r="J110" i="8"/>
  <c r="O114" i="8"/>
  <c r="G114" i="8"/>
  <c r="K114" i="8"/>
  <c r="P114" i="8"/>
  <c r="F114" i="8"/>
  <c r="L114" i="8"/>
  <c r="E114" i="8"/>
  <c r="I114" i="8"/>
  <c r="H114" i="8"/>
  <c r="D114" i="8"/>
  <c r="Q114" i="8"/>
  <c r="N114" i="8"/>
  <c r="M114" i="8"/>
  <c r="J114" i="8"/>
  <c r="O118" i="8"/>
  <c r="G118" i="8"/>
  <c r="J118" i="8"/>
  <c r="N118" i="8"/>
  <c r="E118" i="8"/>
  <c r="Q118" i="8"/>
  <c r="D118" i="8"/>
  <c r="K118" i="8"/>
  <c r="P118" i="8"/>
  <c r="M118" i="8"/>
  <c r="I118" i="8"/>
  <c r="H118" i="8"/>
  <c r="F118" i="8"/>
  <c r="L118" i="8"/>
  <c r="O122" i="8"/>
  <c r="AH122" i="8" s="1"/>
  <c r="G122" i="8"/>
  <c r="V122" i="8" s="1"/>
  <c r="I122" i="8"/>
  <c r="M122" i="8"/>
  <c r="AE122" i="8" s="1"/>
  <c r="D122" i="8"/>
  <c r="R122" i="8" s="1"/>
  <c r="J122" i="8"/>
  <c r="P122" i="8"/>
  <c r="K122" i="8"/>
  <c r="AB122" i="8" s="1"/>
  <c r="H122" i="8"/>
  <c r="X122" i="8" s="1"/>
  <c r="F122" i="8"/>
  <c r="Q122" i="8"/>
  <c r="AK122" i="8" s="1"/>
  <c r="N122" i="8"/>
  <c r="AG122" i="8" s="1"/>
  <c r="L122" i="8"/>
  <c r="E122" i="8"/>
  <c r="O126" i="8"/>
  <c r="AH126" i="8" s="1"/>
  <c r="G126" i="8"/>
  <c r="V126" i="8" s="1"/>
  <c r="Q126" i="8"/>
  <c r="AK126" i="8" s="1"/>
  <c r="H126" i="8"/>
  <c r="X126" i="8" s="1"/>
  <c r="L126" i="8"/>
  <c r="AD126" i="8" s="1"/>
  <c r="N126" i="8"/>
  <c r="I126" i="8"/>
  <c r="D126" i="8"/>
  <c r="R126" i="8" s="1"/>
  <c r="P126" i="8"/>
  <c r="AJ126" i="8" s="1"/>
  <c r="K126" i="8"/>
  <c r="AB126" i="8" s="1"/>
  <c r="J126" i="8"/>
  <c r="AA126" i="8" s="1"/>
  <c r="F126" i="8"/>
  <c r="E126" i="8"/>
  <c r="S126" i="8" s="1"/>
  <c r="M126" i="8"/>
  <c r="AE126" i="8" s="1"/>
  <c r="O130" i="8"/>
  <c r="AH130" i="8" s="1"/>
  <c r="G130" i="8"/>
  <c r="V130" i="8" s="1"/>
  <c r="J130" i="8"/>
  <c r="AA130" i="8" s="1"/>
  <c r="P130" i="8"/>
  <c r="AJ130" i="8" s="1"/>
  <c r="F130" i="8"/>
  <c r="N130" i="8"/>
  <c r="AG130" i="8" s="1"/>
  <c r="E130" i="8"/>
  <c r="K130" i="8"/>
  <c r="AB130" i="8" s="1"/>
  <c r="L130" i="8"/>
  <c r="AD130" i="8" s="1"/>
  <c r="M130" i="8"/>
  <c r="AE130" i="8" s="1"/>
  <c r="I130" i="8"/>
  <c r="H130" i="8"/>
  <c r="X130" i="8" s="1"/>
  <c r="Q130" i="8"/>
  <c r="D130" i="8"/>
  <c r="R130" i="8" s="1"/>
  <c r="O6" i="8"/>
  <c r="G6" i="8"/>
  <c r="V6" i="8" s="1"/>
  <c r="N6" i="8"/>
  <c r="AG6" i="8" s="1"/>
  <c r="F6" i="8"/>
  <c r="U6" i="8" s="1"/>
  <c r="H6" i="8"/>
  <c r="M6" i="8"/>
  <c r="AE6" i="8" s="1"/>
  <c r="E6" i="8"/>
  <c r="S6" i="8" s="1"/>
  <c r="K6" i="8"/>
  <c r="AB6" i="8" s="1"/>
  <c r="J6" i="8"/>
  <c r="P6" i="8"/>
  <c r="L6" i="8"/>
  <c r="D6" i="8"/>
  <c r="R6" i="8" s="1"/>
  <c r="Q6" i="8"/>
  <c r="AK6" i="8" s="1"/>
  <c r="I6" i="8"/>
  <c r="Y6" i="8" s="1"/>
  <c r="O10" i="8"/>
  <c r="AH10" i="8" s="1"/>
  <c r="G10" i="8"/>
  <c r="V10" i="8" s="1"/>
  <c r="K10" i="8"/>
  <c r="AB10" i="8" s="1"/>
  <c r="P10" i="8"/>
  <c r="AJ10" i="8" s="1"/>
  <c r="N10" i="8"/>
  <c r="D10" i="8"/>
  <c r="M10" i="8"/>
  <c r="AE10" i="8" s="1"/>
  <c r="L10" i="8"/>
  <c r="J10" i="8"/>
  <c r="I10" i="8"/>
  <c r="Y10" i="8" s="1"/>
  <c r="H10" i="8"/>
  <c r="Q10" i="8"/>
  <c r="AK10" i="8" s="1"/>
  <c r="F10" i="8"/>
  <c r="E10" i="8"/>
  <c r="S10" i="8" s="1"/>
  <c r="O18" i="8"/>
  <c r="G18" i="8"/>
  <c r="K18" i="8"/>
  <c r="I18" i="8"/>
  <c r="H18" i="8"/>
  <c r="Q18" i="8"/>
  <c r="F18" i="8"/>
  <c r="P18" i="8"/>
  <c r="E18" i="8"/>
  <c r="N18" i="8"/>
  <c r="D18" i="8"/>
  <c r="M18" i="8"/>
  <c r="L18" i="8"/>
  <c r="J18" i="8"/>
  <c r="Y118" i="8" l="1"/>
  <c r="AE117" i="8"/>
  <c r="AK120" i="8"/>
  <c r="AE116" i="8"/>
  <c r="AB121" i="8"/>
  <c r="AA116" i="8"/>
  <c r="AE119" i="8"/>
  <c r="AK118" i="8"/>
  <c r="S118" i="8"/>
  <c r="AD121" i="8"/>
  <c r="Y121" i="8"/>
  <c r="AH117" i="8"/>
  <c r="AD120" i="8"/>
  <c r="AG120" i="8"/>
  <c r="Y116" i="8"/>
  <c r="X118" i="8"/>
  <c r="AG118" i="8"/>
  <c r="AH121" i="8"/>
  <c r="AB117" i="8"/>
  <c r="S117" i="8"/>
  <c r="Y120" i="8"/>
  <c r="V119" i="8"/>
  <c r="S119" i="8"/>
  <c r="AB119" i="8"/>
  <c r="AB120" i="8"/>
  <c r="V118" i="8"/>
  <c r="V121" i="8"/>
  <c r="S121" i="8"/>
  <c r="V116" i="8"/>
  <c r="Y119" i="8"/>
  <c r="AE118" i="8"/>
  <c r="AJ118" i="8"/>
  <c r="AH118" i="8"/>
  <c r="AE121" i="8"/>
  <c r="AD117" i="8"/>
  <c r="U120" i="8"/>
  <c r="X116" i="8"/>
  <c r="AK119" i="8"/>
  <c r="AB118" i="8"/>
  <c r="U121" i="8"/>
  <c r="Y117" i="8"/>
  <c r="V117" i="8"/>
  <c r="AJ120" i="8"/>
  <c r="AK116" i="8"/>
  <c r="U116" i="8"/>
  <c r="R118" i="8"/>
  <c r="AK121" i="8"/>
  <c r="AK117" i="8"/>
  <c r="X120" i="8"/>
  <c r="AE120" i="8"/>
  <c r="R116" i="8"/>
  <c r="AH116" i="8"/>
  <c r="AD118" i="8"/>
  <c r="S120" i="8"/>
  <c r="AH119" i="8"/>
  <c r="W14" i="9"/>
  <c r="R14" i="9"/>
  <c r="U16" i="8"/>
  <c r="AK12" i="8"/>
  <c r="AD15" i="8"/>
  <c r="AJ14" i="8"/>
  <c r="V14" i="8"/>
  <c r="V17" i="8"/>
  <c r="U13" i="8"/>
  <c r="AH13" i="8"/>
  <c r="U15" i="8"/>
  <c r="AK15" i="8"/>
  <c r="AG17" i="8"/>
  <c r="AD12" i="8"/>
  <c r="AK17" i="8"/>
  <c r="AD13" i="8"/>
  <c r="AE13" i="8"/>
  <c r="AA16" i="8"/>
  <c r="V12" i="8"/>
  <c r="S17" i="8"/>
  <c r="AE16" i="8"/>
  <c r="AH12" i="8"/>
  <c r="AG15" i="8"/>
  <c r="S15" i="8"/>
  <c r="S14" i="8"/>
  <c r="AB14" i="8"/>
  <c r="AA17" i="8"/>
  <c r="AE17" i="8"/>
  <c r="R13" i="8"/>
  <c r="S12" i="8"/>
  <c r="AB12" i="8"/>
  <c r="R15" i="8"/>
  <c r="AE15" i="8"/>
  <c r="Y15" i="8"/>
  <c r="AH14" i="8"/>
  <c r="AB17" i="8"/>
  <c r="V13" i="8"/>
  <c r="AJ13" i="8"/>
  <c r="AK16" i="8"/>
  <c r="S16" i="8"/>
  <c r="U14" i="8"/>
  <c r="X13" i="8"/>
  <c r="X16" i="8"/>
  <c r="AA12" i="8"/>
  <c r="AJ15" i="8"/>
  <c r="Y14" i="8"/>
  <c r="AH17" i="8"/>
  <c r="AA13" i="8"/>
  <c r="AK13" i="8"/>
  <c r="V16" i="8"/>
  <c r="V15" i="8"/>
  <c r="AE14" i="8"/>
  <c r="AK14" i="8"/>
  <c r="Y17" i="8"/>
  <c r="AB13" i="8"/>
  <c r="S13" i="8"/>
  <c r="AD16" i="8"/>
  <c r="AH16" i="8"/>
  <c r="AE12" i="8"/>
  <c r="Y12" i="8"/>
  <c r="AB15" i="8"/>
  <c r="X15" i="8"/>
  <c r="X114" i="8"/>
  <c r="AH114" i="8"/>
  <c r="X113" i="8"/>
  <c r="AK115" i="8"/>
  <c r="Y113" i="8"/>
  <c r="AE114" i="8"/>
  <c r="U114" i="8"/>
  <c r="AE115" i="8"/>
  <c r="AG114" i="8"/>
  <c r="AJ114" i="8"/>
  <c r="AH113" i="8"/>
  <c r="S113" i="8"/>
  <c r="AK114" i="8"/>
  <c r="AB114" i="8"/>
  <c r="AE113" i="8"/>
  <c r="V115" i="8"/>
  <c r="AH115" i="8"/>
  <c r="S114" i="8"/>
  <c r="R114" i="8"/>
  <c r="V114" i="8"/>
  <c r="Y115" i="8"/>
  <c r="Y114" i="8"/>
  <c r="AK113" i="8"/>
  <c r="AB113" i="8"/>
  <c r="AA113" i="8"/>
  <c r="V113" i="8"/>
  <c r="S115" i="8"/>
  <c r="AA115" i="8"/>
  <c r="AE111" i="8"/>
  <c r="S112" i="8"/>
  <c r="AJ112" i="8"/>
  <c r="AK112" i="8"/>
  <c r="AB112" i="8"/>
  <c r="AK111" i="8"/>
  <c r="AH111" i="8"/>
  <c r="Y112" i="8"/>
  <c r="AB111" i="8"/>
  <c r="S111" i="8"/>
  <c r="AH112" i="8"/>
  <c r="X112" i="8"/>
  <c r="V112" i="8"/>
  <c r="S110" i="8"/>
  <c r="AE112" i="8"/>
  <c r="AD112" i="8"/>
  <c r="Y111" i="8"/>
  <c r="AK110" i="8"/>
  <c r="AB110" i="8"/>
  <c r="AH110" i="8"/>
  <c r="Y110" i="8"/>
  <c r="AE110" i="8"/>
  <c r="U110" i="8"/>
  <c r="X110" i="8"/>
  <c r="AB109" i="8"/>
  <c r="AE109" i="8"/>
  <c r="AG109" i="8"/>
  <c r="X109" i="8"/>
  <c r="AD109" i="8"/>
  <c r="U109" i="8"/>
  <c r="AH109" i="8"/>
  <c r="AK109" i="8"/>
  <c r="V109" i="8"/>
  <c r="AA109" i="8"/>
  <c r="S109" i="8"/>
  <c r="S106" i="8"/>
  <c r="AH106" i="8"/>
  <c r="AJ107" i="8"/>
  <c r="AJ108" i="8"/>
  <c r="AA106" i="8"/>
  <c r="Y108" i="8"/>
  <c r="AH107" i="8"/>
  <c r="U106" i="8"/>
  <c r="S107" i="8"/>
  <c r="Y107" i="8"/>
  <c r="AA108" i="8"/>
  <c r="V107" i="8"/>
  <c r="AK107" i="8"/>
  <c r="X108" i="8"/>
  <c r="AK106" i="8"/>
  <c r="AG106" i="8"/>
  <c r="AA107" i="8"/>
  <c r="AH108" i="8"/>
  <c r="AK108" i="8"/>
  <c r="Y106" i="8"/>
  <c r="U107" i="8"/>
  <c r="V108" i="8"/>
  <c r="AB106" i="8"/>
  <c r="AE108" i="8"/>
  <c r="AE106" i="8"/>
  <c r="AG107" i="8"/>
  <c r="AB108" i="8"/>
  <c r="V106" i="8"/>
  <c r="AE107" i="8"/>
  <c r="S108" i="8"/>
  <c r="AK105" i="8"/>
  <c r="AA105" i="8"/>
  <c r="AH105" i="8"/>
  <c r="AJ105" i="8"/>
  <c r="V105" i="8"/>
  <c r="R105" i="8"/>
  <c r="S104" i="8"/>
  <c r="X105" i="8"/>
  <c r="AB105" i="8"/>
  <c r="Y105" i="8"/>
  <c r="S105" i="8"/>
  <c r="AE105" i="8"/>
  <c r="R104" i="8"/>
  <c r="AH104" i="8"/>
  <c r="AK104" i="8"/>
  <c r="AB104" i="8"/>
  <c r="V104" i="8"/>
  <c r="AJ104" i="8"/>
  <c r="Y104" i="8"/>
  <c r="AE104" i="8"/>
  <c r="U104" i="8"/>
  <c r="AG104" i="8"/>
  <c r="AH103" i="8"/>
  <c r="Y103" i="8"/>
  <c r="AK103" i="8"/>
  <c r="AE103" i="8"/>
  <c r="AB103" i="8"/>
  <c r="V103" i="8"/>
  <c r="S103" i="8"/>
  <c r="U103" i="8"/>
  <c r="AB102" i="8"/>
  <c r="X102" i="8"/>
  <c r="Y102" i="8"/>
  <c r="V102" i="8"/>
  <c r="AK102" i="8"/>
  <c r="AA102" i="8"/>
  <c r="AH102" i="8"/>
  <c r="AE102" i="8"/>
  <c r="S102" i="8"/>
  <c r="AE99" i="8"/>
  <c r="X99" i="8"/>
  <c r="AK100" i="8"/>
  <c r="S100" i="8"/>
  <c r="V101" i="8"/>
  <c r="AJ101" i="8"/>
  <c r="AH101" i="8"/>
  <c r="AH100" i="8"/>
  <c r="AA99" i="8"/>
  <c r="X101" i="8"/>
  <c r="AA101" i="8"/>
  <c r="AB100" i="8"/>
  <c r="U101" i="8"/>
  <c r="Y101" i="8"/>
  <c r="S101" i="8"/>
  <c r="AG99" i="8"/>
  <c r="AE101" i="8"/>
  <c r="Y100" i="8"/>
  <c r="R101" i="8"/>
  <c r="V100" i="8"/>
  <c r="Y99" i="8"/>
  <c r="AK101" i="8"/>
  <c r="AE100" i="8"/>
  <c r="S99" i="8"/>
  <c r="AK99" i="8"/>
  <c r="V99" i="8"/>
  <c r="AK98" i="8"/>
  <c r="AG98" i="8"/>
  <c r="Y98" i="8"/>
  <c r="AD98" i="8"/>
  <c r="AE98" i="8"/>
  <c r="V98" i="8"/>
  <c r="S98" i="8"/>
  <c r="AA98" i="8"/>
  <c r="S97" i="8"/>
  <c r="Y97" i="8"/>
  <c r="AD97" i="8"/>
  <c r="AB97" i="8"/>
  <c r="AH97" i="8"/>
  <c r="V97" i="8"/>
  <c r="AK97" i="8"/>
  <c r="AG95" i="8"/>
  <c r="AK96" i="8"/>
  <c r="R96" i="8"/>
  <c r="AE96" i="8"/>
  <c r="AB96" i="8"/>
  <c r="AH96" i="8"/>
  <c r="S96" i="8"/>
  <c r="AD96" i="8"/>
  <c r="V96" i="8"/>
  <c r="Y96" i="8"/>
  <c r="S95" i="8"/>
  <c r="AK94" i="8"/>
  <c r="AK95" i="8"/>
  <c r="AB95" i="8"/>
  <c r="AH95" i="8"/>
  <c r="AE93" i="8"/>
  <c r="V95" i="8"/>
  <c r="AE95" i="8"/>
  <c r="Y95" i="8"/>
  <c r="Y94" i="8"/>
  <c r="V94" i="8"/>
  <c r="AH94" i="8"/>
  <c r="AE94" i="8"/>
  <c r="S94" i="8"/>
  <c r="AB94" i="8"/>
  <c r="Y93" i="8"/>
  <c r="AD92" i="8"/>
  <c r="AG93" i="8"/>
  <c r="AB93" i="8"/>
  <c r="X93" i="8"/>
  <c r="V91" i="8"/>
  <c r="R93" i="8"/>
  <c r="AH93" i="8"/>
  <c r="AJ93" i="8"/>
  <c r="AD93" i="8"/>
  <c r="AD91" i="8"/>
  <c r="AK93" i="8"/>
  <c r="U93" i="8"/>
  <c r="S93" i="8"/>
  <c r="Y92" i="8"/>
  <c r="AK91" i="8"/>
  <c r="AA92" i="8"/>
  <c r="AH92" i="8"/>
  <c r="AB91" i="8"/>
  <c r="S91" i="8"/>
  <c r="AE92" i="8"/>
  <c r="AH91" i="8"/>
  <c r="AJ91" i="8"/>
  <c r="X92" i="8"/>
  <c r="X91" i="8"/>
  <c r="S92" i="8"/>
  <c r="AK92" i="8"/>
  <c r="AE91" i="8"/>
  <c r="V92" i="8"/>
  <c r="AK90" i="8"/>
  <c r="X90" i="8"/>
  <c r="AH90" i="8"/>
  <c r="S90" i="8"/>
  <c r="AE90" i="8"/>
  <c r="AA90" i="8"/>
  <c r="Y90" i="8"/>
  <c r="AB90" i="8"/>
  <c r="V90" i="8"/>
  <c r="S89" i="8"/>
  <c r="AH89" i="8"/>
  <c r="AK88" i="8"/>
  <c r="AB89" i="8"/>
  <c r="X89" i="8"/>
  <c r="V89" i="8"/>
  <c r="AG89" i="8"/>
  <c r="AJ89" i="8"/>
  <c r="AE89" i="8"/>
  <c r="AK89" i="8"/>
  <c r="AE88" i="8"/>
  <c r="AH88" i="8"/>
  <c r="S88" i="8"/>
  <c r="V88" i="8"/>
  <c r="AB88" i="8"/>
  <c r="X88" i="8"/>
  <c r="AD88" i="8"/>
  <c r="AJ88" i="8"/>
  <c r="V87" i="8"/>
  <c r="U87" i="8"/>
  <c r="AD87" i="8"/>
  <c r="Y87" i="8"/>
  <c r="AH87" i="8"/>
  <c r="AB87" i="8"/>
  <c r="AK87" i="8"/>
  <c r="AJ87" i="8"/>
  <c r="AE87" i="8"/>
  <c r="S87" i="8"/>
  <c r="R83" i="8"/>
  <c r="V86" i="8"/>
  <c r="R86" i="8"/>
  <c r="AE86" i="8"/>
  <c r="AD86" i="8"/>
  <c r="S86" i="8"/>
  <c r="AG86" i="8"/>
  <c r="AK86" i="8"/>
  <c r="AA86" i="8"/>
  <c r="Y86" i="8"/>
  <c r="AK84" i="8"/>
  <c r="AB85" i="8"/>
  <c r="AD85" i="8"/>
  <c r="V85" i="8"/>
  <c r="AA85" i="8"/>
  <c r="AE85" i="8"/>
  <c r="AE84" i="8"/>
  <c r="AH84" i="8"/>
  <c r="AG84" i="8"/>
  <c r="S84" i="8"/>
  <c r="AK85" i="8"/>
  <c r="Y85" i="8"/>
  <c r="AH85" i="8"/>
  <c r="AB84" i="8"/>
  <c r="AJ85" i="8"/>
  <c r="S85" i="8"/>
  <c r="Y84" i="8"/>
  <c r="V84" i="8"/>
  <c r="AB83" i="8"/>
  <c r="AH83" i="8"/>
  <c r="Y83" i="8"/>
  <c r="AD83" i="8"/>
  <c r="AE83" i="8"/>
  <c r="X83" i="8"/>
  <c r="AK83" i="8"/>
  <c r="S83" i="8"/>
  <c r="U83" i="8"/>
  <c r="AG83" i="8"/>
  <c r="AH82" i="8"/>
  <c r="AK82" i="8"/>
  <c r="Y82" i="8"/>
  <c r="AB82" i="8"/>
  <c r="AA82" i="8"/>
  <c r="AE82" i="8"/>
  <c r="S82" i="8"/>
  <c r="V82" i="8"/>
  <c r="A15" i="9"/>
  <c r="M14" i="9"/>
  <c r="H14" i="9"/>
  <c r="AE81" i="8"/>
  <c r="AG81" i="8"/>
  <c r="S81" i="8"/>
  <c r="V81" i="8"/>
  <c r="AH81" i="8"/>
  <c r="X81" i="8"/>
  <c r="AB81" i="8"/>
  <c r="AK81" i="8"/>
  <c r="U81" i="8"/>
  <c r="AA81" i="8"/>
  <c r="AB80" i="8"/>
  <c r="Y80" i="8"/>
  <c r="X80" i="8"/>
  <c r="AA80" i="8"/>
  <c r="AK80" i="8"/>
  <c r="AH80" i="8"/>
  <c r="S80" i="8"/>
  <c r="V80" i="8"/>
  <c r="AE80" i="8"/>
  <c r="AG79" i="8"/>
  <c r="AH79" i="8"/>
  <c r="AJ79" i="8"/>
  <c r="AE79" i="8"/>
  <c r="X79" i="8"/>
  <c r="X78" i="8"/>
  <c r="S79" i="8"/>
  <c r="U79" i="8"/>
  <c r="AK79" i="8"/>
  <c r="V79" i="8"/>
  <c r="AB79" i="8"/>
  <c r="AA79" i="8"/>
  <c r="AD79" i="8"/>
  <c r="AK78" i="8"/>
  <c r="AH78" i="8"/>
  <c r="Y78" i="8"/>
  <c r="AE78" i="8"/>
  <c r="V78" i="8"/>
  <c r="AJ78" i="8"/>
  <c r="S78" i="8"/>
  <c r="AA78" i="8"/>
  <c r="AB77" i="8"/>
  <c r="AD77" i="8"/>
  <c r="AA77" i="8"/>
  <c r="S77" i="8"/>
  <c r="AE77" i="8"/>
  <c r="R77" i="8"/>
  <c r="AJ77" i="8"/>
  <c r="AH77" i="8"/>
  <c r="AG77" i="8"/>
  <c r="X77" i="8"/>
  <c r="V77" i="8"/>
  <c r="R76" i="8"/>
  <c r="V76" i="8"/>
  <c r="AH76" i="8"/>
  <c r="S76" i="8"/>
  <c r="AK76" i="8"/>
  <c r="Y76" i="8"/>
  <c r="AA76" i="8"/>
  <c r="AE76" i="8"/>
  <c r="AB76" i="8"/>
  <c r="AJ75" i="8"/>
  <c r="S75" i="8"/>
  <c r="V75" i="8"/>
  <c r="AE75" i="8"/>
  <c r="X75" i="8"/>
  <c r="AB75" i="8"/>
  <c r="R75" i="8"/>
  <c r="AG75" i="8"/>
  <c r="AH75" i="8"/>
  <c r="Y75" i="8"/>
  <c r="U75" i="8"/>
  <c r="AK75" i="8"/>
  <c r="AE74" i="8"/>
  <c r="Y74" i="8"/>
  <c r="AK74" i="8"/>
  <c r="V74" i="8"/>
  <c r="AH74" i="8"/>
  <c r="R74" i="8"/>
  <c r="AB74" i="8"/>
  <c r="AG74" i="8"/>
  <c r="S74" i="8"/>
  <c r="U74" i="8"/>
  <c r="R73" i="8"/>
  <c r="AJ73" i="8"/>
  <c r="X73" i="8"/>
  <c r="U73" i="8"/>
  <c r="AA73" i="8"/>
  <c r="AB73" i="8"/>
  <c r="S73" i="8"/>
  <c r="AD73" i="8"/>
  <c r="AE73" i="8"/>
  <c r="AJ72" i="8"/>
  <c r="V72" i="8"/>
  <c r="AB71" i="8"/>
  <c r="X72" i="8"/>
  <c r="Y72" i="8"/>
  <c r="V71" i="8"/>
  <c r="AK72" i="8"/>
  <c r="AG72" i="8"/>
  <c r="AE72" i="8"/>
  <c r="S72" i="8"/>
  <c r="AB72" i="8"/>
  <c r="U72" i="8"/>
  <c r="AH72" i="8"/>
  <c r="AJ71" i="8"/>
  <c r="X71" i="8"/>
  <c r="R71" i="8"/>
  <c r="Y71" i="8"/>
  <c r="AH71" i="8"/>
  <c r="AK71" i="8"/>
  <c r="AE71" i="8"/>
  <c r="S71" i="8"/>
  <c r="AD71" i="8"/>
  <c r="U71" i="8"/>
  <c r="AO56" i="8"/>
  <c r="AB70" i="8"/>
  <c r="AE70" i="8"/>
  <c r="AH70" i="8"/>
  <c r="AE68" i="8"/>
  <c r="S70" i="8"/>
  <c r="AK70" i="8"/>
  <c r="Y70" i="8"/>
  <c r="V70" i="8"/>
  <c r="V69" i="8"/>
  <c r="R69" i="8"/>
  <c r="AH69" i="8"/>
  <c r="X69" i="8"/>
  <c r="AB69" i="8"/>
  <c r="Y69" i="8"/>
  <c r="AK68" i="8"/>
  <c r="AE69" i="8"/>
  <c r="AG69" i="8"/>
  <c r="AJ69" i="8"/>
  <c r="S68" i="8"/>
  <c r="AB68" i="8"/>
  <c r="Y68" i="8"/>
  <c r="V68" i="8"/>
  <c r="AH68" i="8"/>
  <c r="S67" i="8"/>
  <c r="AU39" i="8"/>
  <c r="AH67" i="8"/>
  <c r="U64" i="8"/>
  <c r="AD67" i="8"/>
  <c r="V67" i="8"/>
  <c r="Y67" i="8"/>
  <c r="AB67" i="8"/>
  <c r="AK67" i="8"/>
  <c r="AE67" i="8"/>
  <c r="AE64" i="8"/>
  <c r="V66" i="8"/>
  <c r="AK66" i="8"/>
  <c r="AH65" i="8"/>
  <c r="AA64" i="8"/>
  <c r="Y66" i="8"/>
  <c r="AB66" i="8"/>
  <c r="AE66" i="8"/>
  <c r="S66" i="8"/>
  <c r="AH66" i="8"/>
  <c r="AB65" i="8"/>
  <c r="S65" i="8"/>
  <c r="V65" i="8"/>
  <c r="AE65" i="8"/>
  <c r="Y65" i="8"/>
  <c r="AK65" i="8"/>
  <c r="Y64" i="8"/>
  <c r="S64" i="8"/>
  <c r="X64" i="8"/>
  <c r="AJ64" i="8"/>
  <c r="V64" i="8"/>
  <c r="AK64" i="8"/>
  <c r="AH64" i="8"/>
  <c r="U63" i="8"/>
  <c r="AH63" i="8"/>
  <c r="X63" i="8"/>
  <c r="S63" i="8"/>
  <c r="AA63" i="8"/>
  <c r="AE63" i="8"/>
  <c r="AK63" i="8"/>
  <c r="AG63" i="8"/>
  <c r="R63" i="8"/>
  <c r="V63" i="8"/>
  <c r="AD63" i="8"/>
  <c r="R62" i="8"/>
  <c r="Y62" i="8"/>
  <c r="V60" i="8"/>
  <c r="AK60" i="8"/>
  <c r="X62" i="8"/>
  <c r="R60" i="8"/>
  <c r="AB62" i="8"/>
  <c r="V62" i="8"/>
  <c r="AJ62" i="8"/>
  <c r="AH62" i="8"/>
  <c r="AD62" i="8"/>
  <c r="AK62" i="8"/>
  <c r="S62" i="8"/>
  <c r="AE62" i="8"/>
  <c r="AE60" i="8"/>
  <c r="AJ56" i="8"/>
  <c r="AG61" i="8"/>
  <c r="AE61" i="8"/>
  <c r="AE59" i="8"/>
  <c r="AK61" i="8"/>
  <c r="V61" i="8"/>
  <c r="V59" i="8"/>
  <c r="Y61" i="8"/>
  <c r="AH61" i="8"/>
  <c r="AA61" i="8"/>
  <c r="AB61" i="8"/>
  <c r="R61" i="8"/>
  <c r="AD61" i="8"/>
  <c r="U61" i="8"/>
  <c r="S61" i="8"/>
  <c r="AH60" i="8"/>
  <c r="Y60" i="8"/>
  <c r="AB60" i="8"/>
  <c r="AJ59" i="8"/>
  <c r="AB56" i="8"/>
  <c r="AW104" i="8"/>
  <c r="AA59" i="8"/>
  <c r="AS71" i="8"/>
  <c r="AY69" i="8"/>
  <c r="AA71" i="8"/>
  <c r="S59" i="8"/>
  <c r="AK59" i="8"/>
  <c r="AB59" i="8"/>
  <c r="AH59" i="8"/>
  <c r="Y59" i="8"/>
  <c r="AK57" i="8"/>
  <c r="AE57" i="8"/>
  <c r="AH58" i="8"/>
  <c r="AE56" i="8"/>
  <c r="AH57" i="8"/>
  <c r="R58" i="8"/>
  <c r="Y58" i="8"/>
  <c r="AK58" i="8"/>
  <c r="AJ58" i="8"/>
  <c r="S58" i="8"/>
  <c r="AE58" i="8"/>
  <c r="AB58" i="8"/>
  <c r="V58" i="8"/>
  <c r="AH56" i="8"/>
  <c r="AB57" i="8"/>
  <c r="AJ57" i="8"/>
  <c r="AA56" i="8"/>
  <c r="AD57" i="8"/>
  <c r="U57" i="8"/>
  <c r="S57" i="8"/>
  <c r="Y57" i="8"/>
  <c r="AG57" i="8"/>
  <c r="V57" i="8"/>
  <c r="Y56" i="8"/>
  <c r="V56" i="8"/>
  <c r="S56" i="8"/>
  <c r="AC60" i="8"/>
  <c r="S55" i="8"/>
  <c r="AG55" i="8"/>
  <c r="AW25" i="8"/>
  <c r="AL56" i="8"/>
  <c r="AS89" i="8"/>
  <c r="AH55" i="8"/>
  <c r="V55" i="8"/>
  <c r="R55" i="8"/>
  <c r="U55" i="8"/>
  <c r="X55" i="8"/>
  <c r="Y55" i="8"/>
  <c r="AA55" i="8"/>
  <c r="AK55" i="8"/>
  <c r="AD54" i="8"/>
  <c r="AK54" i="8"/>
  <c r="AY21" i="8"/>
  <c r="AE54" i="8"/>
  <c r="AA54" i="8"/>
  <c r="R54" i="8"/>
  <c r="AJ54" i="8"/>
  <c r="V54" i="8"/>
  <c r="AB54" i="8"/>
  <c r="AH54" i="8"/>
  <c r="Y54" i="8"/>
  <c r="AJ53" i="8"/>
  <c r="AK53" i="8"/>
  <c r="AH53" i="8"/>
  <c r="AU19" i="8"/>
  <c r="Z107" i="8"/>
  <c r="AC92" i="8"/>
  <c r="V53" i="8"/>
  <c r="U53" i="8"/>
  <c r="S53" i="8"/>
  <c r="AE53" i="8"/>
  <c r="Y53" i="8"/>
  <c r="AA53" i="8"/>
  <c r="AO24" i="8"/>
  <c r="AW77" i="8"/>
  <c r="AF55" i="8"/>
  <c r="AI121" i="8"/>
  <c r="AM106" i="8"/>
  <c r="C106" i="8" s="1"/>
  <c r="AK52" i="8"/>
  <c r="U52" i="8"/>
  <c r="AK51" i="8"/>
  <c r="AE51" i="8"/>
  <c r="V51" i="8"/>
  <c r="S52" i="8"/>
  <c r="AY63" i="8"/>
  <c r="AB51" i="8"/>
  <c r="AL13" i="8"/>
  <c r="AD52" i="8"/>
  <c r="Y51" i="8"/>
  <c r="AQ63" i="8"/>
  <c r="AH52" i="8"/>
  <c r="AH51" i="8"/>
  <c r="AB52" i="8"/>
  <c r="Y50" i="8"/>
  <c r="AM19" i="8"/>
  <c r="C19" i="8" s="1"/>
  <c r="Y52" i="8"/>
  <c r="AB50" i="8"/>
  <c r="AG51" i="8"/>
  <c r="V52" i="8"/>
  <c r="AW32" i="8"/>
  <c r="AE50" i="8"/>
  <c r="AG52" i="8"/>
  <c r="AE52" i="8"/>
  <c r="V50" i="8"/>
  <c r="X51" i="8"/>
  <c r="AE49" i="8"/>
  <c r="R51" i="8"/>
  <c r="T81" i="8"/>
  <c r="AS69" i="8"/>
  <c r="AB49" i="8"/>
  <c r="U51" i="8"/>
  <c r="AA51" i="8"/>
  <c r="S49" i="8"/>
  <c r="AH50" i="8"/>
  <c r="AJ63" i="8"/>
  <c r="AL63" i="8"/>
  <c r="AK50" i="8"/>
  <c r="AE55" i="8"/>
  <c r="AJ51" i="8"/>
  <c r="W87" i="8"/>
  <c r="S50" i="8"/>
  <c r="AL81" i="8"/>
  <c r="AY22" i="8"/>
  <c r="Z113" i="8"/>
  <c r="AY81" i="8"/>
  <c r="AQ113" i="8"/>
  <c r="AJ81" i="8"/>
  <c r="W58" i="8"/>
  <c r="AM57" i="8"/>
  <c r="AI122" i="8"/>
  <c r="AU26" i="8"/>
  <c r="AI73" i="8"/>
  <c r="AA49" i="8"/>
  <c r="T77" i="8"/>
  <c r="Y49" i="8"/>
  <c r="AS114" i="8"/>
  <c r="W102" i="8"/>
  <c r="AI77" i="8"/>
  <c r="AW122" i="8"/>
  <c r="AG73" i="8"/>
  <c r="AH49" i="8"/>
  <c r="AK49" i="8"/>
  <c r="Y48" i="8"/>
  <c r="V48" i="8"/>
  <c r="AK48" i="8"/>
  <c r="AG48" i="8"/>
  <c r="X48" i="8"/>
  <c r="AE48" i="8"/>
  <c r="S48" i="8"/>
  <c r="AB48" i="8"/>
  <c r="AH48" i="8"/>
  <c r="V46" i="8"/>
  <c r="AG47" i="8"/>
  <c r="AH47" i="8"/>
  <c r="R47" i="8"/>
  <c r="AE47" i="8"/>
  <c r="V47" i="8"/>
  <c r="AC47" i="8"/>
  <c r="AD47" i="8"/>
  <c r="X47" i="8"/>
  <c r="S47" i="8"/>
  <c r="U47" i="8"/>
  <c r="AB47" i="8"/>
  <c r="S46" i="8"/>
  <c r="AD46" i="8"/>
  <c r="AH46" i="8"/>
  <c r="AB46" i="8"/>
  <c r="Y46" i="8"/>
  <c r="AK46" i="8"/>
  <c r="AE46" i="8"/>
  <c r="S45" i="8"/>
  <c r="AE45" i="8"/>
  <c r="S44" i="8"/>
  <c r="AA45" i="8"/>
  <c r="R45" i="8"/>
  <c r="AH45" i="8"/>
  <c r="Y45" i="8"/>
  <c r="AK45" i="8"/>
  <c r="AG44" i="8"/>
  <c r="V45" i="8"/>
  <c r="U43" i="8"/>
  <c r="AE44" i="8"/>
  <c r="AB44" i="8"/>
  <c r="AB43" i="8"/>
  <c r="AH44" i="8"/>
  <c r="V44" i="8"/>
  <c r="AK44" i="8"/>
  <c r="Y44" i="8"/>
  <c r="AK43" i="8"/>
  <c r="R43" i="8"/>
  <c r="S43" i="8"/>
  <c r="Y43" i="8"/>
  <c r="AE43" i="8"/>
  <c r="AD43" i="8"/>
  <c r="AJ43" i="8"/>
  <c r="V43" i="8"/>
  <c r="AH43" i="8"/>
  <c r="AB42" i="8"/>
  <c r="AI53" i="8"/>
  <c r="AQ73" i="8"/>
  <c r="AH42" i="8"/>
  <c r="AJ42" i="8"/>
  <c r="R42" i="8"/>
  <c r="AD42" i="8"/>
  <c r="S42" i="8"/>
  <c r="V42" i="8"/>
  <c r="AK42" i="8"/>
  <c r="U102" i="8"/>
  <c r="AE42" i="8"/>
  <c r="U42" i="8"/>
  <c r="X42" i="8"/>
  <c r="AK41" i="8"/>
  <c r="AD41" i="8"/>
  <c r="S41" i="8"/>
  <c r="Y41" i="8"/>
  <c r="R41" i="8"/>
  <c r="AB41" i="8"/>
  <c r="AA41" i="8"/>
  <c r="V41" i="8"/>
  <c r="AJ41" i="8"/>
  <c r="AI41" i="8"/>
  <c r="AG41" i="8"/>
  <c r="AE41" i="8"/>
  <c r="Y40" i="8"/>
  <c r="AF46" i="8"/>
  <c r="AJ40" i="8"/>
  <c r="U40" i="8"/>
  <c r="AB40" i="8"/>
  <c r="X40" i="8"/>
  <c r="AD40" i="8"/>
  <c r="AK40" i="8"/>
  <c r="V40" i="8"/>
  <c r="AH40" i="8"/>
  <c r="R40" i="8"/>
  <c r="AE40" i="8"/>
  <c r="AA40" i="8"/>
  <c r="AU46" i="8"/>
  <c r="AI71" i="8"/>
  <c r="AO112" i="8"/>
  <c r="AO104" i="8"/>
  <c r="V39" i="8"/>
  <c r="R39" i="8"/>
  <c r="AJ39" i="8"/>
  <c r="X39" i="8"/>
  <c r="AH39" i="8"/>
  <c r="S39" i="8"/>
  <c r="AB39" i="8"/>
  <c r="AE39" i="8"/>
  <c r="AG37" i="8"/>
  <c r="AA37" i="8"/>
  <c r="AH38" i="8"/>
  <c r="AJ38" i="8"/>
  <c r="AB37" i="8"/>
  <c r="AE38" i="8"/>
  <c r="AE37" i="8"/>
  <c r="U37" i="8"/>
  <c r="AB38" i="8"/>
  <c r="AK38" i="8"/>
  <c r="AH37" i="8"/>
  <c r="AJ37" i="8"/>
  <c r="S38" i="8"/>
  <c r="AK37" i="8"/>
  <c r="V38" i="8"/>
  <c r="S37" i="8"/>
  <c r="Y38" i="8"/>
  <c r="X37" i="8"/>
  <c r="V37" i="8"/>
  <c r="X38" i="8"/>
  <c r="AA38" i="8"/>
  <c r="AE36" i="8"/>
  <c r="AC12" i="8"/>
  <c r="V36" i="8"/>
  <c r="X36" i="8"/>
  <c r="AB36" i="8"/>
  <c r="S36" i="8"/>
  <c r="Y36" i="8"/>
  <c r="AK36" i="8"/>
  <c r="AA36" i="8"/>
  <c r="AH36" i="8"/>
  <c r="AE35" i="8"/>
  <c r="AU77" i="8"/>
  <c r="AL79" i="8"/>
  <c r="T35" i="8"/>
  <c r="AG35" i="8"/>
  <c r="X35" i="8"/>
  <c r="R35" i="8"/>
  <c r="W35" i="8"/>
  <c r="AB35" i="8"/>
  <c r="Y35" i="8"/>
  <c r="AJ35" i="8"/>
  <c r="AK35" i="8"/>
  <c r="V35" i="8"/>
  <c r="T88" i="8"/>
  <c r="AL101" i="8"/>
  <c r="AC71" i="8"/>
  <c r="AQ102" i="8"/>
  <c r="U35" i="8"/>
  <c r="AQ112" i="8"/>
  <c r="AU109" i="8"/>
  <c r="AM88" i="8"/>
  <c r="AM77" i="8"/>
  <c r="AN77" i="8" s="1"/>
  <c r="AF63" i="8"/>
  <c r="AY48" i="8"/>
  <c r="AI79" i="8"/>
  <c r="AY101" i="8"/>
  <c r="V34" i="8"/>
  <c r="AE34" i="8"/>
  <c r="AH34" i="8"/>
  <c r="Y34" i="8"/>
  <c r="S34" i="8"/>
  <c r="AK34" i="8"/>
  <c r="AB34" i="8"/>
  <c r="AB33" i="8"/>
  <c r="AL88" i="8"/>
  <c r="AM20" i="8"/>
  <c r="C20" i="8" s="1"/>
  <c r="W104" i="8"/>
  <c r="S33" i="8"/>
  <c r="AM52" i="8"/>
  <c r="AA33" i="8"/>
  <c r="Y33" i="8"/>
  <c r="T79" i="8"/>
  <c r="AE33" i="8"/>
  <c r="AO114" i="8"/>
  <c r="AK33" i="8"/>
  <c r="AH33" i="8"/>
  <c r="V33" i="8"/>
  <c r="AI104" i="8"/>
  <c r="Z83" i="8"/>
  <c r="AF77" i="8"/>
  <c r="Z35" i="8"/>
  <c r="Z109" i="8"/>
  <c r="AQ35" i="8"/>
  <c r="AC55" i="8"/>
  <c r="AM98" i="8"/>
  <c r="C98" i="8" s="1"/>
  <c r="AC37" i="8"/>
  <c r="AS37" i="8"/>
  <c r="AD32" i="8"/>
  <c r="V32" i="8"/>
  <c r="R32" i="8"/>
  <c r="AB32" i="8"/>
  <c r="S32" i="8"/>
  <c r="AE32" i="8"/>
  <c r="AH32" i="8"/>
  <c r="X32" i="8"/>
  <c r="U32" i="8"/>
  <c r="AJ32" i="8"/>
  <c r="AD29" i="8"/>
  <c r="AH31" i="8"/>
  <c r="AK30" i="8"/>
  <c r="AG29" i="8"/>
  <c r="AB30" i="8"/>
  <c r="AL29" i="8"/>
  <c r="AB31" i="8"/>
  <c r="Y30" i="8"/>
  <c r="AA31" i="8"/>
  <c r="S31" i="8"/>
  <c r="AD31" i="8"/>
  <c r="S30" i="8"/>
  <c r="Y31" i="8"/>
  <c r="AJ29" i="8"/>
  <c r="AE30" i="8"/>
  <c r="AH30" i="8"/>
  <c r="V31" i="8"/>
  <c r="V30" i="8"/>
  <c r="AK31" i="8"/>
  <c r="U29" i="8"/>
  <c r="V29" i="8"/>
  <c r="R29" i="8"/>
  <c r="AH29" i="8"/>
  <c r="AE29" i="8"/>
  <c r="X29" i="8"/>
  <c r="S29" i="8"/>
  <c r="AB29" i="8"/>
  <c r="AA29" i="8"/>
  <c r="AU83" i="8"/>
  <c r="R106" i="8"/>
  <c r="AY54" i="8"/>
  <c r="AL54" i="8"/>
  <c r="AM79" i="8"/>
  <c r="R57" i="8"/>
  <c r="W40" i="8"/>
  <c r="T57" i="8"/>
  <c r="AO40" i="8"/>
  <c r="AI35" i="8"/>
  <c r="Y73" i="8"/>
  <c r="AM108" i="8"/>
  <c r="AO81" i="8"/>
  <c r="AQ80" i="8"/>
  <c r="AM32" i="8"/>
  <c r="C32" i="8" s="1"/>
  <c r="AF120" i="8"/>
  <c r="Z105" i="8"/>
  <c r="W73" i="8"/>
  <c r="AY79" i="8"/>
  <c r="T108" i="8"/>
  <c r="W81" i="8"/>
  <c r="R79" i="8"/>
  <c r="T32" i="8"/>
  <c r="AB28" i="8"/>
  <c r="AY85" i="8"/>
  <c r="AI61" i="8"/>
  <c r="AL85" i="8"/>
  <c r="W53" i="8"/>
  <c r="Z80" i="8"/>
  <c r="R108" i="8"/>
  <c r="AL78" i="8"/>
  <c r="AQ9" i="8"/>
  <c r="AC32" i="8"/>
  <c r="AI63" i="8"/>
  <c r="AA28" i="8"/>
  <c r="Z102" i="8"/>
  <c r="AU93" i="8"/>
  <c r="V28" i="8"/>
  <c r="AY88" i="8"/>
  <c r="R28" i="8"/>
  <c r="AU118" i="8"/>
  <c r="AQ105" i="8"/>
  <c r="AC64" i="8"/>
  <c r="S28" i="8"/>
  <c r="AF40" i="8"/>
  <c r="AF118" i="8"/>
  <c r="Z32" i="8"/>
  <c r="AE28" i="8"/>
  <c r="AU40" i="8"/>
  <c r="Y28" i="8"/>
  <c r="AH28" i="8"/>
  <c r="AD28" i="8"/>
  <c r="AI120" i="8"/>
  <c r="AF109" i="8"/>
  <c r="AW111" i="8"/>
  <c r="AJ28" i="8"/>
  <c r="AL62" i="8"/>
  <c r="AY62" i="8"/>
  <c r="AI111" i="8"/>
  <c r="AL16" i="8"/>
  <c r="AB27" i="8"/>
  <c r="AM132" i="8"/>
  <c r="AZ132" i="8" s="1"/>
  <c r="AE27" i="8"/>
  <c r="X27" i="8"/>
  <c r="AF9" i="8"/>
  <c r="AG27" i="8"/>
  <c r="AJ16" i="8"/>
  <c r="AA47" i="8"/>
  <c r="Y27" i="8"/>
  <c r="R27" i="8"/>
  <c r="AG111" i="8"/>
  <c r="AW69" i="8"/>
  <c r="AS47" i="8"/>
  <c r="AK27" i="8"/>
  <c r="AQ83" i="8"/>
  <c r="V27" i="8"/>
  <c r="AF89" i="8"/>
  <c r="AY120" i="8"/>
  <c r="S27" i="8"/>
  <c r="AW63" i="8"/>
  <c r="AY122" i="8"/>
  <c r="AQ5" i="8"/>
  <c r="AH27" i="8"/>
  <c r="AO98" i="8"/>
  <c r="X107" i="8"/>
  <c r="AQ107" i="8"/>
  <c r="AM122" i="8"/>
  <c r="C122" i="8" s="1"/>
  <c r="AJ122" i="8"/>
  <c r="AL122" i="8"/>
  <c r="AC81" i="8"/>
  <c r="AC113" i="8"/>
  <c r="AQ108" i="8"/>
  <c r="T106" i="8"/>
  <c r="AS113" i="8"/>
  <c r="T55" i="8"/>
  <c r="AM55" i="8"/>
  <c r="C55" i="8" s="1"/>
  <c r="R81" i="8"/>
  <c r="AI13" i="8"/>
  <c r="AF81" i="8"/>
  <c r="AU9" i="8"/>
  <c r="AU31" i="8"/>
  <c r="AM81" i="8"/>
  <c r="Z112" i="8"/>
  <c r="AF83" i="8"/>
  <c r="Y26" i="8"/>
  <c r="AL51" i="8"/>
  <c r="AW126" i="8"/>
  <c r="AY51" i="8"/>
  <c r="R26" i="8"/>
  <c r="AF26" i="8"/>
  <c r="AA26" i="8"/>
  <c r="AB26" i="8"/>
  <c r="V26" i="8"/>
  <c r="AD26" i="8"/>
  <c r="AG26" i="8"/>
  <c r="S26" i="8"/>
  <c r="AK26" i="8"/>
  <c r="AY83" i="8"/>
  <c r="U26" i="8"/>
  <c r="AE26" i="8"/>
  <c r="AM111" i="8"/>
  <c r="C111" i="8" s="1"/>
  <c r="AL39" i="8"/>
  <c r="AW21" i="8"/>
  <c r="W14" i="8"/>
  <c r="AY16" i="8"/>
  <c r="AL35" i="8"/>
  <c r="AW98" i="8"/>
  <c r="AA114" i="8"/>
  <c r="R111" i="8"/>
  <c r="AO77" i="8"/>
  <c r="T111" i="8"/>
  <c r="AM121" i="8"/>
  <c r="C121" i="8" s="1"/>
  <c r="T121" i="8"/>
  <c r="AA69" i="8"/>
  <c r="AI81" i="8"/>
  <c r="W85" i="8"/>
  <c r="AQ104" i="8"/>
  <c r="Z85" i="8"/>
  <c r="AA89" i="8"/>
  <c r="Z15" i="8"/>
  <c r="AW101" i="8"/>
  <c r="W69" i="8"/>
  <c r="AU13" i="8"/>
  <c r="AC114" i="8"/>
  <c r="AS32" i="8"/>
  <c r="AC89" i="8"/>
  <c r="AO118" i="8"/>
  <c r="AA32" i="8"/>
  <c r="R121" i="8"/>
  <c r="AJ48" i="8"/>
  <c r="T52" i="8"/>
  <c r="AS107" i="8"/>
  <c r="AF57" i="8"/>
  <c r="AW13" i="8"/>
  <c r="AF79" i="8"/>
  <c r="AC69" i="8"/>
  <c r="AU57" i="8"/>
  <c r="AO87" i="8"/>
  <c r="AQ72" i="8"/>
  <c r="AS98" i="8"/>
  <c r="AI118" i="8"/>
  <c r="AW118" i="8"/>
  <c r="Z104" i="8"/>
  <c r="W106" i="8"/>
  <c r="AO85" i="8"/>
  <c r="AL64" i="8"/>
  <c r="AM29" i="8"/>
  <c r="AF13" i="8"/>
  <c r="AI101" i="8"/>
  <c r="U69" i="8"/>
  <c r="AY15" i="8"/>
  <c r="AQ88" i="8"/>
  <c r="Z88" i="8"/>
  <c r="T13" i="8"/>
  <c r="T130" i="8"/>
  <c r="X104" i="8"/>
  <c r="AC106" i="8"/>
  <c r="AC78" i="8"/>
  <c r="W74" i="8"/>
  <c r="AF29" i="8"/>
  <c r="AM47" i="8"/>
  <c r="AS29" i="8"/>
  <c r="Z27" i="8"/>
  <c r="AO69" i="8"/>
  <c r="AD89" i="8"/>
  <c r="AG126" i="8"/>
  <c r="AL118" i="8"/>
  <c r="AS99" i="8"/>
  <c r="AS106" i="8"/>
  <c r="AU79" i="8"/>
  <c r="X85" i="8"/>
  <c r="AU29" i="8"/>
  <c r="AL53" i="8"/>
  <c r="AQ27" i="8"/>
  <c r="T61" i="8"/>
  <c r="AM40" i="8"/>
  <c r="C40" i="8" s="1"/>
  <c r="W71" i="8"/>
  <c r="AM63" i="8"/>
  <c r="AY35" i="8"/>
  <c r="AI114" i="8"/>
  <c r="AG101" i="8"/>
  <c r="U112" i="8"/>
  <c r="W101" i="8"/>
  <c r="AQ85" i="8"/>
  <c r="AW81" i="8"/>
  <c r="T63" i="8"/>
  <c r="W52" i="8"/>
  <c r="T47" i="8"/>
  <c r="AC29" i="8"/>
  <c r="AJ83" i="8"/>
  <c r="AO71" i="8"/>
  <c r="AS130" i="8"/>
  <c r="AO101" i="8"/>
  <c r="AU98" i="8"/>
  <c r="AY53" i="8"/>
  <c r="AG13" i="8"/>
  <c r="AM13" i="8"/>
  <c r="AL15" i="8"/>
  <c r="V25" i="8"/>
  <c r="Z33" i="8"/>
  <c r="AS12" i="8"/>
  <c r="AG25" i="8"/>
  <c r="T29" i="8"/>
  <c r="W122" i="8"/>
  <c r="AO21" i="8"/>
  <c r="AI25" i="8"/>
  <c r="S25" i="8"/>
  <c r="AE25" i="8"/>
  <c r="AK25" i="8"/>
  <c r="Z72" i="8"/>
  <c r="Y25" i="8"/>
  <c r="AO22" i="8"/>
  <c r="U25" i="8"/>
  <c r="AH25" i="8"/>
  <c r="AB25" i="8"/>
  <c r="AI126" i="8"/>
  <c r="AO126" i="8"/>
  <c r="AW53" i="8"/>
  <c r="Z73" i="8"/>
  <c r="AU120" i="8"/>
  <c r="T109" i="8"/>
  <c r="AS42" i="8"/>
  <c r="AW47" i="8"/>
  <c r="W118" i="8"/>
  <c r="AM24" i="8"/>
  <c r="C24" i="8" s="1"/>
  <c r="AW24" i="8"/>
  <c r="AS5" i="8"/>
  <c r="Z97" i="8"/>
  <c r="AO130" i="8"/>
  <c r="AS20" i="8"/>
  <c r="AQ22" i="8"/>
  <c r="AM21" i="8"/>
  <c r="C21" i="8" s="1"/>
  <c r="AM39" i="8"/>
  <c r="C39" i="8" s="1"/>
  <c r="W98" i="8"/>
  <c r="AI69" i="8"/>
  <c r="AL14" i="8"/>
  <c r="AL42" i="8"/>
  <c r="AF39" i="8"/>
  <c r="AI55" i="8"/>
  <c r="U130" i="8"/>
  <c r="U126" i="8"/>
  <c r="AG121" i="8"/>
  <c r="W112" i="8"/>
  <c r="AM109" i="8"/>
  <c r="Z92" i="8"/>
  <c r="AY105" i="8"/>
  <c r="AI86" i="8"/>
  <c r="AU89" i="8"/>
  <c r="AM71" i="8"/>
  <c r="AY78" i="8"/>
  <c r="W75" i="8"/>
  <c r="AC53" i="8"/>
  <c r="AG53" i="8"/>
  <c r="AY43" i="8"/>
  <c r="T39" i="8"/>
  <c r="AO53" i="8"/>
  <c r="AL43" i="8"/>
  <c r="AG24" i="8"/>
  <c r="AC9" i="8"/>
  <c r="AD39" i="8"/>
  <c r="AF45" i="8"/>
  <c r="W63" i="8"/>
  <c r="U98" i="8"/>
  <c r="AL58" i="8"/>
  <c r="AI32" i="8"/>
  <c r="AO35" i="8"/>
  <c r="T9" i="8"/>
  <c r="AU63" i="8"/>
  <c r="T15" i="8"/>
  <c r="AL126" i="8"/>
  <c r="AW114" i="8"/>
  <c r="AW121" i="8"/>
  <c r="AL112" i="8"/>
  <c r="T104" i="8"/>
  <c r="R109" i="8"/>
  <c r="AL105" i="8"/>
  <c r="AI106" i="8"/>
  <c r="AM61" i="8"/>
  <c r="C61" i="8" s="1"/>
  <c r="T54" i="8"/>
  <c r="AI52" i="8"/>
  <c r="U24" i="8"/>
  <c r="AI47" i="8"/>
  <c r="T37" i="8"/>
  <c r="AI29" i="8"/>
  <c r="AY13" i="8"/>
  <c r="AW55" i="8"/>
  <c r="AL102" i="8"/>
  <c r="AC63" i="8"/>
  <c r="AU69" i="8"/>
  <c r="Y88" i="8"/>
  <c r="AM9" i="8"/>
  <c r="AX9" i="8" s="1"/>
  <c r="AL120" i="8"/>
  <c r="W56" i="8"/>
  <c r="AO14" i="8"/>
  <c r="X97" i="8"/>
  <c r="T83" i="8"/>
  <c r="X24" i="8"/>
  <c r="AQ33" i="8"/>
  <c r="AM104" i="8"/>
  <c r="AO132" i="8"/>
  <c r="T132" i="8"/>
  <c r="U122" i="8"/>
  <c r="AL104" i="8"/>
  <c r="AU88" i="8"/>
  <c r="AI89" i="8"/>
  <c r="R88" i="8"/>
  <c r="AW106" i="8"/>
  <c r="AM83" i="8"/>
  <c r="AI75" i="8"/>
  <c r="AC59" i="8"/>
  <c r="AD55" i="8"/>
  <c r="AW52" i="8"/>
  <c r="AW37" i="8"/>
  <c r="AW29" i="8"/>
  <c r="R24" i="8"/>
  <c r="AM15" i="8"/>
  <c r="AA5" i="8"/>
  <c r="AS9" i="8"/>
  <c r="X33" i="8"/>
  <c r="U56" i="8"/>
  <c r="AQ15" i="8"/>
  <c r="AW75" i="8"/>
  <c r="U118" i="8"/>
  <c r="AO102" i="8"/>
  <c r="AU62" i="8"/>
  <c r="AS56" i="8"/>
  <c r="AS59" i="8"/>
  <c r="AG71" i="8"/>
  <c r="AI37" i="8"/>
  <c r="AG32" i="8"/>
  <c r="R52" i="8"/>
  <c r="AF88" i="8"/>
  <c r="AY126" i="8"/>
  <c r="AY14" i="8"/>
  <c r="AJ24" i="8"/>
  <c r="AL83" i="8"/>
  <c r="AW93" i="8"/>
  <c r="AY107" i="8"/>
  <c r="AY104" i="8"/>
  <c r="AW89" i="8"/>
  <c r="AY64" i="8"/>
  <c r="AW71" i="8"/>
  <c r="AL48" i="8"/>
  <c r="AM27" i="8"/>
  <c r="AO16" i="8"/>
  <c r="W16" i="8"/>
  <c r="AO63" i="8"/>
  <c r="AU45" i="8"/>
  <c r="AO64" i="8"/>
  <c r="AY10" i="8"/>
  <c r="R19" i="8"/>
  <c r="AQ49" i="8"/>
  <c r="AF74" i="8"/>
  <c r="AW79" i="8"/>
  <c r="V20" i="8"/>
  <c r="AU21" i="8"/>
  <c r="T120" i="8"/>
  <c r="AO79" i="8"/>
  <c r="AY112" i="8"/>
  <c r="AO106" i="8"/>
  <c r="AM101" i="8"/>
  <c r="U85" i="8"/>
  <c r="AL89" i="8"/>
  <c r="AB63" i="8"/>
  <c r="AI72" i="8"/>
  <c r="AY71" i="8"/>
  <c r="AK24" i="8"/>
  <c r="AO32" i="8"/>
  <c r="AY58" i="8"/>
  <c r="AO29" i="8"/>
  <c r="AF32" i="8"/>
  <c r="AO48" i="8"/>
  <c r="R120" i="8"/>
  <c r="T26" i="8"/>
  <c r="W42" i="8"/>
  <c r="U21" i="8"/>
  <c r="AI98" i="8"/>
  <c r="AH98" i="8"/>
  <c r="AM120" i="8"/>
  <c r="AU52" i="8"/>
  <c r="S21" i="8"/>
  <c r="AU15" i="8"/>
  <c r="AM74" i="8"/>
  <c r="C74" i="8" s="1"/>
  <c r="AQ36" i="8"/>
  <c r="AO42" i="8"/>
  <c r="AC98" i="8"/>
  <c r="AB24" i="8"/>
  <c r="Z108" i="8"/>
  <c r="T98" i="8"/>
  <c r="R98" i="8"/>
  <c r="AW130" i="8"/>
  <c r="AQ91" i="8"/>
  <c r="AD74" i="8"/>
  <c r="AF52" i="8"/>
  <c r="T74" i="8"/>
  <c r="AO13" i="8"/>
  <c r="AM26" i="8"/>
  <c r="Z5" i="8"/>
  <c r="AF20" i="8"/>
  <c r="AC5" i="8"/>
  <c r="AI130" i="8"/>
  <c r="AU126" i="8"/>
  <c r="AY102" i="8"/>
  <c r="AW74" i="8"/>
  <c r="AM93" i="8"/>
  <c r="AM42" i="8"/>
  <c r="AF42" i="8"/>
  <c r="AO25" i="8"/>
  <c r="X5" i="8"/>
  <c r="AW61" i="8"/>
  <c r="T101" i="8"/>
  <c r="AB98" i="8"/>
  <c r="AJ102" i="8"/>
  <c r="AQ90" i="8"/>
  <c r="AF96" i="8"/>
  <c r="AW72" i="8"/>
  <c r="AO52" i="8"/>
  <c r="X22" i="8"/>
  <c r="W25" i="8"/>
  <c r="AF15" i="8"/>
  <c r="W32" i="8"/>
  <c r="R20" i="8"/>
  <c r="V23" i="8"/>
  <c r="AY116" i="8"/>
  <c r="AM80" i="8"/>
  <c r="AC130" i="8"/>
  <c r="AO93" i="8"/>
  <c r="W79" i="8"/>
  <c r="T93" i="8"/>
  <c r="Z38" i="8"/>
  <c r="Y22" i="8"/>
  <c r="AY42" i="8"/>
  <c r="W29" i="8"/>
  <c r="W13" i="8"/>
  <c r="AD81" i="8"/>
  <c r="AU81" i="8"/>
  <c r="AC77" i="8"/>
  <c r="AA60" i="8"/>
  <c r="T43" i="8"/>
  <c r="Z62" i="8"/>
  <c r="Y24" i="8"/>
  <c r="AB23" i="8"/>
  <c r="AI24" i="8"/>
  <c r="Z22" i="8"/>
  <c r="AJ20" i="8"/>
  <c r="AH23" i="8"/>
  <c r="AL114" i="8"/>
  <c r="W126" i="8"/>
  <c r="AE24" i="8"/>
  <c r="AH22" i="8"/>
  <c r="AU85" i="8"/>
  <c r="AF24" i="8"/>
  <c r="AO51" i="8"/>
  <c r="AJ116" i="8"/>
  <c r="AI109" i="8"/>
  <c r="AS77" i="8"/>
  <c r="AY72" i="8"/>
  <c r="S23" i="8"/>
  <c r="AD21" i="8"/>
  <c r="AK23" i="8"/>
  <c r="AO75" i="8"/>
  <c r="S24" i="8"/>
  <c r="W24" i="8"/>
  <c r="AM126" i="8"/>
  <c r="AU130" i="8"/>
  <c r="W124" i="8"/>
  <c r="AL116" i="8"/>
  <c r="AA20" i="8"/>
  <c r="T19" i="8"/>
  <c r="AF126" i="8"/>
  <c r="Z90" i="8"/>
  <c r="AM86" i="8"/>
  <c r="V24" i="8"/>
  <c r="AH24" i="8"/>
  <c r="AD24" i="8"/>
  <c r="W132" i="8"/>
  <c r="AF130" i="8"/>
  <c r="AY114" i="8"/>
  <c r="AO124" i="8"/>
  <c r="AY108" i="8"/>
  <c r="AW109" i="8"/>
  <c r="AQ92" i="8"/>
  <c r="AS60" i="8"/>
  <c r="W37" i="8"/>
  <c r="AK18" i="8"/>
  <c r="AA22" i="8"/>
  <c r="AM62" i="8"/>
  <c r="AF106" i="8"/>
  <c r="AL108" i="8"/>
  <c r="S22" i="8"/>
  <c r="AK22" i="8"/>
  <c r="AC20" i="8"/>
  <c r="U22" i="8"/>
  <c r="Y23" i="8"/>
  <c r="AL22" i="8"/>
  <c r="AE23" i="8"/>
  <c r="AE22" i="8"/>
  <c r="X21" i="8"/>
  <c r="AS118" i="8"/>
  <c r="R80" i="8"/>
  <c r="AL41" i="8"/>
  <c r="AL37" i="8"/>
  <c r="AB22" i="8"/>
  <c r="W22" i="8"/>
  <c r="AW9" i="8"/>
  <c r="AJ22" i="8"/>
  <c r="AU54" i="8"/>
  <c r="T24" i="8"/>
  <c r="W49" i="8"/>
  <c r="AL107" i="8"/>
  <c r="AQ78" i="8"/>
  <c r="T62" i="8"/>
  <c r="AO9" i="8"/>
  <c r="AI9" i="8"/>
  <c r="V22" i="8"/>
  <c r="AQ122" i="8"/>
  <c r="Y122" i="8"/>
  <c r="W109" i="8"/>
  <c r="AO107" i="8"/>
  <c r="AC90" i="8"/>
  <c r="AF98" i="8"/>
  <c r="AF71" i="8"/>
  <c r="S40" i="8"/>
  <c r="AB19" i="8"/>
  <c r="AF54" i="8"/>
  <c r="AS21" i="8"/>
  <c r="AB115" i="8"/>
  <c r="AC115" i="8"/>
  <c r="T114" i="8"/>
  <c r="AU74" i="8"/>
  <c r="AS55" i="8"/>
  <c r="AB55" i="8"/>
  <c r="AF69" i="8"/>
  <c r="AD69" i="8"/>
  <c r="AI93" i="8"/>
  <c r="AW48" i="8"/>
  <c r="AI48" i="8"/>
  <c r="AS81" i="8"/>
  <c r="T27" i="8"/>
  <c r="X49" i="8"/>
  <c r="Z49" i="8"/>
  <c r="W111" i="8"/>
  <c r="V111" i="8"/>
  <c r="AS63" i="8"/>
  <c r="AL72" i="8"/>
  <c r="AC17" i="8"/>
  <c r="T118" i="8"/>
  <c r="AF93" i="8"/>
  <c r="AC126" i="8"/>
  <c r="AM118" i="8"/>
  <c r="AO109" i="8"/>
  <c r="AU92" i="8"/>
  <c r="AU71" i="8"/>
  <c r="W72" i="8"/>
  <c r="AQ62" i="8"/>
  <c r="AO72" i="8"/>
  <c r="AW44" i="8"/>
  <c r="U49" i="8"/>
  <c r="W43" i="8"/>
  <c r="AL10" i="8"/>
  <c r="S69" i="8"/>
  <c r="T69" i="8"/>
  <c r="AM69" i="8"/>
  <c r="AM114" i="8"/>
  <c r="AK73" i="8"/>
  <c r="AL73" i="8"/>
  <c r="AI74" i="8"/>
  <c r="AY39" i="8"/>
  <c r="AK39" i="8"/>
  <c r="W55" i="8"/>
  <c r="T40" i="8"/>
  <c r="AW43" i="8"/>
  <c r="AY9" i="8"/>
  <c r="AL9" i="8"/>
  <c r="AJ9" i="8"/>
  <c r="AO47" i="8"/>
  <c r="AF62" i="8"/>
  <c r="AC40" i="8"/>
  <c r="AS40" i="8"/>
  <c r="AU24" i="8"/>
  <c r="AO37" i="8"/>
  <c r="W47" i="8"/>
  <c r="AS39" i="8"/>
  <c r="AC39" i="8"/>
  <c r="T46" i="8"/>
  <c r="AM46" i="8"/>
  <c r="R46" i="8"/>
  <c r="AC127" i="8"/>
  <c r="AY91" i="8"/>
  <c r="AO55" i="8"/>
  <c r="AO43" i="8"/>
  <c r="AA39" i="8"/>
  <c r="AD18" i="8"/>
  <c r="AW27" i="8"/>
  <c r="AL20" i="8"/>
  <c r="AD114" i="8"/>
  <c r="AF114" i="8"/>
  <c r="AU114" i="8"/>
  <c r="AS101" i="8"/>
  <c r="AB101" i="8"/>
  <c r="AS115" i="8"/>
  <c r="W130" i="8"/>
  <c r="W93" i="8"/>
  <c r="V93" i="8"/>
  <c r="AY89" i="8"/>
  <c r="T71" i="8"/>
  <c r="AI42" i="8"/>
  <c r="AW42" i="8"/>
  <c r="AG42" i="8"/>
  <c r="AQ43" i="8"/>
  <c r="Z43" i="8"/>
  <c r="X43" i="8"/>
  <c r="AU132" i="8"/>
  <c r="AF132" i="8"/>
  <c r="AF37" i="8"/>
  <c r="AD37" i="8"/>
  <c r="Z132" i="8"/>
  <c r="AS126" i="8"/>
  <c r="Z120" i="8"/>
  <c r="AF125" i="8"/>
  <c r="AS127" i="8"/>
  <c r="AU112" i="8"/>
  <c r="AY118" i="8"/>
  <c r="AW107" i="8"/>
  <c r="T105" i="8"/>
  <c r="Z75" i="8"/>
  <c r="T58" i="8"/>
  <c r="AF18" i="8"/>
  <c r="AD19" i="8"/>
  <c r="AI27" i="8"/>
  <c r="AG21" i="8"/>
  <c r="AA21" i="8"/>
  <c r="AY93" i="8"/>
  <c r="AL93" i="8"/>
  <c r="AD106" i="8"/>
  <c r="AU106" i="8"/>
  <c r="W77" i="8"/>
  <c r="U77" i="8"/>
  <c r="AC109" i="8"/>
  <c r="AY29" i="8"/>
  <c r="AK29" i="8"/>
  <c r="R37" i="8"/>
  <c r="AM37" i="8"/>
  <c r="W9" i="8"/>
  <c r="AY73" i="8"/>
  <c r="U58" i="8"/>
  <c r="AO58" i="8"/>
  <c r="AY37" i="8"/>
  <c r="AU32" i="8"/>
  <c r="AI14" i="8"/>
  <c r="AW14" i="8"/>
  <c r="AG14" i="8"/>
  <c r="AQ120" i="8"/>
  <c r="AD132" i="8"/>
  <c r="AU125" i="8"/>
  <c r="AI107" i="8"/>
  <c r="AQ117" i="8"/>
  <c r="W107" i="8"/>
  <c r="Z99" i="8"/>
  <c r="W89" i="8"/>
  <c r="AI83" i="8"/>
  <c r="AQ75" i="8"/>
  <c r="AM58" i="8"/>
  <c r="AU37" i="8"/>
  <c r="AS13" i="8"/>
  <c r="R21" i="8"/>
  <c r="AM6" i="8"/>
  <c r="AP6" i="8" s="1"/>
  <c r="AC79" i="8"/>
  <c r="AS79" i="8"/>
  <c r="T126" i="8"/>
  <c r="AA93" i="8"/>
  <c r="AC93" i="8"/>
  <c r="AL71" i="8"/>
  <c r="AS109" i="8"/>
  <c r="AI51" i="8"/>
  <c r="AW51" i="8"/>
  <c r="AJ47" i="8"/>
  <c r="AY47" i="8"/>
  <c r="Z36" i="8"/>
  <c r="AC56" i="8"/>
  <c r="T42" i="8"/>
  <c r="AY132" i="8"/>
  <c r="AS85" i="8"/>
  <c r="AC76" i="8"/>
  <c r="AO74" i="8"/>
  <c r="AF43" i="8"/>
  <c r="AD45" i="8"/>
  <c r="AO89" i="8"/>
  <c r="U89" i="8"/>
  <c r="AI43" i="8"/>
  <c r="AG43" i="8"/>
  <c r="AU55" i="8"/>
  <c r="AW16" i="8"/>
  <c r="AI16" i="8"/>
  <c r="AG16" i="8"/>
  <c r="AU42" i="8"/>
  <c r="AQ57" i="8"/>
  <c r="Z57" i="8"/>
  <c r="X57" i="8"/>
  <c r="T86" i="8"/>
  <c r="AU47" i="8"/>
  <c r="AF47" i="8"/>
  <c r="U48" i="8"/>
  <c r="W48" i="8"/>
  <c r="AG40" i="8"/>
  <c r="AI40" i="8"/>
  <c r="AW40" i="8"/>
  <c r="AY57" i="8"/>
  <c r="AS76" i="8"/>
  <c r="W51" i="8"/>
  <c r="W18" i="8"/>
  <c r="AJ21" i="8"/>
  <c r="T6" i="8"/>
  <c r="Z122" i="8"/>
  <c r="AF101" i="8"/>
  <c r="AD101" i="8"/>
  <c r="AU101" i="8"/>
  <c r="AO122" i="8"/>
  <c r="W114" i="8"/>
  <c r="T89" i="8"/>
  <c r="AM89" i="8"/>
  <c r="R89" i="8"/>
  <c r="AJ109" i="8"/>
  <c r="AY109" i="8"/>
  <c r="AL109" i="8"/>
  <c r="Z78" i="8"/>
  <c r="AY55" i="8"/>
  <c r="AL55" i="8"/>
  <c r="AJ55" i="8"/>
  <c r="Z117" i="8"/>
  <c r="X117" i="8"/>
  <c r="AC101" i="8"/>
  <c r="AQ48" i="8"/>
  <c r="Z48" i="8"/>
  <c r="AS93" i="8"/>
  <c r="AC42" i="8"/>
  <c r="AA42" i="8"/>
  <c r="AL47" i="8"/>
  <c r="AK47" i="8"/>
  <c r="AC118" i="8"/>
  <c r="AA118" i="8"/>
  <c r="AC24" i="8"/>
  <c r="AS24" i="8"/>
  <c r="AA24" i="8"/>
  <c r="AC13" i="8"/>
  <c r="U111" i="8"/>
  <c r="AO111" i="8"/>
  <c r="AL57" i="8"/>
  <c r="AL129" i="8"/>
  <c r="AJ129" i="8"/>
  <c r="AY129" i="8"/>
  <c r="AM117" i="8"/>
  <c r="T117" i="8"/>
  <c r="R117" i="8"/>
  <c r="AC123" i="8"/>
  <c r="AS123" i="8"/>
  <c r="AA123" i="8"/>
  <c r="AS129" i="8"/>
  <c r="AC129" i="8"/>
  <c r="AA129" i="8"/>
  <c r="AU121" i="8"/>
  <c r="AQ132" i="8"/>
  <c r="AU124" i="8"/>
  <c r="X123" i="8"/>
  <c r="AQ123" i="8"/>
  <c r="Z123" i="8"/>
  <c r="AF116" i="8"/>
  <c r="AD116" i="8"/>
  <c r="AU116" i="8"/>
  <c r="W127" i="8"/>
  <c r="AO127" i="8"/>
  <c r="U127" i="8"/>
  <c r="AF127" i="8"/>
  <c r="AD127" i="8"/>
  <c r="AU127" i="8"/>
  <c r="AA112" i="8"/>
  <c r="AC112" i="8"/>
  <c r="AS112" i="8"/>
  <c r="AF131" i="8"/>
  <c r="AU131" i="8"/>
  <c r="AD131" i="8"/>
  <c r="AA128" i="8"/>
  <c r="AS128" i="8"/>
  <c r="AC128" i="8"/>
  <c r="AQ128" i="8"/>
  <c r="X128" i="8"/>
  <c r="Z128" i="8"/>
  <c r="AM113" i="8"/>
  <c r="T113" i="8"/>
  <c r="R113" i="8"/>
  <c r="AC108" i="8"/>
  <c r="AU99" i="8"/>
  <c r="AF99" i="8"/>
  <c r="AD99" i="8"/>
  <c r="X95" i="8"/>
  <c r="Z95" i="8"/>
  <c r="AQ95" i="8"/>
  <c r="AA96" i="8"/>
  <c r="AC96" i="8"/>
  <c r="AS96" i="8"/>
  <c r="AL97" i="8"/>
  <c r="AJ97" i="8"/>
  <c r="AY97" i="8"/>
  <c r="AI96" i="8"/>
  <c r="AW96" i="8"/>
  <c r="AG96" i="8"/>
  <c r="AL90" i="8"/>
  <c r="AY90" i="8"/>
  <c r="AJ90" i="8"/>
  <c r="AC83" i="8"/>
  <c r="AS83" i="8"/>
  <c r="AA83" i="8"/>
  <c r="AU96" i="8"/>
  <c r="AC86" i="8"/>
  <c r="AB86" i="8"/>
  <c r="AC105" i="8"/>
  <c r="AQ96" i="8"/>
  <c r="Z96" i="8"/>
  <c r="X96" i="8"/>
  <c r="AO92" i="8"/>
  <c r="W92" i="8"/>
  <c r="U92" i="8"/>
  <c r="Z84" i="8"/>
  <c r="AQ84" i="8"/>
  <c r="X84" i="8"/>
  <c r="AA87" i="8"/>
  <c r="AS87" i="8"/>
  <c r="AC87" i="8"/>
  <c r="U76" i="8"/>
  <c r="W76" i="8"/>
  <c r="AO76" i="8"/>
  <c r="AF92" i="8"/>
  <c r="AI82" i="8"/>
  <c r="AG82" i="8"/>
  <c r="AW82" i="8"/>
  <c r="AD80" i="8"/>
  <c r="AU80" i="8"/>
  <c r="AF80" i="8"/>
  <c r="T78" i="8"/>
  <c r="AM78" i="8"/>
  <c r="R78" i="8"/>
  <c r="AL74" i="8"/>
  <c r="AY74" i="8"/>
  <c r="AJ74" i="8"/>
  <c r="AM100" i="8"/>
  <c r="T100" i="8"/>
  <c r="R100" i="8"/>
  <c r="AI84" i="8"/>
  <c r="AS67" i="8"/>
  <c r="AC67" i="8"/>
  <c r="AA67" i="8"/>
  <c r="T59" i="8"/>
  <c r="R59" i="8"/>
  <c r="AM59" i="8"/>
  <c r="AO70" i="8"/>
  <c r="W70" i="8"/>
  <c r="U70" i="8"/>
  <c r="AU87" i="8"/>
  <c r="AU53" i="8"/>
  <c r="AF53" i="8"/>
  <c r="AD53" i="8"/>
  <c r="AO68" i="8"/>
  <c r="W68" i="8"/>
  <c r="U68" i="8"/>
  <c r="AQ67" i="8"/>
  <c r="Z67" i="8"/>
  <c r="X67" i="8"/>
  <c r="T64" i="8"/>
  <c r="AM64" i="8"/>
  <c r="R64" i="8"/>
  <c r="T75" i="8"/>
  <c r="AL52" i="8"/>
  <c r="AY52" i="8"/>
  <c r="AJ52" i="8"/>
  <c r="Y13" i="8"/>
  <c r="Z13" i="8"/>
  <c r="AM75" i="8"/>
  <c r="AF61" i="8"/>
  <c r="AY60" i="8"/>
  <c r="AL60" i="8"/>
  <c r="AJ60" i="8"/>
  <c r="AL46" i="8"/>
  <c r="AY46" i="8"/>
  <c r="AJ46" i="8"/>
  <c r="AW39" i="8"/>
  <c r="AG39" i="8"/>
  <c r="AI39" i="8"/>
  <c r="W38" i="8"/>
  <c r="U38" i="8"/>
  <c r="AO38" i="8"/>
  <c r="AY75" i="8"/>
  <c r="W61" i="8"/>
  <c r="Z66" i="8"/>
  <c r="X66" i="8"/>
  <c r="AQ66" i="8"/>
  <c r="AC45" i="8"/>
  <c r="AB45" i="8"/>
  <c r="AL36" i="8"/>
  <c r="AY36" i="8"/>
  <c r="AJ36" i="8"/>
  <c r="AU14" i="8"/>
  <c r="AF14" i="8"/>
  <c r="AD14" i="8"/>
  <c r="AS90" i="8"/>
  <c r="AS41" i="8"/>
  <c r="AU49" i="8"/>
  <c r="AD49" i="8"/>
  <c r="AF49" i="8"/>
  <c r="AL31" i="8"/>
  <c r="AY31" i="8"/>
  <c r="AJ31" i="8"/>
  <c r="AB16" i="8"/>
  <c r="AS16" i="8"/>
  <c r="AL24" i="8"/>
  <c r="AM45" i="8"/>
  <c r="W26" i="8"/>
  <c r="AU28" i="8"/>
  <c r="S19" i="8"/>
  <c r="X18" i="8"/>
  <c r="Z18" i="8"/>
  <c r="AQ18" i="8"/>
  <c r="AI57" i="8"/>
  <c r="AL50" i="8"/>
  <c r="AY50" i="8"/>
  <c r="AJ50" i="8"/>
  <c r="AO10" i="8"/>
  <c r="W10" i="8"/>
  <c r="U10" i="8"/>
  <c r="AY41" i="8"/>
  <c r="AA34" i="8"/>
  <c r="AS34" i="8"/>
  <c r="AC34" i="8"/>
  <c r="AJ30" i="8"/>
  <c r="AY30" i="8"/>
  <c r="AL30" i="8"/>
  <c r="AD11" i="8"/>
  <c r="AU11" i="8"/>
  <c r="AF11" i="8"/>
  <c r="AO6" i="8"/>
  <c r="AS18" i="8"/>
  <c r="AC18" i="8"/>
  <c r="AA18" i="8"/>
  <c r="AQ7" i="8"/>
  <c r="Z7" i="8"/>
  <c r="X7" i="8"/>
  <c r="R8" i="8"/>
  <c r="T8" i="8"/>
  <c r="AM8" i="8"/>
  <c r="T25" i="8"/>
  <c r="R25" i="8"/>
  <c r="AM25" i="8"/>
  <c r="AO12" i="8"/>
  <c r="W12" i="8"/>
  <c r="U12" i="8"/>
  <c r="AS33" i="8"/>
  <c r="Y20" i="8"/>
  <c r="AQ30" i="8"/>
  <c r="X30" i="8"/>
  <c r="Z30" i="8"/>
  <c r="AS17" i="8"/>
  <c r="AB21" i="8"/>
  <c r="AU12" i="8"/>
  <c r="AF8" i="8"/>
  <c r="AI132" i="8"/>
  <c r="AG125" i="8"/>
  <c r="AW125" i="8"/>
  <c r="AI125" i="8"/>
  <c r="AK130" i="8"/>
  <c r="AL130" i="8"/>
  <c r="AL117" i="8"/>
  <c r="AJ117" i="8"/>
  <c r="AY117" i="8"/>
  <c r="T125" i="8"/>
  <c r="S125" i="8"/>
  <c r="AQ124" i="8"/>
  <c r="Z124" i="8"/>
  <c r="X124" i="8"/>
  <c r="R129" i="8"/>
  <c r="T129" i="8"/>
  <c r="AM129" i="8"/>
  <c r="AY124" i="8"/>
  <c r="AL124" i="8"/>
  <c r="AJ124" i="8"/>
  <c r="AC117" i="8"/>
  <c r="AS117" i="8"/>
  <c r="AA117" i="8"/>
  <c r="AF124" i="8"/>
  <c r="AY123" i="8"/>
  <c r="AL123" i="8"/>
  <c r="AJ123" i="8"/>
  <c r="S116" i="8"/>
  <c r="T116" i="8"/>
  <c r="T115" i="8"/>
  <c r="AM115" i="8"/>
  <c r="R115" i="8"/>
  <c r="AJ98" i="8"/>
  <c r="AL98" i="8"/>
  <c r="AY98" i="8"/>
  <c r="W131" i="8"/>
  <c r="AO131" i="8"/>
  <c r="U131" i="8"/>
  <c r="AU117" i="8"/>
  <c r="AM128" i="8"/>
  <c r="T128" i="8"/>
  <c r="R128" i="8"/>
  <c r="AI110" i="8"/>
  <c r="AW110" i="8"/>
  <c r="AG110" i="8"/>
  <c r="AD105" i="8"/>
  <c r="AU105" i="8"/>
  <c r="AF105" i="8"/>
  <c r="T119" i="8"/>
  <c r="R119" i="8"/>
  <c r="AM119" i="8"/>
  <c r="W103" i="8"/>
  <c r="AS108" i="8"/>
  <c r="AM103" i="8"/>
  <c r="T103" i="8"/>
  <c r="R103" i="8"/>
  <c r="AC88" i="8"/>
  <c r="AA88" i="8"/>
  <c r="AS88" i="8"/>
  <c r="AL95" i="8"/>
  <c r="AJ95" i="8"/>
  <c r="AY95" i="8"/>
  <c r="T94" i="8"/>
  <c r="AM94" i="8"/>
  <c r="R94" i="8"/>
  <c r="AF95" i="8"/>
  <c r="AU95" i="8"/>
  <c r="AD95" i="8"/>
  <c r="AO90" i="8"/>
  <c r="W90" i="8"/>
  <c r="U90" i="8"/>
  <c r="AO83" i="8"/>
  <c r="V83" i="8"/>
  <c r="Y47" i="8"/>
  <c r="Z47" i="8"/>
  <c r="AQ47" i="8"/>
  <c r="AA95" i="8"/>
  <c r="AS95" i="8"/>
  <c r="AC95" i="8"/>
  <c r="AQ101" i="8"/>
  <c r="W86" i="8"/>
  <c r="U86" i="8"/>
  <c r="AO86" i="8"/>
  <c r="AS105" i="8"/>
  <c r="AM95" i="8"/>
  <c r="R95" i="8"/>
  <c r="T95" i="8"/>
  <c r="AG92" i="8"/>
  <c r="AI92" i="8"/>
  <c r="AW92" i="8"/>
  <c r="AU86" i="8"/>
  <c r="AS86" i="8"/>
  <c r="AW76" i="8"/>
  <c r="AI76" i="8"/>
  <c r="AG76" i="8"/>
  <c r="AO82" i="8"/>
  <c r="W82" i="8"/>
  <c r="U82" i="8"/>
  <c r="AD78" i="8"/>
  <c r="AU78" i="8"/>
  <c r="AF78" i="8"/>
  <c r="AS74" i="8"/>
  <c r="AC74" i="8"/>
  <c r="AA74" i="8"/>
  <c r="AC72" i="8"/>
  <c r="AS72" i="8"/>
  <c r="AA72" i="8"/>
  <c r="AL100" i="8"/>
  <c r="AJ100" i="8"/>
  <c r="AY100" i="8"/>
  <c r="R84" i="8"/>
  <c r="AM84" i="8"/>
  <c r="T84" i="8"/>
  <c r="AY65" i="8"/>
  <c r="AL65" i="8"/>
  <c r="AJ65" i="8"/>
  <c r="AW59" i="8"/>
  <c r="AI59" i="8"/>
  <c r="AG59" i="8"/>
  <c r="AU65" i="8"/>
  <c r="AF65" i="8"/>
  <c r="AD65" i="8"/>
  <c r="AC82" i="8"/>
  <c r="AI70" i="8"/>
  <c r="AG70" i="8"/>
  <c r="AW70" i="8"/>
  <c r="AQ71" i="8"/>
  <c r="T53" i="8"/>
  <c r="AM53" i="8"/>
  <c r="R53" i="8"/>
  <c r="Z69" i="8"/>
  <c r="AW68" i="8"/>
  <c r="AI68" i="8"/>
  <c r="AG68" i="8"/>
  <c r="AD64" i="8"/>
  <c r="AF64" i="8"/>
  <c r="AU64" i="8"/>
  <c r="W57" i="8"/>
  <c r="Y42" i="8"/>
  <c r="AQ42" i="8"/>
  <c r="AI95" i="8"/>
  <c r="AF73" i="8"/>
  <c r="AF68" i="8"/>
  <c r="AD68" i="8"/>
  <c r="AU68" i="8"/>
  <c r="T56" i="8"/>
  <c r="R56" i="8"/>
  <c r="AM56" i="8"/>
  <c r="AQ54" i="8"/>
  <c r="X54" i="8"/>
  <c r="Z54" i="8"/>
  <c r="AO39" i="8"/>
  <c r="W39" i="8"/>
  <c r="U39" i="8"/>
  <c r="AL59" i="8"/>
  <c r="AO44" i="8"/>
  <c r="U44" i="8"/>
  <c r="W44" i="8"/>
  <c r="AI38" i="8"/>
  <c r="AW38" i="8"/>
  <c r="AG38" i="8"/>
  <c r="W31" i="8"/>
  <c r="U31" i="8"/>
  <c r="AO31" i="8"/>
  <c r="AL87" i="8"/>
  <c r="AO61" i="8"/>
  <c r="U28" i="8"/>
  <c r="W28" i="8"/>
  <c r="AO28" i="8"/>
  <c r="AY66" i="8"/>
  <c r="AJ66" i="8"/>
  <c r="AL66" i="8"/>
  <c r="AY45" i="8"/>
  <c r="AJ45" i="8"/>
  <c r="AL45" i="8"/>
  <c r="AS44" i="8"/>
  <c r="AC44" i="8"/>
  <c r="AA44" i="8"/>
  <c r="R36" i="8"/>
  <c r="AM36" i="8"/>
  <c r="T36" i="8"/>
  <c r="AC41" i="8"/>
  <c r="AM31" i="8"/>
  <c r="R31" i="8"/>
  <c r="T31" i="8"/>
  <c r="AS15" i="8"/>
  <c r="AA15" i="8"/>
  <c r="AC15" i="8"/>
  <c r="T22" i="8"/>
  <c r="AM22" i="8"/>
  <c r="R22" i="8"/>
  <c r="Z51" i="8"/>
  <c r="AS45" i="8"/>
  <c r="AQ16" i="8"/>
  <c r="Y16" i="8"/>
  <c r="AH18" i="8"/>
  <c r="AY18" i="8"/>
  <c r="AL18" i="8"/>
  <c r="AJ18" i="8"/>
  <c r="AA50" i="8"/>
  <c r="AS50" i="8"/>
  <c r="AC50" i="8"/>
  <c r="W15" i="8"/>
  <c r="AI10" i="8"/>
  <c r="AG10" i="8"/>
  <c r="AW10" i="8"/>
  <c r="AI44" i="8"/>
  <c r="AF34" i="8"/>
  <c r="AU34" i="8"/>
  <c r="AD34" i="8"/>
  <c r="AM28" i="8"/>
  <c r="AF16" i="8"/>
  <c r="AM11" i="8"/>
  <c r="R11" i="8"/>
  <c r="T11" i="8"/>
  <c r="W5" i="8"/>
  <c r="U5" i="8"/>
  <c r="AO5" i="8"/>
  <c r="AI19" i="8"/>
  <c r="AG19" i="8"/>
  <c r="AW19" i="8"/>
  <c r="AM17" i="8"/>
  <c r="T17" i="8"/>
  <c r="R17" i="8"/>
  <c r="AF6" i="8"/>
  <c r="AU6" i="8"/>
  <c r="AD6" i="8"/>
  <c r="AG5" i="8"/>
  <c r="AW5" i="8"/>
  <c r="AI5" i="8"/>
  <c r="T45" i="8"/>
  <c r="AF25" i="8"/>
  <c r="AD25" i="8"/>
  <c r="AU25" i="8"/>
  <c r="AL12" i="8"/>
  <c r="AY12" i="8"/>
  <c r="AJ12" i="8"/>
  <c r="AI12" i="8"/>
  <c r="AG12" i="8"/>
  <c r="AW12" i="8"/>
  <c r="T41" i="8"/>
  <c r="W30" i="8"/>
  <c r="U30" i="8"/>
  <c r="AO30" i="8"/>
  <c r="AY17" i="8"/>
  <c r="AL17" i="8"/>
  <c r="AJ17" i="8"/>
  <c r="AU16" i="8"/>
  <c r="AY7" i="8"/>
  <c r="AL7" i="8"/>
  <c r="AJ7" i="8"/>
  <c r="AS49" i="8"/>
  <c r="AB20" i="8"/>
  <c r="U7" i="8"/>
  <c r="W7" i="8"/>
  <c r="AO7" i="8"/>
  <c r="AA30" i="8"/>
  <c r="AC30" i="8"/>
  <c r="AS30" i="8"/>
  <c r="W23" i="8"/>
  <c r="AO23" i="8"/>
  <c r="U23" i="8"/>
  <c r="AK21" i="8"/>
  <c r="AF12" i="8"/>
  <c r="AC19" i="8"/>
  <c r="AU18" i="8"/>
  <c r="AS125" i="8"/>
  <c r="AA125" i="8"/>
  <c r="AC125" i="8"/>
  <c r="S130" i="8"/>
  <c r="AM130" i="8"/>
  <c r="Y130" i="8"/>
  <c r="Z130" i="8"/>
  <c r="AU122" i="8"/>
  <c r="AF122" i="8"/>
  <c r="AD122" i="8"/>
  <c r="AY130" i="8"/>
  <c r="AS122" i="8"/>
  <c r="AC122" i="8"/>
  <c r="AA122" i="8"/>
  <c r="AQ125" i="8"/>
  <c r="X125" i="8"/>
  <c r="Z125" i="8"/>
  <c r="AO117" i="8"/>
  <c r="W117" i="8"/>
  <c r="U117" i="8"/>
  <c r="AM123" i="8"/>
  <c r="T123" i="8"/>
  <c r="R123" i="8"/>
  <c r="AI116" i="8"/>
  <c r="AW116" i="8"/>
  <c r="AG116" i="8"/>
  <c r="AF115" i="8"/>
  <c r="AD115" i="8"/>
  <c r="AU115" i="8"/>
  <c r="X98" i="8"/>
  <c r="Z98" i="8"/>
  <c r="AQ98" i="8"/>
  <c r="AC111" i="8"/>
  <c r="AS111" i="8"/>
  <c r="AA111" i="8"/>
  <c r="AQ118" i="8"/>
  <c r="AI131" i="8"/>
  <c r="AG131" i="8"/>
  <c r="AW131" i="8"/>
  <c r="AF117" i="8"/>
  <c r="AL110" i="8"/>
  <c r="AJ110" i="8"/>
  <c r="AY110" i="8"/>
  <c r="AU128" i="8"/>
  <c r="AD128" i="8"/>
  <c r="AF128" i="8"/>
  <c r="AU108" i="8"/>
  <c r="AD108" i="8"/>
  <c r="AF108" i="8"/>
  <c r="T102" i="8"/>
  <c r="R102" i="8"/>
  <c r="AM102" i="8"/>
  <c r="AU119" i="8"/>
  <c r="AF119" i="8"/>
  <c r="AD119" i="8"/>
  <c r="AM116" i="8"/>
  <c r="Z110" i="8"/>
  <c r="AI103" i="8"/>
  <c r="AW103" i="8"/>
  <c r="AG103" i="8"/>
  <c r="W88" i="8"/>
  <c r="U88" i="8"/>
  <c r="AO88" i="8"/>
  <c r="AD94" i="8"/>
  <c r="AF94" i="8"/>
  <c r="AU94" i="8"/>
  <c r="AS94" i="8"/>
  <c r="AC94" i="8"/>
  <c r="AA94" i="8"/>
  <c r="U94" i="8"/>
  <c r="AO94" i="8"/>
  <c r="W94" i="8"/>
  <c r="AH86" i="8"/>
  <c r="AW86" i="8"/>
  <c r="AL92" i="8"/>
  <c r="AY92" i="8"/>
  <c r="AJ92" i="8"/>
  <c r="AC85" i="8"/>
  <c r="T96" i="8"/>
  <c r="AF86" i="8"/>
  <c r="T87" i="8"/>
  <c r="R87" i="8"/>
  <c r="AM87" i="8"/>
  <c r="T80" i="8"/>
  <c r="X76" i="8"/>
  <c r="Z76" i="8"/>
  <c r="AQ76" i="8"/>
  <c r="U84" i="8"/>
  <c r="AO84" i="8"/>
  <c r="W84" i="8"/>
  <c r="AL91" i="8"/>
  <c r="U78" i="8"/>
  <c r="AO78" i="8"/>
  <c r="W78" i="8"/>
  <c r="T72" i="8"/>
  <c r="R72" i="8"/>
  <c r="AM72" i="8"/>
  <c r="AC57" i="8"/>
  <c r="AS57" i="8"/>
  <c r="AA57" i="8"/>
  <c r="AM65" i="8"/>
  <c r="T65" i="8"/>
  <c r="R65" i="8"/>
  <c r="AS82" i="8"/>
  <c r="Z71" i="8"/>
  <c r="AW58" i="8"/>
  <c r="AI58" i="8"/>
  <c r="AG58" i="8"/>
  <c r="AC73" i="8"/>
  <c r="AQ69" i="8"/>
  <c r="X68" i="8"/>
  <c r="Z68" i="8"/>
  <c r="AQ68" i="8"/>
  <c r="AI56" i="8"/>
  <c r="AG56" i="8"/>
  <c r="AW56" i="8"/>
  <c r="AU51" i="8"/>
  <c r="AF51" i="8"/>
  <c r="AD51" i="8"/>
  <c r="AU73" i="8"/>
  <c r="AI67" i="8"/>
  <c r="AG67" i="8"/>
  <c r="AW67" i="8"/>
  <c r="AF60" i="8"/>
  <c r="AD60" i="8"/>
  <c r="AU60" i="8"/>
  <c r="U59" i="8"/>
  <c r="AO59" i="8"/>
  <c r="W59" i="8"/>
  <c r="AU56" i="8"/>
  <c r="AD56" i="8"/>
  <c r="AF56" i="8"/>
  <c r="AS43" i="8"/>
  <c r="AC43" i="8"/>
  <c r="AA43" i="8"/>
  <c r="AK32" i="8"/>
  <c r="AY32" i="8"/>
  <c r="AY59" i="8"/>
  <c r="AG31" i="8"/>
  <c r="AW31" i="8"/>
  <c r="AI31" i="8"/>
  <c r="AI28" i="8"/>
  <c r="AG28" i="8"/>
  <c r="AW28" i="8"/>
  <c r="AC66" i="8"/>
  <c r="AA66" i="8"/>
  <c r="AS66" i="8"/>
  <c r="AH35" i="8"/>
  <c r="AW35" i="8"/>
  <c r="R16" i="8"/>
  <c r="T16" i="8"/>
  <c r="AM16" i="8"/>
  <c r="AG49" i="8"/>
  <c r="AW49" i="8"/>
  <c r="AI49" i="8"/>
  <c r="AM43" i="8"/>
  <c r="AF22" i="8"/>
  <c r="AD22" i="8"/>
  <c r="AU22" i="8"/>
  <c r="AQ51" i="8"/>
  <c r="T33" i="8"/>
  <c r="AM33" i="8"/>
  <c r="R33" i="8"/>
  <c r="AM18" i="8"/>
  <c r="T18" i="8"/>
  <c r="R18" i="8"/>
  <c r="AI50" i="8"/>
  <c r="AG50" i="8"/>
  <c r="AW50" i="8"/>
  <c r="AS38" i="8"/>
  <c r="AE21" i="8"/>
  <c r="U19" i="8"/>
  <c r="AO19" i="8"/>
  <c r="W19" i="8"/>
  <c r="AH6" i="8"/>
  <c r="AW6" i="8"/>
  <c r="AS31" i="8"/>
  <c r="AC21" i="8"/>
  <c r="U18" i="8"/>
  <c r="R7" i="8"/>
  <c r="AM7" i="8"/>
  <c r="T7" i="8"/>
  <c r="AM41" i="8"/>
  <c r="AC22" i="8"/>
  <c r="AC49" i="8"/>
  <c r="AY24" i="8"/>
  <c r="W20" i="8"/>
  <c r="U20" i="8"/>
  <c r="AO20" i="8"/>
  <c r="AL23" i="8"/>
  <c r="AY23" i="8"/>
  <c r="AJ23" i="8"/>
  <c r="AF41" i="8"/>
  <c r="AD20" i="8"/>
  <c r="AS19" i="8"/>
  <c r="AI6" i="8"/>
  <c r="AS120" i="8"/>
  <c r="AC120" i="8"/>
  <c r="AA120" i="8"/>
  <c r="S122" i="8"/>
  <c r="T122" i="8"/>
  <c r="AL121" i="8"/>
  <c r="AJ121" i="8"/>
  <c r="AY121" i="8"/>
  <c r="AI117" i="8"/>
  <c r="AG117" i="8"/>
  <c r="AW117" i="8"/>
  <c r="W123" i="8"/>
  <c r="U123" i="8"/>
  <c r="AO123" i="8"/>
  <c r="AB116" i="8"/>
  <c r="AS116" i="8"/>
  <c r="AO115" i="8"/>
  <c r="W115" i="8"/>
  <c r="U115" i="8"/>
  <c r="AM112" i="8"/>
  <c r="T112" i="8"/>
  <c r="R112" i="8"/>
  <c r="X111" i="8"/>
  <c r="Z111" i="8"/>
  <c r="AQ111" i="8"/>
  <c r="Z118" i="8"/>
  <c r="AS110" i="8"/>
  <c r="AC110" i="8"/>
  <c r="AA110" i="8"/>
  <c r="AI128" i="8"/>
  <c r="AW128" i="8"/>
  <c r="AG128" i="8"/>
  <c r="AI102" i="8"/>
  <c r="AG102" i="8"/>
  <c r="AW102" i="8"/>
  <c r="AU102" i="8"/>
  <c r="AF102" i="8"/>
  <c r="AD102" i="8"/>
  <c r="W121" i="8"/>
  <c r="AI119" i="8"/>
  <c r="AG119" i="8"/>
  <c r="AW119" i="8"/>
  <c r="AQ110" i="8"/>
  <c r="AH99" i="8"/>
  <c r="AW99" i="8"/>
  <c r="AG88" i="8"/>
  <c r="AW88" i="8"/>
  <c r="AI88" i="8"/>
  <c r="AC102" i="8"/>
  <c r="Z93" i="8"/>
  <c r="Z101" i="8"/>
  <c r="AG90" i="8"/>
  <c r="AW90" i="8"/>
  <c r="AI90" i="8"/>
  <c r="X86" i="8"/>
  <c r="AQ86" i="8"/>
  <c r="Z86" i="8"/>
  <c r="AL77" i="8"/>
  <c r="AK77" i="8"/>
  <c r="AS92" i="8"/>
  <c r="AB92" i="8"/>
  <c r="U91" i="8"/>
  <c r="W91" i="8"/>
  <c r="AO91" i="8"/>
  <c r="AD84" i="8"/>
  <c r="AU84" i="8"/>
  <c r="AF84" i="8"/>
  <c r="AM96" i="8"/>
  <c r="AI87" i="8"/>
  <c r="AG87" i="8"/>
  <c r="AW87" i="8"/>
  <c r="AL76" i="8"/>
  <c r="AY76" i="8"/>
  <c r="AJ76" i="8"/>
  <c r="Z82" i="8"/>
  <c r="X82" i="8"/>
  <c r="AQ82" i="8"/>
  <c r="U80" i="8"/>
  <c r="W80" i="8"/>
  <c r="AO80" i="8"/>
  <c r="AI78" i="8"/>
  <c r="AG78" i="8"/>
  <c r="AW78" i="8"/>
  <c r="AF72" i="8"/>
  <c r="AU72" i="8"/>
  <c r="AD72" i="8"/>
  <c r="AA100" i="8"/>
  <c r="AC100" i="8"/>
  <c r="AS100" i="8"/>
  <c r="AS53" i="8"/>
  <c r="AB53" i="8"/>
  <c r="AS73" i="8"/>
  <c r="AM68" i="8"/>
  <c r="T68" i="8"/>
  <c r="R68" i="8"/>
  <c r="AL68" i="8"/>
  <c r="AY68" i="8"/>
  <c r="AJ68" i="8"/>
  <c r="Z59" i="8"/>
  <c r="X59" i="8"/>
  <c r="AQ59" i="8"/>
  <c r="AU61" i="8"/>
  <c r="AC48" i="8"/>
  <c r="AA48" i="8"/>
  <c r="AS48" i="8"/>
  <c r="AW95" i="8"/>
  <c r="AF75" i="8"/>
  <c r="AU75" i="8"/>
  <c r="AD75" i="8"/>
  <c r="W65" i="8"/>
  <c r="AO65" i="8"/>
  <c r="U65" i="8"/>
  <c r="T60" i="8"/>
  <c r="S60" i="8"/>
  <c r="AM60" i="8"/>
  <c r="Z58" i="8"/>
  <c r="AQ58" i="8"/>
  <c r="X58" i="8"/>
  <c r="AQ53" i="8"/>
  <c r="Z53" i="8"/>
  <c r="X53" i="8"/>
  <c r="Y32" i="8"/>
  <c r="AQ32" i="8"/>
  <c r="X44" i="8"/>
  <c r="AQ44" i="8"/>
  <c r="Z44" i="8"/>
  <c r="AY87" i="8"/>
  <c r="AF27" i="8"/>
  <c r="AD27" i="8"/>
  <c r="AU27" i="8"/>
  <c r="AF66" i="8"/>
  <c r="AU66" i="8"/>
  <c r="AD66" i="8"/>
  <c r="AI45" i="8"/>
  <c r="AG45" i="8"/>
  <c r="AW45" i="8"/>
  <c r="S35" i="8"/>
  <c r="AM35" i="8"/>
  <c r="AH26" i="8"/>
  <c r="AW26" i="8"/>
  <c r="V49" i="8"/>
  <c r="AO49" i="8"/>
  <c r="AQ28" i="8"/>
  <c r="Z28" i="8"/>
  <c r="X28" i="8"/>
  <c r="AH15" i="8"/>
  <c r="AI15" i="8"/>
  <c r="AU33" i="8"/>
  <c r="AF33" i="8"/>
  <c r="AD33" i="8"/>
  <c r="AI23" i="8"/>
  <c r="AW23" i="8"/>
  <c r="AG23" i="8"/>
  <c r="AE18" i="8"/>
  <c r="AU50" i="8"/>
  <c r="AF50" i="8"/>
  <c r="AD50" i="8"/>
  <c r="T21" i="8"/>
  <c r="AQ13" i="8"/>
  <c r="AM34" i="8"/>
  <c r="T34" i="8"/>
  <c r="R34" i="8"/>
  <c r="X34" i="8"/>
  <c r="Z34" i="8"/>
  <c r="AQ34" i="8"/>
  <c r="T28" i="8"/>
  <c r="AF21" i="8"/>
  <c r="U11" i="8"/>
  <c r="AO11" i="8"/>
  <c r="W11" i="8"/>
  <c r="AH19" i="8"/>
  <c r="AW15" i="8"/>
  <c r="W6" i="8"/>
  <c r="AJ25" i="8"/>
  <c r="AL25" i="8"/>
  <c r="AY25" i="8"/>
  <c r="Y18" i="8"/>
  <c r="AM12" i="8"/>
  <c r="T12" i="8"/>
  <c r="R12" i="8"/>
  <c r="AY38" i="8"/>
  <c r="AC28" i="8"/>
  <c r="AD17" i="8"/>
  <c r="AU17" i="8"/>
  <c r="AF17" i="8"/>
  <c r="AI20" i="8"/>
  <c r="AW20" i="8"/>
  <c r="AG20" i="8"/>
  <c r="AI30" i="8"/>
  <c r="AW30" i="8"/>
  <c r="AG30" i="8"/>
  <c r="T30" i="8"/>
  <c r="R30" i="8"/>
  <c r="AM30" i="8"/>
  <c r="AU41" i="8"/>
  <c r="AW11" i="8"/>
  <c r="AA19" i="8"/>
  <c r="AO15" i="8"/>
  <c r="AC38" i="8"/>
  <c r="Y126" i="8"/>
  <c r="AQ126" i="8"/>
  <c r="AS132" i="8"/>
  <c r="AC132" i="8"/>
  <c r="AA132" i="8"/>
  <c r="V120" i="8"/>
  <c r="AO120" i="8"/>
  <c r="AO129" i="8"/>
  <c r="W129" i="8"/>
  <c r="U129" i="8"/>
  <c r="Z121" i="8"/>
  <c r="X121" i="8"/>
  <c r="AQ121" i="8"/>
  <c r="AL125" i="8"/>
  <c r="AJ125" i="8"/>
  <c r="AY125" i="8"/>
  <c r="AQ130" i="8"/>
  <c r="AM124" i="8"/>
  <c r="R124" i="8"/>
  <c r="T124" i="8"/>
  <c r="AW115" i="8"/>
  <c r="AI115" i="8"/>
  <c r="AG115" i="8"/>
  <c r="AL111" i="8"/>
  <c r="AJ111" i="8"/>
  <c r="AY111" i="8"/>
  <c r="AS131" i="8"/>
  <c r="AC131" i="8"/>
  <c r="AA131" i="8"/>
  <c r="U105" i="8"/>
  <c r="W105" i="8"/>
  <c r="AO105" i="8"/>
  <c r="AO121" i="8"/>
  <c r="W116" i="8"/>
  <c r="Z114" i="8"/>
  <c r="W99" i="8"/>
  <c r="U99" i="8"/>
  <c r="AO99" i="8"/>
  <c r="AW94" i="8"/>
  <c r="AG94" i="8"/>
  <c r="AI94" i="8"/>
  <c r="AI91" i="8"/>
  <c r="AW91" i="8"/>
  <c r="AG91" i="8"/>
  <c r="AF112" i="8"/>
  <c r="AS102" i="8"/>
  <c r="AE97" i="8"/>
  <c r="AU97" i="8"/>
  <c r="AJ86" i="8"/>
  <c r="AY86" i="8"/>
  <c r="AL86" i="8"/>
  <c r="Y77" i="8"/>
  <c r="Z77" i="8"/>
  <c r="R92" i="8"/>
  <c r="AM92" i="8"/>
  <c r="T92" i="8"/>
  <c r="W83" i="8"/>
  <c r="AF85" i="8"/>
  <c r="AC84" i="8"/>
  <c r="AS84" i="8"/>
  <c r="AA84" i="8"/>
  <c r="AU91" i="8"/>
  <c r="AQ97" i="8"/>
  <c r="AQ77" i="8"/>
  <c r="AG80" i="8"/>
  <c r="AW80" i="8"/>
  <c r="AI80" i="8"/>
  <c r="AY77" i="8"/>
  <c r="W100" i="8"/>
  <c r="AO100" i="8"/>
  <c r="U100" i="8"/>
  <c r="AL70" i="8"/>
  <c r="AJ70" i="8"/>
  <c r="AY70" i="8"/>
  <c r="S54" i="8"/>
  <c r="AM54" i="8"/>
  <c r="AS46" i="8"/>
  <c r="AC46" i="8"/>
  <c r="AA46" i="8"/>
  <c r="R67" i="8"/>
  <c r="AM67" i="8"/>
  <c r="T67" i="8"/>
  <c r="AS80" i="8"/>
  <c r="AC54" i="8"/>
  <c r="T48" i="8"/>
  <c r="R48" i="8"/>
  <c r="AM48" i="8"/>
  <c r="W64" i="8"/>
  <c r="AG60" i="8"/>
  <c r="AI60" i="8"/>
  <c r="AW60" i="8"/>
  <c r="AS54" i="8"/>
  <c r="AL44" i="8"/>
  <c r="AY44" i="8"/>
  <c r="AJ44" i="8"/>
  <c r="AF67" i="8"/>
  <c r="AH41" i="8"/>
  <c r="AW41" i="8"/>
  <c r="AA27" i="8"/>
  <c r="AC27" i="8"/>
  <c r="AS27" i="8"/>
  <c r="AO45" i="8"/>
  <c r="W45" i="8"/>
  <c r="U45" i="8"/>
  <c r="AJ33" i="8"/>
  <c r="AY33" i="8"/>
  <c r="AL33" i="8"/>
  <c r="X26" i="8"/>
  <c r="AQ26" i="8"/>
  <c r="Z26" i="8"/>
  <c r="AQ38" i="8"/>
  <c r="AO57" i="8"/>
  <c r="AC51" i="8"/>
  <c r="W41" i="8"/>
  <c r="AO41" i="8"/>
  <c r="U41" i="8"/>
  <c r="Z14" i="8"/>
  <c r="AQ14" i="8"/>
  <c r="X14" i="8"/>
  <c r="U36" i="8"/>
  <c r="AO36" i="8"/>
  <c r="W36" i="8"/>
  <c r="AK28" i="8"/>
  <c r="AY28" i="8"/>
  <c r="AI21" i="8"/>
  <c r="S18" i="8"/>
  <c r="C57" i="8"/>
  <c r="R50" i="8"/>
  <c r="AM50" i="8"/>
  <c r="T50" i="8"/>
  <c r="AI7" i="8"/>
  <c r="AW7" i="8"/>
  <c r="AG7" i="8"/>
  <c r="AW34" i="8"/>
  <c r="AI34" i="8"/>
  <c r="AG34" i="8"/>
  <c r="AL34" i="8"/>
  <c r="AJ34" i="8"/>
  <c r="AY34" i="8"/>
  <c r="AI26" i="8"/>
  <c r="AM5" i="8"/>
  <c r="T5" i="8"/>
  <c r="R5" i="8"/>
  <c r="Z64" i="8"/>
  <c r="V19" i="8"/>
  <c r="Z6" i="8"/>
  <c r="X6" i="8"/>
  <c r="AQ6" i="8"/>
  <c r="AC31" i="8"/>
  <c r="AQ24" i="8"/>
  <c r="AS28" i="8"/>
  <c r="U17" i="8"/>
  <c r="W17" i="8"/>
  <c r="AO17" i="8"/>
  <c r="X10" i="8"/>
  <c r="AQ10" i="8"/>
  <c r="Z10" i="8"/>
  <c r="AL32" i="8"/>
  <c r="AQ11" i="8"/>
  <c r="X11" i="8"/>
  <c r="Z11" i="8"/>
  <c r="AF30" i="8"/>
  <c r="AD30" i="8"/>
  <c r="AU30" i="8"/>
  <c r="U8" i="8"/>
  <c r="W8" i="8"/>
  <c r="AO8" i="8"/>
  <c r="AH20" i="8"/>
  <c r="S20" i="8"/>
  <c r="AH120" i="8"/>
  <c r="AW120" i="8"/>
  <c r="AW129" i="8"/>
  <c r="AI129" i="8"/>
  <c r="AG129" i="8"/>
  <c r="AF129" i="8"/>
  <c r="AD129" i="8"/>
  <c r="AU129" i="8"/>
  <c r="AF123" i="8"/>
  <c r="AD123" i="8"/>
  <c r="AU123" i="8"/>
  <c r="AC116" i="8"/>
  <c r="AI112" i="8"/>
  <c r="AW112" i="8"/>
  <c r="AG112" i="8"/>
  <c r="X115" i="8"/>
  <c r="Z115" i="8"/>
  <c r="AQ115" i="8"/>
  <c r="Y109" i="8"/>
  <c r="AQ109" i="8"/>
  <c r="AW127" i="8"/>
  <c r="AG127" i="8"/>
  <c r="AI127" i="8"/>
  <c r="X127" i="8"/>
  <c r="Z127" i="8"/>
  <c r="AQ127" i="8"/>
  <c r="AM125" i="8"/>
  <c r="AQ116" i="8"/>
  <c r="X131" i="8"/>
  <c r="AQ131" i="8"/>
  <c r="Z131" i="8"/>
  <c r="T110" i="8"/>
  <c r="R110" i="8"/>
  <c r="AM110" i="8"/>
  <c r="AY128" i="8"/>
  <c r="AL128" i="8"/>
  <c r="AJ128" i="8"/>
  <c r="AB107" i="8"/>
  <c r="AC107" i="8"/>
  <c r="Y89" i="8"/>
  <c r="Z89" i="8"/>
  <c r="AQ89" i="8"/>
  <c r="AL113" i="8"/>
  <c r="AY113" i="8"/>
  <c r="AJ113" i="8"/>
  <c r="W108" i="8"/>
  <c r="U108" i="8"/>
  <c r="AO108" i="8"/>
  <c r="AI105" i="8"/>
  <c r="AG105" i="8"/>
  <c r="AW105" i="8"/>
  <c r="AO119" i="8"/>
  <c r="W119" i="8"/>
  <c r="U119" i="8"/>
  <c r="AJ119" i="8"/>
  <c r="AY119" i="8"/>
  <c r="AL119" i="8"/>
  <c r="AO116" i="8"/>
  <c r="AQ114" i="8"/>
  <c r="X103" i="8"/>
  <c r="Z103" i="8"/>
  <c r="AQ103" i="8"/>
  <c r="AJ99" i="8"/>
  <c r="AY99" i="8"/>
  <c r="AL99" i="8"/>
  <c r="W95" i="8"/>
  <c r="AO95" i="8"/>
  <c r="U95" i="8"/>
  <c r="AA91" i="8"/>
  <c r="AS91" i="8"/>
  <c r="AC91" i="8"/>
  <c r="U97" i="8"/>
  <c r="W97" i="8"/>
  <c r="AO97" i="8"/>
  <c r="AQ93" i="8"/>
  <c r="Y79" i="8"/>
  <c r="AQ79" i="8"/>
  <c r="Z79" i="8"/>
  <c r="AK69" i="8"/>
  <c r="AL69" i="8"/>
  <c r="AF91" i="8"/>
  <c r="AF76" i="8"/>
  <c r="AD76" i="8"/>
  <c r="AU76" i="8"/>
  <c r="T82" i="8"/>
  <c r="R82" i="8"/>
  <c r="AM82" i="8"/>
  <c r="AS62" i="8"/>
  <c r="AA62" i="8"/>
  <c r="AC62" i="8"/>
  <c r="Z100" i="8"/>
  <c r="AQ100" i="8"/>
  <c r="X100" i="8"/>
  <c r="AW100" i="8"/>
  <c r="AI100" i="8"/>
  <c r="AG100" i="8"/>
  <c r="AG65" i="8"/>
  <c r="AW65" i="8"/>
  <c r="AI65" i="8"/>
  <c r="T73" i="8"/>
  <c r="Z70" i="8"/>
  <c r="AQ70" i="8"/>
  <c r="X70" i="8"/>
  <c r="AA65" i="8"/>
  <c r="AS65" i="8"/>
  <c r="AC65" i="8"/>
  <c r="W46" i="8"/>
  <c r="U46" i="8"/>
  <c r="AO46" i="8"/>
  <c r="AW64" i="8"/>
  <c r="AI64" i="8"/>
  <c r="AG64" i="8"/>
  <c r="AC80" i="8"/>
  <c r="AC52" i="8"/>
  <c r="AA52" i="8"/>
  <c r="AS52" i="8"/>
  <c r="AU48" i="8"/>
  <c r="AF48" i="8"/>
  <c r="AD48" i="8"/>
  <c r="AQ37" i="8"/>
  <c r="Y37" i="8"/>
  <c r="Z37" i="8"/>
  <c r="AS75" i="8"/>
  <c r="AC75" i="8"/>
  <c r="AA75" i="8"/>
  <c r="W60" i="8"/>
  <c r="U60" i="8"/>
  <c r="AO60" i="8"/>
  <c r="Z42" i="8"/>
  <c r="AU43" i="8"/>
  <c r="AU67" i="8"/>
  <c r="AI66" i="8"/>
  <c r="AG66" i="8"/>
  <c r="AW66" i="8"/>
  <c r="U33" i="8"/>
  <c r="AO33" i="8"/>
  <c r="W33" i="8"/>
  <c r="AY26" i="8"/>
  <c r="AL26" i="8"/>
  <c r="AJ26" i="8"/>
  <c r="AS51" i="8"/>
  <c r="Z40" i="8"/>
  <c r="AD36" i="8"/>
  <c r="AU36" i="8"/>
  <c r="AF36" i="8"/>
  <c r="AW36" i="8"/>
  <c r="AI36" i="8"/>
  <c r="AG36" i="8"/>
  <c r="AI18" i="8"/>
  <c r="AG18" i="8"/>
  <c r="AW18" i="8"/>
  <c r="AC36" i="8"/>
  <c r="AS7" i="8"/>
  <c r="AC7" i="8"/>
  <c r="AA7" i="8"/>
  <c r="AU5" i="8"/>
  <c r="AF5" i="8"/>
  <c r="AD5" i="8"/>
  <c r="AQ64" i="8"/>
  <c r="AY19" i="8"/>
  <c r="AJ19" i="8"/>
  <c r="AL19" i="8"/>
  <c r="AA11" i="8"/>
  <c r="AS11" i="8"/>
  <c r="AC11" i="8"/>
  <c r="AL6" i="8"/>
  <c r="AJ6" i="8"/>
  <c r="AY6" i="8"/>
  <c r="Z24" i="8"/>
  <c r="AC16" i="8"/>
  <c r="AL38" i="8"/>
  <c r="AC26" i="8"/>
  <c r="AE20" i="8"/>
  <c r="X19" i="8"/>
  <c r="AW8" i="8"/>
  <c r="AI8" i="8"/>
  <c r="AG8" i="8"/>
  <c r="AI11" i="8"/>
  <c r="AS26" i="8"/>
  <c r="AF7" i="8"/>
  <c r="AI17" i="8"/>
  <c r="AL132" i="8"/>
  <c r="AW132" i="8"/>
  <c r="Z129" i="8"/>
  <c r="X129" i="8"/>
  <c r="AQ129" i="8"/>
  <c r="AA124" i="8"/>
  <c r="AS124" i="8"/>
  <c r="AC124" i="8"/>
  <c r="AO125" i="8"/>
  <c r="W125" i="8"/>
  <c r="U125" i="8"/>
  <c r="Z126" i="8"/>
  <c r="W120" i="8"/>
  <c r="AL115" i="8"/>
  <c r="AJ115" i="8"/>
  <c r="AY115" i="8"/>
  <c r="AY106" i="8"/>
  <c r="AL106" i="8"/>
  <c r="AJ106" i="8"/>
  <c r="AJ127" i="8"/>
  <c r="AY127" i="8"/>
  <c r="AL127" i="8"/>
  <c r="AL131" i="8"/>
  <c r="AJ131" i="8"/>
  <c r="AY131" i="8"/>
  <c r="AU110" i="8"/>
  <c r="AF110" i="8"/>
  <c r="AD110" i="8"/>
  <c r="W128" i="8"/>
  <c r="AO128" i="8"/>
  <c r="U128" i="8"/>
  <c r="T107" i="8"/>
  <c r="R107" i="8"/>
  <c r="AM107" i="8"/>
  <c r="Y81" i="8"/>
  <c r="Z81" i="8"/>
  <c r="AO113" i="8"/>
  <c r="W113" i="8"/>
  <c r="U113" i="8"/>
  <c r="AI108" i="8"/>
  <c r="AG108" i="8"/>
  <c r="AW108" i="8"/>
  <c r="AF104" i="8"/>
  <c r="AD104" i="8"/>
  <c r="AU104" i="8"/>
  <c r="AS119" i="8"/>
  <c r="AA119" i="8"/>
  <c r="AC119" i="8"/>
  <c r="Z119" i="8"/>
  <c r="AQ119" i="8"/>
  <c r="X119" i="8"/>
  <c r="V110" i="8"/>
  <c r="AO110" i="8"/>
  <c r="AQ99" i="8"/>
  <c r="W110" i="8"/>
  <c r="AS103" i="8"/>
  <c r="AC103" i="8"/>
  <c r="AA103" i="8"/>
  <c r="AJ103" i="8"/>
  <c r="AY103" i="8"/>
  <c r="AL103" i="8"/>
  <c r="AB99" i="8"/>
  <c r="AC99" i="8"/>
  <c r="AJ94" i="8"/>
  <c r="AL94" i="8"/>
  <c r="AY94" i="8"/>
  <c r="U96" i="8"/>
  <c r="AO96" i="8"/>
  <c r="W96" i="8"/>
  <c r="T91" i="8"/>
  <c r="R91" i="8"/>
  <c r="AM91" i="8"/>
  <c r="AM105" i="8"/>
  <c r="AS97" i="8"/>
  <c r="AC97" i="8"/>
  <c r="AA97" i="8"/>
  <c r="AW97" i="8"/>
  <c r="AI97" i="8"/>
  <c r="AG97" i="8"/>
  <c r="AO103" i="8"/>
  <c r="T85" i="8"/>
  <c r="R85" i="8"/>
  <c r="AM85" i="8"/>
  <c r="AF97" i="8"/>
  <c r="T90" i="8"/>
  <c r="R90" i="8"/>
  <c r="AM90" i="8"/>
  <c r="AQ81" i="8"/>
  <c r="AQ87" i="8"/>
  <c r="Z87" i="8"/>
  <c r="X87" i="8"/>
  <c r="AW83" i="8"/>
  <c r="AJ82" i="8"/>
  <c r="AY82" i="8"/>
  <c r="AL82" i="8"/>
  <c r="AF82" i="8"/>
  <c r="AU82" i="8"/>
  <c r="AD82" i="8"/>
  <c r="AL80" i="8"/>
  <c r="AY80" i="8"/>
  <c r="AJ80" i="8"/>
  <c r="V73" i="8"/>
  <c r="AO73" i="8"/>
  <c r="W62" i="8"/>
  <c r="U62" i="8"/>
  <c r="AO62" i="8"/>
  <c r="AW84" i="8"/>
  <c r="AM73" i="8"/>
  <c r="T70" i="8"/>
  <c r="R70" i="8"/>
  <c r="AM70" i="8"/>
  <c r="AF87" i="8"/>
  <c r="AY61" i="8"/>
  <c r="AJ61" i="8"/>
  <c r="AL61" i="8"/>
  <c r="U54" i="8"/>
  <c r="AO54" i="8"/>
  <c r="W54" i="8"/>
  <c r="AI46" i="8"/>
  <c r="AW46" i="8"/>
  <c r="AG46" i="8"/>
  <c r="U67" i="8"/>
  <c r="AO67" i="8"/>
  <c r="W67" i="8"/>
  <c r="AB64" i="8"/>
  <c r="AS64" i="8"/>
  <c r="AD58" i="8"/>
  <c r="AU58" i="8"/>
  <c r="AF58" i="8"/>
  <c r="T76" i="8"/>
  <c r="Z46" i="8"/>
  <c r="AQ46" i="8"/>
  <c r="X46" i="8"/>
  <c r="Y29" i="8"/>
  <c r="AQ29" i="8"/>
  <c r="Z29" i="8"/>
  <c r="AC70" i="8"/>
  <c r="AS70" i="8"/>
  <c r="AA70" i="8"/>
  <c r="Z56" i="8"/>
  <c r="X56" i="8"/>
  <c r="AQ56" i="8"/>
  <c r="AQ55" i="8"/>
  <c r="AM51" i="8"/>
  <c r="S51" i="8"/>
  <c r="T51" i="8"/>
  <c r="AF44" i="8"/>
  <c r="AD44" i="8"/>
  <c r="AU44" i="8"/>
  <c r="T38" i="8"/>
  <c r="AM38" i="8"/>
  <c r="R38" i="8"/>
  <c r="W66" i="8"/>
  <c r="AO66" i="8"/>
  <c r="U66" i="8"/>
  <c r="AQ45" i="8"/>
  <c r="Z45" i="8"/>
  <c r="X45" i="8"/>
  <c r="AQ31" i="8"/>
  <c r="Z31" i="8"/>
  <c r="X31" i="8"/>
  <c r="AC14" i="8"/>
  <c r="AS14" i="8"/>
  <c r="AA14" i="8"/>
  <c r="AY49" i="8"/>
  <c r="AL49" i="8"/>
  <c r="AJ49" i="8"/>
  <c r="AQ40" i="8"/>
  <c r="AO26" i="8"/>
  <c r="AC61" i="8"/>
  <c r="AD35" i="8"/>
  <c r="AU35" i="8"/>
  <c r="AF35" i="8"/>
  <c r="AY27" i="8"/>
  <c r="AL27" i="8"/>
  <c r="AJ27" i="8"/>
  <c r="V18" i="8"/>
  <c r="W50" i="8"/>
  <c r="AO50" i="8"/>
  <c r="U50" i="8"/>
  <c r="AS36" i="8"/>
  <c r="T10" i="8"/>
  <c r="AM10" i="8"/>
  <c r="R10" i="8"/>
  <c r="AK19" i="8"/>
  <c r="T20" i="8"/>
  <c r="Y19" i="8"/>
  <c r="AC10" i="8"/>
  <c r="AA10" i="8"/>
  <c r="AS10" i="8"/>
  <c r="AC6" i="8"/>
  <c r="AA6" i="8"/>
  <c r="AS6" i="8"/>
  <c r="AQ25" i="8"/>
  <c r="X25" i="8"/>
  <c r="Z25" i="8"/>
  <c r="AQ23" i="8"/>
  <c r="Z23" i="8"/>
  <c r="X23" i="8"/>
  <c r="AU20" i="8"/>
  <c r="Z12" i="8"/>
  <c r="X12" i="8"/>
  <c r="AQ12" i="8"/>
  <c r="Z19" i="8"/>
  <c r="AL40" i="8"/>
  <c r="AL28" i="8"/>
  <c r="Z20" i="8"/>
  <c r="X20" i="8"/>
  <c r="AQ20" i="8"/>
  <c r="Z16" i="8"/>
  <c r="AU23" i="8"/>
  <c r="AF23" i="8"/>
  <c r="AD23" i="8"/>
  <c r="AQ19" i="8"/>
  <c r="X8" i="8"/>
  <c r="AQ8" i="8"/>
  <c r="Z8" i="8"/>
  <c r="AU8" i="8"/>
  <c r="AE19" i="8"/>
  <c r="AU7" i="8"/>
  <c r="AW17" i="8"/>
  <c r="AC121" i="8"/>
  <c r="AS121" i="8"/>
  <c r="AA121" i="8"/>
  <c r="AI124" i="8"/>
  <c r="AW124" i="8"/>
  <c r="AG124" i="8"/>
  <c r="AG123" i="8"/>
  <c r="AW123" i="8"/>
  <c r="AI123" i="8"/>
  <c r="AF111" i="8"/>
  <c r="AD111" i="8"/>
  <c r="AU111" i="8"/>
  <c r="Z116" i="8"/>
  <c r="X106" i="8"/>
  <c r="AQ106" i="8"/>
  <c r="Z106" i="8"/>
  <c r="T127" i="8"/>
  <c r="AM127" i="8"/>
  <c r="R127" i="8"/>
  <c r="AM131" i="8"/>
  <c r="T131" i="8"/>
  <c r="R131" i="8"/>
  <c r="AF121" i="8"/>
  <c r="AF107" i="8"/>
  <c r="AD107" i="8"/>
  <c r="AU107" i="8"/>
  <c r="AD113" i="8"/>
  <c r="AF113" i="8"/>
  <c r="AU113" i="8"/>
  <c r="AG113" i="8"/>
  <c r="AW113" i="8"/>
  <c r="AI113" i="8"/>
  <c r="AA104" i="8"/>
  <c r="AS104" i="8"/>
  <c r="AC104" i="8"/>
  <c r="AF103" i="8"/>
  <c r="AU103" i="8"/>
  <c r="AD103" i="8"/>
  <c r="T99" i="8"/>
  <c r="AM99" i="8"/>
  <c r="R99" i="8"/>
  <c r="Z94" i="8"/>
  <c r="AQ94" i="8"/>
  <c r="X94" i="8"/>
  <c r="AY96" i="8"/>
  <c r="AL96" i="8"/>
  <c r="AJ96" i="8"/>
  <c r="AM97" i="8"/>
  <c r="R97" i="8"/>
  <c r="T97" i="8"/>
  <c r="Z91" i="8"/>
  <c r="Y91" i="8"/>
  <c r="Y63" i="8"/>
  <c r="Z63" i="8"/>
  <c r="AI99" i="8"/>
  <c r="AI85" i="8"/>
  <c r="AG85" i="8"/>
  <c r="AW85" i="8"/>
  <c r="AF90" i="8"/>
  <c r="AU90" i="8"/>
  <c r="AD90" i="8"/>
  <c r="AL84" i="8"/>
  <c r="AJ84" i="8"/>
  <c r="AY84" i="8"/>
  <c r="AB78" i="8"/>
  <c r="AS78" i="8"/>
  <c r="Z74" i="8"/>
  <c r="X74" i="8"/>
  <c r="AQ74" i="8"/>
  <c r="AH73" i="8"/>
  <c r="AW73" i="8"/>
  <c r="AW62" i="8"/>
  <c r="AI62" i="8"/>
  <c r="AG62" i="8"/>
  <c r="AU100" i="8"/>
  <c r="AD100" i="8"/>
  <c r="AF100" i="8"/>
  <c r="AC68" i="8"/>
  <c r="AA68" i="8"/>
  <c r="AS68" i="8"/>
  <c r="AF59" i="8"/>
  <c r="AU59" i="8"/>
  <c r="AD59" i="8"/>
  <c r="AD70" i="8"/>
  <c r="AU70" i="8"/>
  <c r="AF70" i="8"/>
  <c r="AQ61" i="8"/>
  <c r="Z61" i="8"/>
  <c r="X61" i="8"/>
  <c r="AG54" i="8"/>
  <c r="AW54" i="8"/>
  <c r="AI54" i="8"/>
  <c r="Y39" i="8"/>
  <c r="AQ39" i="8"/>
  <c r="Z39" i="8"/>
  <c r="AY67" i="8"/>
  <c r="AL67" i="8"/>
  <c r="AJ67" i="8"/>
  <c r="AC58" i="8"/>
  <c r="AA58" i="8"/>
  <c r="AS58" i="8"/>
  <c r="AM76" i="8"/>
  <c r="X65" i="8"/>
  <c r="Z65" i="8"/>
  <c r="AQ65" i="8"/>
  <c r="X52" i="8"/>
  <c r="AQ52" i="8"/>
  <c r="Z52" i="8"/>
  <c r="Y21" i="8"/>
  <c r="V21" i="8"/>
  <c r="AH21" i="8"/>
  <c r="AQ21" i="8"/>
  <c r="Z21" i="8"/>
  <c r="AL21" i="8"/>
  <c r="W21" i="8"/>
  <c r="X60" i="8"/>
  <c r="AQ60" i="8"/>
  <c r="Z60" i="8"/>
  <c r="AK56" i="8"/>
  <c r="AY56" i="8"/>
  <c r="Z55" i="8"/>
  <c r="AM44" i="8"/>
  <c r="T44" i="8"/>
  <c r="R44" i="8"/>
  <c r="AD38" i="8"/>
  <c r="AU38" i="8"/>
  <c r="AF38" i="8"/>
  <c r="AL75" i="8"/>
  <c r="Z41" i="8"/>
  <c r="AQ41" i="8"/>
  <c r="X41" i="8"/>
  <c r="R66" i="8"/>
  <c r="AM66" i="8"/>
  <c r="T66" i="8"/>
  <c r="AM49" i="8"/>
  <c r="T49" i="8"/>
  <c r="R49" i="8"/>
  <c r="AI22" i="8"/>
  <c r="AW22" i="8"/>
  <c r="AG22" i="8"/>
  <c r="T14" i="8"/>
  <c r="R14" i="8"/>
  <c r="AM14" i="8"/>
  <c r="AW33" i="8"/>
  <c r="AI33" i="8"/>
  <c r="AG33" i="8"/>
  <c r="Y9" i="8"/>
  <c r="Z9" i="8"/>
  <c r="AS61" i="8"/>
  <c r="AA35" i="8"/>
  <c r="AC35" i="8"/>
  <c r="AS35" i="8"/>
  <c r="AE31" i="8"/>
  <c r="AF31" i="8"/>
  <c r="AO27" i="8"/>
  <c r="U27" i="8"/>
  <c r="W27" i="8"/>
  <c r="AF28" i="8"/>
  <c r="AW57" i="8"/>
  <c r="Z50" i="8"/>
  <c r="AQ50" i="8"/>
  <c r="X50" i="8"/>
  <c r="X17" i="8"/>
  <c r="AQ17" i="8"/>
  <c r="Z17" i="8"/>
  <c r="AF10" i="8"/>
  <c r="AU10" i="8"/>
  <c r="AD10" i="8"/>
  <c r="W34" i="8"/>
  <c r="AO34" i="8"/>
  <c r="U34" i="8"/>
  <c r="AS23" i="8"/>
  <c r="AA23" i="8"/>
  <c r="AC23" i="8"/>
  <c r="AB18" i="8"/>
  <c r="AY11" i="8"/>
  <c r="AJ11" i="8"/>
  <c r="AL11" i="8"/>
  <c r="AS8" i="8"/>
  <c r="AC8" i="8"/>
  <c r="AA8" i="8"/>
  <c r="AS25" i="8"/>
  <c r="AC25" i="8"/>
  <c r="AA25" i="8"/>
  <c r="AS22" i="8"/>
  <c r="AJ5" i="8"/>
  <c r="AY5" i="8"/>
  <c r="AL5" i="8"/>
  <c r="AC33" i="8"/>
  <c r="AO18" i="8"/>
  <c r="AY40" i="8"/>
  <c r="AY20" i="8"/>
  <c r="AK20" i="8"/>
  <c r="AM23" i="8"/>
  <c r="T23" i="8"/>
  <c r="R23" i="8"/>
  <c r="AL8" i="8"/>
  <c r="AJ8" i="8"/>
  <c r="AY8" i="8"/>
  <c r="AF19" i="8"/>
  <c r="AZ13" i="8" l="1"/>
  <c r="AT57" i="8"/>
  <c r="AP57" i="8"/>
  <c r="AR57" i="8"/>
  <c r="H42" i="7" s="1"/>
  <c r="AN19" i="8"/>
  <c r="AR118" i="8"/>
  <c r="H103" i="7" s="1"/>
  <c r="AP120" i="8"/>
  <c r="R15" i="9"/>
  <c r="W15" i="9"/>
  <c r="AR15" i="8"/>
  <c r="AX109" i="8"/>
  <c r="AT108" i="8"/>
  <c r="H93" i="2" s="1"/>
  <c r="AN86" i="8"/>
  <c r="AN101" i="8"/>
  <c r="AT80" i="8"/>
  <c r="AZ93" i="8"/>
  <c r="AZ88" i="8"/>
  <c r="AR83" i="8"/>
  <c r="H68" i="7" s="1"/>
  <c r="A16" i="9"/>
  <c r="M15" i="9"/>
  <c r="H15" i="9"/>
  <c r="AR79" i="8"/>
  <c r="H64" i="7" s="1"/>
  <c r="AZ69" i="8"/>
  <c r="AR63" i="8"/>
  <c r="H48" i="7" s="1"/>
  <c r="AX57" i="8"/>
  <c r="AV62" i="8"/>
  <c r="AT71" i="8"/>
  <c r="AV57" i="8"/>
  <c r="AV106" i="8"/>
  <c r="AT106" i="8"/>
  <c r="AX106" i="8"/>
  <c r="AP106" i="8"/>
  <c r="AR106" i="8"/>
  <c r="H91" i="7" s="1"/>
  <c r="AZ106" i="8"/>
  <c r="AZ57" i="8"/>
  <c r="AX19" i="8"/>
  <c r="AN106" i="8"/>
  <c r="AT19" i="8"/>
  <c r="S7" i="9" s="1"/>
  <c r="AV19" i="8"/>
  <c r="X7" i="9" s="1"/>
  <c r="AZ19" i="8"/>
  <c r="AP19" i="8"/>
  <c r="AR19" i="8"/>
  <c r="AN57" i="8"/>
  <c r="AT52" i="8"/>
  <c r="AP52" i="8"/>
  <c r="AZ81" i="8"/>
  <c r="AX52" i="8"/>
  <c r="AZ52" i="8"/>
  <c r="C52" i="8"/>
  <c r="AV52" i="8"/>
  <c r="AR52" i="8"/>
  <c r="H37" i="7" s="1"/>
  <c r="AR47" i="8"/>
  <c r="H32" i="7" s="1"/>
  <c r="AP42" i="8"/>
  <c r="AV77" i="8"/>
  <c r="C77" i="8"/>
  <c r="AR77" i="8"/>
  <c r="H62" i="7" s="1"/>
  <c r="AT77" i="8"/>
  <c r="AX77" i="8"/>
  <c r="AZ77" i="8"/>
  <c r="AP77" i="8"/>
  <c r="AV47" i="8"/>
  <c r="C79" i="8"/>
  <c r="AV79" i="8"/>
  <c r="AX79" i="8"/>
  <c r="AP46" i="8"/>
  <c r="AT20" i="8"/>
  <c r="S8" i="9" s="1"/>
  <c r="AZ20" i="8"/>
  <c r="AN52" i="8"/>
  <c r="AT98" i="8"/>
  <c r="AN79" i="8"/>
  <c r="C88" i="8"/>
  <c r="AV20" i="8"/>
  <c r="X8" i="9" s="1"/>
  <c r="AT6" i="8"/>
  <c r="AT88" i="8"/>
  <c r="AT79" i="8"/>
  <c r="AV88" i="8"/>
  <c r="AR20" i="8"/>
  <c r="AP20" i="8"/>
  <c r="AR88" i="8"/>
  <c r="H73" i="7" s="1"/>
  <c r="C132" i="8"/>
  <c r="AP79" i="8"/>
  <c r="AX20" i="8"/>
  <c r="AZ79" i="8"/>
  <c r="AN20" i="8"/>
  <c r="AP47" i="8"/>
  <c r="AX88" i="8"/>
  <c r="AP88" i="8"/>
  <c r="AX81" i="8"/>
  <c r="AX98" i="8"/>
  <c r="AN88" i="8"/>
  <c r="AV98" i="8"/>
  <c r="AZ98" i="8"/>
  <c r="AR98" i="8"/>
  <c r="H83" i="7" s="1"/>
  <c r="AN122" i="8"/>
  <c r="AN98" i="8"/>
  <c r="AP98" i="8"/>
  <c r="AR6" i="8"/>
  <c r="AX6" i="8"/>
  <c r="AZ108" i="8"/>
  <c r="AN108" i="8"/>
  <c r="AP108" i="8"/>
  <c r="AR108" i="8"/>
  <c r="H93" i="7" s="1"/>
  <c r="AX108" i="8"/>
  <c r="C108" i="8"/>
  <c r="AV108" i="8"/>
  <c r="H93" i="5" s="1"/>
  <c r="AZ29" i="8"/>
  <c r="AZ32" i="8"/>
  <c r="C63" i="8"/>
  <c r="AT29" i="8"/>
  <c r="AR32" i="8"/>
  <c r="H17" i="7" s="1"/>
  <c r="AX32" i="8"/>
  <c r="AV6" i="8"/>
  <c r="AT39" i="8"/>
  <c r="AP32" i="8"/>
  <c r="AN32" i="8"/>
  <c r="AV32" i="8"/>
  <c r="AT32" i="8"/>
  <c r="AX126" i="8"/>
  <c r="AT104" i="8"/>
  <c r="C13" i="8"/>
  <c r="AT13" i="8"/>
  <c r="C47" i="8"/>
  <c r="AV122" i="8"/>
  <c r="H107" i="5" s="1"/>
  <c r="AZ6" i="8"/>
  <c r="AP81" i="8"/>
  <c r="C81" i="8"/>
  <c r="AT81" i="8"/>
  <c r="C6" i="8"/>
  <c r="AT122" i="8"/>
  <c r="H107" i="2" s="1"/>
  <c r="AX122" i="8"/>
  <c r="AR81" i="8"/>
  <c r="H66" i="7" s="1"/>
  <c r="AN71" i="8"/>
  <c r="AR122" i="8"/>
  <c r="H107" i="7" s="1"/>
  <c r="AX111" i="8"/>
  <c r="AN6" i="8"/>
  <c r="AV71" i="8"/>
  <c r="AN24" i="8"/>
  <c r="AV81" i="8"/>
  <c r="AP122" i="8"/>
  <c r="AP132" i="8"/>
  <c r="AZ122" i="8"/>
  <c r="AT132" i="8"/>
  <c r="H117" i="2" s="1"/>
  <c r="AX132" i="8"/>
  <c r="AN132" i="8"/>
  <c r="AR132" i="8"/>
  <c r="H117" i="7" s="1"/>
  <c r="AV132" i="8"/>
  <c r="H117" i="5" s="1"/>
  <c r="AT55" i="8"/>
  <c r="AR55" i="8"/>
  <c r="H40" i="7" s="1"/>
  <c r="AZ55" i="8"/>
  <c r="AX40" i="8"/>
  <c r="AX55" i="8"/>
  <c r="AN55" i="8"/>
  <c r="AP55" i="8"/>
  <c r="AV55" i="8"/>
  <c r="AX29" i="8"/>
  <c r="AT26" i="8"/>
  <c r="C29" i="8"/>
  <c r="AX63" i="8"/>
  <c r="AN29" i="8"/>
  <c r="AT63" i="8"/>
  <c r="AN93" i="8"/>
  <c r="AV29" i="8"/>
  <c r="AN63" i="8"/>
  <c r="AV63" i="8"/>
  <c r="AP29" i="8"/>
  <c r="AZ63" i="8"/>
  <c r="AR29" i="8"/>
  <c r="H14" i="7" s="1"/>
  <c r="AP63" i="8"/>
  <c r="AT114" i="8"/>
  <c r="H99" i="2" s="1"/>
  <c r="AX27" i="8"/>
  <c r="AN81" i="8"/>
  <c r="C27" i="8"/>
  <c r="AT74" i="8"/>
  <c r="AN74" i="8"/>
  <c r="AZ27" i="8"/>
  <c r="AN111" i="8"/>
  <c r="AR111" i="8"/>
  <c r="H96" i="7" s="1"/>
  <c r="AX42" i="8"/>
  <c r="AR42" i="8"/>
  <c r="H27" i="7" s="1"/>
  <c r="AT111" i="8"/>
  <c r="H96" i="2" s="1"/>
  <c r="AZ42" i="8"/>
  <c r="AN42" i="8"/>
  <c r="AZ111" i="8"/>
  <c r="C42" i="8"/>
  <c r="AP111" i="8"/>
  <c r="AV42" i="8"/>
  <c r="AV111" i="8"/>
  <c r="H96" i="5" s="1"/>
  <c r="AN47" i="8"/>
  <c r="AP71" i="8"/>
  <c r="AZ24" i="8"/>
  <c r="AZ47" i="8"/>
  <c r="AT47" i="8"/>
  <c r="AX71" i="8"/>
  <c r="AZ71" i="8"/>
  <c r="AX47" i="8"/>
  <c r="AR24" i="8"/>
  <c r="H9" i="7" s="1"/>
  <c r="C71" i="8"/>
  <c r="AX39" i="8"/>
  <c r="AR71" i="8"/>
  <c r="H56" i="7" s="1"/>
  <c r="AP39" i="8"/>
  <c r="AP24" i="8"/>
  <c r="AZ101" i="8"/>
  <c r="AR121" i="8"/>
  <c r="H106" i="7" s="1"/>
  <c r="AP83" i="8"/>
  <c r="C15" i="8"/>
  <c r="AP26" i="8"/>
  <c r="AV121" i="8"/>
  <c r="H106" i="5" s="1"/>
  <c r="AN126" i="8"/>
  <c r="AX13" i="8"/>
  <c r="AT27" i="8"/>
  <c r="AP74" i="8"/>
  <c r="AR109" i="8"/>
  <c r="H94" i="7" s="1"/>
  <c r="AX74" i="8"/>
  <c r="AV27" i="8"/>
  <c r="C109" i="8"/>
  <c r="AT109" i="8"/>
  <c r="H94" i="2" s="1"/>
  <c r="AN27" i="8"/>
  <c r="AV109" i="8"/>
  <c r="H94" i="5" s="1"/>
  <c r="AR27" i="8"/>
  <c r="H12" i="7" s="1"/>
  <c r="AP109" i="8"/>
  <c r="AV74" i="8"/>
  <c r="AP27" i="8"/>
  <c r="AR74" i="8"/>
  <c r="H59" i="7" s="1"/>
  <c r="AR104" i="8"/>
  <c r="H89" i="7" s="1"/>
  <c r="AR101" i="8"/>
  <c r="H86" i="7" s="1"/>
  <c r="AP126" i="8"/>
  <c r="AP121" i="8"/>
  <c r="AN13" i="8"/>
  <c r="AT101" i="8"/>
  <c r="AX80" i="8"/>
  <c r="AZ86" i="8"/>
  <c r="C126" i="8"/>
  <c r="AR86" i="8"/>
  <c r="H71" i="7" s="1"/>
  <c r="AX121" i="8"/>
  <c r="AR13" i="8"/>
  <c r="AV83" i="8"/>
  <c r="AN121" i="8"/>
  <c r="AT126" i="8"/>
  <c r="AZ126" i="8"/>
  <c r="AZ121" i="8"/>
  <c r="AV13" i="8"/>
  <c r="AR126" i="8"/>
  <c r="H111" i="7" s="1"/>
  <c r="AP101" i="8"/>
  <c r="AX62" i="8"/>
  <c r="AV15" i="8"/>
  <c r="X3" i="9" s="1"/>
  <c r="AV126" i="8"/>
  <c r="H111" i="5" s="1"/>
  <c r="AP13" i="8"/>
  <c r="AP86" i="8"/>
  <c r="C101" i="8"/>
  <c r="AV101" i="8"/>
  <c r="AT121" i="8"/>
  <c r="AV104" i="8"/>
  <c r="AX15" i="8"/>
  <c r="AN83" i="8"/>
  <c r="AT21" i="8"/>
  <c r="AP61" i="8"/>
  <c r="AV21" i="8"/>
  <c r="AV40" i="8"/>
  <c r="AX101" i="8"/>
  <c r="AT61" i="8"/>
  <c r="AN21" i="8"/>
  <c r="AZ40" i="8"/>
  <c r="AZ21" i="8"/>
  <c r="AV61" i="8"/>
  <c r="AN40" i="8"/>
  <c r="AR21" i="8"/>
  <c r="H6" i="7" s="1"/>
  <c r="AR61" i="8"/>
  <c r="H46" i="7" s="1"/>
  <c r="AX61" i="8"/>
  <c r="AN118" i="8"/>
  <c r="AT40" i="8"/>
  <c r="AR40" i="8"/>
  <c r="H25" i="7" s="1"/>
  <c r="AP40" i="8"/>
  <c r="AP21" i="8"/>
  <c r="AN61" i="8"/>
  <c r="C118" i="8"/>
  <c r="AZ61" i="8"/>
  <c r="AX21" i="8"/>
  <c r="AV118" i="8"/>
  <c r="H103" i="5" s="1"/>
  <c r="AR80" i="8"/>
  <c r="H65" i="7" s="1"/>
  <c r="AZ80" i="8"/>
  <c r="AN15" i="8"/>
  <c r="C83" i="8"/>
  <c r="AP80" i="8"/>
  <c r="C80" i="8"/>
  <c r="AT83" i="8"/>
  <c r="AN80" i="8"/>
  <c r="AT15" i="8"/>
  <c r="S3" i="9" s="1"/>
  <c r="AZ15" i="8"/>
  <c r="AT62" i="8"/>
  <c r="AX83" i="8"/>
  <c r="AV86" i="8"/>
  <c r="AP15" i="8"/>
  <c r="AZ83" i="8"/>
  <c r="AT86" i="8"/>
  <c r="AX46" i="8"/>
  <c r="AP62" i="8"/>
  <c r="AZ74" i="8"/>
  <c r="AV80" i="8"/>
  <c r="AZ109" i="8"/>
  <c r="AX86" i="8"/>
  <c r="AN109" i="8"/>
  <c r="AT42" i="8"/>
  <c r="C86" i="8"/>
  <c r="AZ39" i="8"/>
  <c r="AV24" i="8"/>
  <c r="AX24" i="8"/>
  <c r="AR39" i="8"/>
  <c r="H24" i="7" s="1"/>
  <c r="AV39" i="8"/>
  <c r="AN39" i="8"/>
  <c r="AP104" i="8"/>
  <c r="AP58" i="8"/>
  <c r="AZ104" i="8"/>
  <c r="AV120" i="8"/>
  <c r="H105" i="5" s="1"/>
  <c r="AR62" i="8"/>
  <c r="H47" i="7" s="1"/>
  <c r="AR58" i="8"/>
  <c r="H43" i="7" s="1"/>
  <c r="AP9" i="8"/>
  <c r="AZ9" i="8"/>
  <c r="C9" i="8"/>
  <c r="AV9" i="8"/>
  <c r="AN9" i="8"/>
  <c r="AT9" i="8"/>
  <c r="AV58" i="8"/>
  <c r="AN104" i="8"/>
  <c r="AX104" i="8"/>
  <c r="C104" i="8"/>
  <c r="AR9" i="8"/>
  <c r="AX120" i="8"/>
  <c r="C120" i="8"/>
  <c r="AZ62" i="8"/>
  <c r="AZ120" i="8"/>
  <c r="AR120" i="8"/>
  <c r="H105" i="7" s="1"/>
  <c r="AT120" i="8"/>
  <c r="AN120" i="8"/>
  <c r="C26" i="8"/>
  <c r="AZ26" i="8"/>
  <c r="AT93" i="8"/>
  <c r="AX26" i="8"/>
  <c r="AX93" i="8"/>
  <c r="AX118" i="8"/>
  <c r="AX114" i="8"/>
  <c r="AR114" i="8"/>
  <c r="H99" i="7" s="1"/>
  <c r="AN26" i="8"/>
  <c r="C93" i="8"/>
  <c r="AT118" i="8"/>
  <c r="H103" i="2" s="1"/>
  <c r="AV26" i="8"/>
  <c r="AV93" i="8"/>
  <c r="AR93" i="8"/>
  <c r="H78" i="7" s="1"/>
  <c r="AP93" i="8"/>
  <c r="AP118" i="8"/>
  <c r="AP114" i="8"/>
  <c r="AR26" i="8"/>
  <c r="H11" i="7" s="1"/>
  <c r="AZ118" i="8"/>
  <c r="AN62" i="8"/>
  <c r="C62" i="8"/>
  <c r="AR69" i="8"/>
  <c r="H54" i="7" s="1"/>
  <c r="AP89" i="8"/>
  <c r="AT24" i="8"/>
  <c r="S12" i="9" s="1"/>
  <c r="AZ37" i="8"/>
  <c r="C37" i="8"/>
  <c r="AX37" i="8"/>
  <c r="AT37" i="8"/>
  <c r="AV37" i="8"/>
  <c r="AN37" i="8"/>
  <c r="AP37" i="8"/>
  <c r="C46" i="8"/>
  <c r="AN46" i="8"/>
  <c r="AT46" i="8"/>
  <c r="AZ89" i="8"/>
  <c r="AN89" i="8"/>
  <c r="C89" i="8"/>
  <c r="AR89" i="8"/>
  <c r="AV89" i="8"/>
  <c r="AT58" i="8"/>
  <c r="AV69" i="8"/>
  <c r="AR46" i="8"/>
  <c r="H31" i="7" s="1"/>
  <c r="AN58" i="8"/>
  <c r="AR37" i="8"/>
  <c r="H22" i="7" s="1"/>
  <c r="AT89" i="8"/>
  <c r="AV46" i="8"/>
  <c r="AZ58" i="8"/>
  <c r="AX58" i="8"/>
  <c r="C58" i="8"/>
  <c r="AZ46" i="8"/>
  <c r="AX89" i="8"/>
  <c r="C114" i="8"/>
  <c r="AZ114" i="8"/>
  <c r="AV114" i="8"/>
  <c r="H99" i="5" s="1"/>
  <c r="AN114" i="8"/>
  <c r="C69" i="8"/>
  <c r="AP69" i="8"/>
  <c r="AN69" i="8"/>
  <c r="AT69" i="8"/>
  <c r="AX69" i="8"/>
  <c r="AZ14" i="8"/>
  <c r="AR14" i="8"/>
  <c r="AV14" i="8"/>
  <c r="AT14" i="8"/>
  <c r="AP14" i="8"/>
  <c r="C14" i="8"/>
  <c r="AN14" i="8"/>
  <c r="AX14" i="8"/>
  <c r="AV76" i="8"/>
  <c r="AN76" i="8"/>
  <c r="AT76" i="8"/>
  <c r="AZ76" i="8"/>
  <c r="AX76" i="8"/>
  <c r="AR76" i="8"/>
  <c r="H61" i="7" s="1"/>
  <c r="C76" i="8"/>
  <c r="AP76" i="8"/>
  <c r="AT73" i="8"/>
  <c r="C73" i="8"/>
  <c r="AZ73" i="8"/>
  <c r="AP73" i="8"/>
  <c r="AN73" i="8"/>
  <c r="AX73" i="8"/>
  <c r="AV73" i="8"/>
  <c r="AR73" i="8"/>
  <c r="H58" i="7" s="1"/>
  <c r="AV60" i="8"/>
  <c r="AN60" i="8"/>
  <c r="AZ60" i="8"/>
  <c r="AP60" i="8"/>
  <c r="AT60" i="8"/>
  <c r="AR60" i="8"/>
  <c r="H45" i="7" s="1"/>
  <c r="C60" i="8"/>
  <c r="AX60" i="8"/>
  <c r="C96" i="8"/>
  <c r="AX96" i="8"/>
  <c r="AP96" i="8"/>
  <c r="AV96" i="8"/>
  <c r="AT96" i="8"/>
  <c r="AN96" i="8"/>
  <c r="AZ96" i="8"/>
  <c r="AR96" i="8"/>
  <c r="H81" i="7" s="1"/>
  <c r="C112" i="8"/>
  <c r="AX112" i="8"/>
  <c r="AN112" i="8"/>
  <c r="AV112" i="8"/>
  <c r="H97" i="5" s="1"/>
  <c r="AR112" i="8"/>
  <c r="H97" i="7" s="1"/>
  <c r="AP112" i="8"/>
  <c r="AZ112" i="8"/>
  <c r="AT112" i="8"/>
  <c r="AZ72" i="8"/>
  <c r="AR72" i="8"/>
  <c r="H57" i="7" s="1"/>
  <c r="AX72" i="8"/>
  <c r="AP72" i="8"/>
  <c r="AT72" i="8"/>
  <c r="C72" i="8"/>
  <c r="AN72" i="8"/>
  <c r="AV72" i="8"/>
  <c r="AT28" i="8"/>
  <c r="AZ28" i="8"/>
  <c r="AP28" i="8"/>
  <c r="AX28" i="8"/>
  <c r="AN28" i="8"/>
  <c r="C28" i="8"/>
  <c r="AV28" i="8"/>
  <c r="AR28" i="8"/>
  <c r="H13" i="7" s="1"/>
  <c r="AZ119" i="8"/>
  <c r="AR119" i="8"/>
  <c r="H104" i="7" s="1"/>
  <c r="AT119" i="8"/>
  <c r="AX119" i="8"/>
  <c r="AN119" i="8"/>
  <c r="C119" i="8"/>
  <c r="AV119" i="8"/>
  <c r="H104" i="5" s="1"/>
  <c r="AP119" i="8"/>
  <c r="AZ25" i="8"/>
  <c r="AR25" i="8"/>
  <c r="H10" i="7" s="1"/>
  <c r="AP25" i="8"/>
  <c r="AX25" i="8"/>
  <c r="AN25" i="8"/>
  <c r="C25" i="8"/>
  <c r="AV25" i="8"/>
  <c r="AT25" i="8"/>
  <c r="S13" i="9" s="1"/>
  <c r="AX66" i="8"/>
  <c r="AP66" i="8"/>
  <c r="AV66" i="8"/>
  <c r="AN66" i="8"/>
  <c r="AT66" i="8"/>
  <c r="AR66" i="8"/>
  <c r="H51" i="7" s="1"/>
  <c r="C66" i="8"/>
  <c r="AZ66" i="8"/>
  <c r="AX85" i="8"/>
  <c r="AV85" i="8"/>
  <c r="AT85" i="8"/>
  <c r="C85" i="8"/>
  <c r="AZ85" i="8"/>
  <c r="AP85" i="8"/>
  <c r="AR85" i="8"/>
  <c r="H70" i="7" s="1"/>
  <c r="AN85" i="8"/>
  <c r="AX50" i="8"/>
  <c r="AP50" i="8"/>
  <c r="AR50" i="8"/>
  <c r="H35" i="7" s="1"/>
  <c r="C50" i="8"/>
  <c r="AV50" i="8"/>
  <c r="AT50" i="8"/>
  <c r="AN50" i="8"/>
  <c r="AZ50" i="8"/>
  <c r="C67" i="8"/>
  <c r="AX67" i="8"/>
  <c r="AN67" i="8"/>
  <c r="AV67" i="8"/>
  <c r="AR67" i="8"/>
  <c r="H52" i="7" s="1"/>
  <c r="AP67" i="8"/>
  <c r="AZ67" i="8"/>
  <c r="AT67" i="8"/>
  <c r="AZ30" i="8"/>
  <c r="AR30" i="8"/>
  <c r="H15" i="7" s="1"/>
  <c r="C30" i="8"/>
  <c r="AP30" i="8"/>
  <c r="AX30" i="8"/>
  <c r="AN30" i="8"/>
  <c r="AT30" i="8"/>
  <c r="AV30" i="8"/>
  <c r="AT12" i="8"/>
  <c r="AR12" i="8"/>
  <c r="AP12" i="8"/>
  <c r="AX12" i="8"/>
  <c r="AZ12" i="8"/>
  <c r="AV12" i="8"/>
  <c r="C12" i="8"/>
  <c r="AN12" i="8"/>
  <c r="C35" i="8"/>
  <c r="AX35" i="8"/>
  <c r="AP35" i="8"/>
  <c r="AZ35" i="8"/>
  <c r="AN35" i="8"/>
  <c r="AV35" i="8"/>
  <c r="AT35" i="8"/>
  <c r="AR35" i="8"/>
  <c r="H20" i="7" s="1"/>
  <c r="AX16" i="8"/>
  <c r="AP16" i="8"/>
  <c r="AN16" i="8"/>
  <c r="AT16" i="8"/>
  <c r="S4" i="9" s="1"/>
  <c r="AV16" i="8"/>
  <c r="X4" i="9" s="1"/>
  <c r="C16" i="8"/>
  <c r="AR16" i="8"/>
  <c r="AZ16" i="8"/>
  <c r="C116" i="8"/>
  <c r="AX116" i="8"/>
  <c r="AV116" i="8"/>
  <c r="H101" i="5" s="1"/>
  <c r="AT116" i="8"/>
  <c r="AR116" i="8"/>
  <c r="H101" i="7" s="1"/>
  <c r="AP116" i="8"/>
  <c r="AN116" i="8"/>
  <c r="AZ116" i="8"/>
  <c r="AX59" i="8"/>
  <c r="AN59" i="8"/>
  <c r="C59" i="8"/>
  <c r="AT59" i="8"/>
  <c r="AR59" i="8"/>
  <c r="H44" i="7" s="1"/>
  <c r="AP59" i="8"/>
  <c r="AZ59" i="8"/>
  <c r="AV59" i="8"/>
  <c r="AT117" i="8"/>
  <c r="AZ117" i="8"/>
  <c r="AX117" i="8"/>
  <c r="AV117" i="8"/>
  <c r="H102" i="5" s="1"/>
  <c r="AN117" i="8"/>
  <c r="C117" i="8"/>
  <c r="AR117" i="8"/>
  <c r="H102" i="7" s="1"/>
  <c r="AP117" i="8"/>
  <c r="AT23" i="8"/>
  <c r="S11" i="9" s="1"/>
  <c r="AR23" i="8"/>
  <c r="H8" i="7" s="1"/>
  <c r="AZ23" i="8"/>
  <c r="AP23" i="8"/>
  <c r="C23" i="8"/>
  <c r="AN23" i="8"/>
  <c r="AX23" i="8"/>
  <c r="AV23" i="8"/>
  <c r="AZ127" i="8"/>
  <c r="AR127" i="8"/>
  <c r="H112" i="7" s="1"/>
  <c r="AV127" i="8"/>
  <c r="H112" i="5" s="1"/>
  <c r="AN127" i="8"/>
  <c r="AX127" i="8"/>
  <c r="AT127" i="8"/>
  <c r="AP127" i="8"/>
  <c r="C127" i="8"/>
  <c r="AV131" i="8"/>
  <c r="H116" i="5" s="1"/>
  <c r="AN131" i="8"/>
  <c r="AT131" i="8"/>
  <c r="AZ131" i="8"/>
  <c r="AR131" i="8"/>
  <c r="H116" i="7" s="1"/>
  <c r="C131" i="8"/>
  <c r="AP131" i="8"/>
  <c r="AX131" i="8"/>
  <c r="AZ107" i="8"/>
  <c r="AR107" i="8"/>
  <c r="H92" i="7" s="1"/>
  <c r="C107" i="8"/>
  <c r="AT107" i="8"/>
  <c r="AP107" i="8"/>
  <c r="AX107" i="8"/>
  <c r="AN107" i="8"/>
  <c r="AV107" i="8"/>
  <c r="AZ82" i="8"/>
  <c r="AR82" i="8"/>
  <c r="H67" i="7" s="1"/>
  <c r="AP82" i="8"/>
  <c r="AX82" i="8"/>
  <c r="AV82" i="8"/>
  <c r="C82" i="8"/>
  <c r="AT82" i="8"/>
  <c r="AN82" i="8"/>
  <c r="C124" i="8"/>
  <c r="AR124" i="8"/>
  <c r="H109" i="7" s="1"/>
  <c r="AX124" i="8"/>
  <c r="AN124" i="8"/>
  <c r="AZ124" i="8"/>
  <c r="AT124" i="8"/>
  <c r="AV124" i="8"/>
  <c r="H109" i="5" s="1"/>
  <c r="AP124" i="8"/>
  <c r="AV41" i="8"/>
  <c r="AR41" i="8"/>
  <c r="H26" i="7" s="1"/>
  <c r="AT41" i="8"/>
  <c r="C41" i="8"/>
  <c r="AP41" i="8"/>
  <c r="AZ41" i="8"/>
  <c r="AN41" i="8"/>
  <c r="AX41" i="8"/>
  <c r="C53" i="8"/>
  <c r="AN53" i="8"/>
  <c r="AR53" i="8"/>
  <c r="H38" i="7" s="1"/>
  <c r="AP53" i="8"/>
  <c r="AZ53" i="8"/>
  <c r="AX53" i="8"/>
  <c r="AV53" i="8"/>
  <c r="AT53" i="8"/>
  <c r="AX129" i="8"/>
  <c r="AP129" i="8"/>
  <c r="AV129" i="8"/>
  <c r="H114" i="5" s="1"/>
  <c r="AN129" i="8"/>
  <c r="AT129" i="8"/>
  <c r="C129" i="8"/>
  <c r="AR129" i="8"/>
  <c r="H114" i="7" s="1"/>
  <c r="AZ129" i="8"/>
  <c r="C75" i="8"/>
  <c r="AX75" i="8"/>
  <c r="AP75" i="8"/>
  <c r="AN75" i="8"/>
  <c r="AV75" i="8"/>
  <c r="AZ75" i="8"/>
  <c r="AT75" i="8"/>
  <c r="AR75" i="8"/>
  <c r="H60" i="7" s="1"/>
  <c r="AZ64" i="8"/>
  <c r="AR64" i="8"/>
  <c r="H49" i="7" s="1"/>
  <c r="AN64" i="8"/>
  <c r="C64" i="8"/>
  <c r="AV64" i="8"/>
  <c r="AP64" i="8"/>
  <c r="AX64" i="8"/>
  <c r="AT64" i="8"/>
  <c r="AT100" i="8"/>
  <c r="AV100" i="8"/>
  <c r="AP100" i="8"/>
  <c r="AX100" i="8"/>
  <c r="AN100" i="8"/>
  <c r="AZ100" i="8"/>
  <c r="C100" i="8"/>
  <c r="AR100" i="8"/>
  <c r="H85" i="7" s="1"/>
  <c r="AT105" i="8"/>
  <c r="C105" i="8"/>
  <c r="AR105" i="8"/>
  <c r="H90" i="7" s="1"/>
  <c r="AV105" i="8"/>
  <c r="AZ105" i="8"/>
  <c r="AX105" i="8"/>
  <c r="AP105" i="8"/>
  <c r="AN105" i="8"/>
  <c r="AZ48" i="8"/>
  <c r="AR48" i="8"/>
  <c r="H33" i="7" s="1"/>
  <c r="AN48" i="8"/>
  <c r="C48" i="8"/>
  <c r="AT48" i="8"/>
  <c r="AX48" i="8"/>
  <c r="AV48" i="8"/>
  <c r="AP48" i="8"/>
  <c r="AV34" i="8"/>
  <c r="AN34" i="8"/>
  <c r="AZ34" i="8"/>
  <c r="AP34" i="8"/>
  <c r="AX34" i="8"/>
  <c r="AT34" i="8"/>
  <c r="C34" i="8"/>
  <c r="AR34" i="8"/>
  <c r="H19" i="7" s="1"/>
  <c r="AX84" i="8"/>
  <c r="AP84" i="8"/>
  <c r="AV84" i="8"/>
  <c r="C84" i="8"/>
  <c r="AR84" i="8"/>
  <c r="H69" i="7" s="1"/>
  <c r="AZ84" i="8"/>
  <c r="AT84" i="8"/>
  <c r="AN84" i="8"/>
  <c r="AZ94" i="8"/>
  <c r="AR94" i="8"/>
  <c r="H79" i="7" s="1"/>
  <c r="AV94" i="8"/>
  <c r="AP94" i="8"/>
  <c r="AX94" i="8"/>
  <c r="AT94" i="8"/>
  <c r="AN94" i="8"/>
  <c r="C94" i="8"/>
  <c r="C128" i="8"/>
  <c r="AZ128" i="8"/>
  <c r="AX128" i="8"/>
  <c r="AN128" i="8"/>
  <c r="AV128" i="8"/>
  <c r="H113" i="5" s="1"/>
  <c r="AT128" i="8"/>
  <c r="AR128" i="8"/>
  <c r="H113" i="7" s="1"/>
  <c r="AP128" i="8"/>
  <c r="AV8" i="8"/>
  <c r="AN8" i="8"/>
  <c r="AT8" i="8"/>
  <c r="AX8" i="8"/>
  <c r="AR8" i="8"/>
  <c r="AZ8" i="8"/>
  <c r="AP8" i="8"/>
  <c r="C8" i="8"/>
  <c r="AV10" i="8"/>
  <c r="AN10" i="8"/>
  <c r="AX10" i="8"/>
  <c r="AT10" i="8"/>
  <c r="C10" i="8"/>
  <c r="AP10" i="8"/>
  <c r="AR10" i="8"/>
  <c r="AZ10" i="8"/>
  <c r="AT51" i="8"/>
  <c r="AR51" i="8"/>
  <c r="H36" i="7" s="1"/>
  <c r="AZ51" i="8"/>
  <c r="AP51" i="8"/>
  <c r="C51" i="8"/>
  <c r="AX51" i="8"/>
  <c r="AV51" i="8"/>
  <c r="AN51" i="8"/>
  <c r="C91" i="8"/>
  <c r="AN91" i="8"/>
  <c r="AP91" i="8"/>
  <c r="AX91" i="8"/>
  <c r="AV91" i="8"/>
  <c r="AT91" i="8"/>
  <c r="AR91" i="8"/>
  <c r="H76" i="7" s="1"/>
  <c r="AZ91" i="8"/>
  <c r="AT92" i="8"/>
  <c r="AP92" i="8"/>
  <c r="AX92" i="8"/>
  <c r="AV92" i="8"/>
  <c r="AR92" i="8"/>
  <c r="H77" i="7" s="1"/>
  <c r="AN92" i="8"/>
  <c r="AZ92" i="8"/>
  <c r="C92" i="8"/>
  <c r="C7" i="8"/>
  <c r="AX7" i="8"/>
  <c r="AP7" i="8"/>
  <c r="AZ7" i="8"/>
  <c r="AT7" i="8"/>
  <c r="AV7" i="8"/>
  <c r="AN7" i="8"/>
  <c r="AR7" i="8"/>
  <c r="AP65" i="8"/>
  <c r="AX65" i="8"/>
  <c r="AZ65" i="8"/>
  <c r="AV65" i="8"/>
  <c r="AT65" i="8"/>
  <c r="AR65" i="8"/>
  <c r="H50" i="7" s="1"/>
  <c r="AN65" i="8"/>
  <c r="C65" i="8"/>
  <c r="AV123" i="8"/>
  <c r="H108" i="5" s="1"/>
  <c r="AN123" i="8"/>
  <c r="AP123" i="8"/>
  <c r="C123" i="8"/>
  <c r="AX123" i="8"/>
  <c r="AT123" i="8"/>
  <c r="AZ123" i="8"/>
  <c r="AR123" i="8"/>
  <c r="H108" i="7" s="1"/>
  <c r="AZ130" i="8"/>
  <c r="AR130" i="8"/>
  <c r="H115" i="7" s="1"/>
  <c r="C130" i="8"/>
  <c r="AN130" i="8"/>
  <c r="AX130" i="8"/>
  <c r="AV130" i="8"/>
  <c r="H115" i="5" s="1"/>
  <c r="AT130" i="8"/>
  <c r="AP130" i="8"/>
  <c r="AT31" i="8"/>
  <c r="AX31" i="8"/>
  <c r="AN31" i="8"/>
  <c r="AV31" i="8"/>
  <c r="C31" i="8"/>
  <c r="AZ31" i="8"/>
  <c r="AR31" i="8"/>
  <c r="H16" i="7" s="1"/>
  <c r="AP31" i="8"/>
  <c r="AV115" i="8"/>
  <c r="H100" i="5" s="1"/>
  <c r="AN115" i="8"/>
  <c r="AT115" i="8"/>
  <c r="AR115" i="8"/>
  <c r="H100" i="7" s="1"/>
  <c r="AZ115" i="8"/>
  <c r="AX115" i="8"/>
  <c r="C115" i="8"/>
  <c r="AP115" i="8"/>
  <c r="C45" i="8"/>
  <c r="AZ45" i="8"/>
  <c r="AP45" i="8"/>
  <c r="AX45" i="8"/>
  <c r="AV45" i="8"/>
  <c r="AT45" i="8"/>
  <c r="AR45" i="8"/>
  <c r="H30" i="7" s="1"/>
  <c r="AN45" i="8"/>
  <c r="AT113" i="8"/>
  <c r="AZ113" i="8"/>
  <c r="AP113" i="8"/>
  <c r="AX113" i="8"/>
  <c r="AN113" i="8"/>
  <c r="C113" i="8"/>
  <c r="AR113" i="8"/>
  <c r="H98" i="7" s="1"/>
  <c r="AV113" i="8"/>
  <c r="H98" i="5" s="1"/>
  <c r="AT70" i="8"/>
  <c r="AZ70" i="8"/>
  <c r="AR70" i="8"/>
  <c r="H55" i="7" s="1"/>
  <c r="AX70" i="8"/>
  <c r="AN70" i="8"/>
  <c r="AV70" i="8"/>
  <c r="C70" i="8"/>
  <c r="AP70" i="8"/>
  <c r="AR5" i="8"/>
  <c r="AZ5" i="8"/>
  <c r="AT5" i="8"/>
  <c r="AN5" i="8"/>
  <c r="AP5" i="8"/>
  <c r="C5" i="8"/>
  <c r="AX5" i="8"/>
  <c r="AV5" i="8"/>
  <c r="AV18" i="8"/>
  <c r="X6" i="9" s="1"/>
  <c r="AN18" i="8"/>
  <c r="AR18" i="8"/>
  <c r="AP18" i="8"/>
  <c r="AX18" i="8"/>
  <c r="AZ18" i="8"/>
  <c r="C18" i="8"/>
  <c r="AT18" i="8"/>
  <c r="S6" i="9" s="1"/>
  <c r="AX43" i="8"/>
  <c r="AV43" i="8"/>
  <c r="AN43" i="8"/>
  <c r="AZ43" i="8"/>
  <c r="AT43" i="8"/>
  <c r="AR43" i="8"/>
  <c r="H28" i="7" s="1"/>
  <c r="C43" i="8"/>
  <c r="AP43" i="8"/>
  <c r="AZ102" i="8"/>
  <c r="AR102" i="8"/>
  <c r="H87" i="7" s="1"/>
  <c r="C102" i="8"/>
  <c r="AT102" i="8"/>
  <c r="AP102" i="8"/>
  <c r="AN102" i="8"/>
  <c r="AX102" i="8"/>
  <c r="AV102" i="8"/>
  <c r="AP17" i="8"/>
  <c r="AN17" i="8"/>
  <c r="C17" i="8"/>
  <c r="AV17" i="8"/>
  <c r="X5" i="9" s="1"/>
  <c r="AZ17" i="8"/>
  <c r="AX17" i="8"/>
  <c r="AT17" i="8"/>
  <c r="S5" i="9" s="1"/>
  <c r="AR17" i="8"/>
  <c r="AZ22" i="8"/>
  <c r="AR22" i="8"/>
  <c r="H7" i="7" s="1"/>
  <c r="AX22" i="8"/>
  <c r="AV22" i="8"/>
  <c r="AT22" i="8"/>
  <c r="S10" i="9" s="1"/>
  <c r="C22" i="8"/>
  <c r="AP22" i="8"/>
  <c r="AN22" i="8"/>
  <c r="AV103" i="8"/>
  <c r="AN103" i="8"/>
  <c r="AT103" i="8"/>
  <c r="C103" i="8"/>
  <c r="AR103" i="8"/>
  <c r="H88" i="7" s="1"/>
  <c r="AZ103" i="8"/>
  <c r="AP103" i="8"/>
  <c r="AX103" i="8"/>
  <c r="AT38" i="8"/>
  <c r="AZ38" i="8"/>
  <c r="AR38" i="8"/>
  <c r="H23" i="7" s="1"/>
  <c r="C38" i="8"/>
  <c r="AN38" i="8"/>
  <c r="AX38" i="8"/>
  <c r="AV38" i="8"/>
  <c r="AP38" i="8"/>
  <c r="AV90" i="8"/>
  <c r="AN90" i="8"/>
  <c r="C90" i="8"/>
  <c r="AR90" i="8"/>
  <c r="H75" i="7" s="1"/>
  <c r="AP90" i="8"/>
  <c r="AZ90" i="8"/>
  <c r="AX90" i="8"/>
  <c r="AT90" i="8"/>
  <c r="AT97" i="8"/>
  <c r="AV97" i="8"/>
  <c r="AZ97" i="8"/>
  <c r="AN97" i="8"/>
  <c r="AR97" i="8"/>
  <c r="H82" i="7" s="1"/>
  <c r="AX97" i="8"/>
  <c r="C97" i="8"/>
  <c r="AP97" i="8"/>
  <c r="AZ99" i="8"/>
  <c r="AR99" i="8"/>
  <c r="H84" i="7" s="1"/>
  <c r="C99" i="8"/>
  <c r="AV99" i="8"/>
  <c r="AX99" i="8"/>
  <c r="AT99" i="8"/>
  <c r="AP99" i="8"/>
  <c r="AN99" i="8"/>
  <c r="AT125" i="8"/>
  <c r="AZ125" i="8"/>
  <c r="AP125" i="8"/>
  <c r="AR125" i="8"/>
  <c r="H110" i="7" s="1"/>
  <c r="AX125" i="8"/>
  <c r="AV125" i="8"/>
  <c r="H110" i="5" s="1"/>
  <c r="AN125" i="8"/>
  <c r="C125" i="8"/>
  <c r="AT54" i="8"/>
  <c r="AZ54" i="8"/>
  <c r="AP54" i="8"/>
  <c r="AR54" i="8"/>
  <c r="H39" i="7" s="1"/>
  <c r="AN54" i="8"/>
  <c r="AX54" i="8"/>
  <c r="C54" i="8"/>
  <c r="AV54" i="8"/>
  <c r="AV68" i="8"/>
  <c r="AN68" i="8"/>
  <c r="AT68" i="8"/>
  <c r="AP68" i="8"/>
  <c r="C68" i="8"/>
  <c r="AZ68" i="8"/>
  <c r="AX68" i="8"/>
  <c r="AR68" i="8"/>
  <c r="H53" i="7" s="1"/>
  <c r="C87" i="8"/>
  <c r="AT87" i="8"/>
  <c r="AR87" i="8"/>
  <c r="H72" i="7" s="1"/>
  <c r="AZ87" i="8"/>
  <c r="AX87" i="8"/>
  <c r="AN87" i="8"/>
  <c r="AV87" i="8"/>
  <c r="AP87" i="8"/>
  <c r="C11" i="8"/>
  <c r="AZ11" i="8"/>
  <c r="AP11" i="8"/>
  <c r="AN11" i="8"/>
  <c r="AV11" i="8"/>
  <c r="AT11" i="8"/>
  <c r="AX11" i="8"/>
  <c r="AR11" i="8"/>
  <c r="AV95" i="8"/>
  <c r="AN95" i="8"/>
  <c r="AX95" i="8"/>
  <c r="C95" i="8"/>
  <c r="AZ95" i="8"/>
  <c r="AT95" i="8"/>
  <c r="AR95" i="8"/>
  <c r="H80" i="7" s="1"/>
  <c r="AP95" i="8"/>
  <c r="AV44" i="8"/>
  <c r="AN44" i="8"/>
  <c r="AZ44" i="8"/>
  <c r="AX44" i="8"/>
  <c r="C44" i="8"/>
  <c r="AR44" i="8"/>
  <c r="H29" i="7" s="1"/>
  <c r="AP44" i="8"/>
  <c r="AT44" i="8"/>
  <c r="AP49" i="8"/>
  <c r="AN49" i="8"/>
  <c r="C49" i="8"/>
  <c r="AV49" i="8"/>
  <c r="AZ49" i="8"/>
  <c r="AX49" i="8"/>
  <c r="AT49" i="8"/>
  <c r="AR49" i="8"/>
  <c r="H34" i="7" s="1"/>
  <c r="AT110" i="8"/>
  <c r="AR110" i="8"/>
  <c r="H95" i="7" s="1"/>
  <c r="C110" i="8"/>
  <c r="AZ110" i="8"/>
  <c r="AX110" i="8"/>
  <c r="AV110" i="8"/>
  <c r="H95" i="5" s="1"/>
  <c r="AP110" i="8"/>
  <c r="AN110" i="8"/>
  <c r="AZ33" i="8"/>
  <c r="AR33" i="8"/>
  <c r="H18" i="7" s="1"/>
  <c r="AV33" i="8"/>
  <c r="C33" i="8"/>
  <c r="AT33" i="8"/>
  <c r="AX33" i="8"/>
  <c r="AP33" i="8"/>
  <c r="AN33" i="8"/>
  <c r="AT36" i="8"/>
  <c r="AX36" i="8"/>
  <c r="AN36" i="8"/>
  <c r="AV36" i="8"/>
  <c r="C36" i="8"/>
  <c r="AR36" i="8"/>
  <c r="H21" i="7" s="1"/>
  <c r="AZ36" i="8"/>
  <c r="AP36" i="8"/>
  <c r="AZ56" i="8"/>
  <c r="AR56" i="8"/>
  <c r="H41" i="7" s="1"/>
  <c r="AT56" i="8"/>
  <c r="AP56" i="8"/>
  <c r="AN56" i="8"/>
  <c r="C56" i="8"/>
  <c r="AX56" i="8"/>
  <c r="AV56" i="8"/>
  <c r="AT78" i="8"/>
  <c r="AZ78" i="8"/>
  <c r="AR78" i="8"/>
  <c r="H63" i="7" s="1"/>
  <c r="C78" i="8"/>
  <c r="AP78" i="8"/>
  <c r="AN78" i="8"/>
  <c r="AX78" i="8"/>
  <c r="AV78" i="8"/>
  <c r="L128" i="4"/>
  <c r="L127" i="4"/>
  <c r="L126" i="4"/>
  <c r="L125" i="4"/>
  <c r="L124" i="4"/>
  <c r="L123" i="4"/>
  <c r="L122" i="4"/>
  <c r="L121" i="4"/>
  <c r="L120" i="4"/>
  <c r="L119" i="4"/>
  <c r="L118" i="4"/>
  <c r="N7" i="9" l="1"/>
  <c r="N12" i="9"/>
  <c r="S16" i="9"/>
  <c r="R16" i="9"/>
  <c r="W16" i="9"/>
  <c r="N14" i="9"/>
  <c r="N9" i="9"/>
  <c r="N6" i="9"/>
  <c r="N11" i="9"/>
  <c r="N8" i="9"/>
  <c r="N4" i="9"/>
  <c r="H30" i="5"/>
  <c r="H76" i="5"/>
  <c r="H33" i="2"/>
  <c r="H49" i="5"/>
  <c r="H60" i="5"/>
  <c r="H67" i="5"/>
  <c r="H35" i="5"/>
  <c r="H54" i="5"/>
  <c r="H27" i="2"/>
  <c r="H12" i="5"/>
  <c r="X15" i="9"/>
  <c r="N5" i="9"/>
  <c r="H62" i="5"/>
  <c r="H42" i="2"/>
  <c r="H21" i="5"/>
  <c r="H34" i="5"/>
  <c r="H84" i="5"/>
  <c r="H7" i="5"/>
  <c r="X10" i="9"/>
  <c r="H16" i="5"/>
  <c r="H50" i="5"/>
  <c r="H77" i="5"/>
  <c r="H90" i="5"/>
  <c r="H52" i="5"/>
  <c r="H81" i="5"/>
  <c r="H68" i="2"/>
  <c r="H86" i="2"/>
  <c r="H59" i="5"/>
  <c r="H59" i="2"/>
  <c r="H14" i="2"/>
  <c r="H83" i="2"/>
  <c r="H32" i="5"/>
  <c r="H91" i="2"/>
  <c r="H41" i="5"/>
  <c r="H79" i="5"/>
  <c r="H69" i="5"/>
  <c r="H51" i="5"/>
  <c r="H74" i="5"/>
  <c r="H24" i="5"/>
  <c r="H89" i="5"/>
  <c r="H68" i="5"/>
  <c r="N10" i="9"/>
  <c r="H48" i="5"/>
  <c r="H11" i="2"/>
  <c r="S14" i="9"/>
  <c r="H17" i="5"/>
  <c r="H73" i="5"/>
  <c r="N15" i="9"/>
  <c r="H37" i="2"/>
  <c r="H91" i="5"/>
  <c r="H65" i="2"/>
  <c r="H63" i="5"/>
  <c r="H18" i="5"/>
  <c r="H82" i="5"/>
  <c r="H28" i="5"/>
  <c r="H85" i="5"/>
  <c r="H70" i="5"/>
  <c r="H31" i="5"/>
  <c r="H71" i="5"/>
  <c r="H40" i="2"/>
  <c r="H83" i="5"/>
  <c r="H42" i="5"/>
  <c r="H29" i="5"/>
  <c r="H80" i="5"/>
  <c r="H53" i="5"/>
  <c r="H75" i="5"/>
  <c r="H88" i="5"/>
  <c r="H19" i="5"/>
  <c r="H26" i="5"/>
  <c r="H45" i="5"/>
  <c r="H61" i="5"/>
  <c r="H22" i="5"/>
  <c r="H78" i="5"/>
  <c r="H43" i="5"/>
  <c r="H65" i="5"/>
  <c r="H25" i="5"/>
  <c r="H86" i="5"/>
  <c r="H12" i="2"/>
  <c r="S15" i="9"/>
  <c r="H27" i="5"/>
  <c r="H14" i="5"/>
  <c r="H40" i="5"/>
  <c r="H66" i="5"/>
  <c r="H73" i="2"/>
  <c r="H37" i="5"/>
  <c r="H56" i="2"/>
  <c r="H39" i="5"/>
  <c r="H87" i="5"/>
  <c r="H92" i="5"/>
  <c r="H8" i="5"/>
  <c r="X11" i="9"/>
  <c r="H44" i="5"/>
  <c r="H15" i="5"/>
  <c r="H57" i="5"/>
  <c r="H11" i="5"/>
  <c r="X14" i="9"/>
  <c r="H9" i="5"/>
  <c r="X12" i="9"/>
  <c r="H47" i="2"/>
  <c r="N3" i="9"/>
  <c r="H6" i="5"/>
  <c r="X9" i="9"/>
  <c r="H24" i="2"/>
  <c r="H62" i="2"/>
  <c r="H47" i="5"/>
  <c r="H72" i="5"/>
  <c r="H23" i="5"/>
  <c r="H36" i="5"/>
  <c r="H33" i="5"/>
  <c r="H38" i="5"/>
  <c r="N13" i="9"/>
  <c r="H10" i="5"/>
  <c r="X13" i="9"/>
  <c r="H13" i="5"/>
  <c r="X16" i="9"/>
  <c r="H58" i="5"/>
  <c r="H78" i="2"/>
  <c r="H46" i="5"/>
  <c r="H48" i="2"/>
  <c r="H56" i="5"/>
  <c r="H55" i="5"/>
  <c r="H20" i="5"/>
  <c r="H6" i="2"/>
  <c r="S9" i="9"/>
  <c r="H66" i="2"/>
  <c r="H89" i="2"/>
  <c r="H64" i="5"/>
  <c r="A17" i="9"/>
  <c r="M16" i="9"/>
  <c r="N16" i="9"/>
  <c r="H16" i="9"/>
  <c r="H42" i="6"/>
  <c r="BA106" i="8"/>
  <c r="H91" i="6"/>
  <c r="BA57" i="8"/>
  <c r="BA19" i="8"/>
  <c r="H37" i="6"/>
  <c r="L37" i="4" s="1"/>
  <c r="BA52" i="8"/>
  <c r="H62" i="6"/>
  <c r="BA77" i="8"/>
  <c r="H64" i="6"/>
  <c r="H56" i="6"/>
  <c r="L56" i="4" s="1"/>
  <c r="H32" i="6"/>
  <c r="BA88" i="8"/>
  <c r="H64" i="2"/>
  <c r="BA79" i="8"/>
  <c r="H93" i="6"/>
  <c r="L93" i="4" s="1"/>
  <c r="BA20" i="8"/>
  <c r="H73" i="6"/>
  <c r="H83" i="6"/>
  <c r="BA98" i="8"/>
  <c r="BA108" i="8"/>
  <c r="H59" i="6"/>
  <c r="BA6" i="8"/>
  <c r="H17" i="6"/>
  <c r="BA32" i="8"/>
  <c r="H17" i="2"/>
  <c r="H107" i="6"/>
  <c r="L107" i="4" s="1"/>
  <c r="BA122" i="8"/>
  <c r="H117" i="6"/>
  <c r="L117" i="4" s="1"/>
  <c r="H66" i="6"/>
  <c r="H32" i="2"/>
  <c r="H106" i="6"/>
  <c r="L106" i="4" s="1"/>
  <c r="BA132" i="8"/>
  <c r="BA74" i="8"/>
  <c r="BA81" i="8"/>
  <c r="H48" i="6"/>
  <c r="L48" i="4" s="1"/>
  <c r="H40" i="6"/>
  <c r="BA55" i="8"/>
  <c r="BA63" i="8"/>
  <c r="H86" i="6"/>
  <c r="L86" i="4" s="1"/>
  <c r="BA42" i="8"/>
  <c r="BA29" i="8"/>
  <c r="H14" i="6"/>
  <c r="H96" i="6"/>
  <c r="L96" i="4" s="1"/>
  <c r="H9" i="6"/>
  <c r="H111" i="6"/>
  <c r="L111" i="4" s="1"/>
  <c r="BA111" i="8"/>
  <c r="H94" i="6"/>
  <c r="L94" i="4" s="1"/>
  <c r="H12" i="6"/>
  <c r="BA47" i="8"/>
  <c r="BA71" i="8"/>
  <c r="BA26" i="8"/>
  <c r="H89" i="6"/>
  <c r="H106" i="2"/>
  <c r="H25" i="6"/>
  <c r="H68" i="6"/>
  <c r="BA121" i="8"/>
  <c r="H71" i="6"/>
  <c r="H65" i="6"/>
  <c r="BA80" i="8"/>
  <c r="BA15" i="8"/>
  <c r="BA40" i="8"/>
  <c r="BA13" i="8"/>
  <c r="BA27" i="8"/>
  <c r="BA83" i="8"/>
  <c r="BA126" i="8"/>
  <c r="H47" i="6"/>
  <c r="BA21" i="8"/>
  <c r="BA101" i="8"/>
  <c r="H6" i="6"/>
  <c r="H111" i="2"/>
  <c r="BA118" i="8"/>
  <c r="BA109" i="8"/>
  <c r="BA61" i="8"/>
  <c r="H24" i="6"/>
  <c r="H25" i="2"/>
  <c r="H46" i="6"/>
  <c r="H46" i="2"/>
  <c r="BA86" i="8"/>
  <c r="H71" i="2"/>
  <c r="H27" i="6"/>
  <c r="H11" i="6"/>
  <c r="BA39" i="8"/>
  <c r="BA9" i="8"/>
  <c r="BA24" i="8"/>
  <c r="H9" i="2"/>
  <c r="L9" i="4" s="1"/>
  <c r="BA62" i="8"/>
  <c r="H105" i="6"/>
  <c r="L105" i="4" s="1"/>
  <c r="BA104" i="8"/>
  <c r="BA120" i="8"/>
  <c r="BA58" i="8"/>
  <c r="H105" i="2"/>
  <c r="H103" i="6"/>
  <c r="L103" i="4" s="1"/>
  <c r="H78" i="6"/>
  <c r="BA93" i="8"/>
  <c r="BA46" i="8"/>
  <c r="BA69" i="8"/>
  <c r="H29" i="2"/>
  <c r="H29" i="6"/>
  <c r="H21" i="2"/>
  <c r="H21" i="6"/>
  <c r="H72" i="6"/>
  <c r="H72" i="2"/>
  <c r="H84" i="2"/>
  <c r="H84" i="6"/>
  <c r="H113" i="6"/>
  <c r="L113" i="4" s="1"/>
  <c r="H113" i="2"/>
  <c r="H79" i="2"/>
  <c r="H79" i="6"/>
  <c r="H19" i="2"/>
  <c r="H19" i="6"/>
  <c r="H60" i="2"/>
  <c r="H60" i="6"/>
  <c r="H116" i="2"/>
  <c r="H116" i="6"/>
  <c r="L116" i="4" s="1"/>
  <c r="H35" i="2"/>
  <c r="H35" i="6"/>
  <c r="H95" i="2"/>
  <c r="H95" i="6"/>
  <c r="H53" i="2"/>
  <c r="H53" i="6"/>
  <c r="H55" i="2"/>
  <c r="H55" i="6"/>
  <c r="H100" i="2"/>
  <c r="H100" i="6"/>
  <c r="H33" i="6"/>
  <c r="H44" i="2"/>
  <c r="H44" i="6"/>
  <c r="H101" i="2"/>
  <c r="H101" i="6"/>
  <c r="L101" i="4" s="1"/>
  <c r="H13" i="2"/>
  <c r="H13" i="6"/>
  <c r="H54" i="2"/>
  <c r="H54" i="6"/>
  <c r="H74" i="6"/>
  <c r="H74" i="2"/>
  <c r="H22" i="2"/>
  <c r="H22" i="6"/>
  <c r="H34" i="6"/>
  <c r="H34" i="2"/>
  <c r="H39" i="2"/>
  <c r="H39" i="6"/>
  <c r="H110" i="2"/>
  <c r="H110" i="6"/>
  <c r="L110" i="4" s="1"/>
  <c r="BA97" i="8"/>
  <c r="H7" i="2"/>
  <c r="H7" i="6"/>
  <c r="H98" i="6"/>
  <c r="H98" i="2"/>
  <c r="H16" i="6"/>
  <c r="H16" i="2"/>
  <c r="H77" i="2"/>
  <c r="H77" i="6"/>
  <c r="BA91" i="8"/>
  <c r="BA10" i="8"/>
  <c r="BA48" i="8"/>
  <c r="BA75" i="8"/>
  <c r="BA129" i="8"/>
  <c r="BA59" i="8"/>
  <c r="BA67" i="8"/>
  <c r="H70" i="2"/>
  <c r="H70" i="6"/>
  <c r="BA72" i="8"/>
  <c r="H97" i="6"/>
  <c r="H97" i="2"/>
  <c r="H10" i="6"/>
  <c r="H10" i="2"/>
  <c r="BA56" i="8"/>
  <c r="H18" i="6"/>
  <c r="H18" i="2"/>
  <c r="H80" i="6"/>
  <c r="H80" i="2"/>
  <c r="BA87" i="8"/>
  <c r="H87" i="2"/>
  <c r="H87" i="6"/>
  <c r="H28" i="2"/>
  <c r="H28" i="6"/>
  <c r="BA45" i="8"/>
  <c r="H36" i="2"/>
  <c r="H36" i="6"/>
  <c r="BA8" i="8"/>
  <c r="BA34" i="8"/>
  <c r="BA64" i="8"/>
  <c r="H67" i="2"/>
  <c r="H67" i="6"/>
  <c r="BA107" i="8"/>
  <c r="H8" i="6"/>
  <c r="H8" i="2"/>
  <c r="H102" i="2"/>
  <c r="H102" i="6"/>
  <c r="L102" i="4" s="1"/>
  <c r="H51" i="2"/>
  <c r="H51" i="6"/>
  <c r="H61" i="2"/>
  <c r="H61" i="6"/>
  <c r="H88" i="6"/>
  <c r="H88" i="2"/>
  <c r="H115" i="2"/>
  <c r="H115" i="6"/>
  <c r="L115" i="4" s="1"/>
  <c r="H109" i="2"/>
  <c r="H109" i="6"/>
  <c r="L109" i="4" s="1"/>
  <c r="H57" i="6"/>
  <c r="H57" i="2"/>
  <c r="H58" i="6"/>
  <c r="H58" i="2"/>
  <c r="BA114" i="8"/>
  <c r="BA89" i="8"/>
  <c r="H74" i="7"/>
  <c r="H41" i="6"/>
  <c r="H41" i="2"/>
  <c r="H82" i="6"/>
  <c r="H82" i="2"/>
  <c r="H23" i="2"/>
  <c r="H23" i="6"/>
  <c r="H30" i="2"/>
  <c r="H30" i="6"/>
  <c r="H108" i="2"/>
  <c r="H108" i="6"/>
  <c r="L108" i="4" s="1"/>
  <c r="H90" i="6"/>
  <c r="H90" i="2"/>
  <c r="H85" i="2"/>
  <c r="H85" i="6"/>
  <c r="H26" i="6"/>
  <c r="H26" i="2"/>
  <c r="H20" i="2"/>
  <c r="H20" i="6"/>
  <c r="H15" i="2"/>
  <c r="H15" i="6"/>
  <c r="H52" i="2"/>
  <c r="H52" i="6"/>
  <c r="H81" i="6"/>
  <c r="H81" i="2"/>
  <c r="H45" i="2"/>
  <c r="H45" i="6"/>
  <c r="H99" i="6"/>
  <c r="L99" i="4" s="1"/>
  <c r="H114" i="6"/>
  <c r="L114" i="4" s="1"/>
  <c r="H114" i="2"/>
  <c r="H63" i="2"/>
  <c r="H63" i="6"/>
  <c r="H75" i="2"/>
  <c r="H75" i="6"/>
  <c r="H50" i="6"/>
  <c r="H50" i="2"/>
  <c r="H76" i="2"/>
  <c r="H76" i="6"/>
  <c r="H69" i="2"/>
  <c r="H69" i="6"/>
  <c r="H49" i="6"/>
  <c r="H49" i="2"/>
  <c r="H38" i="2"/>
  <c r="H38" i="6"/>
  <c r="H92" i="2"/>
  <c r="H92" i="6"/>
  <c r="H112" i="6"/>
  <c r="L112" i="4" s="1"/>
  <c r="H112" i="2"/>
  <c r="H104" i="6"/>
  <c r="L104" i="4" s="1"/>
  <c r="H104" i="2"/>
  <c r="H43" i="2"/>
  <c r="H43" i="6"/>
  <c r="H31" i="2"/>
  <c r="H31" i="6"/>
  <c r="BA37" i="8"/>
  <c r="BA54" i="8"/>
  <c r="BA18" i="8"/>
  <c r="BA113" i="8"/>
  <c r="BA94" i="8"/>
  <c r="BA105" i="8"/>
  <c r="BA124" i="8"/>
  <c r="BA23" i="8"/>
  <c r="BA30" i="8"/>
  <c r="BA50" i="8"/>
  <c r="BA49" i="8"/>
  <c r="BA44" i="8"/>
  <c r="BA95" i="8"/>
  <c r="BA22" i="8"/>
  <c r="BA130" i="8"/>
  <c r="BA117" i="8"/>
  <c r="BA35" i="8"/>
  <c r="BA112" i="8"/>
  <c r="BA14" i="8"/>
  <c r="BA33" i="8"/>
  <c r="BA31" i="8"/>
  <c r="BA131" i="8"/>
  <c r="BA127" i="8"/>
  <c r="BA60" i="8"/>
  <c r="BA73" i="8"/>
  <c r="BA78" i="8"/>
  <c r="BA110" i="8"/>
  <c r="BA68" i="8"/>
  <c r="BA38" i="8"/>
  <c r="BA102" i="8"/>
  <c r="BA115" i="8"/>
  <c r="BA123" i="8"/>
  <c r="BA128" i="8"/>
  <c r="BA100" i="8"/>
  <c r="BA41" i="8"/>
  <c r="BA16" i="8"/>
  <c r="BA82" i="8"/>
  <c r="BA125" i="8"/>
  <c r="BA90" i="8"/>
  <c r="BA70" i="8"/>
  <c r="BA65" i="8"/>
  <c r="BA7" i="8"/>
  <c r="BA51" i="8"/>
  <c r="BA53" i="8"/>
  <c r="BA12" i="8"/>
  <c r="BA66" i="8"/>
  <c r="BA25" i="8"/>
  <c r="BA119" i="8"/>
  <c r="BA28" i="8"/>
  <c r="BA96" i="8"/>
  <c r="BA76" i="8"/>
  <c r="BA36" i="8"/>
  <c r="BA11" i="8"/>
  <c r="BA99" i="8"/>
  <c r="BA103" i="8"/>
  <c r="BA17" i="8"/>
  <c r="BA43" i="8"/>
  <c r="BA5" i="8"/>
  <c r="BA92" i="8"/>
  <c r="BA84" i="8"/>
  <c r="BA116" i="8"/>
  <c r="BA85" i="8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L91" i="4" l="1"/>
  <c r="L83" i="4"/>
  <c r="L89" i="4"/>
  <c r="L73" i="4"/>
  <c r="L78" i="4"/>
  <c r="L65" i="4"/>
  <c r="L66" i="4"/>
  <c r="L68" i="4"/>
  <c r="L62" i="4"/>
  <c r="L59" i="4"/>
  <c r="L58" i="4"/>
  <c r="L55" i="4"/>
  <c r="L57" i="4"/>
  <c r="L54" i="4"/>
  <c r="L53" i="4"/>
  <c r="L52" i="4"/>
  <c r="L51" i="4"/>
  <c r="L50" i="4"/>
  <c r="L49" i="4"/>
  <c r="L47" i="4"/>
  <c r="L46" i="4"/>
  <c r="L44" i="4"/>
  <c r="L40" i="4"/>
  <c r="L45" i="4"/>
  <c r="L43" i="4"/>
  <c r="L41" i="4"/>
  <c r="L42" i="4"/>
  <c r="L39" i="4"/>
  <c r="L38" i="4"/>
  <c r="L36" i="4"/>
  <c r="L35" i="4"/>
  <c r="L34" i="4"/>
  <c r="L32" i="4"/>
  <c r="L33" i="4"/>
  <c r="L31" i="4"/>
  <c r="L30" i="4"/>
  <c r="L29" i="4"/>
  <c r="L28" i="4"/>
  <c r="L27" i="4"/>
  <c r="L26" i="4"/>
  <c r="L24" i="4"/>
  <c r="L25" i="4"/>
  <c r="L22" i="4"/>
  <c r="L23" i="4"/>
  <c r="L21" i="4"/>
  <c r="R17" i="9"/>
  <c r="W17" i="9"/>
  <c r="X17" i="9"/>
  <c r="S17" i="9"/>
  <c r="L12" i="4"/>
  <c r="L14" i="4"/>
  <c r="L11" i="4"/>
  <c r="L6" i="4"/>
  <c r="L7" i="4"/>
  <c r="L100" i="4"/>
  <c r="L98" i="4"/>
  <c r="L97" i="4"/>
  <c r="L92" i="4"/>
  <c r="L95" i="4"/>
  <c r="L90" i="4"/>
  <c r="L88" i="4"/>
  <c r="L87" i="4"/>
  <c r="L85" i="4"/>
  <c r="L84" i="4"/>
  <c r="L82" i="4"/>
  <c r="L75" i="4"/>
  <c r="L81" i="4"/>
  <c r="L80" i="4"/>
  <c r="L79" i="4"/>
  <c r="L77" i="4"/>
  <c r="L76" i="4"/>
  <c r="L74" i="4"/>
  <c r="L70" i="4"/>
  <c r="L72" i="4"/>
  <c r="L71" i="4"/>
  <c r="L69" i="4"/>
  <c r="L67" i="4"/>
  <c r="A18" i="9"/>
  <c r="N17" i="9"/>
  <c r="M17" i="9"/>
  <c r="H17" i="9"/>
  <c r="L63" i="4"/>
  <c r="L64" i="4"/>
  <c r="L61" i="4"/>
  <c r="L60" i="4"/>
  <c r="L20" i="4"/>
  <c r="L19" i="4"/>
  <c r="L18" i="4"/>
  <c r="L17" i="4"/>
  <c r="L8" i="4"/>
  <c r="L13" i="4"/>
  <c r="L16" i="4"/>
  <c r="L15" i="4"/>
  <c r="L10" i="4"/>
  <c r="R18" i="9" l="1"/>
  <c r="W18" i="9"/>
  <c r="X18" i="9"/>
  <c r="S18" i="9"/>
  <c r="A19" i="9"/>
  <c r="M18" i="9"/>
  <c r="N18" i="9"/>
  <c r="H18" i="9"/>
  <c r="W19" i="9" l="1"/>
  <c r="R19" i="9"/>
  <c r="S19" i="9"/>
  <c r="X19" i="9"/>
  <c r="A20" i="9"/>
  <c r="M19" i="9"/>
  <c r="N19" i="9"/>
  <c r="H19" i="9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I113" i="6"/>
  <c r="J113" i="6"/>
  <c r="K113" i="6"/>
  <c r="I114" i="6"/>
  <c r="J114" i="6"/>
  <c r="K114" i="6"/>
  <c r="I115" i="6"/>
  <c r="J115" i="6"/>
  <c r="K115" i="6"/>
  <c r="I116" i="6"/>
  <c r="J116" i="6"/>
  <c r="K116" i="6"/>
  <c r="I117" i="6"/>
  <c r="J117" i="6"/>
  <c r="K117" i="6"/>
  <c r="I118" i="6"/>
  <c r="J118" i="6"/>
  <c r="K118" i="6"/>
  <c r="I119" i="6"/>
  <c r="J119" i="6"/>
  <c r="K119" i="6"/>
  <c r="I120" i="6"/>
  <c r="J120" i="6"/>
  <c r="K120" i="6"/>
  <c r="I121" i="6"/>
  <c r="J121" i="6"/>
  <c r="K121" i="6"/>
  <c r="I122" i="6"/>
  <c r="J122" i="6"/>
  <c r="K122" i="6"/>
  <c r="I123" i="6"/>
  <c r="J123" i="6"/>
  <c r="K123" i="6"/>
  <c r="I124" i="6"/>
  <c r="J124" i="6"/>
  <c r="K124" i="6"/>
  <c r="I125" i="6"/>
  <c r="J125" i="6"/>
  <c r="K125" i="6"/>
  <c r="I126" i="6"/>
  <c r="J126" i="6"/>
  <c r="K126" i="6"/>
  <c r="I127" i="6"/>
  <c r="J127" i="6"/>
  <c r="K127" i="6"/>
  <c r="I128" i="6"/>
  <c r="J128" i="6"/>
  <c r="K128" i="6"/>
  <c r="G128" i="6"/>
  <c r="K128" i="4" s="1"/>
  <c r="F128" i="6"/>
  <c r="J128" i="4" s="1"/>
  <c r="C128" i="6"/>
  <c r="G127" i="6"/>
  <c r="K127" i="4" s="1"/>
  <c r="F127" i="6"/>
  <c r="J127" i="4" s="1"/>
  <c r="C127" i="6"/>
  <c r="G126" i="6"/>
  <c r="K126" i="4" s="1"/>
  <c r="F126" i="6"/>
  <c r="J126" i="4" s="1"/>
  <c r="C126" i="6"/>
  <c r="G125" i="6"/>
  <c r="K125" i="4" s="1"/>
  <c r="F125" i="6"/>
  <c r="J125" i="4" s="1"/>
  <c r="C125" i="6"/>
  <c r="G124" i="6"/>
  <c r="K124" i="4" s="1"/>
  <c r="F124" i="6"/>
  <c r="J124" i="4" s="1"/>
  <c r="C124" i="6"/>
  <c r="G123" i="6"/>
  <c r="K123" i="4" s="1"/>
  <c r="F123" i="6"/>
  <c r="J123" i="4" s="1"/>
  <c r="C123" i="6"/>
  <c r="G122" i="6"/>
  <c r="K122" i="4" s="1"/>
  <c r="F122" i="6"/>
  <c r="J122" i="4" s="1"/>
  <c r="C122" i="6"/>
  <c r="G121" i="6"/>
  <c r="K121" i="4" s="1"/>
  <c r="F121" i="6"/>
  <c r="J121" i="4" s="1"/>
  <c r="C121" i="6"/>
  <c r="G120" i="6"/>
  <c r="K120" i="4" s="1"/>
  <c r="F120" i="6"/>
  <c r="J120" i="4" s="1"/>
  <c r="C120" i="6"/>
  <c r="G119" i="6"/>
  <c r="K119" i="4" s="1"/>
  <c r="F119" i="6"/>
  <c r="J119" i="4" s="1"/>
  <c r="C119" i="6"/>
  <c r="G118" i="6"/>
  <c r="K118" i="4" s="1"/>
  <c r="F118" i="6"/>
  <c r="J118" i="4" s="1"/>
  <c r="C118" i="6"/>
  <c r="G117" i="6"/>
  <c r="K117" i="4" s="1"/>
  <c r="F117" i="6"/>
  <c r="J117" i="4" s="1"/>
  <c r="C117" i="6"/>
  <c r="G116" i="6"/>
  <c r="K116" i="4" s="1"/>
  <c r="F116" i="6"/>
  <c r="J116" i="4" s="1"/>
  <c r="C116" i="6"/>
  <c r="G115" i="6"/>
  <c r="K115" i="4" s="1"/>
  <c r="F115" i="6"/>
  <c r="J115" i="4" s="1"/>
  <c r="C115" i="6"/>
  <c r="G114" i="6"/>
  <c r="K114" i="4" s="1"/>
  <c r="F114" i="6"/>
  <c r="J114" i="4" s="1"/>
  <c r="C114" i="6"/>
  <c r="G113" i="6"/>
  <c r="K113" i="4" s="1"/>
  <c r="F113" i="6"/>
  <c r="J113" i="4" s="1"/>
  <c r="C113" i="6"/>
  <c r="G112" i="6"/>
  <c r="K112" i="4" s="1"/>
  <c r="F112" i="6"/>
  <c r="J112" i="4" s="1"/>
  <c r="C112" i="6"/>
  <c r="G111" i="6"/>
  <c r="K111" i="4" s="1"/>
  <c r="F111" i="6"/>
  <c r="J111" i="4" s="1"/>
  <c r="C111" i="6"/>
  <c r="G110" i="6"/>
  <c r="K110" i="4" s="1"/>
  <c r="F110" i="6"/>
  <c r="J110" i="4" s="1"/>
  <c r="C110" i="6"/>
  <c r="G109" i="6"/>
  <c r="K109" i="4" s="1"/>
  <c r="F109" i="6"/>
  <c r="J109" i="4" s="1"/>
  <c r="C109" i="6"/>
  <c r="G108" i="6"/>
  <c r="K108" i="4" s="1"/>
  <c r="F108" i="6"/>
  <c r="J108" i="4" s="1"/>
  <c r="C108" i="6"/>
  <c r="G107" i="6"/>
  <c r="K107" i="4" s="1"/>
  <c r="F107" i="6"/>
  <c r="J107" i="4" s="1"/>
  <c r="C107" i="6"/>
  <c r="G106" i="6"/>
  <c r="K106" i="4" s="1"/>
  <c r="F106" i="6"/>
  <c r="J106" i="4" s="1"/>
  <c r="C106" i="6"/>
  <c r="G105" i="6"/>
  <c r="K105" i="4" s="1"/>
  <c r="F105" i="6"/>
  <c r="J105" i="4" s="1"/>
  <c r="C105" i="6"/>
  <c r="G104" i="6"/>
  <c r="K104" i="4" s="1"/>
  <c r="F104" i="6"/>
  <c r="J104" i="4" s="1"/>
  <c r="C104" i="6"/>
  <c r="G103" i="6"/>
  <c r="K103" i="4" s="1"/>
  <c r="F103" i="6"/>
  <c r="J103" i="4" s="1"/>
  <c r="C103" i="6"/>
  <c r="G102" i="6"/>
  <c r="K102" i="4" s="1"/>
  <c r="F102" i="6"/>
  <c r="J102" i="4" s="1"/>
  <c r="C102" i="6"/>
  <c r="G101" i="6"/>
  <c r="K101" i="4" s="1"/>
  <c r="F101" i="6"/>
  <c r="J101" i="4" s="1"/>
  <c r="C101" i="6"/>
  <c r="G100" i="6"/>
  <c r="F100" i="6"/>
  <c r="C100" i="6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C100" i="5"/>
  <c r="L100" i="5" s="1"/>
  <c r="F100" i="5"/>
  <c r="G100" i="5"/>
  <c r="C101" i="5"/>
  <c r="L101" i="5" s="1"/>
  <c r="F101" i="5"/>
  <c r="G101" i="5"/>
  <c r="C102" i="5"/>
  <c r="L102" i="5" s="1"/>
  <c r="F102" i="5"/>
  <c r="G102" i="5"/>
  <c r="C103" i="5"/>
  <c r="L103" i="5" s="1"/>
  <c r="F103" i="5"/>
  <c r="G103" i="5"/>
  <c r="C104" i="5"/>
  <c r="L104" i="5" s="1"/>
  <c r="F104" i="5"/>
  <c r="G104" i="5"/>
  <c r="C105" i="5"/>
  <c r="L105" i="5" s="1"/>
  <c r="F105" i="5"/>
  <c r="G105" i="5"/>
  <c r="C106" i="5"/>
  <c r="L106" i="5" s="1"/>
  <c r="F106" i="5"/>
  <c r="G106" i="5"/>
  <c r="C107" i="5"/>
  <c r="L107" i="5" s="1"/>
  <c r="F107" i="5"/>
  <c r="G107" i="5"/>
  <c r="C108" i="5"/>
  <c r="L108" i="5" s="1"/>
  <c r="F108" i="5"/>
  <c r="G108" i="5"/>
  <c r="C109" i="5"/>
  <c r="L109" i="5" s="1"/>
  <c r="F109" i="5"/>
  <c r="G109" i="5"/>
  <c r="C110" i="5"/>
  <c r="L110" i="5" s="1"/>
  <c r="F110" i="5"/>
  <c r="G110" i="5"/>
  <c r="C111" i="5"/>
  <c r="L111" i="5" s="1"/>
  <c r="F111" i="5"/>
  <c r="G111" i="5"/>
  <c r="C112" i="5"/>
  <c r="L112" i="5" s="1"/>
  <c r="F112" i="5"/>
  <c r="G112" i="5"/>
  <c r="C113" i="5"/>
  <c r="L113" i="5" s="1"/>
  <c r="F113" i="5"/>
  <c r="G113" i="5"/>
  <c r="C114" i="5"/>
  <c r="L114" i="5" s="1"/>
  <c r="F114" i="5"/>
  <c r="G114" i="5"/>
  <c r="C115" i="5"/>
  <c r="L115" i="5" s="1"/>
  <c r="F115" i="5"/>
  <c r="G115" i="5"/>
  <c r="C116" i="5"/>
  <c r="L116" i="5" s="1"/>
  <c r="F116" i="5"/>
  <c r="G116" i="5"/>
  <c r="C117" i="5"/>
  <c r="L117" i="5" s="1"/>
  <c r="F117" i="5"/>
  <c r="G117" i="5"/>
  <c r="C118" i="5"/>
  <c r="L118" i="5" s="1"/>
  <c r="F118" i="5"/>
  <c r="G118" i="5"/>
  <c r="C119" i="5"/>
  <c r="L119" i="5" s="1"/>
  <c r="F119" i="5"/>
  <c r="G119" i="5"/>
  <c r="C120" i="5"/>
  <c r="L120" i="5" s="1"/>
  <c r="F120" i="5"/>
  <c r="G120" i="5"/>
  <c r="C121" i="5"/>
  <c r="L121" i="5" s="1"/>
  <c r="F121" i="5"/>
  <c r="G121" i="5"/>
  <c r="C122" i="5"/>
  <c r="L122" i="5" s="1"/>
  <c r="F122" i="5"/>
  <c r="G122" i="5"/>
  <c r="C123" i="5"/>
  <c r="L123" i="5" s="1"/>
  <c r="F123" i="5"/>
  <c r="G123" i="5"/>
  <c r="C124" i="5"/>
  <c r="L124" i="5" s="1"/>
  <c r="F124" i="5"/>
  <c r="G124" i="5"/>
  <c r="C125" i="5"/>
  <c r="L125" i="5" s="1"/>
  <c r="F125" i="5"/>
  <c r="G125" i="5"/>
  <c r="C126" i="5"/>
  <c r="L126" i="5" s="1"/>
  <c r="F126" i="5"/>
  <c r="G126" i="5"/>
  <c r="C127" i="5"/>
  <c r="L127" i="5" s="1"/>
  <c r="F127" i="5"/>
  <c r="G127" i="5"/>
  <c r="C128" i="5"/>
  <c r="L128" i="5" s="1"/>
  <c r="F128" i="5"/>
  <c r="G128" i="5"/>
  <c r="N126" i="4" l="1"/>
  <c r="O123" i="4"/>
  <c r="M121" i="4"/>
  <c r="N118" i="4"/>
  <c r="O115" i="4"/>
  <c r="M113" i="4"/>
  <c r="N110" i="4"/>
  <c r="O107" i="4"/>
  <c r="M105" i="4"/>
  <c r="N102" i="4"/>
  <c r="O128" i="4"/>
  <c r="M126" i="4"/>
  <c r="N123" i="4"/>
  <c r="O120" i="4"/>
  <c r="M118" i="4"/>
  <c r="N115" i="4"/>
  <c r="O112" i="4"/>
  <c r="M110" i="4"/>
  <c r="N107" i="4"/>
  <c r="O104" i="4"/>
  <c r="M102" i="4"/>
  <c r="N128" i="4"/>
  <c r="O125" i="4"/>
  <c r="M123" i="4"/>
  <c r="N120" i="4"/>
  <c r="O117" i="4"/>
  <c r="M115" i="4"/>
  <c r="N112" i="4"/>
  <c r="O109" i="4"/>
  <c r="M107" i="4"/>
  <c r="N104" i="4"/>
  <c r="O101" i="4"/>
  <c r="M128" i="4"/>
  <c r="N125" i="4"/>
  <c r="O122" i="4"/>
  <c r="M120" i="4"/>
  <c r="N117" i="4"/>
  <c r="O114" i="4"/>
  <c r="M112" i="4"/>
  <c r="N109" i="4"/>
  <c r="O106" i="4"/>
  <c r="M104" i="4"/>
  <c r="N101" i="4"/>
  <c r="O127" i="4"/>
  <c r="M125" i="4"/>
  <c r="N122" i="4"/>
  <c r="O119" i="4"/>
  <c r="M117" i="4"/>
  <c r="N114" i="4"/>
  <c r="O111" i="4"/>
  <c r="M109" i="4"/>
  <c r="N106" i="4"/>
  <c r="O103" i="4"/>
  <c r="M101" i="4"/>
  <c r="N127" i="4"/>
  <c r="O124" i="4"/>
  <c r="M122" i="4"/>
  <c r="N119" i="4"/>
  <c r="O116" i="4"/>
  <c r="M114" i="4"/>
  <c r="N111" i="4"/>
  <c r="O108" i="4"/>
  <c r="M106" i="4"/>
  <c r="N103" i="4"/>
  <c r="M127" i="4"/>
  <c r="N124" i="4"/>
  <c r="O121" i="4"/>
  <c r="M119" i="4"/>
  <c r="N116" i="4"/>
  <c r="O113" i="4"/>
  <c r="M111" i="4"/>
  <c r="N108" i="4"/>
  <c r="O105" i="4"/>
  <c r="M103" i="4"/>
  <c r="O126" i="4"/>
  <c r="M124" i="4"/>
  <c r="N121" i="4"/>
  <c r="O118" i="4"/>
  <c r="M116" i="4"/>
  <c r="N113" i="4"/>
  <c r="O110" i="4"/>
  <c r="M108" i="4"/>
  <c r="N105" i="4"/>
  <c r="O102" i="4"/>
  <c r="W20" i="9"/>
  <c r="R20" i="9"/>
  <c r="S20" i="9"/>
  <c r="X20" i="9"/>
  <c r="A21" i="9"/>
  <c r="N20" i="9"/>
  <c r="M20" i="9"/>
  <c r="H20" i="9"/>
  <c r="G104" i="4"/>
  <c r="L104" i="6"/>
  <c r="G112" i="4"/>
  <c r="L112" i="6"/>
  <c r="G120" i="4"/>
  <c r="L120" i="6"/>
  <c r="G128" i="4"/>
  <c r="L128" i="6"/>
  <c r="G107" i="4"/>
  <c r="L107" i="6"/>
  <c r="G115" i="4"/>
  <c r="L115" i="6"/>
  <c r="G123" i="4"/>
  <c r="L123" i="6"/>
  <c r="G109" i="4"/>
  <c r="L109" i="6"/>
  <c r="G102" i="4"/>
  <c r="L102" i="6"/>
  <c r="G110" i="4"/>
  <c r="L110" i="6"/>
  <c r="G118" i="4"/>
  <c r="L118" i="6"/>
  <c r="G126" i="4"/>
  <c r="L126" i="6"/>
  <c r="G105" i="4"/>
  <c r="L105" i="6"/>
  <c r="G113" i="4"/>
  <c r="L113" i="6"/>
  <c r="G121" i="4"/>
  <c r="L121" i="6"/>
  <c r="G101" i="4"/>
  <c r="L101" i="6"/>
  <c r="G117" i="4"/>
  <c r="L117" i="6"/>
  <c r="G125" i="4"/>
  <c r="L125" i="6"/>
  <c r="L100" i="6"/>
  <c r="G108" i="4"/>
  <c r="L108" i="6"/>
  <c r="G116" i="4"/>
  <c r="L116" i="6"/>
  <c r="G124" i="4"/>
  <c r="L124" i="6"/>
  <c r="G103" i="4"/>
  <c r="L103" i="6"/>
  <c r="G111" i="4"/>
  <c r="L111" i="6"/>
  <c r="G119" i="4"/>
  <c r="L119" i="6"/>
  <c r="G127" i="4"/>
  <c r="L127" i="6"/>
  <c r="G106" i="4"/>
  <c r="L106" i="6"/>
  <c r="G114" i="4"/>
  <c r="L114" i="6"/>
  <c r="G122" i="4"/>
  <c r="L122" i="6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G100" i="2"/>
  <c r="K100" i="4" s="1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F100" i="2"/>
  <c r="J100" i="4" s="1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C100" i="2"/>
  <c r="L100" i="2" s="1"/>
  <c r="C101" i="2"/>
  <c r="L101" i="2" s="1"/>
  <c r="C102" i="2"/>
  <c r="L102" i="2" s="1"/>
  <c r="C103" i="2"/>
  <c r="L103" i="2" s="1"/>
  <c r="C104" i="2"/>
  <c r="L104" i="2" s="1"/>
  <c r="C105" i="2"/>
  <c r="L105" i="2" s="1"/>
  <c r="C106" i="2"/>
  <c r="L106" i="2" s="1"/>
  <c r="C107" i="2"/>
  <c r="L107" i="2" s="1"/>
  <c r="C108" i="2"/>
  <c r="L108" i="2" s="1"/>
  <c r="C109" i="2"/>
  <c r="L109" i="2" s="1"/>
  <c r="C110" i="2"/>
  <c r="L110" i="2" s="1"/>
  <c r="C111" i="2"/>
  <c r="L111" i="2" s="1"/>
  <c r="C112" i="2"/>
  <c r="L112" i="2" s="1"/>
  <c r="C113" i="2"/>
  <c r="L113" i="2" s="1"/>
  <c r="C114" i="2"/>
  <c r="L114" i="2" s="1"/>
  <c r="C115" i="2"/>
  <c r="L115" i="2" s="1"/>
  <c r="C116" i="2"/>
  <c r="L116" i="2" s="1"/>
  <c r="C117" i="2"/>
  <c r="L117" i="2" s="1"/>
  <c r="C118" i="2"/>
  <c r="L118" i="2" s="1"/>
  <c r="C119" i="2"/>
  <c r="L119" i="2" s="1"/>
  <c r="C120" i="2"/>
  <c r="L120" i="2" s="1"/>
  <c r="C121" i="2"/>
  <c r="L121" i="2" s="1"/>
  <c r="C122" i="2"/>
  <c r="L122" i="2" s="1"/>
  <c r="C123" i="2"/>
  <c r="L123" i="2" s="1"/>
  <c r="C124" i="2"/>
  <c r="L124" i="2" s="1"/>
  <c r="C125" i="2"/>
  <c r="L125" i="2" s="1"/>
  <c r="C126" i="2"/>
  <c r="L126" i="2" s="1"/>
  <c r="C127" i="2"/>
  <c r="L127" i="2" s="1"/>
  <c r="C128" i="2"/>
  <c r="L128" i="2" s="1"/>
  <c r="M100" i="4" l="1"/>
  <c r="O100" i="4"/>
  <c r="N100" i="4"/>
  <c r="W21" i="9"/>
  <c r="R21" i="9"/>
  <c r="S21" i="9"/>
  <c r="X21" i="9"/>
  <c r="G100" i="4"/>
  <c r="A22" i="9"/>
  <c r="N21" i="9"/>
  <c r="M21" i="9"/>
  <c r="H21" i="9"/>
  <c r="W22" i="9" l="1"/>
  <c r="R22" i="9"/>
  <c r="X22" i="9"/>
  <c r="S22" i="9"/>
  <c r="A23" i="9"/>
  <c r="N22" i="9"/>
  <c r="H22" i="9"/>
  <c r="R23" i="9" l="1"/>
  <c r="W23" i="9"/>
  <c r="S23" i="9"/>
  <c r="X23" i="9"/>
  <c r="A24" i="9"/>
  <c r="M23" i="9"/>
  <c r="N23" i="9"/>
  <c r="H23" i="9"/>
  <c r="R24" i="9" l="1"/>
  <c r="W24" i="9"/>
  <c r="S24" i="9"/>
  <c r="X24" i="9"/>
  <c r="A25" i="9"/>
  <c r="N24" i="9"/>
  <c r="M24" i="9"/>
  <c r="H24" i="9"/>
  <c r="Q114" i="4"/>
  <c r="Q126" i="4"/>
  <c r="Q119" i="4"/>
  <c r="P124" i="4"/>
  <c r="Q123" i="4"/>
  <c r="P127" i="4"/>
  <c r="Q121" i="4"/>
  <c r="Q108" i="4"/>
  <c r="P106" i="4"/>
  <c r="P119" i="4"/>
  <c r="P117" i="4"/>
  <c r="P120" i="4"/>
  <c r="Q128" i="4"/>
  <c r="Q107" i="4"/>
  <c r="P110" i="4"/>
  <c r="P118" i="4"/>
  <c r="Q124" i="4"/>
  <c r="Q120" i="4"/>
  <c r="Q125" i="4"/>
  <c r="Q115" i="4"/>
  <c r="Q101" i="4"/>
  <c r="P112" i="4"/>
  <c r="Q104" i="4"/>
  <c r="Q105" i="4"/>
  <c r="P111" i="4"/>
  <c r="Q100" i="4"/>
  <c r="P128" i="4"/>
  <c r="Q127" i="4"/>
  <c r="P103" i="4"/>
  <c r="Q102" i="4"/>
  <c r="P105" i="4"/>
  <c r="P116" i="4"/>
  <c r="P121" i="4"/>
  <c r="Q116" i="4"/>
  <c r="Q110" i="4"/>
  <c r="Q106" i="4"/>
  <c r="Q122" i="4"/>
  <c r="P104" i="4"/>
  <c r="P108" i="4"/>
  <c r="Q111" i="4"/>
  <c r="P126" i="4"/>
  <c r="P125" i="4"/>
  <c r="Q103" i="4"/>
  <c r="P114" i="4"/>
  <c r="P100" i="4"/>
  <c r="P123" i="4"/>
  <c r="P109" i="4"/>
  <c r="P107" i="4"/>
  <c r="P102" i="4"/>
  <c r="Q118" i="4"/>
  <c r="Q117" i="4"/>
  <c r="Q113" i="4"/>
  <c r="P113" i="4"/>
  <c r="P122" i="4"/>
  <c r="Q109" i="4"/>
  <c r="P115" i="4"/>
  <c r="P101" i="4"/>
  <c r="Q112" i="4"/>
  <c r="R25" i="9" l="1"/>
  <c r="W25" i="9"/>
  <c r="X25" i="9"/>
  <c r="S25" i="9"/>
  <c r="A26" i="9"/>
  <c r="N25" i="9"/>
  <c r="M25" i="9"/>
  <c r="H25" i="9"/>
  <c r="R26" i="9" l="1"/>
  <c r="W26" i="9"/>
  <c r="S26" i="9"/>
  <c r="X26" i="9"/>
  <c r="A27" i="9"/>
  <c r="M26" i="9"/>
  <c r="N26" i="9"/>
  <c r="H26" i="9"/>
  <c r="W27" i="9" l="1"/>
  <c r="R27" i="9"/>
  <c r="X27" i="9"/>
  <c r="S27" i="9"/>
  <c r="A28" i="9"/>
  <c r="M27" i="9"/>
  <c r="N27" i="9"/>
  <c r="H27" i="9"/>
  <c r="W28" i="9" l="1"/>
  <c r="R28" i="9"/>
  <c r="X28" i="9"/>
  <c r="S28" i="9"/>
  <c r="A29" i="9"/>
  <c r="N28" i="9"/>
  <c r="M28" i="9"/>
  <c r="H28" i="9"/>
  <c r="W29" i="9" l="1"/>
  <c r="R29" i="9"/>
  <c r="X29" i="9"/>
  <c r="S29" i="9"/>
  <c r="A30" i="9"/>
  <c r="N29" i="9"/>
  <c r="M29" i="9"/>
  <c r="H29" i="9"/>
  <c r="R30" i="9" l="1"/>
  <c r="W30" i="9"/>
  <c r="X30" i="9"/>
  <c r="S30" i="9"/>
  <c r="A31" i="9"/>
  <c r="M30" i="9"/>
  <c r="N30" i="9"/>
  <c r="H30" i="9"/>
  <c r="R31" i="9" l="1"/>
  <c r="W31" i="9"/>
  <c r="X31" i="9"/>
  <c r="S31" i="9"/>
  <c r="A32" i="9"/>
  <c r="M31" i="9"/>
  <c r="N31" i="9"/>
  <c r="H31" i="9"/>
  <c r="R32" i="9" l="1"/>
  <c r="W32" i="9"/>
  <c r="X32" i="9"/>
  <c r="S32" i="9"/>
  <c r="A33" i="9"/>
  <c r="N32" i="9"/>
  <c r="M32" i="9"/>
  <c r="H32" i="9"/>
  <c r="R33" i="9" l="1"/>
  <c r="W33" i="9"/>
  <c r="X33" i="9"/>
  <c r="S33" i="9"/>
  <c r="A34" i="9"/>
  <c r="N33" i="9"/>
  <c r="M33" i="9"/>
  <c r="H33" i="9"/>
  <c r="R34" i="9" l="1"/>
  <c r="W34" i="9"/>
  <c r="S34" i="9"/>
  <c r="X34" i="9"/>
  <c r="A35" i="9"/>
  <c r="M34" i="9"/>
  <c r="N34" i="9"/>
  <c r="H34" i="9"/>
  <c r="W35" i="9" l="1"/>
  <c r="R35" i="9"/>
  <c r="S35" i="9"/>
  <c r="X35" i="9"/>
  <c r="A36" i="9"/>
  <c r="M35" i="9"/>
  <c r="N35" i="9"/>
  <c r="H35" i="9"/>
  <c r="W36" i="9" l="1"/>
  <c r="R36" i="9"/>
  <c r="X36" i="9"/>
  <c r="S36" i="9"/>
  <c r="A37" i="9"/>
  <c r="N36" i="9"/>
  <c r="M36" i="9"/>
  <c r="H36" i="9"/>
  <c r="W37" i="9" l="1"/>
  <c r="R37" i="9"/>
  <c r="X37" i="9"/>
  <c r="S37" i="9"/>
  <c r="A38" i="9"/>
  <c r="N37" i="9"/>
  <c r="M37" i="9"/>
  <c r="H37" i="9"/>
  <c r="R38" i="9" l="1"/>
  <c r="W38" i="9"/>
  <c r="S38" i="9"/>
  <c r="X38" i="9"/>
  <c r="A39" i="9"/>
  <c r="M38" i="9"/>
  <c r="N38" i="9"/>
  <c r="H38" i="9"/>
  <c r="R39" i="9" l="1"/>
  <c r="W39" i="9"/>
  <c r="S39" i="9"/>
  <c r="X39" i="9"/>
  <c r="A40" i="9"/>
  <c r="M39" i="9"/>
  <c r="N39" i="9"/>
  <c r="H39" i="9"/>
  <c r="R40" i="9" l="1"/>
  <c r="W40" i="9"/>
  <c r="X40" i="9"/>
  <c r="S40" i="9"/>
  <c r="A41" i="9"/>
  <c r="M40" i="9"/>
  <c r="N40" i="9"/>
  <c r="H40" i="9"/>
  <c r="R41" i="9" l="1"/>
  <c r="W41" i="9"/>
  <c r="X41" i="9"/>
  <c r="S41" i="9"/>
  <c r="A42" i="9"/>
  <c r="M41" i="9"/>
  <c r="N41" i="9"/>
  <c r="H41" i="9"/>
  <c r="W42" i="9" l="1"/>
  <c r="R42" i="9"/>
  <c r="S42" i="9"/>
  <c r="X42" i="9"/>
  <c r="A43" i="9"/>
  <c r="M42" i="9"/>
  <c r="N42" i="9"/>
  <c r="H42" i="9"/>
  <c r="W43" i="9" l="1"/>
  <c r="R43" i="9"/>
  <c r="S43" i="9"/>
  <c r="X43" i="9"/>
  <c r="A44" i="9"/>
  <c r="M43" i="9"/>
  <c r="N43" i="9"/>
  <c r="H43" i="9"/>
  <c r="W44" i="9" l="1"/>
  <c r="R44" i="9"/>
  <c r="X44" i="9"/>
  <c r="S44" i="9"/>
  <c r="A45" i="9"/>
  <c r="N44" i="9"/>
  <c r="M44" i="9"/>
  <c r="H44" i="9"/>
  <c r="W45" i="9" l="1"/>
  <c r="R45" i="9"/>
  <c r="S45" i="9"/>
  <c r="X45" i="9"/>
  <c r="A46" i="9"/>
  <c r="N45" i="9"/>
  <c r="M45" i="9"/>
  <c r="H45" i="9"/>
  <c r="W46" i="9" l="1"/>
  <c r="R46" i="9"/>
  <c r="S46" i="9"/>
  <c r="X46" i="9"/>
  <c r="A47" i="9"/>
  <c r="M46" i="9"/>
  <c r="N46" i="9"/>
  <c r="H46" i="9"/>
  <c r="R47" i="9" l="1"/>
  <c r="W47" i="9"/>
  <c r="X47" i="9"/>
  <c r="S47" i="9"/>
  <c r="A48" i="9"/>
  <c r="M47" i="9"/>
  <c r="N47" i="9"/>
  <c r="H47" i="9"/>
  <c r="R48" i="9" l="1"/>
  <c r="W48" i="9"/>
  <c r="S48" i="9"/>
  <c r="X48" i="9"/>
  <c r="A49" i="9"/>
  <c r="N48" i="9"/>
  <c r="M48" i="9"/>
  <c r="H48" i="9"/>
  <c r="R49" i="9" l="1"/>
  <c r="W49" i="9"/>
  <c r="S49" i="9"/>
  <c r="X49" i="9"/>
  <c r="A50" i="9"/>
  <c r="M49" i="9"/>
  <c r="N49" i="9"/>
  <c r="H49" i="9"/>
  <c r="W50" i="9" l="1"/>
  <c r="R50" i="9"/>
  <c r="S50" i="9"/>
  <c r="X50" i="9"/>
  <c r="A51" i="9"/>
  <c r="M50" i="9"/>
  <c r="N50" i="9"/>
  <c r="H50" i="9"/>
  <c r="W51" i="9" l="1"/>
  <c r="R51" i="9"/>
  <c r="X51" i="9"/>
  <c r="S51" i="9"/>
  <c r="A52" i="9"/>
  <c r="M51" i="9"/>
  <c r="N51" i="9"/>
  <c r="H51" i="9"/>
  <c r="W52" i="9" l="1"/>
  <c r="R52" i="9"/>
  <c r="S52" i="9"/>
  <c r="X52" i="9"/>
  <c r="A53" i="9"/>
  <c r="N52" i="9"/>
  <c r="M52" i="9"/>
  <c r="H52" i="9"/>
  <c r="W53" i="9" l="1"/>
  <c r="R53" i="9"/>
  <c r="X53" i="9"/>
  <c r="S53" i="9"/>
  <c r="A54" i="9"/>
  <c r="N53" i="9"/>
  <c r="M53" i="9"/>
  <c r="H53" i="9"/>
  <c r="W54" i="9" l="1"/>
  <c r="R54" i="9"/>
  <c r="X54" i="9"/>
  <c r="S54" i="9"/>
  <c r="A55" i="9"/>
  <c r="M54" i="9"/>
  <c r="N54" i="9"/>
  <c r="H54" i="9"/>
  <c r="R55" i="9" l="1"/>
  <c r="W55" i="9"/>
  <c r="S55" i="9"/>
  <c r="X55" i="9"/>
  <c r="A56" i="9"/>
  <c r="M55" i="9"/>
  <c r="N55" i="9"/>
  <c r="H55" i="9"/>
  <c r="R56" i="9" l="1"/>
  <c r="W56" i="9"/>
  <c r="X56" i="9"/>
  <c r="S56" i="9"/>
  <c r="A57" i="9"/>
  <c r="M56" i="9"/>
  <c r="N56" i="9"/>
  <c r="H56" i="9"/>
  <c r="R57" i="9" l="1"/>
  <c r="W57" i="9"/>
  <c r="X57" i="9"/>
  <c r="S57" i="9"/>
  <c r="A58" i="9"/>
  <c r="N57" i="9"/>
  <c r="M57" i="9"/>
  <c r="H57" i="9"/>
  <c r="W58" i="9" l="1"/>
  <c r="R58" i="9"/>
  <c r="S58" i="9"/>
  <c r="X58" i="9"/>
  <c r="A59" i="9"/>
  <c r="M58" i="9"/>
  <c r="N58" i="9"/>
  <c r="H58" i="9"/>
  <c r="W59" i="9" l="1"/>
  <c r="R59" i="9"/>
  <c r="X59" i="9"/>
  <c r="S59" i="9"/>
  <c r="A60" i="9"/>
  <c r="M59" i="9"/>
  <c r="N59" i="9"/>
  <c r="H59" i="9"/>
  <c r="W60" i="9" l="1"/>
  <c r="R60" i="9"/>
  <c r="X60" i="9"/>
  <c r="S60" i="9"/>
  <c r="A61" i="9"/>
  <c r="N60" i="9"/>
  <c r="M60" i="9"/>
  <c r="H60" i="9"/>
  <c r="W61" i="9" l="1"/>
  <c r="R61" i="9"/>
  <c r="X61" i="9"/>
  <c r="S61" i="9"/>
  <c r="A62" i="9"/>
  <c r="N61" i="9"/>
  <c r="M61" i="9"/>
  <c r="H61" i="9"/>
  <c r="W62" i="9" l="1"/>
  <c r="R62" i="9"/>
  <c r="S62" i="9"/>
  <c r="X62" i="9"/>
  <c r="A63" i="9"/>
  <c r="M62" i="9"/>
  <c r="N62" i="9"/>
  <c r="H62" i="9"/>
  <c r="R63" i="9" l="1"/>
  <c r="W63" i="9"/>
  <c r="S63" i="9"/>
  <c r="X63" i="9"/>
  <c r="A64" i="9"/>
  <c r="M63" i="9"/>
  <c r="N63" i="9"/>
  <c r="H63" i="9"/>
  <c r="R64" i="9" l="1"/>
  <c r="W64" i="9"/>
  <c r="S64" i="9"/>
  <c r="X64" i="9"/>
  <c r="A65" i="9"/>
  <c r="M64" i="9"/>
  <c r="N64" i="9"/>
  <c r="H64" i="9"/>
  <c r="R65" i="9" l="1"/>
  <c r="W65" i="9"/>
  <c r="X65" i="9"/>
  <c r="S65" i="9"/>
  <c r="A66" i="9"/>
  <c r="N65" i="9"/>
  <c r="M65" i="9"/>
  <c r="H65" i="9"/>
  <c r="W66" i="9" l="1"/>
  <c r="R66" i="9"/>
  <c r="X66" i="9"/>
  <c r="S66" i="9"/>
  <c r="A67" i="9"/>
  <c r="M66" i="9"/>
  <c r="N66" i="9"/>
  <c r="H66" i="9"/>
  <c r="W67" i="9" l="1"/>
  <c r="R67" i="9"/>
  <c r="S67" i="9"/>
  <c r="X67" i="9"/>
  <c r="A68" i="9"/>
  <c r="M67" i="9"/>
  <c r="N67" i="9"/>
  <c r="H67" i="9"/>
  <c r="W68" i="9" l="1"/>
  <c r="R68" i="9"/>
  <c r="S68" i="9"/>
  <c r="X68" i="9"/>
  <c r="A69" i="9"/>
  <c r="N68" i="9"/>
  <c r="M68" i="9"/>
  <c r="H68" i="9"/>
  <c r="W69" i="9" l="1"/>
  <c r="R69" i="9"/>
  <c r="S69" i="9"/>
  <c r="X69" i="9"/>
  <c r="A70" i="9"/>
  <c r="N69" i="9"/>
  <c r="M69" i="9"/>
  <c r="H69" i="9"/>
  <c r="W70" i="9" l="1"/>
  <c r="R70" i="9"/>
  <c r="S70" i="9"/>
  <c r="X70" i="9"/>
  <c r="A71" i="9"/>
  <c r="M70" i="9"/>
  <c r="N70" i="9"/>
  <c r="H70" i="9"/>
  <c r="R71" i="9" l="1"/>
  <c r="W71" i="9"/>
  <c r="S71" i="9"/>
  <c r="X71" i="9"/>
  <c r="A72" i="9"/>
  <c r="M71" i="9"/>
  <c r="N71" i="9"/>
  <c r="H71" i="9"/>
  <c r="R72" i="9" l="1"/>
  <c r="W72" i="9"/>
  <c r="X72" i="9"/>
  <c r="S72" i="9"/>
  <c r="A73" i="9"/>
  <c r="N72" i="9"/>
  <c r="M72" i="9"/>
  <c r="H72" i="9"/>
  <c r="R73" i="9" l="1"/>
  <c r="W73" i="9"/>
  <c r="X73" i="9"/>
  <c r="S73" i="9"/>
  <c r="A74" i="9"/>
  <c r="M73" i="9"/>
  <c r="N73" i="9"/>
  <c r="H73" i="9"/>
  <c r="R74" i="9" l="1"/>
  <c r="W74" i="9"/>
  <c r="S74" i="9"/>
  <c r="X74" i="9"/>
  <c r="A75" i="9"/>
  <c r="M74" i="9"/>
  <c r="N74" i="9"/>
  <c r="H74" i="9"/>
  <c r="W75" i="9" l="1"/>
  <c r="R75" i="9"/>
  <c r="S75" i="9"/>
  <c r="X75" i="9"/>
  <c r="A76" i="9"/>
  <c r="M75" i="9"/>
  <c r="N75" i="9"/>
  <c r="H75" i="9"/>
  <c r="W76" i="9" l="1"/>
  <c r="R76" i="9"/>
  <c r="S76" i="9"/>
  <c r="X76" i="9"/>
  <c r="A77" i="9"/>
  <c r="N76" i="9"/>
  <c r="M76" i="9"/>
  <c r="H76" i="9"/>
  <c r="W77" i="9" l="1"/>
  <c r="R77" i="9"/>
  <c r="S77" i="9"/>
  <c r="X77" i="9"/>
  <c r="A78" i="9"/>
  <c r="N77" i="9"/>
  <c r="M77" i="9"/>
  <c r="H77" i="9"/>
  <c r="R78" i="9" l="1"/>
  <c r="W78" i="9"/>
  <c r="S78" i="9"/>
  <c r="X78" i="9"/>
  <c r="A79" i="9"/>
  <c r="M78" i="9"/>
  <c r="N78" i="9"/>
  <c r="H78" i="9"/>
  <c r="R79" i="9" l="1"/>
  <c r="W79" i="9"/>
  <c r="X79" i="9"/>
  <c r="S79" i="9"/>
  <c r="A80" i="9"/>
  <c r="M79" i="9"/>
  <c r="N79" i="9"/>
  <c r="H79" i="9"/>
  <c r="R80" i="9" l="1"/>
  <c r="W80" i="9"/>
  <c r="X80" i="9"/>
  <c r="S80" i="9"/>
  <c r="A81" i="9"/>
  <c r="N80" i="9"/>
  <c r="M80" i="9"/>
  <c r="H80" i="9"/>
  <c r="R81" i="9" l="1"/>
  <c r="W81" i="9"/>
  <c r="X81" i="9"/>
  <c r="S81" i="9"/>
  <c r="A82" i="9"/>
  <c r="N81" i="9"/>
  <c r="M81" i="9"/>
  <c r="H81" i="9"/>
  <c r="R82" i="9" l="1"/>
  <c r="W82" i="9"/>
  <c r="S82" i="9"/>
  <c r="X82" i="9"/>
  <c r="A83" i="9"/>
  <c r="M82" i="9"/>
  <c r="N82" i="9"/>
  <c r="H82" i="9"/>
  <c r="W83" i="9" l="1"/>
  <c r="R83" i="9"/>
  <c r="X83" i="9"/>
  <c r="S83" i="9"/>
  <c r="A84" i="9"/>
  <c r="M83" i="9"/>
  <c r="N83" i="9"/>
  <c r="H83" i="9"/>
  <c r="W84" i="9" l="1"/>
  <c r="R84" i="9"/>
  <c r="S84" i="9"/>
  <c r="X84" i="9"/>
  <c r="A85" i="9"/>
  <c r="N84" i="9"/>
  <c r="M84" i="9"/>
  <c r="H84" i="9"/>
  <c r="W85" i="9" l="1"/>
  <c r="R85" i="9"/>
  <c r="S85" i="9"/>
  <c r="X85" i="9"/>
  <c r="A86" i="9"/>
  <c r="N85" i="9"/>
  <c r="M85" i="9"/>
  <c r="H85" i="9"/>
  <c r="R86" i="9" l="1"/>
  <c r="W86" i="9"/>
  <c r="S86" i="9"/>
  <c r="X86" i="9"/>
  <c r="A87" i="9"/>
  <c r="M86" i="9"/>
  <c r="N86" i="9"/>
  <c r="H86" i="9"/>
  <c r="R87" i="9" l="1"/>
  <c r="W87" i="9"/>
  <c r="X87" i="9"/>
  <c r="S87" i="9"/>
  <c r="A88" i="9"/>
  <c r="M87" i="9"/>
  <c r="N87" i="9"/>
  <c r="H87" i="9"/>
  <c r="R88" i="9" l="1"/>
  <c r="W88" i="9"/>
  <c r="X88" i="9"/>
  <c r="S88" i="9"/>
  <c r="A89" i="9"/>
  <c r="M88" i="9"/>
  <c r="N88" i="9"/>
  <c r="H88" i="9"/>
  <c r="R89" i="9" l="1"/>
  <c r="W89" i="9"/>
  <c r="S89" i="9"/>
  <c r="X89" i="9"/>
  <c r="A90" i="9"/>
  <c r="N89" i="9"/>
  <c r="M89" i="9"/>
  <c r="H89" i="9"/>
  <c r="W90" i="9" l="1"/>
  <c r="R90" i="9"/>
  <c r="S90" i="9"/>
  <c r="X90" i="9"/>
  <c r="A91" i="9"/>
  <c r="M90" i="9"/>
  <c r="N90" i="9"/>
  <c r="H90" i="9"/>
  <c r="W91" i="9" l="1"/>
  <c r="R91" i="9"/>
  <c r="X91" i="9"/>
  <c r="S91" i="9"/>
  <c r="A92" i="9"/>
  <c r="M91" i="9"/>
  <c r="N91" i="9"/>
  <c r="H91" i="9"/>
  <c r="W92" i="9" l="1"/>
  <c r="R92" i="9"/>
  <c r="S92" i="9"/>
  <c r="X92" i="9"/>
  <c r="A93" i="9"/>
  <c r="N92" i="9"/>
  <c r="M92" i="9"/>
  <c r="H92" i="9"/>
  <c r="W93" i="9" l="1"/>
  <c r="R93" i="9"/>
  <c r="S93" i="9"/>
  <c r="X93" i="9"/>
  <c r="A94" i="9"/>
  <c r="N93" i="9"/>
  <c r="M93" i="9"/>
  <c r="H93" i="9"/>
  <c r="W94" i="9" l="1"/>
  <c r="R94" i="9"/>
  <c r="S94" i="9"/>
  <c r="X94" i="9"/>
  <c r="A95" i="9"/>
  <c r="M94" i="9"/>
  <c r="N94" i="9"/>
  <c r="H94" i="9"/>
  <c r="W95" i="9" l="1"/>
  <c r="R95" i="9"/>
  <c r="X95" i="9"/>
  <c r="S95" i="9"/>
  <c r="M95" i="9"/>
  <c r="N95" i="9"/>
  <c r="H95" i="9"/>
  <c r="I15" i="2" l="1"/>
  <c r="M15" i="4" s="1"/>
  <c r="J14" i="2"/>
  <c r="N14" i="4" s="1"/>
  <c r="K14" i="2"/>
  <c r="O14" i="4" s="1"/>
  <c r="J8" i="2"/>
  <c r="I7" i="2"/>
  <c r="J7" i="2"/>
  <c r="K15" i="2" l="1"/>
  <c r="O15" i="4" s="1"/>
  <c r="J15" i="2"/>
  <c r="N15" i="4" s="1"/>
  <c r="I14" i="2"/>
  <c r="M14" i="4" s="1"/>
  <c r="J12" i="2"/>
  <c r="N12" i="4" s="1"/>
  <c r="I11" i="2"/>
  <c r="M11" i="4" s="1"/>
  <c r="I10" i="2"/>
  <c r="I12" i="2"/>
  <c r="K11" i="2"/>
  <c r="O11" i="4" s="1"/>
  <c r="K12" i="2"/>
  <c r="O12" i="4" s="1"/>
  <c r="K10" i="2"/>
  <c r="O10" i="4" s="1"/>
  <c r="J13" i="2"/>
  <c r="K13" i="2"/>
  <c r="J11" i="2"/>
  <c r="N11" i="4" s="1"/>
  <c r="I13" i="2"/>
  <c r="J10" i="2"/>
  <c r="N10" i="4" s="1"/>
  <c r="N8" i="4"/>
  <c r="K8" i="2"/>
  <c r="J9" i="2"/>
  <c r="I9" i="2"/>
  <c r="K9" i="2"/>
  <c r="I8" i="2"/>
  <c r="M7" i="4"/>
  <c r="K7" i="2"/>
  <c r="M13" i="4" l="1"/>
  <c r="J6" i="2"/>
  <c r="N6" i="4" s="1"/>
  <c r="M12" i="4"/>
  <c r="O7" i="4"/>
  <c r="M9" i="4"/>
  <c r="N9" i="4"/>
  <c r="K6" i="2"/>
  <c r="O8" i="4"/>
  <c r="N7" i="4"/>
  <c r="I6" i="2"/>
  <c r="M8" i="4"/>
  <c r="O9" i="4"/>
  <c r="O6" i="4" l="1"/>
  <c r="M6" i="4"/>
  <c r="O13" i="4" l="1"/>
  <c r="M10" i="4"/>
  <c r="N13" i="4"/>
  <c r="A128" i="1" l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W99" i="1" l="1" a="1"/>
  <c r="W99" i="1" s="1"/>
  <c r="AJ99" i="1" a="1"/>
  <c r="AJ99" i="1" s="1"/>
  <c r="AH99" i="1" a="1"/>
  <c r="AH99" i="1" s="1"/>
  <c r="AG99" i="1" a="1"/>
  <c r="AG99" i="1" s="1"/>
  <c r="L99" i="1" a="1"/>
  <c r="L99" i="1" s="1"/>
  <c r="AL99" i="1" a="1"/>
  <c r="AL99" i="1" s="1"/>
  <c r="AB99" i="1" a="1"/>
  <c r="AB99" i="1" s="1"/>
  <c r="AF99" i="1" a="1"/>
  <c r="AF99" i="1" s="1"/>
  <c r="AM99" i="1" a="1"/>
  <c r="AM99" i="1" s="1"/>
  <c r="X99" i="1" a="1"/>
  <c r="X99" i="1" s="1"/>
  <c r="S99" i="1" a="1"/>
  <c r="S99" i="1" s="1"/>
  <c r="B99" i="1" a="1"/>
  <c r="B99" i="1" s="1"/>
  <c r="H99" i="1" a="1"/>
  <c r="H99" i="1" s="1"/>
  <c r="Q99" i="1" a="1"/>
  <c r="Q99" i="1" s="1"/>
  <c r="K99" i="5" s="1"/>
  <c r="K99" i="1" a="1"/>
  <c r="K99" i="1" s="1"/>
  <c r="N99" i="1" a="1"/>
  <c r="N99" i="1" s="1"/>
  <c r="G99" i="1" a="1"/>
  <c r="G99" i="1" s="1"/>
  <c r="Y99" i="1" a="1"/>
  <c r="Y99" i="1" s="1"/>
  <c r="AI99" i="1" a="1"/>
  <c r="AI99" i="1" s="1"/>
  <c r="AA99" i="1" a="1"/>
  <c r="AA99" i="1" s="1"/>
  <c r="T99" i="1" a="1"/>
  <c r="T99" i="1" s="1"/>
  <c r="E99" i="7" s="1"/>
  <c r="Z99" i="1" a="1"/>
  <c r="Z99" i="1" s="1"/>
  <c r="AC99" i="1" a="1"/>
  <c r="AC99" i="1" s="1"/>
  <c r="E99" i="1" a="1"/>
  <c r="E99" i="1" s="1"/>
  <c r="R99" i="1" a="1"/>
  <c r="R99" i="1" s="1"/>
  <c r="C99" i="7" s="1"/>
  <c r="L99" i="7" s="1"/>
  <c r="AK99" i="1" a="1"/>
  <c r="AK99" i="1" s="1"/>
  <c r="F99" i="1" a="1"/>
  <c r="F99" i="1" s="1"/>
  <c r="P99" i="1" a="1"/>
  <c r="P99" i="1" s="1"/>
  <c r="J99" i="5" s="1"/>
  <c r="M99" i="1" a="1"/>
  <c r="M99" i="1" s="1"/>
  <c r="F99" i="5" s="1"/>
  <c r="D99" i="1" a="1"/>
  <c r="D99" i="1" s="1"/>
  <c r="E99" i="2" s="1"/>
  <c r="I99" i="4" s="1"/>
  <c r="I99" i="1" a="1"/>
  <c r="I99" i="1" s="1"/>
  <c r="K99" i="2" s="1"/>
  <c r="O99" i="4" s="1"/>
  <c r="U99" i="1" a="1"/>
  <c r="U99" i="1" s="1"/>
  <c r="F99" i="7" s="1"/>
  <c r="J99" i="1" a="1"/>
  <c r="J99" i="1" s="1"/>
  <c r="C99" i="5" s="1"/>
  <c r="L99" i="5" s="1"/>
  <c r="AE99" i="1" a="1"/>
  <c r="AE99" i="1" s="1"/>
  <c r="AO99" i="1" a="1"/>
  <c r="AO99" i="1" s="1"/>
  <c r="AD99" i="1" a="1"/>
  <c r="AD99" i="1" s="1"/>
  <c r="AN99" i="1" a="1"/>
  <c r="AN99" i="1" s="1"/>
  <c r="C99" i="1" a="1"/>
  <c r="C99" i="1" s="1"/>
  <c r="D99" i="2" s="1"/>
  <c r="V99" i="1" a="1"/>
  <c r="V99" i="1" s="1"/>
  <c r="G99" i="7" s="1"/>
  <c r="O99" i="1" a="1"/>
  <c r="O99" i="1" s="1"/>
  <c r="I99" i="5" s="1"/>
  <c r="W98" i="1" a="1"/>
  <c r="W98" i="1" s="1"/>
  <c r="Z98" i="1" a="1"/>
  <c r="Z98" i="1" s="1"/>
  <c r="AL98" i="1" a="1"/>
  <c r="AL98" i="1" s="1"/>
  <c r="J98" i="1" a="1"/>
  <c r="J98" i="1" s="1"/>
  <c r="C98" i="5" s="1"/>
  <c r="L98" i="5" s="1"/>
  <c r="AG98" i="1" a="1"/>
  <c r="AG98" i="1" s="1"/>
  <c r="P98" i="1" a="1"/>
  <c r="P98" i="1" s="1"/>
  <c r="H98" i="1" a="1"/>
  <c r="H98" i="1" s="1"/>
  <c r="X98" i="1" a="1"/>
  <c r="X98" i="1" s="1"/>
  <c r="AN98" i="1" a="1"/>
  <c r="AN98" i="1" s="1"/>
  <c r="V98" i="1" a="1"/>
  <c r="V98" i="1" s="1"/>
  <c r="E98" i="1" a="1"/>
  <c r="E98" i="1" s="1"/>
  <c r="I98" i="1" a="1"/>
  <c r="I98" i="1" s="1"/>
  <c r="K98" i="2" s="1"/>
  <c r="O98" i="4" s="1"/>
  <c r="Y98" i="1" a="1"/>
  <c r="Y98" i="1" s="1"/>
  <c r="S98" i="1" a="1"/>
  <c r="S98" i="1" s="1"/>
  <c r="AI98" i="1" a="1"/>
  <c r="AI98" i="1" s="1"/>
  <c r="T98" i="1" a="1"/>
  <c r="T98" i="1" s="1"/>
  <c r="R98" i="1" a="1"/>
  <c r="R98" i="1" s="1"/>
  <c r="C98" i="7" s="1"/>
  <c r="L98" i="7" s="1"/>
  <c r="AE98" i="1" a="1"/>
  <c r="AE98" i="1" s="1"/>
  <c r="AO98" i="1" a="1"/>
  <c r="AO98" i="1" s="1"/>
  <c r="M98" i="1" a="1"/>
  <c r="M98" i="1" s="1"/>
  <c r="AA98" i="1" a="1"/>
  <c r="AA98" i="1" s="1"/>
  <c r="AM98" i="1" a="1"/>
  <c r="AM98" i="1" s="1"/>
  <c r="B98" i="1" a="1"/>
  <c r="B98" i="1" s="1"/>
  <c r="Q98" i="1" a="1"/>
  <c r="Q98" i="1" s="1"/>
  <c r="K98" i="5" s="1"/>
  <c r="D98" i="1" a="1"/>
  <c r="D98" i="1" s="1"/>
  <c r="AB98" i="1" a="1"/>
  <c r="AB98" i="1" s="1"/>
  <c r="G98" i="1" a="1"/>
  <c r="G98" i="1" s="1"/>
  <c r="O98" i="1" a="1"/>
  <c r="O98" i="1" s="1"/>
  <c r="I98" i="5" s="1"/>
  <c r="AJ98" i="1" a="1"/>
  <c r="AJ98" i="1" s="1"/>
  <c r="U98" i="1" a="1"/>
  <c r="U98" i="1" s="1"/>
  <c r="K98" i="1" a="1"/>
  <c r="K98" i="1" s="1"/>
  <c r="D98" i="5" s="1"/>
  <c r="M98" i="5" s="1"/>
  <c r="C98" i="1" a="1"/>
  <c r="C98" i="1" s="1"/>
  <c r="D98" i="2" s="1"/>
  <c r="N98" i="1" a="1"/>
  <c r="N98" i="1" s="1"/>
  <c r="AF98" i="1" a="1"/>
  <c r="AF98" i="1" s="1"/>
  <c r="AK98" i="1" a="1"/>
  <c r="AK98" i="1" s="1"/>
  <c r="F98" i="1" a="1"/>
  <c r="F98" i="1" s="1"/>
  <c r="AC98" i="1" a="1"/>
  <c r="AC98" i="1" s="1"/>
  <c r="L98" i="1" a="1"/>
  <c r="L98" i="1" s="1"/>
  <c r="E98" i="5" s="1"/>
  <c r="AD98" i="1" a="1"/>
  <c r="AD98" i="1" s="1"/>
  <c r="AH98" i="1" a="1"/>
  <c r="AH98" i="1" s="1"/>
  <c r="W97" i="1" a="1"/>
  <c r="W97" i="1" s="1"/>
  <c r="R97" i="1" a="1"/>
  <c r="R97" i="1" s="1"/>
  <c r="AE97" i="1" a="1"/>
  <c r="AE97" i="1" s="1"/>
  <c r="U97" i="1" a="1"/>
  <c r="U97" i="1" s="1"/>
  <c r="K97" i="1" a="1"/>
  <c r="K97" i="1" s="1"/>
  <c r="AG97" i="1" a="1"/>
  <c r="AG97" i="1" s="1"/>
  <c r="Q97" i="1" a="1"/>
  <c r="Q97" i="1" s="1"/>
  <c r="B97" i="1" a="1"/>
  <c r="B97" i="1" s="1"/>
  <c r="X97" i="1" a="1"/>
  <c r="X97" i="1" s="1"/>
  <c r="AO97" i="1" a="1"/>
  <c r="AO97" i="1" s="1"/>
  <c r="M97" i="1" a="1"/>
  <c r="M97" i="1" s="1"/>
  <c r="F97" i="1" a="1"/>
  <c r="F97" i="1" s="1"/>
  <c r="G97" i="1" a="1"/>
  <c r="G97" i="1" s="1"/>
  <c r="I97" i="2" s="1"/>
  <c r="M97" i="4" s="1"/>
  <c r="H97" i="1" a="1"/>
  <c r="H97" i="1" s="1"/>
  <c r="E97" i="1" a="1"/>
  <c r="E97" i="1" s="1"/>
  <c r="AI97" i="1" a="1"/>
  <c r="AI97" i="1" s="1"/>
  <c r="Y97" i="1" a="1"/>
  <c r="Y97" i="1" s="1"/>
  <c r="AB97" i="1" a="1"/>
  <c r="AB97" i="1" s="1"/>
  <c r="I97" i="1" a="1"/>
  <c r="I97" i="1" s="1"/>
  <c r="K97" i="2" s="1"/>
  <c r="O97" i="4" s="1"/>
  <c r="AC97" i="1" a="1"/>
  <c r="AC97" i="1" s="1"/>
  <c r="C97" i="1" a="1"/>
  <c r="C97" i="1" s="1"/>
  <c r="T97" i="1" a="1"/>
  <c r="T97" i="1" s="1"/>
  <c r="AD97" i="1" a="1"/>
  <c r="AD97" i="1" s="1"/>
  <c r="V97" i="1" a="1"/>
  <c r="V97" i="1" s="1"/>
  <c r="AF97" i="1" a="1"/>
  <c r="AF97" i="1" s="1"/>
  <c r="J97" i="6" s="1"/>
  <c r="AH97" i="1" a="1"/>
  <c r="AH97" i="1" s="1"/>
  <c r="P97" i="1" a="1"/>
  <c r="P97" i="1" s="1"/>
  <c r="O97" i="1" a="1"/>
  <c r="O97" i="1" s="1"/>
  <c r="I97" i="5" s="1"/>
  <c r="AN97" i="1" a="1"/>
  <c r="AN97" i="1" s="1"/>
  <c r="N97" i="1" a="1"/>
  <c r="N97" i="1" s="1"/>
  <c r="S97" i="1" a="1"/>
  <c r="S97" i="1" s="1"/>
  <c r="J97" i="1" a="1"/>
  <c r="J97" i="1" s="1"/>
  <c r="AL97" i="1" a="1"/>
  <c r="AL97" i="1" s="1"/>
  <c r="AK97" i="1" a="1"/>
  <c r="AK97" i="1" s="1"/>
  <c r="L97" i="1" a="1"/>
  <c r="L97" i="1" s="1"/>
  <c r="E97" i="5" s="1"/>
  <c r="AM97" i="1" a="1"/>
  <c r="AM97" i="1" s="1"/>
  <c r="AJ97" i="1" a="1"/>
  <c r="AJ97" i="1" s="1"/>
  <c r="Z97" i="1" a="1"/>
  <c r="Z97" i="1" s="1"/>
  <c r="AA97" i="1" a="1"/>
  <c r="AA97" i="1" s="1"/>
  <c r="D97" i="6" s="1"/>
  <c r="M97" i="6" s="1"/>
  <c r="D97" i="1" a="1"/>
  <c r="D97" i="1" s="1"/>
  <c r="E97" i="2" s="1"/>
  <c r="I97" i="4" s="1"/>
  <c r="X96" i="1" a="1"/>
  <c r="X96" i="1" s="1"/>
  <c r="P96" i="1" a="1"/>
  <c r="P96" i="1" s="1"/>
  <c r="AG96" i="1" a="1"/>
  <c r="AG96" i="1" s="1"/>
  <c r="AC96" i="1" a="1"/>
  <c r="AC96" i="1" s="1"/>
  <c r="I96" i="1" a="1"/>
  <c r="I96" i="1" s="1"/>
  <c r="K96" i="1" a="1"/>
  <c r="K96" i="1" s="1"/>
  <c r="V96" i="1" a="1"/>
  <c r="V96" i="1" s="1"/>
  <c r="AN96" i="1" a="1"/>
  <c r="AN96" i="1" s="1"/>
  <c r="AD96" i="1" a="1"/>
  <c r="AD96" i="1" s="1"/>
  <c r="W96" i="1" a="1"/>
  <c r="W96" i="1" s="1"/>
  <c r="M96" i="1" a="1"/>
  <c r="M96" i="1" s="1"/>
  <c r="AJ96" i="1" a="1"/>
  <c r="AJ96" i="1" s="1"/>
  <c r="AF96" i="1" a="1"/>
  <c r="AF96" i="1" s="1"/>
  <c r="J96" i="7" s="1"/>
  <c r="R96" i="1" a="1"/>
  <c r="R96" i="1" s="1"/>
  <c r="H96" i="1" a="1"/>
  <c r="H96" i="1" s="1"/>
  <c r="Y96" i="1" a="1"/>
  <c r="Y96" i="1" s="1"/>
  <c r="AH96" i="1" a="1"/>
  <c r="AH96" i="1" s="1"/>
  <c r="AM96" i="1" a="1"/>
  <c r="AM96" i="1" s="1"/>
  <c r="D96" i="1" a="1"/>
  <c r="D96" i="1" s="1"/>
  <c r="B96" i="1" a="1"/>
  <c r="B96" i="1" s="1"/>
  <c r="Z96" i="1" a="1"/>
  <c r="Z96" i="1" s="1"/>
  <c r="C96" i="1" a="1"/>
  <c r="C96" i="1" s="1"/>
  <c r="G96" i="1" a="1"/>
  <c r="G96" i="1" s="1"/>
  <c r="E96" i="1" a="1"/>
  <c r="E96" i="1" s="1"/>
  <c r="O96" i="1" a="1"/>
  <c r="O96" i="1" s="1"/>
  <c r="N96" i="1" a="1"/>
  <c r="N96" i="1" s="1"/>
  <c r="G96" i="5" s="1"/>
  <c r="T96" i="1" a="1"/>
  <c r="T96" i="1" s="1"/>
  <c r="S96" i="1" a="1"/>
  <c r="S96" i="1" s="1"/>
  <c r="AA96" i="1" a="1"/>
  <c r="AA96" i="1" s="1"/>
  <c r="F96" i="1" a="1"/>
  <c r="F96" i="1" s="1"/>
  <c r="AE96" i="1" a="1"/>
  <c r="AE96" i="1" s="1"/>
  <c r="AL96" i="1" a="1"/>
  <c r="AL96" i="1" s="1"/>
  <c r="Q96" i="1" a="1"/>
  <c r="Q96" i="1" s="1"/>
  <c r="K96" i="5" s="1"/>
  <c r="AI96" i="1" a="1"/>
  <c r="AI96" i="1" s="1"/>
  <c r="J96" i="1" a="1"/>
  <c r="J96" i="1" s="1"/>
  <c r="C96" i="5" s="1"/>
  <c r="L96" i="5" s="1"/>
  <c r="AB96" i="1" a="1"/>
  <c r="AB96" i="1" s="1"/>
  <c r="AK96" i="1" a="1"/>
  <c r="AK96" i="1" s="1"/>
  <c r="U96" i="1" a="1"/>
  <c r="U96" i="1" s="1"/>
  <c r="F96" i="7" s="1"/>
  <c r="AO96" i="1" a="1"/>
  <c r="AO96" i="1" s="1"/>
  <c r="L96" i="1" a="1"/>
  <c r="L96" i="1" s="1"/>
  <c r="AJ14" i="1" a="1"/>
  <c r="AJ14" i="1" s="1"/>
  <c r="AK14" i="1" a="1"/>
  <c r="AK14" i="1" s="1"/>
  <c r="A14" i="6"/>
  <c r="AL14" i="1" a="1"/>
  <c r="AL14" i="1" s="1"/>
  <c r="R14" i="1" a="1"/>
  <c r="R14" i="1" s="1"/>
  <c r="AA14" i="1" a="1"/>
  <c r="AA14" i="1" s="1"/>
  <c r="AH14" i="1" a="1"/>
  <c r="AH14" i="1" s="1"/>
  <c r="AB14" i="1" a="1"/>
  <c r="AB14" i="1" s="1"/>
  <c r="N14" i="1" a="1"/>
  <c r="N14" i="1" s="1"/>
  <c r="O14" i="1" a="1"/>
  <c r="O14" i="1" s="1"/>
  <c r="V14" i="1" a="1"/>
  <c r="V14" i="1" s="1"/>
  <c r="A14" i="4"/>
  <c r="J14" i="1" a="1"/>
  <c r="J14" i="1" s="1"/>
  <c r="AD14" i="1" a="1"/>
  <c r="AD14" i="1" s="1"/>
  <c r="F14" i="1" a="1"/>
  <c r="F14" i="1" s="1"/>
  <c r="L14" i="1" a="1"/>
  <c r="L14" i="1" s="1"/>
  <c r="E14" i="5" s="1"/>
  <c r="AI14" i="1" a="1"/>
  <c r="AI14" i="1" s="1"/>
  <c r="U14" i="1" a="1"/>
  <c r="U14" i="1" s="1"/>
  <c r="Z14" i="1" a="1"/>
  <c r="Z14" i="1" s="1"/>
  <c r="AM14" i="1" a="1"/>
  <c r="AM14" i="1" s="1"/>
  <c r="AC14" i="1" a="1"/>
  <c r="AC14" i="1" s="1"/>
  <c r="AO14" i="1" a="1"/>
  <c r="AO14" i="1" s="1"/>
  <c r="A14" i="5"/>
  <c r="X14" i="1" a="1"/>
  <c r="X14" i="1" s="1"/>
  <c r="J14" i="7" s="1"/>
  <c r="M14" i="1" a="1"/>
  <c r="M14" i="1" s="1"/>
  <c r="P14" i="1" a="1"/>
  <c r="P14" i="1" s="1"/>
  <c r="C14" i="1" a="1"/>
  <c r="C14" i="1" s="1"/>
  <c r="D14" i="2" s="1"/>
  <c r="H14" i="4" s="1"/>
  <c r="Q14" i="1" a="1"/>
  <c r="Q14" i="1" s="1"/>
  <c r="A14" i="2"/>
  <c r="W14" i="1" a="1"/>
  <c r="W14" i="1" s="1"/>
  <c r="I14" i="7" s="1"/>
  <c r="B14" i="1" a="1"/>
  <c r="B14" i="1" s="1"/>
  <c r="K14" i="1" a="1"/>
  <c r="K14" i="1" s="1"/>
  <c r="D14" i="5" s="1"/>
  <c r="A14" i="3"/>
  <c r="AN14" i="1" a="1"/>
  <c r="AN14" i="1" s="1"/>
  <c r="Y14" i="1" a="1"/>
  <c r="Y14" i="1" s="1"/>
  <c r="K14" i="7" s="1"/>
  <c r="A14" i="7"/>
  <c r="E14" i="1" a="1"/>
  <c r="E14" i="1" s="1"/>
  <c r="F14" i="2" s="1"/>
  <c r="T14" i="1" a="1"/>
  <c r="T14" i="1" s="1"/>
  <c r="S14" i="1" a="1"/>
  <c r="S14" i="1" s="1"/>
  <c r="D14" i="7" s="1"/>
  <c r="D14" i="1" a="1"/>
  <c r="D14" i="1" s="1"/>
  <c r="E14" i="2" s="1"/>
  <c r="G38" i="1" a="1"/>
  <c r="G38" i="1" s="1"/>
  <c r="S38" i="1" a="1"/>
  <c r="S38" i="1" s="1"/>
  <c r="AF38" i="1" a="1"/>
  <c r="AF38" i="1" s="1"/>
  <c r="Z38" i="1" a="1"/>
  <c r="Z38" i="1" s="1"/>
  <c r="AC38" i="1" a="1"/>
  <c r="AC38" i="1" s="1"/>
  <c r="AM38" i="1" a="1"/>
  <c r="AM38" i="1" s="1"/>
  <c r="AL38" i="1" a="1"/>
  <c r="AL38" i="1" s="1"/>
  <c r="Q38" i="1" a="1"/>
  <c r="Q38" i="1" s="1"/>
  <c r="X38" i="1" a="1"/>
  <c r="X38" i="1" s="1"/>
  <c r="M38" i="1" a="1"/>
  <c r="M38" i="1" s="1"/>
  <c r="H38" i="1" a="1"/>
  <c r="H38" i="1" s="1"/>
  <c r="J38" i="2" s="1"/>
  <c r="AE38" i="1" a="1"/>
  <c r="AE38" i="1" s="1"/>
  <c r="T38" i="1" a="1"/>
  <c r="T38" i="1" s="1"/>
  <c r="AI38" i="1" a="1"/>
  <c r="AI38" i="1" s="1"/>
  <c r="Y38" i="1" a="1"/>
  <c r="Y38" i="1" s="1"/>
  <c r="W38" i="1" a="1"/>
  <c r="W38" i="1" s="1"/>
  <c r="I38" i="7" s="1"/>
  <c r="AN38" i="1" a="1"/>
  <c r="AN38" i="1" s="1"/>
  <c r="AO38" i="1" a="1"/>
  <c r="AO38" i="1" s="1"/>
  <c r="C38" i="1" a="1"/>
  <c r="C38" i="1" s="1"/>
  <c r="A38" i="3"/>
  <c r="L38" i="1" a="1"/>
  <c r="L38" i="1" s="1"/>
  <c r="A38" i="5"/>
  <c r="AK38" i="1" a="1"/>
  <c r="AK38" i="1" s="1"/>
  <c r="AG38" i="1" a="1"/>
  <c r="AG38" i="1" s="1"/>
  <c r="O38" i="1" a="1"/>
  <c r="O38" i="1" s="1"/>
  <c r="I38" i="1" a="1"/>
  <c r="I38" i="1" s="1"/>
  <c r="U38" i="1" a="1"/>
  <c r="U38" i="1" s="1"/>
  <c r="F38" i="7" s="1"/>
  <c r="A38" i="7"/>
  <c r="E38" i="1" a="1"/>
  <c r="E38" i="1" s="1"/>
  <c r="F38" i="2" s="1"/>
  <c r="J38" i="4" s="1"/>
  <c r="AB38" i="1" a="1"/>
  <c r="AB38" i="1" s="1"/>
  <c r="D38" i="1" a="1"/>
  <c r="D38" i="1" s="1"/>
  <c r="J38" i="1" a="1"/>
  <c r="J38" i="1" s="1"/>
  <c r="C38" i="5" s="1"/>
  <c r="L38" i="5" s="1"/>
  <c r="F38" i="1" a="1"/>
  <c r="F38" i="1" s="1"/>
  <c r="R38" i="1" a="1"/>
  <c r="R38" i="1" s="1"/>
  <c r="AD38" i="1" a="1"/>
  <c r="AD38" i="1" s="1"/>
  <c r="K38" i="1" a="1"/>
  <c r="K38" i="1" s="1"/>
  <c r="AJ38" i="1" a="1"/>
  <c r="AJ38" i="1" s="1"/>
  <c r="A38" i="6"/>
  <c r="A38" i="4"/>
  <c r="B38" i="1" a="1"/>
  <c r="B38" i="1" s="1"/>
  <c r="C38" i="2" s="1"/>
  <c r="V38" i="1" a="1"/>
  <c r="V38" i="1" s="1"/>
  <c r="N38" i="1" a="1"/>
  <c r="N38" i="1" s="1"/>
  <c r="A38" i="2"/>
  <c r="P38" i="1" a="1"/>
  <c r="P38" i="1" s="1"/>
  <c r="AH38" i="1" a="1"/>
  <c r="AH38" i="1" s="1"/>
  <c r="AA38" i="1" a="1"/>
  <c r="AA38" i="1" s="1"/>
  <c r="AL31" i="1" a="1"/>
  <c r="AL31" i="1" s="1"/>
  <c r="A31" i="5"/>
  <c r="A31" i="2"/>
  <c r="Q31" i="1" a="1"/>
  <c r="Q31" i="1" s="1"/>
  <c r="Y31" i="1" a="1"/>
  <c r="Y31" i="1" s="1"/>
  <c r="X31" i="1" a="1"/>
  <c r="X31" i="1" s="1"/>
  <c r="AD31" i="1" a="1"/>
  <c r="AD31" i="1" s="1"/>
  <c r="U31" i="1" a="1"/>
  <c r="U31" i="1" s="1"/>
  <c r="S31" i="1" a="1"/>
  <c r="S31" i="1" s="1"/>
  <c r="C31" i="1" a="1"/>
  <c r="C31" i="1" s="1"/>
  <c r="K31" i="1" a="1"/>
  <c r="K31" i="1" s="1"/>
  <c r="M31" i="1" a="1"/>
  <c r="M31" i="1" s="1"/>
  <c r="AG31" i="1" a="1"/>
  <c r="AG31" i="1" s="1"/>
  <c r="AO31" i="1" a="1"/>
  <c r="AO31" i="1" s="1"/>
  <c r="L31" i="1" a="1"/>
  <c r="L31" i="1" s="1"/>
  <c r="AH31" i="1" a="1"/>
  <c r="AH31" i="1" s="1"/>
  <c r="AC31" i="1" a="1"/>
  <c r="AC31" i="1" s="1"/>
  <c r="A31" i="7"/>
  <c r="N31" i="1" a="1"/>
  <c r="N31" i="1" s="1"/>
  <c r="I31" i="1" a="1"/>
  <c r="I31" i="1" s="1"/>
  <c r="AK31" i="1" a="1"/>
  <c r="AK31" i="1" s="1"/>
  <c r="A31" i="4"/>
  <c r="AN31" i="1" a="1"/>
  <c r="AN31" i="1" s="1"/>
  <c r="W31" i="1" a="1"/>
  <c r="W31" i="1" s="1"/>
  <c r="H31" i="1" a="1"/>
  <c r="H31" i="1" s="1"/>
  <c r="P31" i="1" a="1"/>
  <c r="P31" i="1" s="1"/>
  <c r="A31" i="6"/>
  <c r="AJ31" i="1" a="1"/>
  <c r="AJ31" i="1" s="1"/>
  <c r="D31" i="1" a="1"/>
  <c r="D31" i="1" s="1"/>
  <c r="E31" i="1" a="1"/>
  <c r="E31" i="1" s="1"/>
  <c r="B31" i="1" a="1"/>
  <c r="B31" i="1" s="1"/>
  <c r="AI31" i="1" a="1"/>
  <c r="AI31" i="1" s="1"/>
  <c r="AB31" i="1" a="1"/>
  <c r="AB31" i="1" s="1"/>
  <c r="J31" i="1" a="1"/>
  <c r="J31" i="1" s="1"/>
  <c r="O31" i="1" a="1"/>
  <c r="O31" i="1" s="1"/>
  <c r="AE31" i="1" a="1"/>
  <c r="AE31" i="1" s="1"/>
  <c r="AA31" i="1" a="1"/>
  <c r="AA31" i="1" s="1"/>
  <c r="D31" i="6" s="1"/>
  <c r="M31" i="6" s="1"/>
  <c r="R31" i="1" a="1"/>
  <c r="R31" i="1" s="1"/>
  <c r="G31" i="1" a="1"/>
  <c r="G31" i="1" s="1"/>
  <c r="Z31" i="1" a="1"/>
  <c r="Z31" i="1" s="1"/>
  <c r="F31" i="1" a="1"/>
  <c r="F31" i="1" s="1"/>
  <c r="G31" i="2" s="1"/>
  <c r="V31" i="1" a="1"/>
  <c r="V31" i="1" s="1"/>
  <c r="AF31" i="1" a="1"/>
  <c r="AF31" i="1" s="1"/>
  <c r="T31" i="1" a="1"/>
  <c r="T31" i="1" s="1"/>
  <c r="A31" i="3"/>
  <c r="AM31" i="1" a="1"/>
  <c r="AM31" i="1" s="1"/>
  <c r="M55" i="1" a="1"/>
  <c r="M55" i="1" s="1"/>
  <c r="H55" i="1" a="1"/>
  <c r="H55" i="1" s="1"/>
  <c r="S55" i="1" a="1"/>
  <c r="S55" i="1" s="1"/>
  <c r="R55" i="1" a="1"/>
  <c r="R55" i="1" s="1"/>
  <c r="A55" i="5"/>
  <c r="AK55" i="1" a="1"/>
  <c r="AK55" i="1" s="1"/>
  <c r="AD55" i="1" a="1"/>
  <c r="AD55" i="1" s="1"/>
  <c r="X55" i="1" a="1"/>
  <c r="X55" i="1" s="1"/>
  <c r="AL55" i="1" a="1"/>
  <c r="AL55" i="1" s="1"/>
  <c r="A55" i="3"/>
  <c r="I55" i="1" a="1"/>
  <c r="I55" i="1" s="1"/>
  <c r="K55" i="2" s="1"/>
  <c r="O55" i="1" a="1"/>
  <c r="O55" i="1" s="1"/>
  <c r="A55" i="2"/>
  <c r="AF55" i="1" a="1"/>
  <c r="AF55" i="1" s="1"/>
  <c r="J55" i="6" s="1"/>
  <c r="F55" i="1" a="1"/>
  <c r="F55" i="1" s="1"/>
  <c r="G55" i="2" s="1"/>
  <c r="AG55" i="1" a="1"/>
  <c r="AG55" i="1" s="1"/>
  <c r="L55" i="1" a="1"/>
  <c r="L55" i="1" s="1"/>
  <c r="G55" i="1" a="1"/>
  <c r="G55" i="1" s="1"/>
  <c r="V55" i="1" a="1"/>
  <c r="V55" i="1" s="1"/>
  <c r="AO55" i="1" a="1"/>
  <c r="AO55" i="1" s="1"/>
  <c r="P55" i="1" a="1"/>
  <c r="P55" i="1" s="1"/>
  <c r="N55" i="1" a="1"/>
  <c r="N55" i="1" s="1"/>
  <c r="B55" i="1" a="1"/>
  <c r="B55" i="1" s="1"/>
  <c r="C55" i="2" s="1"/>
  <c r="AI55" i="1" a="1"/>
  <c r="AI55" i="1" s="1"/>
  <c r="Q55" i="1" a="1"/>
  <c r="Q55" i="1" s="1"/>
  <c r="AC55" i="1" a="1"/>
  <c r="AC55" i="1" s="1"/>
  <c r="AA55" i="1" a="1"/>
  <c r="AA55" i="1" s="1"/>
  <c r="D55" i="1" a="1"/>
  <c r="D55" i="1" s="1"/>
  <c r="Z55" i="1" a="1"/>
  <c r="Z55" i="1" s="1"/>
  <c r="Y55" i="1" a="1"/>
  <c r="Y55" i="1" s="1"/>
  <c r="W55" i="1" a="1"/>
  <c r="W55" i="1" s="1"/>
  <c r="AM55" i="1" a="1"/>
  <c r="AM55" i="1" s="1"/>
  <c r="E55" i="1" a="1"/>
  <c r="E55" i="1" s="1"/>
  <c r="F55" i="2" s="1"/>
  <c r="J55" i="1" a="1"/>
  <c r="J55" i="1" s="1"/>
  <c r="C55" i="5" s="1"/>
  <c r="L55" i="5" s="1"/>
  <c r="K55" i="1" a="1"/>
  <c r="K55" i="1" s="1"/>
  <c r="D55" i="5" s="1"/>
  <c r="M55" i="5" s="1"/>
  <c r="A55" i="6"/>
  <c r="AH55" i="1" a="1"/>
  <c r="AH55" i="1" s="1"/>
  <c r="AB55" i="1" a="1"/>
  <c r="AB55" i="1" s="1"/>
  <c r="A55" i="7"/>
  <c r="AN55" i="1" a="1"/>
  <c r="AN55" i="1" s="1"/>
  <c r="AE55" i="1" a="1"/>
  <c r="AE55" i="1" s="1"/>
  <c r="A55" i="4"/>
  <c r="U55" i="1" a="1"/>
  <c r="U55" i="1" s="1"/>
  <c r="F55" i="7" s="1"/>
  <c r="AJ55" i="1" a="1"/>
  <c r="AJ55" i="1" s="1"/>
  <c r="C55" i="1" a="1"/>
  <c r="C55" i="1" s="1"/>
  <c r="T55" i="1" a="1"/>
  <c r="T55" i="1" s="1"/>
  <c r="E55" i="7" s="1"/>
  <c r="W95" i="1" a="1"/>
  <c r="W95" i="1" s="1"/>
  <c r="C95" i="1" a="1"/>
  <c r="C95" i="1" s="1"/>
  <c r="K95" i="1" a="1"/>
  <c r="K95" i="1" s="1"/>
  <c r="D95" i="5" s="1"/>
  <c r="M95" i="5" s="1"/>
  <c r="E95" i="1" a="1"/>
  <c r="E95" i="1" s="1"/>
  <c r="AL95" i="1" a="1"/>
  <c r="AL95" i="1" s="1"/>
  <c r="T95" i="1" a="1"/>
  <c r="T95" i="1" s="1"/>
  <c r="I95" i="1" a="1"/>
  <c r="I95" i="1" s="1"/>
  <c r="AF95" i="1" a="1"/>
  <c r="AF95" i="1" s="1"/>
  <c r="AJ95" i="1" a="1"/>
  <c r="AJ95" i="1" s="1"/>
  <c r="Y95" i="1" a="1"/>
  <c r="Y95" i="1" s="1"/>
  <c r="Q95" i="1" a="1"/>
  <c r="Q95" i="1" s="1"/>
  <c r="X95" i="1" a="1"/>
  <c r="X95" i="1" s="1"/>
  <c r="G95" i="1" a="1"/>
  <c r="G95" i="1" s="1"/>
  <c r="N95" i="1" a="1"/>
  <c r="N95" i="1" s="1"/>
  <c r="AA95" i="1" a="1"/>
  <c r="AA95" i="1" s="1"/>
  <c r="F95" i="1" a="1"/>
  <c r="F95" i="1" s="1"/>
  <c r="S95" i="1" a="1"/>
  <c r="S95" i="1" s="1"/>
  <c r="D95" i="7" s="1"/>
  <c r="M95" i="7" s="1"/>
  <c r="B95" i="1" a="1"/>
  <c r="B95" i="1" s="1"/>
  <c r="AC95" i="1" a="1"/>
  <c r="AC95" i="1" s="1"/>
  <c r="P95" i="1" a="1"/>
  <c r="P95" i="1" s="1"/>
  <c r="U95" i="1" a="1"/>
  <c r="U95" i="1" s="1"/>
  <c r="Z95" i="1" a="1"/>
  <c r="Z95" i="1" s="1"/>
  <c r="AD95" i="1" a="1"/>
  <c r="AD95" i="1" s="1"/>
  <c r="O95" i="1" a="1"/>
  <c r="O95" i="1" s="1"/>
  <c r="AO95" i="1" a="1"/>
  <c r="AO95" i="1" s="1"/>
  <c r="M95" i="1" a="1"/>
  <c r="M95" i="1" s="1"/>
  <c r="V95" i="1" a="1"/>
  <c r="V95" i="1" s="1"/>
  <c r="G95" i="7" s="1"/>
  <c r="R95" i="1" a="1"/>
  <c r="R95" i="1" s="1"/>
  <c r="AM95" i="1" a="1"/>
  <c r="AM95" i="1" s="1"/>
  <c r="AG95" i="1" a="1"/>
  <c r="AG95" i="1" s="1"/>
  <c r="AK95" i="1" a="1"/>
  <c r="AK95" i="1" s="1"/>
  <c r="L95" i="1" a="1"/>
  <c r="L95" i="1" s="1"/>
  <c r="J95" i="1" a="1"/>
  <c r="J95" i="1" s="1"/>
  <c r="AH95" i="1" a="1"/>
  <c r="AH95" i="1" s="1"/>
  <c r="D95" i="1" a="1"/>
  <c r="D95" i="1" s="1"/>
  <c r="H95" i="1" a="1"/>
  <c r="H95" i="1" s="1"/>
  <c r="AB95" i="1" a="1"/>
  <c r="AB95" i="1" s="1"/>
  <c r="AN95" i="1" a="1"/>
  <c r="AN95" i="1" s="1"/>
  <c r="AI95" i="1" a="1"/>
  <c r="AI95" i="1" s="1"/>
  <c r="AE95" i="1" a="1"/>
  <c r="AE95" i="1" s="1"/>
  <c r="A95" i="6"/>
  <c r="A95" i="7"/>
  <c r="A95" i="3"/>
  <c r="A95" i="2"/>
  <c r="A95" i="5"/>
  <c r="A95" i="4"/>
  <c r="A127" i="6"/>
  <c r="A127" i="7"/>
  <c r="A127" i="3"/>
  <c r="A127" i="4"/>
  <c r="A127" i="5"/>
  <c r="A127" i="2"/>
  <c r="A48" i="6"/>
  <c r="J48" i="1" a="1"/>
  <c r="J48" i="1" s="1"/>
  <c r="A48" i="2"/>
  <c r="L48" i="1" a="1"/>
  <c r="L48" i="1" s="1"/>
  <c r="R48" i="1" a="1"/>
  <c r="R48" i="1" s="1"/>
  <c r="AD48" i="1" a="1"/>
  <c r="AD48" i="1" s="1"/>
  <c r="AN48" i="1" a="1"/>
  <c r="AN48" i="1" s="1"/>
  <c r="A48" i="7"/>
  <c r="G48" i="1" a="1"/>
  <c r="G48" i="1" s="1"/>
  <c r="I48" i="2" s="1"/>
  <c r="A48" i="5"/>
  <c r="Q48" i="1" a="1"/>
  <c r="Q48" i="1" s="1"/>
  <c r="AB48" i="1" a="1"/>
  <c r="AB48" i="1" s="1"/>
  <c r="P48" i="1" a="1"/>
  <c r="P48" i="1" s="1"/>
  <c r="J48" i="5" s="1"/>
  <c r="AF48" i="1" a="1"/>
  <c r="AF48" i="1" s="1"/>
  <c r="T48" i="1" a="1"/>
  <c r="T48" i="1" s="1"/>
  <c r="S48" i="1" a="1"/>
  <c r="S48" i="1" s="1"/>
  <c r="AI48" i="1" a="1"/>
  <c r="AI48" i="1" s="1"/>
  <c r="D48" i="1" a="1"/>
  <c r="D48" i="1" s="1"/>
  <c r="AE48" i="1" a="1"/>
  <c r="AE48" i="1" s="1"/>
  <c r="W48" i="1" a="1"/>
  <c r="W48" i="1" s="1"/>
  <c r="I48" i="7" s="1"/>
  <c r="AK48" i="1" a="1"/>
  <c r="AK48" i="1" s="1"/>
  <c r="AJ48" i="1" a="1"/>
  <c r="AJ48" i="1" s="1"/>
  <c r="Y48" i="1" a="1"/>
  <c r="Y48" i="1" s="1"/>
  <c r="V48" i="1" a="1"/>
  <c r="V48" i="1" s="1"/>
  <c r="AH48" i="1" a="1"/>
  <c r="AH48" i="1" s="1"/>
  <c r="M48" i="1" a="1"/>
  <c r="M48" i="1" s="1"/>
  <c r="AL48" i="1" a="1"/>
  <c r="AL48" i="1" s="1"/>
  <c r="AG48" i="1" a="1"/>
  <c r="AG48" i="1" s="1"/>
  <c r="H48" i="1" a="1"/>
  <c r="H48" i="1" s="1"/>
  <c r="J48" i="2" s="1"/>
  <c r="AM48" i="1" a="1"/>
  <c r="AM48" i="1" s="1"/>
  <c r="O48" i="1" a="1"/>
  <c r="O48" i="1" s="1"/>
  <c r="I48" i="5" s="1"/>
  <c r="Z48" i="1" a="1"/>
  <c r="Z48" i="1" s="1"/>
  <c r="I48" i="1" a="1"/>
  <c r="I48" i="1" s="1"/>
  <c r="AC48" i="1" a="1"/>
  <c r="AC48" i="1" s="1"/>
  <c r="F48" i="1" a="1"/>
  <c r="F48" i="1" s="1"/>
  <c r="B48" i="1" a="1"/>
  <c r="B48" i="1" s="1"/>
  <c r="C48" i="2" s="1"/>
  <c r="U48" i="1" a="1"/>
  <c r="U48" i="1" s="1"/>
  <c r="A48" i="3"/>
  <c r="K48" i="1" a="1"/>
  <c r="K48" i="1" s="1"/>
  <c r="D48" i="5" s="1"/>
  <c r="M48" i="5" s="1"/>
  <c r="AA48" i="1" a="1"/>
  <c r="AA48" i="1" s="1"/>
  <c r="X48" i="1" a="1"/>
  <c r="X48" i="1" s="1"/>
  <c r="J48" i="7" s="1"/>
  <c r="N48" i="1" a="1"/>
  <c r="N48" i="1" s="1"/>
  <c r="G48" i="5" s="1"/>
  <c r="C48" i="1" a="1"/>
  <c r="C48" i="1" s="1"/>
  <c r="A48" i="4"/>
  <c r="E48" i="1" a="1"/>
  <c r="E48" i="1" s="1"/>
  <c r="AO48" i="1" a="1"/>
  <c r="AO48" i="1" s="1"/>
  <c r="A56" i="6"/>
  <c r="R56" i="1" a="1"/>
  <c r="R56" i="1" s="1"/>
  <c r="A56" i="7"/>
  <c r="T56" i="1" a="1"/>
  <c r="T56" i="1" s="1"/>
  <c r="X56" i="1" a="1"/>
  <c r="X56" i="1" s="1"/>
  <c r="N56" i="1" a="1"/>
  <c r="N56" i="1" s="1"/>
  <c r="U56" i="1" a="1"/>
  <c r="U56" i="1" s="1"/>
  <c r="Y56" i="1" a="1"/>
  <c r="Y56" i="1" s="1"/>
  <c r="A56" i="2"/>
  <c r="AG56" i="1" a="1"/>
  <c r="AG56" i="1" s="1"/>
  <c r="AA56" i="1" a="1"/>
  <c r="AA56" i="1" s="1"/>
  <c r="AC56" i="1" a="1"/>
  <c r="AC56" i="1" s="1"/>
  <c r="Q56" i="1" a="1"/>
  <c r="Q56" i="1" s="1"/>
  <c r="Z56" i="1" a="1"/>
  <c r="Z56" i="1" s="1"/>
  <c r="AO56" i="1" a="1"/>
  <c r="AO56" i="1" s="1"/>
  <c r="W56" i="1" a="1"/>
  <c r="W56" i="1" s="1"/>
  <c r="AF56" i="1" a="1"/>
  <c r="AF56" i="1" s="1"/>
  <c r="F56" i="1" a="1"/>
  <c r="F56" i="1" s="1"/>
  <c r="O56" i="1" a="1"/>
  <c r="O56" i="1" s="1"/>
  <c r="AE56" i="1" a="1"/>
  <c r="AE56" i="1" s="1"/>
  <c r="A56" i="4"/>
  <c r="K56" i="1" a="1"/>
  <c r="K56" i="1" s="1"/>
  <c r="A56" i="5"/>
  <c r="S56" i="1" a="1"/>
  <c r="S56" i="1" s="1"/>
  <c r="AN56" i="1" a="1"/>
  <c r="AN56" i="1" s="1"/>
  <c r="P56" i="1" a="1"/>
  <c r="P56" i="1" s="1"/>
  <c r="D56" i="1" a="1"/>
  <c r="D56" i="1" s="1"/>
  <c r="AH56" i="1" a="1"/>
  <c r="AH56" i="1" s="1"/>
  <c r="E56" i="1" a="1"/>
  <c r="E56" i="1" s="1"/>
  <c r="AJ56" i="1" a="1"/>
  <c r="AJ56" i="1" s="1"/>
  <c r="M56" i="1" a="1"/>
  <c r="M56" i="1" s="1"/>
  <c r="AL56" i="1" a="1"/>
  <c r="AL56" i="1" s="1"/>
  <c r="AD56" i="1" a="1"/>
  <c r="AD56" i="1" s="1"/>
  <c r="I56" i="1" a="1"/>
  <c r="I56" i="1" s="1"/>
  <c r="K56" i="2" s="1"/>
  <c r="A56" i="3"/>
  <c r="AM56" i="1" a="1"/>
  <c r="AM56" i="1" s="1"/>
  <c r="V56" i="1" a="1"/>
  <c r="V56" i="1" s="1"/>
  <c r="AK56" i="1" a="1"/>
  <c r="AK56" i="1" s="1"/>
  <c r="C56" i="1" a="1"/>
  <c r="C56" i="1" s="1"/>
  <c r="D56" i="2" s="1"/>
  <c r="L56" i="1" a="1"/>
  <c r="L56" i="1" s="1"/>
  <c r="G56" i="1" a="1"/>
  <c r="G56" i="1" s="1"/>
  <c r="B56" i="1" a="1"/>
  <c r="B56" i="1" s="1"/>
  <c r="AB56" i="1" a="1"/>
  <c r="AB56" i="1" s="1"/>
  <c r="E56" i="6" s="1"/>
  <c r="H56" i="1" a="1"/>
  <c r="H56" i="1" s="1"/>
  <c r="J56" i="1" a="1"/>
  <c r="J56" i="1" s="1"/>
  <c r="AI56" i="1" a="1"/>
  <c r="AI56" i="1" s="1"/>
  <c r="A64" i="4"/>
  <c r="A64" i="7"/>
  <c r="AA64" i="1" a="1"/>
  <c r="AA64" i="1" s="1"/>
  <c r="R64" i="1" a="1"/>
  <c r="R64" i="1" s="1"/>
  <c r="L64" i="1" a="1"/>
  <c r="L64" i="1" s="1"/>
  <c r="A64" i="2"/>
  <c r="U64" i="1" a="1"/>
  <c r="U64" i="1" s="1"/>
  <c r="AE64" i="1" a="1"/>
  <c r="AE64" i="1" s="1"/>
  <c r="O64" i="1" a="1"/>
  <c r="O64" i="1" s="1"/>
  <c r="G64" i="1" a="1"/>
  <c r="G64" i="1" s="1"/>
  <c r="J64" i="1" a="1"/>
  <c r="J64" i="1" s="1"/>
  <c r="AB64" i="1" a="1"/>
  <c r="AB64" i="1" s="1"/>
  <c r="K64" i="1" a="1"/>
  <c r="K64" i="1" s="1"/>
  <c r="AH64" i="1" a="1"/>
  <c r="AH64" i="1" s="1"/>
  <c r="T64" i="1" a="1"/>
  <c r="T64" i="1" s="1"/>
  <c r="AO64" i="1" a="1"/>
  <c r="AO64" i="1" s="1"/>
  <c r="AK64" i="1" a="1"/>
  <c r="AK64" i="1" s="1"/>
  <c r="AI64" i="1" a="1"/>
  <c r="AI64" i="1" s="1"/>
  <c r="AF64" i="1" a="1"/>
  <c r="AF64" i="1" s="1"/>
  <c r="AG64" i="1" a="1"/>
  <c r="AG64" i="1" s="1"/>
  <c r="A64" i="5"/>
  <c r="AC64" i="1" a="1"/>
  <c r="AC64" i="1" s="1"/>
  <c r="F64" i="6" s="1"/>
  <c r="E64" i="1" a="1"/>
  <c r="E64" i="1" s="1"/>
  <c r="S64" i="1" a="1"/>
  <c r="S64" i="1" s="1"/>
  <c r="F64" i="1" a="1"/>
  <c r="F64" i="1" s="1"/>
  <c r="G64" i="2" s="1"/>
  <c r="AL64" i="1" a="1"/>
  <c r="AL64" i="1" s="1"/>
  <c r="N64" i="1" a="1"/>
  <c r="N64" i="1" s="1"/>
  <c r="G64" i="5" s="1"/>
  <c r="I64" i="1" a="1"/>
  <c r="I64" i="1" s="1"/>
  <c r="K64" i="2" s="1"/>
  <c r="D64" i="1" a="1"/>
  <c r="D64" i="1" s="1"/>
  <c r="W64" i="1" a="1"/>
  <c r="W64" i="1" s="1"/>
  <c r="M64" i="1" a="1"/>
  <c r="M64" i="1" s="1"/>
  <c r="C64" i="1" a="1"/>
  <c r="C64" i="1" s="1"/>
  <c r="H64" i="1" a="1"/>
  <c r="H64" i="1" s="1"/>
  <c r="A64" i="6"/>
  <c r="AM64" i="1" a="1"/>
  <c r="AM64" i="1" s="1"/>
  <c r="P64" i="1" a="1"/>
  <c r="P64" i="1" s="1"/>
  <c r="AJ64" i="1" a="1"/>
  <c r="AJ64" i="1" s="1"/>
  <c r="Z64" i="1" a="1"/>
  <c r="Z64" i="1" s="1"/>
  <c r="B64" i="1" a="1"/>
  <c r="B64" i="1" s="1"/>
  <c r="X64" i="1" a="1"/>
  <c r="X64" i="1" s="1"/>
  <c r="AN64" i="1" a="1"/>
  <c r="AN64" i="1" s="1"/>
  <c r="AD64" i="1" a="1"/>
  <c r="AD64" i="1" s="1"/>
  <c r="Y64" i="1" a="1"/>
  <c r="Y64" i="1" s="1"/>
  <c r="K64" i="7" s="1"/>
  <c r="V64" i="1" a="1"/>
  <c r="V64" i="1" s="1"/>
  <c r="G64" i="7" s="1"/>
  <c r="A64" i="3"/>
  <c r="Q64" i="1" a="1"/>
  <c r="Q64" i="1" s="1"/>
  <c r="K64" i="5" s="1"/>
  <c r="P72" i="1" a="1"/>
  <c r="P72" i="1" s="1"/>
  <c r="J72" i="1" a="1"/>
  <c r="J72" i="1" s="1"/>
  <c r="AK72" i="1" a="1"/>
  <c r="AK72" i="1" s="1"/>
  <c r="AA72" i="1" a="1"/>
  <c r="AA72" i="1" s="1"/>
  <c r="A72" i="5"/>
  <c r="Y72" i="1" a="1"/>
  <c r="Y72" i="1" s="1"/>
  <c r="AH72" i="1" a="1"/>
  <c r="AH72" i="1" s="1"/>
  <c r="H72" i="1" a="1"/>
  <c r="H72" i="1" s="1"/>
  <c r="A72" i="6"/>
  <c r="B72" i="1" a="1"/>
  <c r="B72" i="1" s="1"/>
  <c r="K72" i="1" a="1"/>
  <c r="K72" i="1" s="1"/>
  <c r="D72" i="5" s="1"/>
  <c r="M72" i="5" s="1"/>
  <c r="U72" i="1" a="1"/>
  <c r="U72" i="1" s="1"/>
  <c r="A72" i="3"/>
  <c r="W72" i="1" a="1"/>
  <c r="W72" i="1" s="1"/>
  <c r="V72" i="1" a="1"/>
  <c r="V72" i="1" s="1"/>
  <c r="F72" i="1" a="1"/>
  <c r="F72" i="1" s="1"/>
  <c r="I72" i="1" a="1"/>
  <c r="I72" i="1" s="1"/>
  <c r="E72" i="1" a="1"/>
  <c r="E72" i="1" s="1"/>
  <c r="AF72" i="1" a="1"/>
  <c r="AF72" i="1" s="1"/>
  <c r="AC72" i="1" a="1"/>
  <c r="AC72" i="1" s="1"/>
  <c r="G72" i="1" a="1"/>
  <c r="G72" i="1" s="1"/>
  <c r="AN72" i="1" a="1"/>
  <c r="AN72" i="1" s="1"/>
  <c r="M72" i="1" a="1"/>
  <c r="M72" i="1" s="1"/>
  <c r="AE72" i="1" a="1"/>
  <c r="AE72" i="1" s="1"/>
  <c r="AL72" i="1" a="1"/>
  <c r="AL72" i="1" s="1"/>
  <c r="AO72" i="1" a="1"/>
  <c r="AO72" i="1" s="1"/>
  <c r="AM72" i="1" a="1"/>
  <c r="AM72" i="1" s="1"/>
  <c r="AB72" i="1" a="1"/>
  <c r="AB72" i="1" s="1"/>
  <c r="AG72" i="1" a="1"/>
  <c r="AG72" i="1" s="1"/>
  <c r="Z72" i="1" a="1"/>
  <c r="Z72" i="1" s="1"/>
  <c r="AD72" i="1" a="1"/>
  <c r="AD72" i="1" s="1"/>
  <c r="S72" i="1" a="1"/>
  <c r="S72" i="1" s="1"/>
  <c r="D72" i="7" s="1"/>
  <c r="M72" i="7" s="1"/>
  <c r="AJ72" i="1" a="1"/>
  <c r="AJ72" i="1" s="1"/>
  <c r="A72" i="4"/>
  <c r="L72" i="1" a="1"/>
  <c r="L72" i="1" s="1"/>
  <c r="E72" i="5" s="1"/>
  <c r="X72" i="1" a="1"/>
  <c r="X72" i="1" s="1"/>
  <c r="D72" i="1" a="1"/>
  <c r="D72" i="1" s="1"/>
  <c r="E72" i="2" s="1"/>
  <c r="AI72" i="1" a="1"/>
  <c r="AI72" i="1" s="1"/>
  <c r="Q72" i="1" a="1"/>
  <c r="Q72" i="1" s="1"/>
  <c r="N72" i="1" a="1"/>
  <c r="N72" i="1" s="1"/>
  <c r="G72" i="5" s="1"/>
  <c r="O72" i="1" a="1"/>
  <c r="O72" i="1" s="1"/>
  <c r="A72" i="2"/>
  <c r="T72" i="1" a="1"/>
  <c r="T72" i="1" s="1"/>
  <c r="E72" i="7" s="1"/>
  <c r="R72" i="1" a="1"/>
  <c r="R72" i="1" s="1"/>
  <c r="C72" i="1" a="1"/>
  <c r="C72" i="1" s="1"/>
  <c r="D72" i="2" s="1"/>
  <c r="A72" i="7"/>
  <c r="AJ80" i="1" a="1"/>
  <c r="AJ80" i="1" s="1"/>
  <c r="A80" i="6"/>
  <c r="Y80" i="1" a="1"/>
  <c r="Y80" i="1" s="1"/>
  <c r="R80" i="1" a="1"/>
  <c r="R80" i="1" s="1"/>
  <c r="B80" i="1" a="1"/>
  <c r="B80" i="1" s="1"/>
  <c r="U80" i="1" a="1"/>
  <c r="U80" i="1" s="1"/>
  <c r="AM80" i="1" a="1"/>
  <c r="AM80" i="1" s="1"/>
  <c r="Z80" i="1" a="1"/>
  <c r="Z80" i="1" s="1"/>
  <c r="W80" i="1" a="1"/>
  <c r="W80" i="1" s="1"/>
  <c r="I80" i="1" a="1"/>
  <c r="I80" i="1" s="1"/>
  <c r="K80" i="2" s="1"/>
  <c r="C80" i="1" a="1"/>
  <c r="C80" i="1" s="1"/>
  <c r="A80" i="7"/>
  <c r="AE80" i="1" a="1"/>
  <c r="AE80" i="1" s="1"/>
  <c r="Q80" i="1" a="1"/>
  <c r="Q80" i="1" s="1"/>
  <c r="D80" i="1" a="1"/>
  <c r="D80" i="1" s="1"/>
  <c r="T80" i="1" a="1"/>
  <c r="T80" i="1" s="1"/>
  <c r="L80" i="1" a="1"/>
  <c r="L80" i="1" s="1"/>
  <c r="AB80" i="1" a="1"/>
  <c r="AB80" i="1" s="1"/>
  <c r="AK80" i="1" a="1"/>
  <c r="AK80" i="1" s="1"/>
  <c r="A80" i="3"/>
  <c r="K80" i="1" a="1"/>
  <c r="K80" i="1" s="1"/>
  <c r="AO80" i="1" a="1"/>
  <c r="AO80" i="1" s="1"/>
  <c r="H80" i="1" a="1"/>
  <c r="H80" i="1" s="1"/>
  <c r="M80" i="1" a="1"/>
  <c r="M80" i="1" s="1"/>
  <c r="AA80" i="1" a="1"/>
  <c r="AA80" i="1" s="1"/>
  <c r="A80" i="2"/>
  <c r="A80" i="5"/>
  <c r="O80" i="1" a="1"/>
  <c r="O80" i="1" s="1"/>
  <c r="V80" i="1" a="1"/>
  <c r="V80" i="1" s="1"/>
  <c r="AL80" i="1" a="1"/>
  <c r="AL80" i="1" s="1"/>
  <c r="J80" i="1" a="1"/>
  <c r="J80" i="1" s="1"/>
  <c r="C80" i="5" s="1"/>
  <c r="L80" i="5" s="1"/>
  <c r="X80" i="1" a="1"/>
  <c r="X80" i="1" s="1"/>
  <c r="N80" i="1" a="1"/>
  <c r="N80" i="1" s="1"/>
  <c r="S80" i="1" a="1"/>
  <c r="S80" i="1" s="1"/>
  <c r="D80" i="7" s="1"/>
  <c r="M80" i="7" s="1"/>
  <c r="AG80" i="1" a="1"/>
  <c r="AG80" i="1" s="1"/>
  <c r="AN80" i="1" a="1"/>
  <c r="AN80" i="1" s="1"/>
  <c r="AC80" i="1" a="1"/>
  <c r="AC80" i="1" s="1"/>
  <c r="A80" i="4"/>
  <c r="E80" i="1" a="1"/>
  <c r="E80" i="1" s="1"/>
  <c r="G80" i="1" a="1"/>
  <c r="G80" i="1" s="1"/>
  <c r="AH80" i="1" a="1"/>
  <c r="AH80" i="1" s="1"/>
  <c r="AF80" i="1" a="1"/>
  <c r="AF80" i="1" s="1"/>
  <c r="AD80" i="1" a="1"/>
  <c r="AD80" i="1" s="1"/>
  <c r="AI80" i="1" a="1"/>
  <c r="AI80" i="1" s="1"/>
  <c r="P80" i="1" a="1"/>
  <c r="P80" i="1" s="1"/>
  <c r="F80" i="1" a="1"/>
  <c r="F80" i="1" s="1"/>
  <c r="AJ88" i="1" a="1"/>
  <c r="AJ88" i="1" s="1"/>
  <c r="AI88" i="1" a="1"/>
  <c r="AI88" i="1" s="1"/>
  <c r="D88" i="1" a="1"/>
  <c r="D88" i="1" s="1"/>
  <c r="J88" i="1" a="1"/>
  <c r="J88" i="1" s="1"/>
  <c r="A88" i="5"/>
  <c r="Y88" i="1" a="1"/>
  <c r="Y88" i="1" s="1"/>
  <c r="W88" i="1" a="1"/>
  <c r="W88" i="1" s="1"/>
  <c r="I88" i="7" s="1"/>
  <c r="X88" i="1" a="1"/>
  <c r="X88" i="1" s="1"/>
  <c r="V88" i="1" a="1"/>
  <c r="V88" i="1" s="1"/>
  <c r="U88" i="1" a="1"/>
  <c r="U88" i="1" s="1"/>
  <c r="L88" i="1" a="1"/>
  <c r="L88" i="1" s="1"/>
  <c r="H88" i="1" a="1"/>
  <c r="H88" i="1" s="1"/>
  <c r="S88" i="1" a="1"/>
  <c r="S88" i="1" s="1"/>
  <c r="AC88" i="1" a="1"/>
  <c r="AC88" i="1" s="1"/>
  <c r="B88" i="1" a="1"/>
  <c r="B88" i="1" s="1"/>
  <c r="AE88" i="1" a="1"/>
  <c r="AE88" i="1" s="1"/>
  <c r="G88" i="1" a="1"/>
  <c r="G88" i="1" s="1"/>
  <c r="I88" i="2" s="1"/>
  <c r="M88" i="4" s="1"/>
  <c r="AG88" i="1" a="1"/>
  <c r="AG88" i="1" s="1"/>
  <c r="C88" i="1" a="1"/>
  <c r="C88" i="1" s="1"/>
  <c r="A88" i="6"/>
  <c r="K88" i="1" a="1"/>
  <c r="K88" i="1" s="1"/>
  <c r="T88" i="1" a="1"/>
  <c r="T88" i="1" s="1"/>
  <c r="AF88" i="1" a="1"/>
  <c r="AF88" i="1" s="1"/>
  <c r="I88" i="1" a="1"/>
  <c r="I88" i="1" s="1"/>
  <c r="AB88" i="1" a="1"/>
  <c r="AB88" i="1" s="1"/>
  <c r="AH88" i="1" a="1"/>
  <c r="AH88" i="1" s="1"/>
  <c r="AD88" i="1" a="1"/>
  <c r="AD88" i="1" s="1"/>
  <c r="AN88" i="1" a="1"/>
  <c r="AN88" i="1" s="1"/>
  <c r="A88" i="2"/>
  <c r="Z88" i="1" a="1"/>
  <c r="Z88" i="1" s="1"/>
  <c r="N88" i="1" a="1"/>
  <c r="N88" i="1" s="1"/>
  <c r="E88" i="1" a="1"/>
  <c r="E88" i="1" s="1"/>
  <c r="AO88" i="1" a="1"/>
  <c r="AO88" i="1" s="1"/>
  <c r="A88" i="4"/>
  <c r="O88" i="1" a="1"/>
  <c r="O88" i="1" s="1"/>
  <c r="I88" i="5" s="1"/>
  <c r="A88" i="3"/>
  <c r="AA88" i="1" a="1"/>
  <c r="AA88" i="1" s="1"/>
  <c r="Q88" i="1" a="1"/>
  <c r="Q88" i="1" s="1"/>
  <c r="R88" i="1" a="1"/>
  <c r="R88" i="1" s="1"/>
  <c r="C88" i="7" s="1"/>
  <c r="L88" i="7" s="1"/>
  <c r="AK88" i="1" a="1"/>
  <c r="AK88" i="1" s="1"/>
  <c r="AM88" i="1" a="1"/>
  <c r="AM88" i="1" s="1"/>
  <c r="P88" i="1" a="1"/>
  <c r="P88" i="1" s="1"/>
  <c r="AL88" i="1" a="1"/>
  <c r="AL88" i="1" s="1"/>
  <c r="A88" i="7"/>
  <c r="M88" i="1" a="1"/>
  <c r="M88" i="1" s="1"/>
  <c r="F88" i="1" a="1"/>
  <c r="F88" i="1" s="1"/>
  <c r="A96" i="6"/>
  <c r="A96" i="5"/>
  <c r="A96" i="3"/>
  <c r="A96" i="2"/>
  <c r="A96" i="4"/>
  <c r="A96" i="7"/>
  <c r="A9" i="2"/>
  <c r="V9" i="1" a="1"/>
  <c r="V9" i="1" s="1"/>
  <c r="L9" i="1" a="1"/>
  <c r="L9" i="1" s="1"/>
  <c r="X9" i="1" a="1"/>
  <c r="X9" i="1" s="1"/>
  <c r="J9" i="7" s="1"/>
  <c r="S9" i="1" a="1"/>
  <c r="S9" i="1" s="1"/>
  <c r="AJ9" i="1" a="1"/>
  <c r="AJ9" i="1" s="1"/>
  <c r="AO9" i="1" a="1"/>
  <c r="AO9" i="1" s="1"/>
  <c r="A9" i="6"/>
  <c r="T9" i="1" a="1"/>
  <c r="T9" i="1" s="1"/>
  <c r="AC9" i="1" a="1"/>
  <c r="AC9" i="1" s="1"/>
  <c r="Q9" i="1" a="1"/>
  <c r="Q9" i="1" s="1"/>
  <c r="AL9" i="1" a="1"/>
  <c r="AL9" i="1" s="1"/>
  <c r="A9" i="5"/>
  <c r="D9" i="1" a="1"/>
  <c r="D9" i="1" s="1"/>
  <c r="M9" i="1" a="1"/>
  <c r="M9" i="1" s="1"/>
  <c r="AI9" i="1" a="1"/>
  <c r="AI9" i="1" s="1"/>
  <c r="K9" i="1" a="1"/>
  <c r="K9" i="1" s="1"/>
  <c r="A9" i="4"/>
  <c r="U9" i="1" a="1"/>
  <c r="U9" i="1" s="1"/>
  <c r="P9" i="1" a="1"/>
  <c r="P9" i="1" s="1"/>
  <c r="N9" i="1" a="1"/>
  <c r="N9" i="1" s="1"/>
  <c r="Z9" i="1" a="1"/>
  <c r="Z9" i="1" s="1"/>
  <c r="AM9" i="1" a="1"/>
  <c r="AM9" i="1" s="1"/>
  <c r="C9" i="1" a="1"/>
  <c r="C9" i="1" s="1"/>
  <c r="W9" i="1" a="1"/>
  <c r="W9" i="1" s="1"/>
  <c r="I9" i="7" s="1"/>
  <c r="AD9" i="1" a="1"/>
  <c r="AD9" i="1" s="1"/>
  <c r="AB9" i="1" a="1"/>
  <c r="AB9" i="1" s="1"/>
  <c r="E9" i="6" s="1"/>
  <c r="F9" i="1" a="1"/>
  <c r="F9" i="1" s="1"/>
  <c r="A9" i="3"/>
  <c r="B9" i="1" a="1"/>
  <c r="B9" i="1" s="1"/>
  <c r="C9" i="2" s="1"/>
  <c r="O9" i="1" a="1"/>
  <c r="O9" i="1" s="1"/>
  <c r="AH9" i="1" a="1"/>
  <c r="AH9" i="1" s="1"/>
  <c r="E9" i="1" a="1"/>
  <c r="E9" i="1" s="1"/>
  <c r="Y9" i="1" a="1"/>
  <c r="Y9" i="1" s="1"/>
  <c r="K9" i="7" s="1"/>
  <c r="AK9" i="1" a="1"/>
  <c r="AK9" i="1" s="1"/>
  <c r="AN9" i="1" a="1"/>
  <c r="AN9" i="1" s="1"/>
  <c r="A9" i="7"/>
  <c r="R9" i="1" a="1"/>
  <c r="R9" i="1" s="1"/>
  <c r="C9" i="7" s="1"/>
  <c r="L9" i="7" s="1"/>
  <c r="J9" i="1" a="1"/>
  <c r="J9" i="1" s="1"/>
  <c r="AA9" i="1" a="1"/>
  <c r="AA9" i="1" s="1"/>
  <c r="D9" i="6" s="1"/>
  <c r="M9" i="6" s="1"/>
  <c r="K17" i="1" a="1"/>
  <c r="K17" i="1" s="1"/>
  <c r="AL17" i="1" a="1"/>
  <c r="AL17" i="1" s="1"/>
  <c r="V17" i="1" a="1"/>
  <c r="V17" i="1" s="1"/>
  <c r="J17" i="1" a="1"/>
  <c r="J17" i="1" s="1"/>
  <c r="AJ17" i="1" a="1"/>
  <c r="AJ17" i="1" s="1"/>
  <c r="AF17" i="1" a="1"/>
  <c r="AF17" i="1" s="1"/>
  <c r="R17" i="1" a="1"/>
  <c r="R17" i="1" s="1"/>
  <c r="E17" i="1" a="1"/>
  <c r="E17" i="1" s="1"/>
  <c r="M17" i="1" a="1"/>
  <c r="M17" i="1" s="1"/>
  <c r="AA17" i="1" a="1"/>
  <c r="AA17" i="1" s="1"/>
  <c r="N17" i="1" a="1"/>
  <c r="N17" i="1" s="1"/>
  <c r="I17" i="1" a="1"/>
  <c r="I17" i="1" s="1"/>
  <c r="AH17" i="1" a="1"/>
  <c r="AH17" i="1" s="1"/>
  <c r="A17" i="4"/>
  <c r="Y17" i="1" a="1"/>
  <c r="Y17" i="1" s="1"/>
  <c r="O17" i="1" a="1"/>
  <c r="O17" i="1" s="1"/>
  <c r="A17" i="7"/>
  <c r="H17" i="1" a="1"/>
  <c r="H17" i="1" s="1"/>
  <c r="A17" i="2"/>
  <c r="G17" i="1" a="1"/>
  <c r="G17" i="1" s="1"/>
  <c r="Z17" i="1" a="1"/>
  <c r="Z17" i="1" s="1"/>
  <c r="AB17" i="1" a="1"/>
  <c r="AB17" i="1" s="1"/>
  <c r="AD17" i="1" a="1"/>
  <c r="AD17" i="1" s="1"/>
  <c r="C17" i="1" a="1"/>
  <c r="C17" i="1" s="1"/>
  <c r="W17" i="1" a="1"/>
  <c r="W17" i="1" s="1"/>
  <c r="Q17" i="1" a="1"/>
  <c r="Q17" i="1" s="1"/>
  <c r="U17" i="1" a="1"/>
  <c r="U17" i="1" s="1"/>
  <c r="F17" i="7" s="1"/>
  <c r="S17" i="1" a="1"/>
  <c r="S17" i="1" s="1"/>
  <c r="AI17" i="1" a="1"/>
  <c r="AI17" i="1" s="1"/>
  <c r="A17" i="6"/>
  <c r="A17" i="5"/>
  <c r="A17" i="3"/>
  <c r="AE17" i="1" a="1"/>
  <c r="AE17" i="1" s="1"/>
  <c r="T17" i="1" a="1"/>
  <c r="T17" i="1" s="1"/>
  <c r="AG17" i="1" a="1"/>
  <c r="AG17" i="1" s="1"/>
  <c r="F17" i="1" a="1"/>
  <c r="F17" i="1" s="1"/>
  <c r="AN17" i="1" a="1"/>
  <c r="AN17" i="1" s="1"/>
  <c r="X17" i="1" a="1"/>
  <c r="X17" i="1" s="1"/>
  <c r="J17" i="7" s="1"/>
  <c r="D17" i="1" a="1"/>
  <c r="D17" i="1" s="1"/>
  <c r="L17" i="1" a="1"/>
  <c r="L17" i="1" s="1"/>
  <c r="AC17" i="1" a="1"/>
  <c r="AC17" i="1" s="1"/>
  <c r="AM17" i="1" a="1"/>
  <c r="AM17" i="1" s="1"/>
  <c r="P17" i="1" a="1"/>
  <c r="P17" i="1" s="1"/>
  <c r="J17" i="5" s="1"/>
  <c r="B17" i="1" a="1"/>
  <c r="B17" i="1" s="1"/>
  <c r="AK17" i="1" a="1"/>
  <c r="AK17" i="1" s="1"/>
  <c r="AO17" i="1" a="1"/>
  <c r="AO17" i="1" s="1"/>
  <c r="F25" i="1" a="1"/>
  <c r="F25" i="1" s="1"/>
  <c r="AK25" i="1" a="1"/>
  <c r="AK25" i="1" s="1"/>
  <c r="O25" i="1" a="1"/>
  <c r="O25" i="1" s="1"/>
  <c r="AG25" i="1" a="1"/>
  <c r="AG25" i="1" s="1"/>
  <c r="AH25" i="1" a="1"/>
  <c r="AH25" i="1" s="1"/>
  <c r="X25" i="1" a="1"/>
  <c r="X25" i="1" s="1"/>
  <c r="AB25" i="1" a="1"/>
  <c r="AB25" i="1" s="1"/>
  <c r="V25" i="1" a="1"/>
  <c r="V25" i="1" s="1"/>
  <c r="AM25" i="1" a="1"/>
  <c r="AM25" i="1" s="1"/>
  <c r="AF25" i="1" a="1"/>
  <c r="AF25" i="1" s="1"/>
  <c r="AI25" i="1" a="1"/>
  <c r="AI25" i="1" s="1"/>
  <c r="A25" i="7"/>
  <c r="A25" i="6"/>
  <c r="A25" i="4"/>
  <c r="C25" i="1" a="1"/>
  <c r="C25" i="1" s="1"/>
  <c r="D25" i="1" a="1"/>
  <c r="D25" i="1" s="1"/>
  <c r="G25" i="1" a="1"/>
  <c r="G25" i="1" s="1"/>
  <c r="Q25" i="1" a="1"/>
  <c r="Q25" i="1" s="1"/>
  <c r="L25" i="1" a="1"/>
  <c r="L25" i="1" s="1"/>
  <c r="A25" i="5"/>
  <c r="U25" i="1" a="1"/>
  <c r="U25" i="1" s="1"/>
  <c r="E25" i="1" a="1"/>
  <c r="E25" i="1" s="1"/>
  <c r="Z25" i="1" a="1"/>
  <c r="Z25" i="1" s="1"/>
  <c r="I25" i="1" a="1"/>
  <c r="I25" i="1" s="1"/>
  <c r="N25" i="1" a="1"/>
  <c r="N25" i="1" s="1"/>
  <c r="AJ25" i="1" a="1"/>
  <c r="AJ25" i="1" s="1"/>
  <c r="T25" i="1" a="1"/>
  <c r="T25" i="1" s="1"/>
  <c r="P25" i="1" a="1"/>
  <c r="P25" i="1" s="1"/>
  <c r="AC25" i="1" a="1"/>
  <c r="AC25" i="1" s="1"/>
  <c r="R25" i="1" a="1"/>
  <c r="R25" i="1" s="1"/>
  <c r="J25" i="1" a="1"/>
  <c r="J25" i="1" s="1"/>
  <c r="C25" i="5" s="1"/>
  <c r="L25" i="5" s="1"/>
  <c r="AN25" i="1" a="1"/>
  <c r="AN25" i="1" s="1"/>
  <c r="M25" i="1" a="1"/>
  <c r="M25" i="1" s="1"/>
  <c r="A25" i="3"/>
  <c r="Y25" i="1" a="1"/>
  <c r="Y25" i="1" s="1"/>
  <c r="B25" i="1" a="1"/>
  <c r="B25" i="1" s="1"/>
  <c r="H25" i="1" a="1"/>
  <c r="H25" i="1" s="1"/>
  <c r="J25" i="2" s="1"/>
  <c r="S25" i="1" a="1"/>
  <c r="S25" i="1" s="1"/>
  <c r="AE25" i="1" a="1"/>
  <c r="AE25" i="1" s="1"/>
  <c r="W25" i="1" a="1"/>
  <c r="W25" i="1" s="1"/>
  <c r="AO25" i="1" a="1"/>
  <c r="AO25" i="1" s="1"/>
  <c r="AL25" i="1" a="1"/>
  <c r="AL25" i="1" s="1"/>
  <c r="A25" i="2"/>
  <c r="K25" i="1" a="1"/>
  <c r="K25" i="1" s="1"/>
  <c r="AA25" i="1" a="1"/>
  <c r="AA25" i="1" s="1"/>
  <c r="AD25" i="1" a="1"/>
  <c r="AD25" i="1" s="1"/>
  <c r="S33" i="1" a="1"/>
  <c r="S33" i="1" s="1"/>
  <c r="AJ33" i="1" a="1"/>
  <c r="AJ33" i="1" s="1"/>
  <c r="A33" i="5"/>
  <c r="Q33" i="1" a="1"/>
  <c r="Q33" i="1" s="1"/>
  <c r="AK33" i="1" a="1"/>
  <c r="AK33" i="1" s="1"/>
  <c r="O33" i="1" a="1"/>
  <c r="O33" i="1" s="1"/>
  <c r="A33" i="3"/>
  <c r="R33" i="1" a="1"/>
  <c r="R33" i="1" s="1"/>
  <c r="A33" i="6"/>
  <c r="AF33" i="1" a="1"/>
  <c r="AF33" i="1" s="1"/>
  <c r="C33" i="1" a="1"/>
  <c r="C33" i="1" s="1"/>
  <c r="P33" i="1" a="1"/>
  <c r="P33" i="1" s="1"/>
  <c r="B33" i="1" a="1"/>
  <c r="B33" i="1" s="1"/>
  <c r="AD33" i="1" a="1"/>
  <c r="AD33" i="1" s="1"/>
  <c r="L33" i="1" a="1"/>
  <c r="L33" i="1" s="1"/>
  <c r="F33" i="1" a="1"/>
  <c r="F33" i="1" s="1"/>
  <c r="I33" i="1" a="1"/>
  <c r="I33" i="1" s="1"/>
  <c r="X33" i="1" a="1"/>
  <c r="X33" i="1" s="1"/>
  <c r="J33" i="7" s="1"/>
  <c r="A33" i="2"/>
  <c r="AC33" i="1" a="1"/>
  <c r="AC33" i="1" s="1"/>
  <c r="AM33" i="1" a="1"/>
  <c r="AM33" i="1" s="1"/>
  <c r="AO33" i="1" a="1"/>
  <c r="AO33" i="1" s="1"/>
  <c r="AA33" i="1" a="1"/>
  <c r="AA33" i="1" s="1"/>
  <c r="E33" i="1" a="1"/>
  <c r="E33" i="1" s="1"/>
  <c r="AB33" i="1" a="1"/>
  <c r="AB33" i="1" s="1"/>
  <c r="K33" i="1" a="1"/>
  <c r="K33" i="1" s="1"/>
  <c r="AI33" i="1" a="1"/>
  <c r="AI33" i="1" s="1"/>
  <c r="AG33" i="1" a="1"/>
  <c r="AG33" i="1" s="1"/>
  <c r="U33" i="1" a="1"/>
  <c r="U33" i="1" s="1"/>
  <c r="N33" i="1" a="1"/>
  <c r="N33" i="1" s="1"/>
  <c r="G33" i="5" s="1"/>
  <c r="Y33" i="1" a="1"/>
  <c r="Y33" i="1" s="1"/>
  <c r="AL33" i="1" a="1"/>
  <c r="AL33" i="1" s="1"/>
  <c r="D33" i="1" a="1"/>
  <c r="D33" i="1" s="1"/>
  <c r="E33" i="2" s="1"/>
  <c r="J33" i="1" a="1"/>
  <c r="J33" i="1" s="1"/>
  <c r="G33" i="1" a="1"/>
  <c r="G33" i="1" s="1"/>
  <c r="A33" i="7"/>
  <c r="AE33" i="1" a="1"/>
  <c r="AE33" i="1" s="1"/>
  <c r="M33" i="1" a="1"/>
  <c r="M33" i="1" s="1"/>
  <c r="H33" i="1" a="1"/>
  <c r="H33" i="1" s="1"/>
  <c r="J33" i="2" s="1"/>
  <c r="AN33" i="1" a="1"/>
  <c r="AN33" i="1" s="1"/>
  <c r="AH33" i="1" a="1"/>
  <c r="AH33" i="1" s="1"/>
  <c r="W33" i="1" a="1"/>
  <c r="W33" i="1" s="1"/>
  <c r="I33" i="7" s="1"/>
  <c r="Z33" i="1" a="1"/>
  <c r="Z33" i="1" s="1"/>
  <c r="A33" i="4"/>
  <c r="T33" i="1" a="1"/>
  <c r="T33" i="1" s="1"/>
  <c r="V33" i="1" a="1"/>
  <c r="V33" i="1" s="1"/>
  <c r="G33" i="7" s="1"/>
  <c r="U41" i="1" a="1"/>
  <c r="U41" i="1" s="1"/>
  <c r="D41" i="1" a="1"/>
  <c r="D41" i="1" s="1"/>
  <c r="W41" i="1" a="1"/>
  <c r="W41" i="1" s="1"/>
  <c r="J41" i="1" a="1"/>
  <c r="J41" i="1" s="1"/>
  <c r="AK41" i="1" a="1"/>
  <c r="AK41" i="1" s="1"/>
  <c r="AD41" i="1" a="1"/>
  <c r="AD41" i="1" s="1"/>
  <c r="N41" i="1" a="1"/>
  <c r="N41" i="1" s="1"/>
  <c r="E41" i="1" a="1"/>
  <c r="E41" i="1" s="1"/>
  <c r="X41" i="1" a="1"/>
  <c r="X41" i="1" s="1"/>
  <c r="C41" i="1" a="1"/>
  <c r="C41" i="1" s="1"/>
  <c r="S41" i="1" a="1"/>
  <c r="S41" i="1" s="1"/>
  <c r="T41" i="1" a="1"/>
  <c r="T41" i="1" s="1"/>
  <c r="E41" i="7" s="1"/>
  <c r="O41" i="1" a="1"/>
  <c r="O41" i="1" s="1"/>
  <c r="G41" i="1" a="1"/>
  <c r="G41" i="1" s="1"/>
  <c r="Q41" i="1" a="1"/>
  <c r="Q41" i="1" s="1"/>
  <c r="AO41" i="1" a="1"/>
  <c r="AO41" i="1" s="1"/>
  <c r="AE41" i="1" a="1"/>
  <c r="AE41" i="1" s="1"/>
  <c r="A41" i="2"/>
  <c r="A41" i="3"/>
  <c r="R41" i="1" a="1"/>
  <c r="R41" i="1" s="1"/>
  <c r="I41" i="1" a="1"/>
  <c r="I41" i="1" s="1"/>
  <c r="P41" i="1" a="1"/>
  <c r="P41" i="1" s="1"/>
  <c r="AB41" i="1" a="1"/>
  <c r="AB41" i="1" s="1"/>
  <c r="A41" i="7"/>
  <c r="B41" i="1" a="1"/>
  <c r="B41" i="1" s="1"/>
  <c r="Y41" i="1" a="1"/>
  <c r="Y41" i="1" s="1"/>
  <c r="K41" i="1" a="1"/>
  <c r="K41" i="1" s="1"/>
  <c r="M41" i="1" a="1"/>
  <c r="M41" i="1" s="1"/>
  <c r="F41" i="5" s="1"/>
  <c r="AI41" i="1" a="1"/>
  <c r="AI41" i="1" s="1"/>
  <c r="AA41" i="1" a="1"/>
  <c r="AA41" i="1" s="1"/>
  <c r="A41" i="4"/>
  <c r="AN41" i="1" a="1"/>
  <c r="AN41" i="1" s="1"/>
  <c r="F41" i="1" a="1"/>
  <c r="F41" i="1" s="1"/>
  <c r="G41" i="2" s="1"/>
  <c r="AG41" i="1" a="1"/>
  <c r="AG41" i="1" s="1"/>
  <c r="Z41" i="1" a="1"/>
  <c r="Z41" i="1" s="1"/>
  <c r="A41" i="6"/>
  <c r="AL41" i="1" a="1"/>
  <c r="AL41" i="1" s="1"/>
  <c r="H41" i="1" a="1"/>
  <c r="H41" i="1" s="1"/>
  <c r="AC41" i="1" a="1"/>
  <c r="AC41" i="1" s="1"/>
  <c r="AJ41" i="1" a="1"/>
  <c r="AJ41" i="1" s="1"/>
  <c r="AF41" i="1" a="1"/>
  <c r="AF41" i="1" s="1"/>
  <c r="J41" i="6" s="1"/>
  <c r="L41" i="1" a="1"/>
  <c r="L41" i="1" s="1"/>
  <c r="AH41" i="1" a="1"/>
  <c r="AH41" i="1" s="1"/>
  <c r="A41" i="5"/>
  <c r="AM41" i="1" a="1"/>
  <c r="AM41" i="1" s="1"/>
  <c r="V41" i="1" a="1"/>
  <c r="V41" i="1" s="1"/>
  <c r="G41" i="7" s="1"/>
  <c r="A49" i="4"/>
  <c r="AK49" i="1" a="1"/>
  <c r="AK49" i="1" s="1"/>
  <c r="J49" i="1" a="1"/>
  <c r="J49" i="1" s="1"/>
  <c r="X49" i="1" a="1"/>
  <c r="X49" i="1" s="1"/>
  <c r="Y49" i="1" a="1"/>
  <c r="Y49" i="1" s="1"/>
  <c r="O49" i="1" a="1"/>
  <c r="O49" i="1" s="1"/>
  <c r="AN49" i="1" a="1"/>
  <c r="AN49" i="1" s="1"/>
  <c r="AL49" i="1" a="1"/>
  <c r="AL49" i="1" s="1"/>
  <c r="F49" i="1" a="1"/>
  <c r="F49" i="1" s="1"/>
  <c r="U49" i="1" a="1"/>
  <c r="U49" i="1" s="1"/>
  <c r="A49" i="5"/>
  <c r="L49" i="1" a="1"/>
  <c r="L49" i="1" s="1"/>
  <c r="T49" i="1" a="1"/>
  <c r="T49" i="1" s="1"/>
  <c r="AJ49" i="1" a="1"/>
  <c r="AJ49" i="1" s="1"/>
  <c r="AA49" i="1" a="1"/>
  <c r="AA49" i="1" s="1"/>
  <c r="AE49" i="1" a="1"/>
  <c r="AE49" i="1" s="1"/>
  <c r="AB49" i="1" a="1"/>
  <c r="AB49" i="1" s="1"/>
  <c r="A49" i="7"/>
  <c r="AI49" i="1" a="1"/>
  <c r="AI49" i="1" s="1"/>
  <c r="G49" i="1" a="1"/>
  <c r="G49" i="1" s="1"/>
  <c r="N49" i="1" a="1"/>
  <c r="N49" i="1" s="1"/>
  <c r="AO49" i="1" a="1"/>
  <c r="AO49" i="1" s="1"/>
  <c r="AC49" i="1" a="1"/>
  <c r="AC49" i="1" s="1"/>
  <c r="B49" i="1" a="1"/>
  <c r="B49" i="1" s="1"/>
  <c r="V49" i="1" a="1"/>
  <c r="V49" i="1" s="1"/>
  <c r="S49" i="1" a="1"/>
  <c r="S49" i="1" s="1"/>
  <c r="M49" i="1" a="1"/>
  <c r="M49" i="1" s="1"/>
  <c r="F49" i="5" s="1"/>
  <c r="D49" i="1" a="1"/>
  <c r="D49" i="1" s="1"/>
  <c r="A49" i="3"/>
  <c r="H49" i="1" a="1"/>
  <c r="H49" i="1" s="1"/>
  <c r="AM49" i="1" a="1"/>
  <c r="AM49" i="1" s="1"/>
  <c r="AF49" i="1" a="1"/>
  <c r="AF49" i="1" s="1"/>
  <c r="C49" i="1" a="1"/>
  <c r="C49" i="1" s="1"/>
  <c r="K49" i="1" a="1"/>
  <c r="K49" i="1" s="1"/>
  <c r="P49" i="1" a="1"/>
  <c r="P49" i="1" s="1"/>
  <c r="J49" i="5" s="1"/>
  <c r="AH49" i="1" a="1"/>
  <c r="AH49" i="1" s="1"/>
  <c r="R49" i="1" a="1"/>
  <c r="R49" i="1" s="1"/>
  <c r="A49" i="6"/>
  <c r="Q49" i="1" a="1"/>
  <c r="Q49" i="1" s="1"/>
  <c r="W49" i="1" a="1"/>
  <c r="W49" i="1" s="1"/>
  <c r="I49" i="7" s="1"/>
  <c r="I49" i="1" a="1"/>
  <c r="I49" i="1" s="1"/>
  <c r="AG49" i="1" a="1"/>
  <c r="AG49" i="1" s="1"/>
  <c r="E49" i="1" a="1"/>
  <c r="E49" i="1" s="1"/>
  <c r="F49" i="2" s="1"/>
  <c r="AD49" i="1" a="1"/>
  <c r="AD49" i="1" s="1"/>
  <c r="A49" i="2"/>
  <c r="Z49" i="1" a="1"/>
  <c r="Z49" i="1" s="1"/>
  <c r="B57" i="1" a="1"/>
  <c r="B57" i="1" s="1"/>
  <c r="AA57" i="1" a="1"/>
  <c r="AA57" i="1" s="1"/>
  <c r="AD57" i="1" a="1"/>
  <c r="AD57" i="1" s="1"/>
  <c r="K57" i="1" a="1"/>
  <c r="K57" i="1" s="1"/>
  <c r="Y57" i="1" a="1"/>
  <c r="Y57" i="1" s="1"/>
  <c r="N57" i="1" a="1"/>
  <c r="N57" i="1" s="1"/>
  <c r="AE57" i="1" a="1"/>
  <c r="AE57" i="1" s="1"/>
  <c r="X57" i="1" a="1"/>
  <c r="X57" i="1" s="1"/>
  <c r="AC57" i="1" a="1"/>
  <c r="AC57" i="1" s="1"/>
  <c r="A57" i="2"/>
  <c r="A57" i="5"/>
  <c r="M57" i="1" a="1"/>
  <c r="M57" i="1" s="1"/>
  <c r="E57" i="1" a="1"/>
  <c r="E57" i="1" s="1"/>
  <c r="F57" i="2" s="1"/>
  <c r="C57" i="1" a="1"/>
  <c r="C57" i="1" s="1"/>
  <c r="A57" i="6"/>
  <c r="A57" i="3"/>
  <c r="G57" i="1" a="1"/>
  <c r="G57" i="1" s="1"/>
  <c r="AM57" i="1" a="1"/>
  <c r="AM57" i="1" s="1"/>
  <c r="Q57" i="1" a="1"/>
  <c r="Q57" i="1" s="1"/>
  <c r="V57" i="1" a="1"/>
  <c r="V57" i="1" s="1"/>
  <c r="O57" i="1" a="1"/>
  <c r="O57" i="1" s="1"/>
  <c r="I57" i="5" s="1"/>
  <c r="I57" i="1" a="1"/>
  <c r="I57" i="1" s="1"/>
  <c r="L57" i="1" a="1"/>
  <c r="L57" i="1" s="1"/>
  <c r="AB57" i="1" a="1"/>
  <c r="AB57" i="1" s="1"/>
  <c r="W57" i="1" a="1"/>
  <c r="W57" i="1" s="1"/>
  <c r="A57" i="4"/>
  <c r="Z57" i="1" a="1"/>
  <c r="Z57" i="1" s="1"/>
  <c r="S57" i="1" a="1"/>
  <c r="S57" i="1" s="1"/>
  <c r="J57" i="1" a="1"/>
  <c r="J57" i="1" s="1"/>
  <c r="C57" i="5" s="1"/>
  <c r="L57" i="5" s="1"/>
  <c r="AL57" i="1" a="1"/>
  <c r="AL57" i="1" s="1"/>
  <c r="AJ57" i="1" a="1"/>
  <c r="AJ57" i="1" s="1"/>
  <c r="D57" i="1" a="1"/>
  <c r="D57" i="1" s="1"/>
  <c r="E57" i="2" s="1"/>
  <c r="AH57" i="1" a="1"/>
  <c r="AH57" i="1" s="1"/>
  <c r="AN57" i="1" a="1"/>
  <c r="AN57" i="1" s="1"/>
  <c r="T57" i="1" a="1"/>
  <c r="T57" i="1" s="1"/>
  <c r="A57" i="7"/>
  <c r="AO57" i="1" a="1"/>
  <c r="AO57" i="1" s="1"/>
  <c r="AI57" i="1" a="1"/>
  <c r="AI57" i="1" s="1"/>
  <c r="U57" i="1" a="1"/>
  <c r="U57" i="1" s="1"/>
  <c r="F57" i="1" a="1"/>
  <c r="F57" i="1" s="1"/>
  <c r="G57" i="2" s="1"/>
  <c r="AG57" i="1" a="1"/>
  <c r="AG57" i="1" s="1"/>
  <c r="AF57" i="1" a="1"/>
  <c r="AF57" i="1" s="1"/>
  <c r="R57" i="1" a="1"/>
  <c r="R57" i="1" s="1"/>
  <c r="C57" i="7" s="1"/>
  <c r="L57" i="7" s="1"/>
  <c r="P57" i="1" a="1"/>
  <c r="P57" i="1" s="1"/>
  <c r="AK57" i="1" a="1"/>
  <c r="AK57" i="1" s="1"/>
  <c r="H57" i="1" a="1"/>
  <c r="H57" i="1" s="1"/>
  <c r="Q65" i="1" a="1"/>
  <c r="Q65" i="1" s="1"/>
  <c r="AF65" i="1" a="1"/>
  <c r="AF65" i="1" s="1"/>
  <c r="H65" i="1" a="1"/>
  <c r="H65" i="1" s="1"/>
  <c r="V65" i="1" a="1"/>
  <c r="V65" i="1" s="1"/>
  <c r="X65" i="1" a="1"/>
  <c r="X65" i="1" s="1"/>
  <c r="P65" i="1" a="1"/>
  <c r="P65" i="1" s="1"/>
  <c r="AC65" i="1" a="1"/>
  <c r="AC65" i="1" s="1"/>
  <c r="AK65" i="1" a="1"/>
  <c r="AK65" i="1" s="1"/>
  <c r="A65" i="2"/>
  <c r="AO65" i="1" a="1"/>
  <c r="AO65" i="1" s="1"/>
  <c r="I65" i="1" a="1"/>
  <c r="I65" i="1" s="1"/>
  <c r="B65" i="1" a="1"/>
  <c r="B65" i="1" s="1"/>
  <c r="A65" i="7"/>
  <c r="L65" i="1" a="1"/>
  <c r="L65" i="1" s="1"/>
  <c r="E65" i="1" a="1"/>
  <c r="E65" i="1" s="1"/>
  <c r="F65" i="2" s="1"/>
  <c r="U65" i="1" a="1"/>
  <c r="U65" i="1" s="1"/>
  <c r="R65" i="1" a="1"/>
  <c r="R65" i="1" s="1"/>
  <c r="F65" i="1" a="1"/>
  <c r="F65" i="1" s="1"/>
  <c r="D65" i="1" a="1"/>
  <c r="D65" i="1" s="1"/>
  <c r="A65" i="5"/>
  <c r="Z65" i="1" a="1"/>
  <c r="Z65" i="1" s="1"/>
  <c r="AJ65" i="1" a="1"/>
  <c r="AJ65" i="1" s="1"/>
  <c r="N65" i="1" a="1"/>
  <c r="N65" i="1" s="1"/>
  <c r="G65" i="1" a="1"/>
  <c r="G65" i="1" s="1"/>
  <c r="AI65" i="1" a="1"/>
  <c r="AI65" i="1" s="1"/>
  <c r="A65" i="3"/>
  <c r="AM65" i="1" a="1"/>
  <c r="AM65" i="1" s="1"/>
  <c r="A65" i="4"/>
  <c r="AA65" i="1" a="1"/>
  <c r="AA65" i="1" s="1"/>
  <c r="Y65" i="1" a="1"/>
  <c r="Y65" i="1" s="1"/>
  <c r="M65" i="1" a="1"/>
  <c r="M65" i="1" s="1"/>
  <c r="F65" i="5" s="1"/>
  <c r="AL65" i="1" a="1"/>
  <c r="AL65" i="1" s="1"/>
  <c r="AE65" i="1" a="1"/>
  <c r="AE65" i="1" s="1"/>
  <c r="AN65" i="1" a="1"/>
  <c r="AN65" i="1" s="1"/>
  <c r="O65" i="1" a="1"/>
  <c r="O65" i="1" s="1"/>
  <c r="AH65" i="1" a="1"/>
  <c r="AH65" i="1" s="1"/>
  <c r="AB65" i="1" a="1"/>
  <c r="AB65" i="1" s="1"/>
  <c r="C65" i="1" a="1"/>
  <c r="C65" i="1" s="1"/>
  <c r="K65" i="1" a="1"/>
  <c r="K65" i="1" s="1"/>
  <c r="D65" i="5" s="1"/>
  <c r="M65" i="5" s="1"/>
  <c r="W65" i="1" a="1"/>
  <c r="W65" i="1" s="1"/>
  <c r="AD65" i="1" a="1"/>
  <c r="AD65" i="1" s="1"/>
  <c r="J65" i="1" a="1"/>
  <c r="J65" i="1" s="1"/>
  <c r="C65" i="5" s="1"/>
  <c r="L65" i="5" s="1"/>
  <c r="S65" i="1" a="1"/>
  <c r="S65" i="1" s="1"/>
  <c r="T65" i="1" a="1"/>
  <c r="T65" i="1" s="1"/>
  <c r="A65" i="6"/>
  <c r="AG65" i="1" a="1"/>
  <c r="AG65" i="1" s="1"/>
  <c r="M73" i="1" a="1"/>
  <c r="M73" i="1" s="1"/>
  <c r="G73" i="1" a="1"/>
  <c r="G73" i="1" s="1"/>
  <c r="L73" i="1" a="1"/>
  <c r="L73" i="1" s="1"/>
  <c r="AB73" i="1" a="1"/>
  <c r="AB73" i="1" s="1"/>
  <c r="AM73" i="1" a="1"/>
  <c r="AM73" i="1" s="1"/>
  <c r="A73" i="4"/>
  <c r="T73" i="1" a="1"/>
  <c r="T73" i="1" s="1"/>
  <c r="E73" i="1" a="1"/>
  <c r="E73" i="1" s="1"/>
  <c r="AG73" i="1" a="1"/>
  <c r="AG73" i="1" s="1"/>
  <c r="AO73" i="1" a="1"/>
  <c r="AO73" i="1" s="1"/>
  <c r="S73" i="1" a="1"/>
  <c r="S73" i="1" s="1"/>
  <c r="AL73" i="1" a="1"/>
  <c r="AL73" i="1" s="1"/>
  <c r="I73" i="1" a="1"/>
  <c r="I73" i="1" s="1"/>
  <c r="AK73" i="1" a="1"/>
  <c r="AK73" i="1" s="1"/>
  <c r="D73" i="1" a="1"/>
  <c r="D73" i="1" s="1"/>
  <c r="AC73" i="1" a="1"/>
  <c r="AC73" i="1" s="1"/>
  <c r="AD73" i="1" a="1"/>
  <c r="AD73" i="1" s="1"/>
  <c r="A73" i="6"/>
  <c r="C73" i="1" a="1"/>
  <c r="C73" i="1" s="1"/>
  <c r="R73" i="1" a="1"/>
  <c r="R73" i="1" s="1"/>
  <c r="X73" i="1" a="1"/>
  <c r="X73" i="1" s="1"/>
  <c r="N73" i="1" a="1"/>
  <c r="N73" i="1" s="1"/>
  <c r="F73" i="1" a="1"/>
  <c r="F73" i="1" s="1"/>
  <c r="A73" i="3"/>
  <c r="H73" i="1" a="1"/>
  <c r="H73" i="1" s="1"/>
  <c r="J73" i="2" s="1"/>
  <c r="Y73" i="1" a="1"/>
  <c r="Y73" i="1" s="1"/>
  <c r="J73" i="1" a="1"/>
  <c r="J73" i="1" s="1"/>
  <c r="AH73" i="1" a="1"/>
  <c r="AH73" i="1" s="1"/>
  <c r="AA73" i="1" a="1"/>
  <c r="AA73" i="1" s="1"/>
  <c r="AF73" i="1" a="1"/>
  <c r="AF73" i="1" s="1"/>
  <c r="U73" i="1" a="1"/>
  <c r="U73" i="1" s="1"/>
  <c r="Z73" i="1" a="1"/>
  <c r="Z73" i="1" s="1"/>
  <c r="K73" i="1" a="1"/>
  <c r="K73" i="1" s="1"/>
  <c r="D73" i="5" s="1"/>
  <c r="M73" i="5" s="1"/>
  <c r="AE73" i="1" a="1"/>
  <c r="AE73" i="1" s="1"/>
  <c r="A73" i="2"/>
  <c r="O73" i="1" a="1"/>
  <c r="O73" i="1" s="1"/>
  <c r="W73" i="1" a="1"/>
  <c r="W73" i="1" s="1"/>
  <c r="V73" i="1" a="1"/>
  <c r="V73" i="1" s="1"/>
  <c r="B73" i="1" a="1"/>
  <c r="B73" i="1" s="1"/>
  <c r="AJ73" i="1" a="1"/>
  <c r="AJ73" i="1" s="1"/>
  <c r="P73" i="1" a="1"/>
  <c r="P73" i="1" s="1"/>
  <c r="J73" i="5" s="1"/>
  <c r="AI73" i="1" a="1"/>
  <c r="AI73" i="1" s="1"/>
  <c r="A73" i="7"/>
  <c r="AN73" i="1" a="1"/>
  <c r="AN73" i="1" s="1"/>
  <c r="Q73" i="1" a="1"/>
  <c r="Q73" i="1" s="1"/>
  <c r="A73" i="5"/>
  <c r="P81" i="1" a="1"/>
  <c r="P81" i="1" s="1"/>
  <c r="N81" i="1" a="1"/>
  <c r="N81" i="1" s="1"/>
  <c r="A81" i="7"/>
  <c r="AH81" i="1" a="1"/>
  <c r="AH81" i="1" s="1"/>
  <c r="K81" i="1" a="1"/>
  <c r="K81" i="1" s="1"/>
  <c r="R81" i="1" a="1"/>
  <c r="R81" i="1" s="1"/>
  <c r="X81" i="1" a="1"/>
  <c r="X81" i="1" s="1"/>
  <c r="U81" i="1" a="1"/>
  <c r="U81" i="1" s="1"/>
  <c r="AE81" i="1" a="1"/>
  <c r="AE81" i="1" s="1"/>
  <c r="A81" i="3"/>
  <c r="O81" i="1" a="1"/>
  <c r="O81" i="1" s="1"/>
  <c r="I81" i="5" s="1"/>
  <c r="AB81" i="1" a="1"/>
  <c r="AB81" i="1" s="1"/>
  <c r="H81" i="1" a="1"/>
  <c r="H81" i="1" s="1"/>
  <c r="AN81" i="1" a="1"/>
  <c r="AN81" i="1" s="1"/>
  <c r="Y81" i="1" a="1"/>
  <c r="Y81" i="1" s="1"/>
  <c r="T81" i="1" a="1"/>
  <c r="T81" i="1" s="1"/>
  <c r="A81" i="4"/>
  <c r="A81" i="5"/>
  <c r="AG81" i="1" a="1"/>
  <c r="AG81" i="1" s="1"/>
  <c r="AD81" i="1" a="1"/>
  <c r="AD81" i="1" s="1"/>
  <c r="A81" i="6"/>
  <c r="B81" i="1" a="1"/>
  <c r="B81" i="1" s="1"/>
  <c r="M81" i="1" a="1"/>
  <c r="M81" i="1" s="1"/>
  <c r="AM81" i="1" a="1"/>
  <c r="AM81" i="1" s="1"/>
  <c r="A81" i="2"/>
  <c r="AK81" i="1" a="1"/>
  <c r="AK81" i="1" s="1"/>
  <c r="I81" i="1" a="1"/>
  <c r="I81" i="1" s="1"/>
  <c r="K81" i="2" s="1"/>
  <c r="AO81" i="1" a="1"/>
  <c r="AO81" i="1" s="1"/>
  <c r="AJ81" i="1" a="1"/>
  <c r="AJ81" i="1" s="1"/>
  <c r="AA81" i="1" a="1"/>
  <c r="AA81" i="1" s="1"/>
  <c r="Q81" i="1" a="1"/>
  <c r="Q81" i="1" s="1"/>
  <c r="AF81" i="1" a="1"/>
  <c r="AF81" i="1" s="1"/>
  <c r="C81" i="1" a="1"/>
  <c r="C81" i="1" s="1"/>
  <c r="S81" i="1" a="1"/>
  <c r="S81" i="1" s="1"/>
  <c r="F81" i="1" a="1"/>
  <c r="F81" i="1" s="1"/>
  <c r="L81" i="1" a="1"/>
  <c r="L81" i="1" s="1"/>
  <c r="E81" i="5" s="1"/>
  <c r="AL81" i="1" a="1"/>
  <c r="AL81" i="1" s="1"/>
  <c r="V81" i="1" a="1"/>
  <c r="V81" i="1" s="1"/>
  <c r="G81" i="7" s="1"/>
  <c r="G81" i="1" a="1"/>
  <c r="G81" i="1" s="1"/>
  <c r="AC81" i="1" a="1"/>
  <c r="AC81" i="1" s="1"/>
  <c r="AI81" i="1" a="1"/>
  <c r="AI81" i="1" s="1"/>
  <c r="W81" i="1" a="1"/>
  <c r="W81" i="1" s="1"/>
  <c r="E81" i="1" a="1"/>
  <c r="E81" i="1" s="1"/>
  <c r="J81" i="1" a="1"/>
  <c r="J81" i="1" s="1"/>
  <c r="Z81" i="1" a="1"/>
  <c r="Z81" i="1" s="1"/>
  <c r="D81" i="1" a="1"/>
  <c r="D81" i="1" s="1"/>
  <c r="E81" i="2" s="1"/>
  <c r="AG89" i="1" a="1"/>
  <c r="AG89" i="1" s="1"/>
  <c r="AJ89" i="1" a="1"/>
  <c r="AJ89" i="1" s="1"/>
  <c r="Q89" i="1" a="1"/>
  <c r="Q89" i="1" s="1"/>
  <c r="A89" i="6"/>
  <c r="AO89" i="1" a="1"/>
  <c r="AO89" i="1" s="1"/>
  <c r="AM89" i="1" a="1"/>
  <c r="AM89" i="1" s="1"/>
  <c r="T89" i="1" a="1"/>
  <c r="T89" i="1" s="1"/>
  <c r="C89" i="1" a="1"/>
  <c r="C89" i="1" s="1"/>
  <c r="J89" i="1" a="1"/>
  <c r="J89" i="1" s="1"/>
  <c r="N89" i="1" a="1"/>
  <c r="N89" i="1" s="1"/>
  <c r="L89" i="1" a="1"/>
  <c r="L89" i="1" s="1"/>
  <c r="AN89" i="1" a="1"/>
  <c r="AN89" i="1" s="1"/>
  <c r="AL89" i="1" a="1"/>
  <c r="AL89" i="1" s="1"/>
  <c r="A89" i="3"/>
  <c r="AE89" i="1" a="1"/>
  <c r="AE89" i="1" s="1"/>
  <c r="A89" i="4"/>
  <c r="K89" i="1" a="1"/>
  <c r="K89" i="1" s="1"/>
  <c r="B89" i="1" a="1"/>
  <c r="B89" i="1" s="1"/>
  <c r="A89" i="7"/>
  <c r="X89" i="1" a="1"/>
  <c r="X89" i="1" s="1"/>
  <c r="AD89" i="1" a="1"/>
  <c r="AD89" i="1" s="1"/>
  <c r="I89" i="1" a="1"/>
  <c r="I89" i="1" s="1"/>
  <c r="P89" i="1" a="1"/>
  <c r="P89" i="1" s="1"/>
  <c r="O89" i="1" a="1"/>
  <c r="O89" i="1" s="1"/>
  <c r="R89" i="1" a="1"/>
  <c r="R89" i="1" s="1"/>
  <c r="Z89" i="1" a="1"/>
  <c r="Z89" i="1" s="1"/>
  <c r="H89" i="1" a="1"/>
  <c r="H89" i="1" s="1"/>
  <c r="AI89" i="1" a="1"/>
  <c r="AI89" i="1" s="1"/>
  <c r="A89" i="2"/>
  <c r="Y89" i="1" a="1"/>
  <c r="Y89" i="1" s="1"/>
  <c r="AK89" i="1" a="1"/>
  <c r="AK89" i="1" s="1"/>
  <c r="AF89" i="1" a="1"/>
  <c r="AF89" i="1" s="1"/>
  <c r="F89" i="1" a="1"/>
  <c r="F89" i="1" s="1"/>
  <c r="E89" i="1" a="1"/>
  <c r="E89" i="1" s="1"/>
  <c r="G89" i="1" a="1"/>
  <c r="G89" i="1" s="1"/>
  <c r="M89" i="1" a="1"/>
  <c r="M89" i="1" s="1"/>
  <c r="S89" i="1" a="1"/>
  <c r="S89" i="1" s="1"/>
  <c r="D89" i="7" s="1"/>
  <c r="M89" i="7" s="1"/>
  <c r="W89" i="1" a="1"/>
  <c r="W89" i="1" s="1"/>
  <c r="U89" i="1" a="1"/>
  <c r="U89" i="1" s="1"/>
  <c r="AC89" i="1" a="1"/>
  <c r="AC89" i="1" s="1"/>
  <c r="AH89" i="1" a="1"/>
  <c r="AH89" i="1" s="1"/>
  <c r="D89" i="1" a="1"/>
  <c r="D89" i="1" s="1"/>
  <c r="V89" i="1" a="1"/>
  <c r="V89" i="1" s="1"/>
  <c r="A89" i="5"/>
  <c r="AB89" i="1" a="1"/>
  <c r="AB89" i="1" s="1"/>
  <c r="E89" i="6" s="1"/>
  <c r="AA89" i="1" a="1"/>
  <c r="AA89" i="1" s="1"/>
  <c r="A97" i="3"/>
  <c r="A97" i="7"/>
  <c r="A97" i="5"/>
  <c r="A97" i="2"/>
  <c r="A97" i="6"/>
  <c r="A97" i="4"/>
  <c r="A105" i="6"/>
  <c r="A105" i="2"/>
  <c r="A105" i="3"/>
  <c r="A105" i="4"/>
  <c r="A105" i="7"/>
  <c r="A105" i="5"/>
  <c r="A113" i="7"/>
  <c r="A113" i="2"/>
  <c r="A113" i="6"/>
  <c r="A113" i="4"/>
  <c r="A113" i="3"/>
  <c r="A113" i="5"/>
  <c r="A121" i="2"/>
  <c r="A121" i="6"/>
  <c r="A121" i="7"/>
  <c r="A121" i="4"/>
  <c r="A121" i="3"/>
  <c r="A121" i="5"/>
  <c r="AB8" i="1" a="1"/>
  <c r="AB8" i="1" s="1"/>
  <c r="AM8" i="1" a="1"/>
  <c r="AM8" i="1" s="1"/>
  <c r="AK8" i="1" a="1"/>
  <c r="AK8" i="1" s="1"/>
  <c r="X8" i="1" a="1"/>
  <c r="X8" i="1" s="1"/>
  <c r="J8" i="7" s="1"/>
  <c r="L8" i="1" a="1"/>
  <c r="L8" i="1" s="1"/>
  <c r="R8" i="1" a="1"/>
  <c r="R8" i="1" s="1"/>
  <c r="AC8" i="1" a="1"/>
  <c r="AC8" i="1" s="1"/>
  <c r="AL8" i="1" a="1"/>
  <c r="AL8" i="1" s="1"/>
  <c r="V8" i="1" a="1"/>
  <c r="V8" i="1" s="1"/>
  <c r="T8" i="1" a="1"/>
  <c r="T8" i="1" s="1"/>
  <c r="B8" i="1" a="1"/>
  <c r="B8" i="1" s="1"/>
  <c r="Y8" i="1" a="1"/>
  <c r="Y8" i="1" s="1"/>
  <c r="K8" i="7" s="1"/>
  <c r="W8" i="1" a="1"/>
  <c r="W8" i="1" s="1"/>
  <c r="I8" i="7" s="1"/>
  <c r="AD8" i="1" a="1"/>
  <c r="AD8" i="1" s="1"/>
  <c r="O8" i="1" a="1"/>
  <c r="O8" i="1" s="1"/>
  <c r="AO8" i="1" a="1"/>
  <c r="AO8" i="1" s="1"/>
  <c r="A8" i="4"/>
  <c r="F8" i="1" a="1"/>
  <c r="F8" i="1" s="1"/>
  <c r="A8" i="6"/>
  <c r="D8" i="1" a="1"/>
  <c r="D8" i="1" s="1"/>
  <c r="Q8" i="1" a="1"/>
  <c r="Q8" i="1" s="1"/>
  <c r="A8" i="3"/>
  <c r="U8" i="1" a="1"/>
  <c r="U8" i="1" s="1"/>
  <c r="F8" i="7" s="1"/>
  <c r="M8" i="1" a="1"/>
  <c r="M8" i="1" s="1"/>
  <c r="C8" i="1" a="1"/>
  <c r="C8" i="1" s="1"/>
  <c r="J8" i="1" a="1"/>
  <c r="J8" i="1" s="1"/>
  <c r="E8" i="1" a="1"/>
  <c r="E8" i="1" s="1"/>
  <c r="A8" i="7"/>
  <c r="A8" i="2"/>
  <c r="K8" i="1" a="1"/>
  <c r="K8" i="1" s="1"/>
  <c r="AA8" i="1" a="1"/>
  <c r="AA8" i="1" s="1"/>
  <c r="D8" i="6" s="1"/>
  <c r="M8" i="6" s="1"/>
  <c r="A8" i="5"/>
  <c r="AN8" i="1" a="1"/>
  <c r="AN8" i="1" s="1"/>
  <c r="AJ8" i="1" a="1"/>
  <c r="AJ8" i="1" s="1"/>
  <c r="Z8" i="1" a="1"/>
  <c r="Z8" i="1" s="1"/>
  <c r="S8" i="1" a="1"/>
  <c r="S8" i="1" s="1"/>
  <c r="N8" i="1" a="1"/>
  <c r="N8" i="1" s="1"/>
  <c r="P8" i="1" a="1"/>
  <c r="P8" i="1" s="1"/>
  <c r="AK24" i="1" a="1"/>
  <c r="AK24" i="1" s="1"/>
  <c r="A24" i="3"/>
  <c r="AL24" i="1" a="1"/>
  <c r="AL24" i="1" s="1"/>
  <c r="A24" i="4"/>
  <c r="H24" i="1" a="1"/>
  <c r="H24" i="1" s="1"/>
  <c r="F24" i="1" a="1"/>
  <c r="F24" i="1" s="1"/>
  <c r="A24" i="6"/>
  <c r="A24" i="5"/>
  <c r="AM24" i="1" a="1"/>
  <c r="AM24" i="1" s="1"/>
  <c r="O24" i="1" a="1"/>
  <c r="O24" i="1" s="1"/>
  <c r="R24" i="1" a="1"/>
  <c r="R24" i="1" s="1"/>
  <c r="I24" i="1" a="1"/>
  <c r="I24" i="1" s="1"/>
  <c r="AH24" i="1" a="1"/>
  <c r="AH24" i="1" s="1"/>
  <c r="AF24" i="1" a="1"/>
  <c r="AF24" i="1" s="1"/>
  <c r="AA24" i="1" a="1"/>
  <c r="AA24" i="1" s="1"/>
  <c r="U24" i="1" a="1"/>
  <c r="U24" i="1" s="1"/>
  <c r="P24" i="1" a="1"/>
  <c r="P24" i="1" s="1"/>
  <c r="J24" i="5" s="1"/>
  <c r="AJ24" i="1" a="1"/>
  <c r="AJ24" i="1" s="1"/>
  <c r="G24" i="1" a="1"/>
  <c r="G24" i="1" s="1"/>
  <c r="A24" i="7"/>
  <c r="D24" i="1" a="1"/>
  <c r="D24" i="1" s="1"/>
  <c r="V24" i="1" a="1"/>
  <c r="V24" i="1" s="1"/>
  <c r="AI24" i="1" a="1"/>
  <c r="AI24" i="1" s="1"/>
  <c r="T24" i="1" a="1"/>
  <c r="T24" i="1" s="1"/>
  <c r="AO24" i="1" a="1"/>
  <c r="AO24" i="1" s="1"/>
  <c r="AD24" i="1" a="1"/>
  <c r="AD24" i="1" s="1"/>
  <c r="B24" i="1" a="1"/>
  <c r="B24" i="1" s="1"/>
  <c r="N24" i="1" a="1"/>
  <c r="N24" i="1" s="1"/>
  <c r="J24" i="1" a="1"/>
  <c r="J24" i="1" s="1"/>
  <c r="AB24" i="1" a="1"/>
  <c r="AB24" i="1" s="1"/>
  <c r="C24" i="1" a="1"/>
  <c r="C24" i="1" s="1"/>
  <c r="D24" i="2" s="1"/>
  <c r="Z24" i="1" a="1"/>
  <c r="Z24" i="1" s="1"/>
  <c r="X24" i="1" a="1"/>
  <c r="X24" i="1" s="1"/>
  <c r="J24" i="7" s="1"/>
  <c r="Q24" i="1" a="1"/>
  <c r="Q24" i="1" s="1"/>
  <c r="E24" i="1" a="1"/>
  <c r="E24" i="1" s="1"/>
  <c r="AN24" i="1" a="1"/>
  <c r="AN24" i="1" s="1"/>
  <c r="AC24" i="1" a="1"/>
  <c r="AC24" i="1" s="1"/>
  <c r="S24" i="1" a="1"/>
  <c r="S24" i="1" s="1"/>
  <c r="A24" i="2"/>
  <c r="L24" i="1" a="1"/>
  <c r="L24" i="1" s="1"/>
  <c r="AG24" i="1" a="1"/>
  <c r="AG24" i="1" s="1"/>
  <c r="K24" i="6" s="1"/>
  <c r="W24" i="1" a="1"/>
  <c r="W24" i="1" s="1"/>
  <c r="M24" i="1" a="1"/>
  <c r="M24" i="1" s="1"/>
  <c r="Y24" i="1" a="1"/>
  <c r="Y24" i="1" s="1"/>
  <c r="K24" i="1" a="1"/>
  <c r="K24" i="1" s="1"/>
  <c r="D24" i="5" s="1"/>
  <c r="M24" i="5" s="1"/>
  <c r="AE24" i="1" a="1"/>
  <c r="AE24" i="1" s="1"/>
  <c r="A32" i="2"/>
  <c r="V32" i="1" a="1"/>
  <c r="V32" i="1" s="1"/>
  <c r="B32" i="1" a="1"/>
  <c r="B32" i="1" s="1"/>
  <c r="N32" i="1" a="1"/>
  <c r="N32" i="1" s="1"/>
  <c r="T32" i="1" a="1"/>
  <c r="T32" i="1" s="1"/>
  <c r="Q32" i="1" a="1"/>
  <c r="Q32" i="1" s="1"/>
  <c r="AF32" i="1" a="1"/>
  <c r="AF32" i="1" s="1"/>
  <c r="F32" i="1" a="1"/>
  <c r="F32" i="1" s="1"/>
  <c r="A32" i="3"/>
  <c r="A32" i="7"/>
  <c r="O32" i="1" a="1"/>
  <c r="O32" i="1" s="1"/>
  <c r="I32" i="5" s="1"/>
  <c r="A32" i="5"/>
  <c r="I32" i="1" a="1"/>
  <c r="I32" i="1" s="1"/>
  <c r="AB32" i="1" a="1"/>
  <c r="AB32" i="1" s="1"/>
  <c r="Z32" i="1" a="1"/>
  <c r="Z32" i="1" s="1"/>
  <c r="AD32" i="1" a="1"/>
  <c r="AD32" i="1" s="1"/>
  <c r="G32" i="6" s="1"/>
  <c r="X32" i="1" a="1"/>
  <c r="X32" i="1" s="1"/>
  <c r="R32" i="1" a="1"/>
  <c r="R32" i="1" s="1"/>
  <c r="P32" i="1" a="1"/>
  <c r="P32" i="1" s="1"/>
  <c r="J32" i="5" s="1"/>
  <c r="W32" i="1" a="1"/>
  <c r="W32" i="1" s="1"/>
  <c r="E32" i="1" a="1"/>
  <c r="E32" i="1" s="1"/>
  <c r="AM32" i="1" a="1"/>
  <c r="AM32" i="1" s="1"/>
  <c r="H32" i="1" a="1"/>
  <c r="H32" i="1" s="1"/>
  <c r="J32" i="2" s="1"/>
  <c r="D32" i="1" a="1"/>
  <c r="D32" i="1" s="1"/>
  <c r="AO32" i="1" a="1"/>
  <c r="AO32" i="1" s="1"/>
  <c r="C32" i="1" a="1"/>
  <c r="C32" i="1" s="1"/>
  <c r="AK32" i="1" a="1"/>
  <c r="AK32" i="1" s="1"/>
  <c r="A32" i="4"/>
  <c r="AC32" i="1" a="1"/>
  <c r="AC32" i="1" s="1"/>
  <c r="AN32" i="1" a="1"/>
  <c r="AN32" i="1" s="1"/>
  <c r="J32" i="1" a="1"/>
  <c r="J32" i="1" s="1"/>
  <c r="C32" i="5" s="1"/>
  <c r="L32" i="5" s="1"/>
  <c r="U32" i="1" a="1"/>
  <c r="U32" i="1" s="1"/>
  <c r="AA32" i="1" a="1"/>
  <c r="AA32" i="1" s="1"/>
  <c r="L32" i="1" a="1"/>
  <c r="L32" i="1" s="1"/>
  <c r="S32" i="1" a="1"/>
  <c r="S32" i="1" s="1"/>
  <c r="D32" i="7" s="1"/>
  <c r="M32" i="7" s="1"/>
  <c r="AJ32" i="1" a="1"/>
  <c r="AJ32" i="1" s="1"/>
  <c r="G32" i="1" a="1"/>
  <c r="G32" i="1" s="1"/>
  <c r="A32" i="6"/>
  <c r="AH32" i="1" a="1"/>
  <c r="AH32" i="1" s="1"/>
  <c r="AG32" i="1" a="1"/>
  <c r="AG32" i="1" s="1"/>
  <c r="Y32" i="1" a="1"/>
  <c r="Y32" i="1" s="1"/>
  <c r="AE32" i="1" a="1"/>
  <c r="AE32" i="1" s="1"/>
  <c r="AL32" i="1" a="1"/>
  <c r="AL32" i="1" s="1"/>
  <c r="M32" i="1" a="1"/>
  <c r="M32" i="1" s="1"/>
  <c r="K32" i="1" a="1"/>
  <c r="K32" i="1" s="1"/>
  <c r="D32" i="5" s="1"/>
  <c r="M32" i="5" s="1"/>
  <c r="AI32" i="1" a="1"/>
  <c r="AI32" i="1" s="1"/>
  <c r="AO10" i="1" a="1"/>
  <c r="AO10" i="1" s="1"/>
  <c r="A10" i="4"/>
  <c r="AL10" i="1" a="1"/>
  <c r="AL10" i="1" s="1"/>
  <c r="E10" i="1" a="1"/>
  <c r="E10" i="1" s="1"/>
  <c r="R10" i="1" a="1"/>
  <c r="R10" i="1" s="1"/>
  <c r="C10" i="7" s="1"/>
  <c r="Y10" i="1" a="1"/>
  <c r="Y10" i="1" s="1"/>
  <c r="K10" i="7" s="1"/>
  <c r="AI10" i="1" a="1"/>
  <c r="AI10" i="1" s="1"/>
  <c r="O10" i="1" a="1"/>
  <c r="O10" i="1" s="1"/>
  <c r="V10" i="1" a="1"/>
  <c r="V10" i="1" s="1"/>
  <c r="M10" i="1" a="1"/>
  <c r="M10" i="1" s="1"/>
  <c r="D10" i="1" a="1"/>
  <c r="D10" i="1" s="1"/>
  <c r="A10" i="5"/>
  <c r="AD10" i="1" a="1"/>
  <c r="AD10" i="1" s="1"/>
  <c r="G10" i="6" s="1"/>
  <c r="AJ10" i="1" a="1"/>
  <c r="AJ10" i="1" s="1"/>
  <c r="AM10" i="1" a="1"/>
  <c r="AM10" i="1" s="1"/>
  <c r="A10" i="7"/>
  <c r="K10" i="1" a="1"/>
  <c r="K10" i="1" s="1"/>
  <c r="P10" i="1" a="1"/>
  <c r="P10" i="1" s="1"/>
  <c r="S10" i="1" a="1"/>
  <c r="S10" i="1" s="1"/>
  <c r="U10" i="1" a="1"/>
  <c r="U10" i="1" s="1"/>
  <c r="A10" i="2"/>
  <c r="B10" i="1" a="1"/>
  <c r="B10" i="1" s="1"/>
  <c r="AH10" i="1" a="1"/>
  <c r="AH10" i="1" s="1"/>
  <c r="N10" i="1" a="1"/>
  <c r="N10" i="1" s="1"/>
  <c r="J10" i="1" a="1"/>
  <c r="J10" i="1" s="1"/>
  <c r="F10" i="1" a="1"/>
  <c r="F10" i="1" s="1"/>
  <c r="AA10" i="1" a="1"/>
  <c r="AA10" i="1" s="1"/>
  <c r="Z10" i="1" a="1"/>
  <c r="Z10" i="1" s="1"/>
  <c r="A10" i="6"/>
  <c r="T10" i="1" a="1"/>
  <c r="T10" i="1" s="1"/>
  <c r="C10" i="1" a="1"/>
  <c r="C10" i="1" s="1"/>
  <c r="AB10" i="1" a="1"/>
  <c r="AB10" i="1" s="1"/>
  <c r="X10" i="1" a="1"/>
  <c r="X10" i="1" s="1"/>
  <c r="J10" i="7" s="1"/>
  <c r="L10" i="1" a="1"/>
  <c r="L10" i="1" s="1"/>
  <c r="AC10" i="1" a="1"/>
  <c r="AC10" i="1" s="1"/>
  <c r="AK10" i="1" a="1"/>
  <c r="AK10" i="1" s="1"/>
  <c r="Q10" i="1" a="1"/>
  <c r="Q10" i="1" s="1"/>
  <c r="W10" i="1" a="1"/>
  <c r="W10" i="1" s="1"/>
  <c r="I10" i="7" s="1"/>
  <c r="AN10" i="1" a="1"/>
  <c r="AN10" i="1" s="1"/>
  <c r="A10" i="3"/>
  <c r="AJ34" i="1" a="1"/>
  <c r="AJ34" i="1" s="1"/>
  <c r="Z34" i="1" a="1"/>
  <c r="Z34" i="1" s="1"/>
  <c r="N34" i="1" a="1"/>
  <c r="N34" i="1" s="1"/>
  <c r="A34" i="3"/>
  <c r="AI34" i="1" a="1"/>
  <c r="AI34" i="1" s="1"/>
  <c r="S34" i="1" a="1"/>
  <c r="S34" i="1" s="1"/>
  <c r="AC34" i="1" a="1"/>
  <c r="AC34" i="1" s="1"/>
  <c r="AH34" i="1" a="1"/>
  <c r="AH34" i="1" s="1"/>
  <c r="X34" i="1" a="1"/>
  <c r="X34" i="1" s="1"/>
  <c r="AA34" i="1" a="1"/>
  <c r="AA34" i="1" s="1"/>
  <c r="I34" i="1" a="1"/>
  <c r="I34" i="1" s="1"/>
  <c r="F34" i="1" a="1"/>
  <c r="F34" i="1" s="1"/>
  <c r="M34" i="1" a="1"/>
  <c r="M34" i="1" s="1"/>
  <c r="E34" i="1" a="1"/>
  <c r="E34" i="1" s="1"/>
  <c r="B34" i="1" a="1"/>
  <c r="B34" i="1" s="1"/>
  <c r="Y34" i="1" a="1"/>
  <c r="Y34" i="1" s="1"/>
  <c r="C34" i="1" a="1"/>
  <c r="C34" i="1" s="1"/>
  <c r="D34" i="1" a="1"/>
  <c r="D34" i="1" s="1"/>
  <c r="AN34" i="1" a="1"/>
  <c r="AN34" i="1" s="1"/>
  <c r="H34" i="1" a="1"/>
  <c r="H34" i="1" s="1"/>
  <c r="A34" i="4"/>
  <c r="AG34" i="1" a="1"/>
  <c r="AG34" i="1" s="1"/>
  <c r="AM34" i="1" a="1"/>
  <c r="AM34" i="1" s="1"/>
  <c r="G34" i="1" a="1"/>
  <c r="G34" i="1" s="1"/>
  <c r="V34" i="1" a="1"/>
  <c r="V34" i="1" s="1"/>
  <c r="R34" i="1" a="1"/>
  <c r="R34" i="1" s="1"/>
  <c r="C34" i="7" s="1"/>
  <c r="L34" i="7" s="1"/>
  <c r="W34" i="1" a="1"/>
  <c r="W34" i="1" s="1"/>
  <c r="L34" i="1" a="1"/>
  <c r="L34" i="1" s="1"/>
  <c r="AB34" i="1" a="1"/>
  <c r="AB34" i="1" s="1"/>
  <c r="E34" i="6" s="1"/>
  <c r="Q34" i="1" a="1"/>
  <c r="Q34" i="1" s="1"/>
  <c r="K34" i="5" s="1"/>
  <c r="AK34" i="1" a="1"/>
  <c r="AK34" i="1" s="1"/>
  <c r="A34" i="5"/>
  <c r="K34" i="1" a="1"/>
  <c r="K34" i="1" s="1"/>
  <c r="U34" i="1" a="1"/>
  <c r="U34" i="1" s="1"/>
  <c r="A34" i="6"/>
  <c r="P34" i="1" a="1"/>
  <c r="P34" i="1" s="1"/>
  <c r="T34" i="1" a="1"/>
  <c r="T34" i="1" s="1"/>
  <c r="E34" i="7" s="1"/>
  <c r="A34" i="2"/>
  <c r="AD34" i="1" a="1"/>
  <c r="AD34" i="1" s="1"/>
  <c r="AE34" i="1" a="1"/>
  <c r="AE34" i="1" s="1"/>
  <c r="AO34" i="1" a="1"/>
  <c r="AO34" i="1" s="1"/>
  <c r="J34" i="1" a="1"/>
  <c r="J34" i="1" s="1"/>
  <c r="C34" i="5" s="1"/>
  <c r="L34" i="5" s="1"/>
  <c r="O34" i="1" a="1"/>
  <c r="O34" i="1" s="1"/>
  <c r="AF34" i="1" a="1"/>
  <c r="AF34" i="1" s="1"/>
  <c r="J34" i="6" s="1"/>
  <c r="A34" i="7"/>
  <c r="AL34" i="1" a="1"/>
  <c r="AL34" i="1" s="1"/>
  <c r="Q50" i="1" a="1"/>
  <c r="Q50" i="1" s="1"/>
  <c r="AE50" i="1" a="1"/>
  <c r="AE50" i="1" s="1"/>
  <c r="AC50" i="1" a="1"/>
  <c r="AC50" i="1" s="1"/>
  <c r="C50" i="1" a="1"/>
  <c r="C50" i="1" s="1"/>
  <c r="A50" i="5"/>
  <c r="L50" i="1" a="1"/>
  <c r="L50" i="1" s="1"/>
  <c r="AF50" i="1" a="1"/>
  <c r="AF50" i="1" s="1"/>
  <c r="U50" i="1" a="1"/>
  <c r="U50" i="1" s="1"/>
  <c r="A50" i="7"/>
  <c r="N50" i="1" a="1"/>
  <c r="N50" i="1" s="1"/>
  <c r="AM50" i="1" a="1"/>
  <c r="AM50" i="1" s="1"/>
  <c r="X50" i="1" a="1"/>
  <c r="X50" i="1" s="1"/>
  <c r="AO50" i="1" a="1"/>
  <c r="AO50" i="1" s="1"/>
  <c r="A50" i="6"/>
  <c r="O50" i="1" a="1"/>
  <c r="O50" i="1" s="1"/>
  <c r="I50" i="5" s="1"/>
  <c r="F50" i="1" a="1"/>
  <c r="F50" i="1" s="1"/>
  <c r="AB50" i="1" a="1"/>
  <c r="AB50" i="1" s="1"/>
  <c r="J50" i="1" a="1"/>
  <c r="J50" i="1" s="1"/>
  <c r="AG50" i="1" a="1"/>
  <c r="AG50" i="1" s="1"/>
  <c r="E50" i="1" a="1"/>
  <c r="E50" i="1" s="1"/>
  <c r="AN50" i="1" a="1"/>
  <c r="AN50" i="1" s="1"/>
  <c r="G50" i="1" a="1"/>
  <c r="G50" i="1" s="1"/>
  <c r="AA50" i="1" a="1"/>
  <c r="AA50" i="1" s="1"/>
  <c r="D50" i="6" s="1"/>
  <c r="M50" i="6" s="1"/>
  <c r="AD50" i="1" a="1"/>
  <c r="AD50" i="1" s="1"/>
  <c r="AH50" i="1" a="1"/>
  <c r="AH50" i="1" s="1"/>
  <c r="K50" i="1" a="1"/>
  <c r="K50" i="1" s="1"/>
  <c r="H50" i="1" a="1"/>
  <c r="H50" i="1" s="1"/>
  <c r="AK50" i="1" a="1"/>
  <c r="AK50" i="1" s="1"/>
  <c r="S50" i="1" a="1"/>
  <c r="S50" i="1" s="1"/>
  <c r="W50" i="1" a="1"/>
  <c r="W50" i="1" s="1"/>
  <c r="B50" i="1" a="1"/>
  <c r="B50" i="1" s="1"/>
  <c r="C50" i="2" s="1"/>
  <c r="V50" i="1" a="1"/>
  <c r="V50" i="1" s="1"/>
  <c r="G50" i="7" s="1"/>
  <c r="A50" i="2"/>
  <c r="Z50" i="1" a="1"/>
  <c r="Z50" i="1" s="1"/>
  <c r="I50" i="1" a="1"/>
  <c r="I50" i="1" s="1"/>
  <c r="K50" i="2" s="1"/>
  <c r="A50" i="3"/>
  <c r="R50" i="1" a="1"/>
  <c r="R50" i="1" s="1"/>
  <c r="M50" i="1" a="1"/>
  <c r="M50" i="1" s="1"/>
  <c r="AI50" i="1" a="1"/>
  <c r="AI50" i="1" s="1"/>
  <c r="T50" i="1" a="1"/>
  <c r="T50" i="1" s="1"/>
  <c r="Y50" i="1" a="1"/>
  <c r="Y50" i="1" s="1"/>
  <c r="AJ50" i="1" a="1"/>
  <c r="AJ50" i="1" s="1"/>
  <c r="AL50" i="1" a="1"/>
  <c r="AL50" i="1" s="1"/>
  <c r="A50" i="4"/>
  <c r="P50" i="1" a="1"/>
  <c r="P50" i="1" s="1"/>
  <c r="D50" i="1" a="1"/>
  <c r="D50" i="1" s="1"/>
  <c r="AL82" i="1" a="1"/>
  <c r="AL82" i="1" s="1"/>
  <c r="B82" i="1" a="1"/>
  <c r="B82" i="1" s="1"/>
  <c r="L82" i="1" a="1"/>
  <c r="L82" i="1" s="1"/>
  <c r="A82" i="4"/>
  <c r="V82" i="1" a="1"/>
  <c r="V82" i="1" s="1"/>
  <c r="U82" i="1" a="1"/>
  <c r="U82" i="1" s="1"/>
  <c r="T82" i="1" a="1"/>
  <c r="T82" i="1" s="1"/>
  <c r="N82" i="1" a="1"/>
  <c r="N82" i="1" s="1"/>
  <c r="X82" i="1" a="1"/>
  <c r="X82" i="1" s="1"/>
  <c r="I82" i="1" a="1"/>
  <c r="I82" i="1" s="1"/>
  <c r="A82" i="2"/>
  <c r="Q82" i="1" a="1"/>
  <c r="Q82" i="1" s="1"/>
  <c r="W82" i="1" a="1"/>
  <c r="W82" i="1" s="1"/>
  <c r="AH82" i="1" a="1"/>
  <c r="AH82" i="1" s="1"/>
  <c r="AC82" i="1" a="1"/>
  <c r="AC82" i="1" s="1"/>
  <c r="A82" i="3"/>
  <c r="AB82" i="1" a="1"/>
  <c r="AB82" i="1" s="1"/>
  <c r="AD82" i="1" a="1"/>
  <c r="AD82" i="1" s="1"/>
  <c r="AM82" i="1" a="1"/>
  <c r="AM82" i="1" s="1"/>
  <c r="G82" i="1" a="1"/>
  <c r="G82" i="1" s="1"/>
  <c r="AJ82" i="1" a="1"/>
  <c r="AJ82" i="1" s="1"/>
  <c r="C82" i="1" a="1"/>
  <c r="C82" i="1" s="1"/>
  <c r="P82" i="1" a="1"/>
  <c r="P82" i="1" s="1"/>
  <c r="E82" i="1" a="1"/>
  <c r="E82" i="1" s="1"/>
  <c r="AI82" i="1" a="1"/>
  <c r="AI82" i="1" s="1"/>
  <c r="R82" i="1" a="1"/>
  <c r="R82" i="1" s="1"/>
  <c r="O82" i="1" a="1"/>
  <c r="O82" i="1" s="1"/>
  <c r="A82" i="7"/>
  <c r="S82" i="1" a="1"/>
  <c r="S82" i="1" s="1"/>
  <c r="D82" i="7" s="1"/>
  <c r="M82" i="7" s="1"/>
  <c r="AO82" i="1" a="1"/>
  <c r="AO82" i="1" s="1"/>
  <c r="AA82" i="1" a="1"/>
  <c r="AA82" i="1" s="1"/>
  <c r="Z82" i="1" a="1"/>
  <c r="Z82" i="1" s="1"/>
  <c r="AE82" i="1" a="1"/>
  <c r="AE82" i="1" s="1"/>
  <c r="K82" i="1" a="1"/>
  <c r="K82" i="1" s="1"/>
  <c r="A82" i="5"/>
  <c r="Y82" i="1" a="1"/>
  <c r="Y82" i="1" s="1"/>
  <c r="F82" i="1" a="1"/>
  <c r="F82" i="1" s="1"/>
  <c r="D82" i="1" a="1"/>
  <c r="D82" i="1" s="1"/>
  <c r="J82" i="1" a="1"/>
  <c r="J82" i="1" s="1"/>
  <c r="H82" i="1" a="1"/>
  <c r="H82" i="1" s="1"/>
  <c r="AG82" i="1" a="1"/>
  <c r="AG82" i="1" s="1"/>
  <c r="K82" i="6" s="1"/>
  <c r="M82" i="1" a="1"/>
  <c r="M82" i="1" s="1"/>
  <c r="AF82" i="1" a="1"/>
  <c r="AF82" i="1" s="1"/>
  <c r="AN82" i="1" a="1"/>
  <c r="AN82" i="1" s="1"/>
  <c r="A82" i="6"/>
  <c r="AK82" i="1" a="1"/>
  <c r="AK82" i="1" s="1"/>
  <c r="A98" i="4"/>
  <c r="A98" i="5"/>
  <c r="A98" i="6"/>
  <c r="A98" i="2"/>
  <c r="A98" i="7"/>
  <c r="A98" i="3"/>
  <c r="A106" i="3"/>
  <c r="A106" i="6"/>
  <c r="A106" i="2"/>
  <c r="A106" i="7"/>
  <c r="A106" i="4"/>
  <c r="A106" i="5"/>
  <c r="A114" i="2"/>
  <c r="A114" i="4"/>
  <c r="A114" i="6"/>
  <c r="A114" i="3"/>
  <c r="A114" i="5"/>
  <c r="A114" i="7"/>
  <c r="A122" i="7"/>
  <c r="A122" i="6"/>
  <c r="A122" i="3"/>
  <c r="A122" i="4"/>
  <c r="A122" i="2"/>
  <c r="A122" i="5"/>
  <c r="P28" i="1" a="1"/>
  <c r="P28" i="1" s="1"/>
  <c r="D28" i="1" a="1"/>
  <c r="D28" i="1" s="1"/>
  <c r="A28" i="6"/>
  <c r="X28" i="1" a="1"/>
  <c r="X28" i="1" s="1"/>
  <c r="AI28" i="1" a="1"/>
  <c r="AI28" i="1" s="1"/>
  <c r="O28" i="1" a="1"/>
  <c r="O28" i="1" s="1"/>
  <c r="A28" i="5"/>
  <c r="AM28" i="1" a="1"/>
  <c r="AM28" i="1" s="1"/>
  <c r="E28" i="1" a="1"/>
  <c r="E28" i="1" s="1"/>
  <c r="H28" i="1" a="1"/>
  <c r="H28" i="1" s="1"/>
  <c r="W28" i="1" a="1"/>
  <c r="W28" i="1" s="1"/>
  <c r="AD28" i="1" a="1"/>
  <c r="AD28" i="1" s="1"/>
  <c r="G28" i="1" a="1"/>
  <c r="G28" i="1" s="1"/>
  <c r="AL28" i="1" a="1"/>
  <c r="AL28" i="1" s="1"/>
  <c r="L28" i="1" a="1"/>
  <c r="L28" i="1" s="1"/>
  <c r="Q28" i="1" a="1"/>
  <c r="Q28" i="1" s="1"/>
  <c r="C28" i="1" a="1"/>
  <c r="C28" i="1" s="1"/>
  <c r="F28" i="1" a="1"/>
  <c r="F28" i="1" s="1"/>
  <c r="M28" i="1" a="1"/>
  <c r="M28" i="1" s="1"/>
  <c r="F28" i="5" s="1"/>
  <c r="I28" i="1" a="1"/>
  <c r="I28" i="1" s="1"/>
  <c r="A28" i="4"/>
  <c r="AA28" i="1" a="1"/>
  <c r="AA28" i="1" s="1"/>
  <c r="Y28" i="1" a="1"/>
  <c r="Y28" i="1" s="1"/>
  <c r="T28" i="1" a="1"/>
  <c r="T28" i="1" s="1"/>
  <c r="U28" i="1" a="1"/>
  <c r="U28" i="1" s="1"/>
  <c r="A28" i="2"/>
  <c r="AB28" i="1" a="1"/>
  <c r="AB28" i="1" s="1"/>
  <c r="AJ28" i="1" a="1"/>
  <c r="AJ28" i="1" s="1"/>
  <c r="AE28" i="1" a="1"/>
  <c r="AE28" i="1" s="1"/>
  <c r="AG28" i="1" a="1"/>
  <c r="AG28" i="1" s="1"/>
  <c r="V28" i="1" a="1"/>
  <c r="V28" i="1" s="1"/>
  <c r="AH28" i="1" a="1"/>
  <c r="AH28" i="1" s="1"/>
  <c r="AK28" i="1" a="1"/>
  <c r="AK28" i="1" s="1"/>
  <c r="AC28" i="1" a="1"/>
  <c r="AC28" i="1" s="1"/>
  <c r="AF28" i="1" a="1"/>
  <c r="AF28" i="1" s="1"/>
  <c r="J28" i="6" s="1"/>
  <c r="S28" i="1" a="1"/>
  <c r="S28" i="1" s="1"/>
  <c r="J28" i="1" a="1"/>
  <c r="J28" i="1" s="1"/>
  <c r="Z28" i="1" a="1"/>
  <c r="Z28" i="1" s="1"/>
  <c r="AO28" i="1" a="1"/>
  <c r="AO28" i="1" s="1"/>
  <c r="K28" i="1" a="1"/>
  <c r="K28" i="1" s="1"/>
  <c r="D28" i="5" s="1"/>
  <c r="M28" i="5" s="1"/>
  <c r="N28" i="1" a="1"/>
  <c r="N28" i="1" s="1"/>
  <c r="A28" i="7"/>
  <c r="B28" i="1" a="1"/>
  <c r="B28" i="1" s="1"/>
  <c r="C28" i="2" s="1"/>
  <c r="A28" i="3"/>
  <c r="AN28" i="1" a="1"/>
  <c r="AN28" i="1" s="1"/>
  <c r="R28" i="1" a="1"/>
  <c r="R28" i="1" s="1"/>
  <c r="C28" i="7" s="1"/>
  <c r="L28" i="7" s="1"/>
  <c r="N30" i="1" a="1"/>
  <c r="N30" i="1" s="1"/>
  <c r="S30" i="1" a="1"/>
  <c r="S30" i="1" s="1"/>
  <c r="P30" i="1" a="1"/>
  <c r="P30" i="1" s="1"/>
  <c r="AD30" i="1" a="1"/>
  <c r="AD30" i="1" s="1"/>
  <c r="W30" i="1" a="1"/>
  <c r="W30" i="1" s="1"/>
  <c r="I30" i="7" s="1"/>
  <c r="Q30" i="1" a="1"/>
  <c r="Q30" i="1" s="1"/>
  <c r="AJ30" i="1" a="1"/>
  <c r="AJ30" i="1" s="1"/>
  <c r="C30" i="1" a="1"/>
  <c r="C30" i="1" s="1"/>
  <c r="H30" i="1" a="1"/>
  <c r="H30" i="1" s="1"/>
  <c r="V30" i="1" a="1"/>
  <c r="V30" i="1" s="1"/>
  <c r="X30" i="1" a="1"/>
  <c r="X30" i="1" s="1"/>
  <c r="K30" i="1" a="1"/>
  <c r="K30" i="1" s="1"/>
  <c r="E30" i="1" a="1"/>
  <c r="E30" i="1" s="1"/>
  <c r="F30" i="2" s="1"/>
  <c r="J30" i="4" s="1"/>
  <c r="AI30" i="1" a="1"/>
  <c r="AI30" i="1" s="1"/>
  <c r="AH30" i="1" a="1"/>
  <c r="AH30" i="1" s="1"/>
  <c r="O30" i="1" a="1"/>
  <c r="O30" i="1" s="1"/>
  <c r="AK30" i="1" a="1"/>
  <c r="AK30" i="1" s="1"/>
  <c r="T30" i="1" a="1"/>
  <c r="T30" i="1" s="1"/>
  <c r="Z30" i="1" a="1"/>
  <c r="Z30" i="1" s="1"/>
  <c r="AE30" i="1" a="1"/>
  <c r="AE30" i="1" s="1"/>
  <c r="U30" i="1" a="1"/>
  <c r="U30" i="1" s="1"/>
  <c r="F30" i="7" s="1"/>
  <c r="F30" i="1" a="1"/>
  <c r="F30" i="1" s="1"/>
  <c r="AO30" i="1" a="1"/>
  <c r="AO30" i="1" s="1"/>
  <c r="A30" i="4"/>
  <c r="M30" i="1" a="1"/>
  <c r="M30" i="1" s="1"/>
  <c r="J30" i="1" a="1"/>
  <c r="J30" i="1" s="1"/>
  <c r="A30" i="2"/>
  <c r="A30" i="5"/>
  <c r="B30" i="1" a="1"/>
  <c r="B30" i="1" s="1"/>
  <c r="C30" i="2" s="1"/>
  <c r="A30" i="6"/>
  <c r="AA30" i="1" a="1"/>
  <c r="AA30" i="1" s="1"/>
  <c r="R30" i="1" a="1"/>
  <c r="R30" i="1" s="1"/>
  <c r="Y30" i="1" a="1"/>
  <c r="Y30" i="1" s="1"/>
  <c r="A30" i="7"/>
  <c r="AC30" i="1" a="1"/>
  <c r="AC30" i="1" s="1"/>
  <c r="AN30" i="1" a="1"/>
  <c r="AN30" i="1" s="1"/>
  <c r="I30" i="1" a="1"/>
  <c r="I30" i="1" s="1"/>
  <c r="K30" i="2" s="1"/>
  <c r="D30" i="1" a="1"/>
  <c r="D30" i="1" s="1"/>
  <c r="AM30" i="1" a="1"/>
  <c r="AM30" i="1" s="1"/>
  <c r="AG30" i="1" a="1"/>
  <c r="AG30" i="1" s="1"/>
  <c r="AL30" i="1" a="1"/>
  <c r="AL30" i="1" s="1"/>
  <c r="A30" i="3"/>
  <c r="AF30" i="1" a="1"/>
  <c r="AF30" i="1" s="1"/>
  <c r="G30" i="1" a="1"/>
  <c r="G30" i="1" s="1"/>
  <c r="I30" i="2" s="1"/>
  <c r="L30" i="1" a="1"/>
  <c r="L30" i="1" s="1"/>
  <c r="E30" i="5" s="1"/>
  <c r="AB30" i="1" a="1"/>
  <c r="AB30" i="1" s="1"/>
  <c r="A15" i="6"/>
  <c r="AI15" i="1" a="1"/>
  <c r="AI15" i="1" s="1"/>
  <c r="N15" i="1" a="1"/>
  <c r="N15" i="1" s="1"/>
  <c r="B15" i="1" a="1"/>
  <c r="B15" i="1" s="1"/>
  <c r="AJ15" i="1" a="1"/>
  <c r="AJ15" i="1" s="1"/>
  <c r="C15" i="1" a="1"/>
  <c r="C15" i="1" s="1"/>
  <c r="O15" i="1" a="1"/>
  <c r="O15" i="1" s="1"/>
  <c r="AH15" i="1" a="1"/>
  <c r="AH15" i="1" s="1"/>
  <c r="AL15" i="1" a="1"/>
  <c r="AL15" i="1" s="1"/>
  <c r="U15" i="1" a="1"/>
  <c r="U15" i="1" s="1"/>
  <c r="A15" i="5"/>
  <c r="K15" i="1" a="1"/>
  <c r="K15" i="1" s="1"/>
  <c r="A15" i="7"/>
  <c r="Q15" i="1" a="1"/>
  <c r="Q15" i="1" s="1"/>
  <c r="AC15" i="1" a="1"/>
  <c r="AC15" i="1" s="1"/>
  <c r="F15" i="6" s="1"/>
  <c r="AD15" i="1" a="1"/>
  <c r="AD15" i="1" s="1"/>
  <c r="Z15" i="1" a="1"/>
  <c r="Z15" i="1" s="1"/>
  <c r="X15" i="1" a="1"/>
  <c r="X15" i="1" s="1"/>
  <c r="J15" i="7" s="1"/>
  <c r="R15" i="1" a="1"/>
  <c r="R15" i="1" s="1"/>
  <c r="E15" i="1" a="1"/>
  <c r="E15" i="1" s="1"/>
  <c r="T15" i="1" a="1"/>
  <c r="T15" i="1" s="1"/>
  <c r="A15" i="2"/>
  <c r="V15" i="1" a="1"/>
  <c r="V15" i="1" s="1"/>
  <c r="G15" i="7" s="1"/>
  <c r="AB15" i="1" a="1"/>
  <c r="AB15" i="1" s="1"/>
  <c r="D15" i="1" a="1"/>
  <c r="D15" i="1" s="1"/>
  <c r="AA15" i="1" a="1"/>
  <c r="AA15" i="1" s="1"/>
  <c r="S15" i="1" a="1"/>
  <c r="S15" i="1" s="1"/>
  <c r="AM15" i="1" a="1"/>
  <c r="AM15" i="1" s="1"/>
  <c r="AN15" i="1" a="1"/>
  <c r="AN15" i="1" s="1"/>
  <c r="Y15" i="1" a="1"/>
  <c r="Y15" i="1" s="1"/>
  <c r="K15" i="7" s="1"/>
  <c r="J15" i="1" a="1"/>
  <c r="J15" i="1" s="1"/>
  <c r="C15" i="5" s="1"/>
  <c r="A15" i="4"/>
  <c r="W15" i="1" a="1"/>
  <c r="W15" i="1" s="1"/>
  <c r="I15" i="7" s="1"/>
  <c r="AO15" i="1" a="1"/>
  <c r="AO15" i="1" s="1"/>
  <c r="F15" i="1" a="1"/>
  <c r="F15" i="1" s="1"/>
  <c r="L15" i="1" a="1"/>
  <c r="L15" i="1" s="1"/>
  <c r="E15" i="5" s="1"/>
  <c r="AK15" i="1" a="1"/>
  <c r="AK15" i="1" s="1"/>
  <c r="M15" i="1" a="1"/>
  <c r="M15" i="1" s="1"/>
  <c r="A15" i="3"/>
  <c r="P15" i="1" a="1"/>
  <c r="P15" i="1" s="1"/>
  <c r="AM39" i="1" a="1"/>
  <c r="AM39" i="1" s="1"/>
  <c r="V39" i="1" a="1"/>
  <c r="V39" i="1" s="1"/>
  <c r="L39" i="1" a="1"/>
  <c r="L39" i="1" s="1"/>
  <c r="AJ39" i="1" a="1"/>
  <c r="AJ39" i="1" s="1"/>
  <c r="O39" i="1" a="1"/>
  <c r="O39" i="1" s="1"/>
  <c r="AB39" i="1" a="1"/>
  <c r="AB39" i="1" s="1"/>
  <c r="A39" i="7"/>
  <c r="AG39" i="1" a="1"/>
  <c r="AG39" i="1" s="1"/>
  <c r="H39" i="1" a="1"/>
  <c r="H39" i="1" s="1"/>
  <c r="A39" i="5"/>
  <c r="P39" i="1" a="1"/>
  <c r="P39" i="1" s="1"/>
  <c r="AN39" i="1" a="1"/>
  <c r="AN39" i="1" s="1"/>
  <c r="AH39" i="1" a="1"/>
  <c r="AH39" i="1" s="1"/>
  <c r="AL39" i="1" a="1"/>
  <c r="AL39" i="1" s="1"/>
  <c r="AD39" i="1" a="1"/>
  <c r="AD39" i="1" s="1"/>
  <c r="K39" i="1" a="1"/>
  <c r="K39" i="1" s="1"/>
  <c r="Y39" i="1" a="1"/>
  <c r="Y39" i="1" s="1"/>
  <c r="A39" i="3"/>
  <c r="AE39" i="1" a="1"/>
  <c r="AE39" i="1" s="1"/>
  <c r="I39" i="6" s="1"/>
  <c r="AI39" i="1" a="1"/>
  <c r="AI39" i="1" s="1"/>
  <c r="I39" i="1" a="1"/>
  <c r="I39" i="1" s="1"/>
  <c r="W39" i="1" a="1"/>
  <c r="W39" i="1" s="1"/>
  <c r="F39" i="1" a="1"/>
  <c r="F39" i="1" s="1"/>
  <c r="G39" i="2" s="1"/>
  <c r="D39" i="1" a="1"/>
  <c r="D39" i="1" s="1"/>
  <c r="AO39" i="1" a="1"/>
  <c r="AO39" i="1" s="1"/>
  <c r="A39" i="4"/>
  <c r="B39" i="1" a="1"/>
  <c r="B39" i="1" s="1"/>
  <c r="Q39" i="1" a="1"/>
  <c r="Q39" i="1" s="1"/>
  <c r="K39" i="5" s="1"/>
  <c r="C39" i="1" a="1"/>
  <c r="C39" i="1" s="1"/>
  <c r="N39" i="1" a="1"/>
  <c r="N39" i="1" s="1"/>
  <c r="R39" i="1" a="1"/>
  <c r="R39" i="1" s="1"/>
  <c r="X39" i="1" a="1"/>
  <c r="X39" i="1" s="1"/>
  <c r="AC39" i="1" a="1"/>
  <c r="AC39" i="1" s="1"/>
  <c r="J39" i="1" a="1"/>
  <c r="J39" i="1" s="1"/>
  <c r="M39" i="1" a="1"/>
  <c r="M39" i="1" s="1"/>
  <c r="A39" i="2"/>
  <c r="E39" i="1" a="1"/>
  <c r="E39" i="1" s="1"/>
  <c r="AF39" i="1" a="1"/>
  <c r="AF39" i="1" s="1"/>
  <c r="Z39" i="1" a="1"/>
  <c r="Z39" i="1" s="1"/>
  <c r="U39" i="1" a="1"/>
  <c r="U39" i="1" s="1"/>
  <c r="AA39" i="1" a="1"/>
  <c r="AA39" i="1" s="1"/>
  <c r="S39" i="1" a="1"/>
  <c r="S39" i="1" s="1"/>
  <c r="T39" i="1" a="1"/>
  <c r="T39" i="1" s="1"/>
  <c r="E39" i="7" s="1"/>
  <c r="AK39" i="1" a="1"/>
  <c r="AK39" i="1" s="1"/>
  <c r="G39" i="1" a="1"/>
  <c r="G39" i="1" s="1"/>
  <c r="A39" i="6"/>
  <c r="F71" i="1" a="1"/>
  <c r="F71" i="1" s="1"/>
  <c r="A71" i="6"/>
  <c r="N71" i="1" a="1"/>
  <c r="N71" i="1" s="1"/>
  <c r="AN71" i="1" a="1"/>
  <c r="AN71" i="1" s="1"/>
  <c r="V71" i="1" a="1"/>
  <c r="V71" i="1" s="1"/>
  <c r="H71" i="1" a="1"/>
  <c r="H71" i="1" s="1"/>
  <c r="A71" i="5"/>
  <c r="T71" i="1" a="1"/>
  <c r="T71" i="1" s="1"/>
  <c r="J71" i="1" a="1"/>
  <c r="J71" i="1" s="1"/>
  <c r="C71" i="5" s="1"/>
  <c r="L71" i="5" s="1"/>
  <c r="AO71" i="1" a="1"/>
  <c r="AO71" i="1" s="1"/>
  <c r="S71" i="1" a="1"/>
  <c r="S71" i="1" s="1"/>
  <c r="D71" i="1" a="1"/>
  <c r="D71" i="1" s="1"/>
  <c r="AL71" i="1" a="1"/>
  <c r="AL71" i="1" s="1"/>
  <c r="AI71" i="1" a="1"/>
  <c r="AI71" i="1" s="1"/>
  <c r="AM71" i="1" a="1"/>
  <c r="AM71" i="1" s="1"/>
  <c r="R71" i="1" a="1"/>
  <c r="R71" i="1" s="1"/>
  <c r="AG71" i="1" a="1"/>
  <c r="AG71" i="1" s="1"/>
  <c r="K71" i="6" s="1"/>
  <c r="AB71" i="1" a="1"/>
  <c r="AB71" i="1" s="1"/>
  <c r="AA71" i="1" a="1"/>
  <c r="AA71" i="1" s="1"/>
  <c r="B71" i="1" a="1"/>
  <c r="B71" i="1" s="1"/>
  <c r="AF71" i="1" a="1"/>
  <c r="AF71" i="1" s="1"/>
  <c r="A71" i="3"/>
  <c r="G71" i="1" a="1"/>
  <c r="G71" i="1" s="1"/>
  <c r="A71" i="7"/>
  <c r="O71" i="1" a="1"/>
  <c r="O71" i="1" s="1"/>
  <c r="I71" i="5" s="1"/>
  <c r="I71" i="1" a="1"/>
  <c r="I71" i="1" s="1"/>
  <c r="AK71" i="1" a="1"/>
  <c r="AK71" i="1" s="1"/>
  <c r="A71" i="4"/>
  <c r="AH71" i="1" a="1"/>
  <c r="AH71" i="1" s="1"/>
  <c r="A71" i="2"/>
  <c r="AC71" i="1" a="1"/>
  <c r="AC71" i="1" s="1"/>
  <c r="K71" i="1" a="1"/>
  <c r="K71" i="1" s="1"/>
  <c r="M71" i="1" a="1"/>
  <c r="M71" i="1" s="1"/>
  <c r="F71" i="5" s="1"/>
  <c r="W71" i="1" a="1"/>
  <c r="W71" i="1" s="1"/>
  <c r="U71" i="1" a="1"/>
  <c r="U71" i="1" s="1"/>
  <c r="Y71" i="1" a="1"/>
  <c r="Y71" i="1" s="1"/>
  <c r="X71" i="1" a="1"/>
  <c r="X71" i="1" s="1"/>
  <c r="J71" i="7" s="1"/>
  <c r="P71" i="1" a="1"/>
  <c r="P71" i="1" s="1"/>
  <c r="Z71" i="1" a="1"/>
  <c r="Z71" i="1" s="1"/>
  <c r="C71" i="1" a="1"/>
  <c r="C71" i="1" s="1"/>
  <c r="L71" i="1" a="1"/>
  <c r="L71" i="1" s="1"/>
  <c r="E71" i="5" s="1"/>
  <c r="AE71" i="1" a="1"/>
  <c r="AE71" i="1" s="1"/>
  <c r="AD71" i="1" a="1"/>
  <c r="AD71" i="1" s="1"/>
  <c r="Q71" i="1" a="1"/>
  <c r="Q71" i="1" s="1"/>
  <c r="AJ71" i="1" a="1"/>
  <c r="AJ71" i="1" s="1"/>
  <c r="E71" i="1" a="1"/>
  <c r="E71" i="1" s="1"/>
  <c r="T87" i="1" a="1"/>
  <c r="T87" i="1" s="1"/>
  <c r="O87" i="1" a="1"/>
  <c r="O87" i="1" s="1"/>
  <c r="AB87" i="1" a="1"/>
  <c r="AB87" i="1" s="1"/>
  <c r="E87" i="6" s="1"/>
  <c r="X87" i="1" a="1"/>
  <c r="X87" i="1" s="1"/>
  <c r="F87" i="1" a="1"/>
  <c r="F87" i="1" s="1"/>
  <c r="Y87" i="1" a="1"/>
  <c r="Y87" i="1" s="1"/>
  <c r="AL87" i="1" a="1"/>
  <c r="AL87" i="1" s="1"/>
  <c r="A87" i="3"/>
  <c r="P87" i="1" a="1"/>
  <c r="P87" i="1" s="1"/>
  <c r="AN87" i="1" a="1"/>
  <c r="AN87" i="1" s="1"/>
  <c r="AF87" i="1" a="1"/>
  <c r="AF87" i="1" s="1"/>
  <c r="A87" i="2"/>
  <c r="A87" i="5"/>
  <c r="K87" i="1" a="1"/>
  <c r="K87" i="1" s="1"/>
  <c r="H87" i="1" a="1"/>
  <c r="H87" i="1" s="1"/>
  <c r="AG87" i="1" a="1"/>
  <c r="AG87" i="1" s="1"/>
  <c r="W87" i="1" a="1"/>
  <c r="W87" i="1" s="1"/>
  <c r="L87" i="1" a="1"/>
  <c r="L87" i="1" s="1"/>
  <c r="AJ87" i="1" a="1"/>
  <c r="AJ87" i="1" s="1"/>
  <c r="B87" i="1" a="1"/>
  <c r="B87" i="1" s="1"/>
  <c r="J87" i="1" a="1"/>
  <c r="J87" i="1" s="1"/>
  <c r="AM87" i="1" a="1"/>
  <c r="AM87" i="1" s="1"/>
  <c r="I87" i="1" a="1"/>
  <c r="I87" i="1" s="1"/>
  <c r="S87" i="1" a="1"/>
  <c r="S87" i="1" s="1"/>
  <c r="C87" i="1" a="1"/>
  <c r="C87" i="1" s="1"/>
  <c r="N87" i="1" a="1"/>
  <c r="N87" i="1" s="1"/>
  <c r="M87" i="1" a="1"/>
  <c r="M87" i="1" s="1"/>
  <c r="D87" i="1" a="1"/>
  <c r="D87" i="1" s="1"/>
  <c r="V87" i="1" a="1"/>
  <c r="V87" i="1" s="1"/>
  <c r="G87" i="1" a="1"/>
  <c r="G87" i="1" s="1"/>
  <c r="AD87" i="1" a="1"/>
  <c r="AD87" i="1" s="1"/>
  <c r="AE87" i="1" a="1"/>
  <c r="AE87" i="1" s="1"/>
  <c r="E87" i="1" a="1"/>
  <c r="E87" i="1" s="1"/>
  <c r="R87" i="1" a="1"/>
  <c r="R87" i="1" s="1"/>
  <c r="A87" i="7"/>
  <c r="A87" i="4"/>
  <c r="Z87" i="1" a="1"/>
  <c r="Z87" i="1" s="1"/>
  <c r="AK87" i="1" a="1"/>
  <c r="AK87" i="1" s="1"/>
  <c r="AI87" i="1" a="1"/>
  <c r="AI87" i="1" s="1"/>
  <c r="A87" i="6"/>
  <c r="AA87" i="1" a="1"/>
  <c r="AA87" i="1" s="1"/>
  <c r="AO87" i="1" a="1"/>
  <c r="AO87" i="1" s="1"/>
  <c r="AC87" i="1" a="1"/>
  <c r="AC87" i="1" s="1"/>
  <c r="AH87" i="1" a="1"/>
  <c r="AH87" i="1" s="1"/>
  <c r="Q87" i="1" a="1"/>
  <c r="Q87" i="1" s="1"/>
  <c r="U87" i="1" a="1"/>
  <c r="U87" i="1" s="1"/>
  <c r="A111" i="4"/>
  <c r="A111" i="7"/>
  <c r="A111" i="2"/>
  <c r="A111" i="5"/>
  <c r="A111" i="6"/>
  <c r="A111" i="3"/>
  <c r="AE16" i="1" a="1"/>
  <c r="AE16" i="1" s="1"/>
  <c r="AC16" i="1" a="1"/>
  <c r="AC16" i="1" s="1"/>
  <c r="Z16" i="1" a="1"/>
  <c r="Z16" i="1" s="1"/>
  <c r="U16" i="1" a="1"/>
  <c r="U16" i="1" s="1"/>
  <c r="A16" i="4"/>
  <c r="AD16" i="1" a="1"/>
  <c r="AD16" i="1" s="1"/>
  <c r="AH16" i="1" a="1"/>
  <c r="AH16" i="1" s="1"/>
  <c r="AJ16" i="1" a="1"/>
  <c r="AJ16" i="1" s="1"/>
  <c r="C16" i="1" a="1"/>
  <c r="C16" i="1" s="1"/>
  <c r="AA16" i="1" a="1"/>
  <c r="AA16" i="1" s="1"/>
  <c r="A16" i="3"/>
  <c r="Q16" i="1" a="1"/>
  <c r="Q16" i="1" s="1"/>
  <c r="AI16" i="1" a="1"/>
  <c r="AI16" i="1" s="1"/>
  <c r="S16" i="1" a="1"/>
  <c r="S16" i="1" s="1"/>
  <c r="K16" i="1" a="1"/>
  <c r="K16" i="1" s="1"/>
  <c r="D16" i="5" s="1"/>
  <c r="M16" i="5" s="1"/>
  <c r="W16" i="1" a="1"/>
  <c r="W16" i="1" s="1"/>
  <c r="E16" i="1" a="1"/>
  <c r="E16" i="1" s="1"/>
  <c r="F16" i="2" s="1"/>
  <c r="J16" i="4" s="1"/>
  <c r="X16" i="1" a="1"/>
  <c r="X16" i="1" s="1"/>
  <c r="AN16" i="1" a="1"/>
  <c r="AN16" i="1" s="1"/>
  <c r="J16" i="1" a="1"/>
  <c r="J16" i="1" s="1"/>
  <c r="O16" i="1" a="1"/>
  <c r="O16" i="1" s="1"/>
  <c r="AM16" i="1" a="1"/>
  <c r="AM16" i="1" s="1"/>
  <c r="H16" i="1" a="1"/>
  <c r="H16" i="1" s="1"/>
  <c r="J16" i="2" s="1"/>
  <c r="AK16" i="1" a="1"/>
  <c r="AK16" i="1" s="1"/>
  <c r="A16" i="5"/>
  <c r="T16" i="1" a="1"/>
  <c r="T16" i="1" s="1"/>
  <c r="B16" i="1" a="1"/>
  <c r="B16" i="1" s="1"/>
  <c r="C16" i="2" s="1"/>
  <c r="I16" i="1" a="1"/>
  <c r="I16" i="1" s="1"/>
  <c r="AB16" i="1" a="1"/>
  <c r="AB16" i="1" s="1"/>
  <c r="D16" i="1" a="1"/>
  <c r="D16" i="1" s="1"/>
  <c r="AO16" i="1" a="1"/>
  <c r="AO16" i="1" s="1"/>
  <c r="F16" i="1" a="1"/>
  <c r="F16" i="1" s="1"/>
  <c r="Y16" i="1" a="1"/>
  <c r="Y16" i="1" s="1"/>
  <c r="A16" i="6"/>
  <c r="M16" i="1" a="1"/>
  <c r="M16" i="1" s="1"/>
  <c r="F16" i="5" s="1"/>
  <c r="AG16" i="1" a="1"/>
  <c r="AG16" i="1" s="1"/>
  <c r="K16" i="6" s="1"/>
  <c r="L16" i="1" a="1"/>
  <c r="L16" i="1" s="1"/>
  <c r="E16" i="5" s="1"/>
  <c r="A16" i="7"/>
  <c r="G16" i="1" a="1"/>
  <c r="G16" i="1" s="1"/>
  <c r="I16" i="2" s="1"/>
  <c r="AF16" i="1" a="1"/>
  <c r="AF16" i="1" s="1"/>
  <c r="AL16" i="1" a="1"/>
  <c r="AL16" i="1" s="1"/>
  <c r="V16" i="1" a="1"/>
  <c r="V16" i="1" s="1"/>
  <c r="P16" i="1" a="1"/>
  <c r="P16" i="1" s="1"/>
  <c r="J16" i="5" s="1"/>
  <c r="R16" i="1" a="1"/>
  <c r="R16" i="1" s="1"/>
  <c r="A16" i="2"/>
  <c r="N16" i="1" a="1"/>
  <c r="N16" i="1" s="1"/>
  <c r="G16" i="5" s="1"/>
  <c r="P40" i="1" a="1"/>
  <c r="P40" i="1" s="1"/>
  <c r="J40" i="5" s="1"/>
  <c r="X40" i="1" a="1"/>
  <c r="X40" i="1" s="1"/>
  <c r="M40" i="1" a="1"/>
  <c r="M40" i="1" s="1"/>
  <c r="A40" i="5"/>
  <c r="T40" i="1" a="1"/>
  <c r="T40" i="1" s="1"/>
  <c r="AL40" i="1" a="1"/>
  <c r="AL40" i="1" s="1"/>
  <c r="AA40" i="1" a="1"/>
  <c r="AA40" i="1" s="1"/>
  <c r="AD40" i="1" a="1"/>
  <c r="AD40" i="1" s="1"/>
  <c r="AN40" i="1" a="1"/>
  <c r="AN40" i="1" s="1"/>
  <c r="Q40" i="1" a="1"/>
  <c r="Q40" i="1" s="1"/>
  <c r="A40" i="7"/>
  <c r="AF40" i="1" a="1"/>
  <c r="AF40" i="1" s="1"/>
  <c r="H40" i="1" a="1"/>
  <c r="H40" i="1" s="1"/>
  <c r="W40" i="1" a="1"/>
  <c r="W40" i="1" s="1"/>
  <c r="S40" i="1" a="1"/>
  <c r="S40" i="1" s="1"/>
  <c r="D40" i="7" s="1"/>
  <c r="M40" i="7" s="1"/>
  <c r="G40" i="1" a="1"/>
  <c r="G40" i="1" s="1"/>
  <c r="Y40" i="1" a="1"/>
  <c r="Y40" i="1" s="1"/>
  <c r="A40" i="3"/>
  <c r="AB40" i="1" a="1"/>
  <c r="AB40" i="1" s="1"/>
  <c r="J40" i="1" a="1"/>
  <c r="J40" i="1" s="1"/>
  <c r="L40" i="1" a="1"/>
  <c r="L40" i="1" s="1"/>
  <c r="C40" i="1" a="1"/>
  <c r="C40" i="1" s="1"/>
  <c r="O40" i="1" a="1"/>
  <c r="O40" i="1" s="1"/>
  <c r="E40" i="1" a="1"/>
  <c r="E40" i="1" s="1"/>
  <c r="F40" i="2" s="1"/>
  <c r="A40" i="2"/>
  <c r="Z40" i="1" a="1"/>
  <c r="Z40" i="1" s="1"/>
  <c r="A40" i="6"/>
  <c r="D40" i="1" a="1"/>
  <c r="D40" i="1" s="1"/>
  <c r="AJ40" i="1" a="1"/>
  <c r="AJ40" i="1" s="1"/>
  <c r="K40" i="1" a="1"/>
  <c r="K40" i="1" s="1"/>
  <c r="F40" i="1" a="1"/>
  <c r="F40" i="1" s="1"/>
  <c r="AO40" i="1" a="1"/>
  <c r="AO40" i="1" s="1"/>
  <c r="AG40" i="1" a="1"/>
  <c r="AG40" i="1" s="1"/>
  <c r="K40" i="6" s="1"/>
  <c r="U40" i="1" a="1"/>
  <c r="U40" i="1" s="1"/>
  <c r="AC40" i="1" a="1"/>
  <c r="AC40" i="1" s="1"/>
  <c r="V40" i="1" a="1"/>
  <c r="V40" i="1" s="1"/>
  <c r="A40" i="4"/>
  <c r="I40" i="1" a="1"/>
  <c r="I40" i="1" s="1"/>
  <c r="AH40" i="1" a="1"/>
  <c r="AH40" i="1" s="1"/>
  <c r="R40" i="1" a="1"/>
  <c r="R40" i="1" s="1"/>
  <c r="AK40" i="1" a="1"/>
  <c r="AK40" i="1" s="1"/>
  <c r="AI40" i="1" a="1"/>
  <c r="AI40" i="1" s="1"/>
  <c r="AM40" i="1" a="1"/>
  <c r="AM40" i="1" s="1"/>
  <c r="AE40" i="1" a="1"/>
  <c r="AE40" i="1" s="1"/>
  <c r="B40" i="1" a="1"/>
  <c r="B40" i="1" s="1"/>
  <c r="C40" i="2" s="1"/>
  <c r="N40" i="1" a="1"/>
  <c r="N40" i="1" s="1"/>
  <c r="L18" i="1" a="1"/>
  <c r="L18" i="1" s="1"/>
  <c r="AA18" i="1" a="1"/>
  <c r="AA18" i="1" s="1"/>
  <c r="Z18" i="1" a="1"/>
  <c r="Z18" i="1" s="1"/>
  <c r="C18" i="6" s="1"/>
  <c r="L18" i="6" s="1"/>
  <c r="F18" i="1" a="1"/>
  <c r="F18" i="1" s="1"/>
  <c r="A18" i="7"/>
  <c r="Q18" i="1" a="1"/>
  <c r="Q18" i="1" s="1"/>
  <c r="AK18" i="1" a="1"/>
  <c r="AK18" i="1" s="1"/>
  <c r="R18" i="1" a="1"/>
  <c r="R18" i="1" s="1"/>
  <c r="J18" i="1" a="1"/>
  <c r="J18" i="1" s="1"/>
  <c r="AI18" i="1" a="1"/>
  <c r="AI18" i="1" s="1"/>
  <c r="A18" i="4"/>
  <c r="H18" i="1" a="1"/>
  <c r="H18" i="1" s="1"/>
  <c r="A18" i="6"/>
  <c r="AN18" i="1" a="1"/>
  <c r="AN18" i="1" s="1"/>
  <c r="K18" i="1" a="1"/>
  <c r="K18" i="1" s="1"/>
  <c r="X18" i="1" a="1"/>
  <c r="X18" i="1" s="1"/>
  <c r="B18" i="1" a="1"/>
  <c r="B18" i="1" s="1"/>
  <c r="AJ18" i="1" a="1"/>
  <c r="AJ18" i="1" s="1"/>
  <c r="D18" i="1" a="1"/>
  <c r="D18" i="1" s="1"/>
  <c r="E18" i="2" s="1"/>
  <c r="AO18" i="1" a="1"/>
  <c r="AO18" i="1" s="1"/>
  <c r="AH18" i="1" a="1"/>
  <c r="AH18" i="1" s="1"/>
  <c r="Y18" i="1" a="1"/>
  <c r="Y18" i="1" s="1"/>
  <c r="M18" i="1" a="1"/>
  <c r="M18" i="1" s="1"/>
  <c r="F18" i="5" s="1"/>
  <c r="AD18" i="1" a="1"/>
  <c r="AD18" i="1" s="1"/>
  <c r="AC18" i="1" a="1"/>
  <c r="AC18" i="1" s="1"/>
  <c r="U18" i="1" a="1"/>
  <c r="U18" i="1" s="1"/>
  <c r="E18" i="1" a="1"/>
  <c r="E18" i="1" s="1"/>
  <c r="F18" i="2" s="1"/>
  <c r="G18" i="1" a="1"/>
  <c r="G18" i="1" s="1"/>
  <c r="A18" i="2"/>
  <c r="AB18" i="1" a="1"/>
  <c r="AB18" i="1" s="1"/>
  <c r="S18" i="1" a="1"/>
  <c r="S18" i="1" s="1"/>
  <c r="D18" i="7" s="1"/>
  <c r="M18" i="7" s="1"/>
  <c r="AL18" i="1" a="1"/>
  <c r="AL18" i="1" s="1"/>
  <c r="AG18" i="1" a="1"/>
  <c r="AG18" i="1" s="1"/>
  <c r="O18" i="1" a="1"/>
  <c r="O18" i="1" s="1"/>
  <c r="N18" i="1" a="1"/>
  <c r="N18" i="1" s="1"/>
  <c r="G18" i="5" s="1"/>
  <c r="T18" i="1" a="1"/>
  <c r="T18" i="1" s="1"/>
  <c r="A18" i="5"/>
  <c r="AE18" i="1" a="1"/>
  <c r="AE18" i="1" s="1"/>
  <c r="AM18" i="1" a="1"/>
  <c r="AM18" i="1" s="1"/>
  <c r="W18" i="1" a="1"/>
  <c r="W18" i="1" s="1"/>
  <c r="V18" i="1" a="1"/>
  <c r="V18" i="1" s="1"/>
  <c r="I18" i="1" a="1"/>
  <c r="I18" i="1" s="1"/>
  <c r="P18" i="1" a="1"/>
  <c r="P18" i="1" s="1"/>
  <c r="J18" i="5" s="1"/>
  <c r="A18" i="3"/>
  <c r="AF18" i="1" a="1"/>
  <c r="AF18" i="1" s="1"/>
  <c r="C18" i="1" a="1"/>
  <c r="C18" i="1" s="1"/>
  <c r="U26" i="1" a="1"/>
  <c r="U26" i="1" s="1"/>
  <c r="AE26" i="1" a="1"/>
  <c r="AE26" i="1" s="1"/>
  <c r="AL26" i="1" a="1"/>
  <c r="AL26" i="1" s="1"/>
  <c r="L26" i="1" a="1"/>
  <c r="L26" i="1" s="1"/>
  <c r="K26" i="1" a="1"/>
  <c r="K26" i="1" s="1"/>
  <c r="D26" i="5" s="1"/>
  <c r="M26" i="5" s="1"/>
  <c r="Q26" i="1" a="1"/>
  <c r="Q26" i="1" s="1"/>
  <c r="P26" i="1" a="1"/>
  <c r="P26" i="1" s="1"/>
  <c r="AC26" i="1" a="1"/>
  <c r="AC26" i="1" s="1"/>
  <c r="A26" i="3"/>
  <c r="AA26" i="1" a="1"/>
  <c r="AA26" i="1" s="1"/>
  <c r="J26" i="1" a="1"/>
  <c r="J26" i="1" s="1"/>
  <c r="F26" i="1" a="1"/>
  <c r="F26" i="1" s="1"/>
  <c r="R26" i="1" a="1"/>
  <c r="R26" i="1" s="1"/>
  <c r="T26" i="1" a="1"/>
  <c r="T26" i="1" s="1"/>
  <c r="A26" i="7"/>
  <c r="X26" i="1" a="1"/>
  <c r="X26" i="1" s="1"/>
  <c r="AH26" i="1" a="1"/>
  <c r="AH26" i="1" s="1"/>
  <c r="D26" i="1" a="1"/>
  <c r="D26" i="1" s="1"/>
  <c r="AI26" i="1" a="1"/>
  <c r="AI26" i="1" s="1"/>
  <c r="AM26" i="1" a="1"/>
  <c r="AM26" i="1" s="1"/>
  <c r="I26" i="1" a="1"/>
  <c r="I26" i="1" s="1"/>
  <c r="K26" i="2" s="1"/>
  <c r="O26" i="4" s="1"/>
  <c r="W26" i="1" a="1"/>
  <c r="W26" i="1" s="1"/>
  <c r="AB26" i="1" a="1"/>
  <c r="AB26" i="1" s="1"/>
  <c r="AG26" i="1" a="1"/>
  <c r="AG26" i="1" s="1"/>
  <c r="A26" i="6"/>
  <c r="AO26" i="1" a="1"/>
  <c r="AO26" i="1" s="1"/>
  <c r="O26" i="1" a="1"/>
  <c r="O26" i="1" s="1"/>
  <c r="AD26" i="1" a="1"/>
  <c r="AD26" i="1" s="1"/>
  <c r="H26" i="1" a="1"/>
  <c r="H26" i="1" s="1"/>
  <c r="E26" i="1" a="1"/>
  <c r="E26" i="1" s="1"/>
  <c r="G26" i="1" a="1"/>
  <c r="G26" i="1" s="1"/>
  <c r="AK26" i="1" a="1"/>
  <c r="AK26" i="1" s="1"/>
  <c r="AJ26" i="1" a="1"/>
  <c r="AJ26" i="1" s="1"/>
  <c r="A26" i="5"/>
  <c r="AN26" i="1" a="1"/>
  <c r="AN26" i="1" s="1"/>
  <c r="V26" i="1" a="1"/>
  <c r="V26" i="1" s="1"/>
  <c r="G26" i="7" s="1"/>
  <c r="M26" i="1" a="1"/>
  <c r="M26" i="1" s="1"/>
  <c r="F26" i="5" s="1"/>
  <c r="A26" i="4"/>
  <c r="C26" i="1" a="1"/>
  <c r="C26" i="1" s="1"/>
  <c r="S26" i="1" a="1"/>
  <c r="S26" i="1" s="1"/>
  <c r="Z26" i="1" a="1"/>
  <c r="Z26" i="1" s="1"/>
  <c r="B26" i="1" a="1"/>
  <c r="B26" i="1" s="1"/>
  <c r="A26" i="2"/>
  <c r="N26" i="1" a="1"/>
  <c r="N26" i="1" s="1"/>
  <c r="G26" i="5" s="1"/>
  <c r="AF26" i="1" a="1"/>
  <c r="AF26" i="1" s="1"/>
  <c r="J26" i="6" s="1"/>
  <c r="Y26" i="1" a="1"/>
  <c r="Y26" i="1" s="1"/>
  <c r="X42" i="1" a="1"/>
  <c r="X42" i="1" s="1"/>
  <c r="S42" i="1" a="1"/>
  <c r="S42" i="1" s="1"/>
  <c r="AB42" i="1" a="1"/>
  <c r="AB42" i="1" s="1"/>
  <c r="A42" i="3"/>
  <c r="AG42" i="1" a="1"/>
  <c r="AG42" i="1" s="1"/>
  <c r="N42" i="1" a="1"/>
  <c r="N42" i="1" s="1"/>
  <c r="O42" i="1" a="1"/>
  <c r="O42" i="1" s="1"/>
  <c r="I42" i="5" s="1"/>
  <c r="A42" i="4"/>
  <c r="W42" i="1" a="1"/>
  <c r="W42" i="1" s="1"/>
  <c r="AH42" i="1" a="1"/>
  <c r="AH42" i="1" s="1"/>
  <c r="A42" i="7"/>
  <c r="E42" i="1" a="1"/>
  <c r="E42" i="1" s="1"/>
  <c r="C42" i="1" a="1"/>
  <c r="C42" i="1" s="1"/>
  <c r="B42" i="1" a="1"/>
  <c r="B42" i="1" s="1"/>
  <c r="U42" i="1" a="1"/>
  <c r="U42" i="1" s="1"/>
  <c r="F42" i="7" s="1"/>
  <c r="I42" i="1" a="1"/>
  <c r="I42" i="1" s="1"/>
  <c r="Z42" i="1" a="1"/>
  <c r="Z42" i="1" s="1"/>
  <c r="K42" i="1" a="1"/>
  <c r="K42" i="1" s="1"/>
  <c r="D42" i="1" a="1"/>
  <c r="D42" i="1" s="1"/>
  <c r="E42" i="2" s="1"/>
  <c r="I42" i="4" s="1"/>
  <c r="J42" i="1" a="1"/>
  <c r="J42" i="1" s="1"/>
  <c r="AE42" i="1" a="1"/>
  <c r="AE42" i="1" s="1"/>
  <c r="T42" i="1" a="1"/>
  <c r="T42" i="1" s="1"/>
  <c r="AM42" i="1" a="1"/>
  <c r="AM42" i="1" s="1"/>
  <c r="V42" i="1" a="1"/>
  <c r="V42" i="1" s="1"/>
  <c r="G42" i="1" a="1"/>
  <c r="G42" i="1" s="1"/>
  <c r="AI42" i="1" a="1"/>
  <c r="AI42" i="1" s="1"/>
  <c r="A42" i="6"/>
  <c r="AL42" i="1" a="1"/>
  <c r="AL42" i="1" s="1"/>
  <c r="AF42" i="1" a="1"/>
  <c r="AF42" i="1" s="1"/>
  <c r="AC42" i="1" a="1"/>
  <c r="AC42" i="1" s="1"/>
  <c r="P42" i="1" a="1"/>
  <c r="P42" i="1" s="1"/>
  <c r="J42" i="5" s="1"/>
  <c r="F42" i="1" a="1"/>
  <c r="F42" i="1" s="1"/>
  <c r="R42" i="1" a="1"/>
  <c r="R42" i="1" s="1"/>
  <c r="C42" i="7" s="1"/>
  <c r="L42" i="7" s="1"/>
  <c r="AO42" i="1" a="1"/>
  <c r="AO42" i="1" s="1"/>
  <c r="A42" i="5"/>
  <c r="AA42" i="1" a="1"/>
  <c r="AA42" i="1" s="1"/>
  <c r="AD42" i="1" a="1"/>
  <c r="AD42" i="1" s="1"/>
  <c r="Q42" i="1" a="1"/>
  <c r="Q42" i="1" s="1"/>
  <c r="AN42" i="1" a="1"/>
  <c r="AN42" i="1" s="1"/>
  <c r="AJ42" i="1" a="1"/>
  <c r="AJ42" i="1" s="1"/>
  <c r="H42" i="1" a="1"/>
  <c r="H42" i="1" s="1"/>
  <c r="M42" i="1" a="1"/>
  <c r="M42" i="1" s="1"/>
  <c r="L42" i="1" a="1"/>
  <c r="L42" i="1" s="1"/>
  <c r="E42" i="5" s="1"/>
  <c r="AK42" i="1" a="1"/>
  <c r="AK42" i="1" s="1"/>
  <c r="Y42" i="1" a="1"/>
  <c r="Y42" i="1" s="1"/>
  <c r="K42" i="7" s="1"/>
  <c r="A42" i="2"/>
  <c r="AL58" i="1" a="1"/>
  <c r="AL58" i="1" s="1"/>
  <c r="E58" i="1" a="1"/>
  <c r="E58" i="1" s="1"/>
  <c r="AD58" i="1" a="1"/>
  <c r="AD58" i="1" s="1"/>
  <c r="N58" i="1" a="1"/>
  <c r="N58" i="1" s="1"/>
  <c r="AE58" i="1" a="1"/>
  <c r="AE58" i="1" s="1"/>
  <c r="A58" i="7"/>
  <c r="G58" i="1" a="1"/>
  <c r="G58" i="1" s="1"/>
  <c r="K58" i="1" a="1"/>
  <c r="K58" i="1" s="1"/>
  <c r="T58" i="1" a="1"/>
  <c r="T58" i="1" s="1"/>
  <c r="E58" i="7" s="1"/>
  <c r="AG58" i="1" a="1"/>
  <c r="AG58" i="1" s="1"/>
  <c r="M58" i="1" a="1"/>
  <c r="M58" i="1" s="1"/>
  <c r="B58" i="1" a="1"/>
  <c r="B58" i="1" s="1"/>
  <c r="R58" i="1" a="1"/>
  <c r="R58" i="1" s="1"/>
  <c r="AO58" i="1" a="1"/>
  <c r="AO58" i="1" s="1"/>
  <c r="AF58" i="1" a="1"/>
  <c r="AF58" i="1" s="1"/>
  <c r="Y58" i="1" a="1"/>
  <c r="Y58" i="1" s="1"/>
  <c r="Z58" i="1" a="1"/>
  <c r="Z58" i="1" s="1"/>
  <c r="V58" i="1" a="1"/>
  <c r="V58" i="1" s="1"/>
  <c r="A58" i="6"/>
  <c r="A58" i="4"/>
  <c r="AM58" i="1" a="1"/>
  <c r="AM58" i="1" s="1"/>
  <c r="C58" i="1" a="1"/>
  <c r="C58" i="1" s="1"/>
  <c r="AA58" i="1" a="1"/>
  <c r="AA58" i="1" s="1"/>
  <c r="AH58" i="1" a="1"/>
  <c r="AH58" i="1" s="1"/>
  <c r="AN58" i="1" a="1"/>
  <c r="AN58" i="1" s="1"/>
  <c r="X58" i="1" a="1"/>
  <c r="X58" i="1" s="1"/>
  <c r="AB58" i="1" a="1"/>
  <c r="AB58" i="1" s="1"/>
  <c r="P58" i="1" a="1"/>
  <c r="P58" i="1" s="1"/>
  <c r="I58" i="1" a="1"/>
  <c r="I58" i="1" s="1"/>
  <c r="K58" i="2" s="1"/>
  <c r="D58" i="1" a="1"/>
  <c r="D58" i="1" s="1"/>
  <c r="W58" i="1" a="1"/>
  <c r="W58" i="1" s="1"/>
  <c r="A58" i="3"/>
  <c r="A58" i="2"/>
  <c r="S58" i="1" a="1"/>
  <c r="S58" i="1" s="1"/>
  <c r="O58" i="1" a="1"/>
  <c r="O58" i="1" s="1"/>
  <c r="Q58" i="1" a="1"/>
  <c r="Q58" i="1" s="1"/>
  <c r="U58" i="1" a="1"/>
  <c r="U58" i="1" s="1"/>
  <c r="A58" i="5"/>
  <c r="L58" i="1" a="1"/>
  <c r="L58" i="1" s="1"/>
  <c r="AC58" i="1" a="1"/>
  <c r="AC58" i="1" s="1"/>
  <c r="H58" i="1" a="1"/>
  <c r="H58" i="1" s="1"/>
  <c r="J58" i="2" s="1"/>
  <c r="N58" i="4" s="1"/>
  <c r="AJ58" i="1" a="1"/>
  <c r="AJ58" i="1" s="1"/>
  <c r="J58" i="1" a="1"/>
  <c r="J58" i="1" s="1"/>
  <c r="F58" i="1" a="1"/>
  <c r="F58" i="1" s="1"/>
  <c r="G58" i="2" s="1"/>
  <c r="AI58" i="1" a="1"/>
  <c r="AI58" i="1" s="1"/>
  <c r="AK58" i="1" a="1"/>
  <c r="AK58" i="1" s="1"/>
  <c r="Y66" i="1" a="1"/>
  <c r="Y66" i="1" s="1"/>
  <c r="A66" i="4"/>
  <c r="D66" i="1" a="1"/>
  <c r="D66" i="1" s="1"/>
  <c r="E66" i="2" s="1"/>
  <c r="A66" i="3"/>
  <c r="AE66" i="1" a="1"/>
  <c r="AE66" i="1" s="1"/>
  <c r="AC66" i="1" a="1"/>
  <c r="AC66" i="1" s="1"/>
  <c r="AM66" i="1" a="1"/>
  <c r="AM66" i="1" s="1"/>
  <c r="M66" i="1" a="1"/>
  <c r="M66" i="1" s="1"/>
  <c r="X66" i="1" a="1"/>
  <c r="X66" i="1" s="1"/>
  <c r="C66" i="1" a="1"/>
  <c r="C66" i="1" s="1"/>
  <c r="K66" i="1" a="1"/>
  <c r="K66" i="1" s="1"/>
  <c r="D66" i="5" s="1"/>
  <c r="M66" i="5" s="1"/>
  <c r="S66" i="1" a="1"/>
  <c r="S66" i="1" s="1"/>
  <c r="W66" i="1" a="1"/>
  <c r="W66" i="1" s="1"/>
  <c r="I66" i="7" s="1"/>
  <c r="AH66" i="1" a="1"/>
  <c r="AH66" i="1" s="1"/>
  <c r="AO66" i="1" a="1"/>
  <c r="AO66" i="1" s="1"/>
  <c r="AB66" i="1" a="1"/>
  <c r="AB66" i="1" s="1"/>
  <c r="AG66" i="1" a="1"/>
  <c r="AG66" i="1" s="1"/>
  <c r="F66" i="1" a="1"/>
  <c r="F66" i="1" s="1"/>
  <c r="A66" i="7"/>
  <c r="O66" i="1" a="1"/>
  <c r="O66" i="1" s="1"/>
  <c r="R66" i="1" a="1"/>
  <c r="R66" i="1" s="1"/>
  <c r="P66" i="1" a="1"/>
  <c r="P66" i="1" s="1"/>
  <c r="L66" i="1" a="1"/>
  <c r="L66" i="1" s="1"/>
  <c r="AA66" i="1" a="1"/>
  <c r="AA66" i="1" s="1"/>
  <c r="A66" i="5"/>
  <c r="AJ66" i="1" a="1"/>
  <c r="AJ66" i="1" s="1"/>
  <c r="J66" i="1" a="1"/>
  <c r="J66" i="1" s="1"/>
  <c r="AF66" i="1" a="1"/>
  <c r="AF66" i="1" s="1"/>
  <c r="AD66" i="1" a="1"/>
  <c r="AD66" i="1" s="1"/>
  <c r="I66" i="1" a="1"/>
  <c r="I66" i="1" s="1"/>
  <c r="AK66" i="1" a="1"/>
  <c r="AK66" i="1" s="1"/>
  <c r="N66" i="1" a="1"/>
  <c r="N66" i="1" s="1"/>
  <c r="A66" i="2"/>
  <c r="U66" i="1" a="1"/>
  <c r="U66" i="1" s="1"/>
  <c r="AN66" i="1" a="1"/>
  <c r="AN66" i="1" s="1"/>
  <c r="G66" i="1" a="1"/>
  <c r="G66" i="1" s="1"/>
  <c r="Q66" i="1" a="1"/>
  <c r="Q66" i="1" s="1"/>
  <c r="A66" i="6"/>
  <c r="H66" i="1" a="1"/>
  <c r="H66" i="1" s="1"/>
  <c r="B66" i="1" a="1"/>
  <c r="B66" i="1" s="1"/>
  <c r="V66" i="1" a="1"/>
  <c r="V66" i="1" s="1"/>
  <c r="AI66" i="1" a="1"/>
  <c r="AI66" i="1" s="1"/>
  <c r="E66" i="1" a="1"/>
  <c r="E66" i="1" s="1"/>
  <c r="F66" i="2" s="1"/>
  <c r="T66" i="1" a="1"/>
  <c r="T66" i="1" s="1"/>
  <c r="AL66" i="1" a="1"/>
  <c r="AL66" i="1" s="1"/>
  <c r="Z66" i="1" a="1"/>
  <c r="Z66" i="1" s="1"/>
  <c r="A74" i="2"/>
  <c r="X74" i="1" a="1"/>
  <c r="X74" i="1" s="1"/>
  <c r="V74" i="1" a="1"/>
  <c r="V74" i="1" s="1"/>
  <c r="AA74" i="1" a="1"/>
  <c r="AA74" i="1" s="1"/>
  <c r="K74" i="1" a="1"/>
  <c r="K74" i="1" s="1"/>
  <c r="D74" i="5" s="1"/>
  <c r="M74" i="5" s="1"/>
  <c r="AB74" i="1" a="1"/>
  <c r="AB74" i="1" s="1"/>
  <c r="Z74" i="1" a="1"/>
  <c r="Z74" i="1" s="1"/>
  <c r="A74" i="5"/>
  <c r="J74" i="1" a="1"/>
  <c r="J74" i="1" s="1"/>
  <c r="U74" i="1" a="1"/>
  <c r="U74" i="1" s="1"/>
  <c r="AH74" i="1" a="1"/>
  <c r="AH74" i="1" s="1"/>
  <c r="T74" i="1" a="1"/>
  <c r="T74" i="1" s="1"/>
  <c r="S74" i="1" a="1"/>
  <c r="S74" i="1" s="1"/>
  <c r="D74" i="7" s="1"/>
  <c r="M74" i="7" s="1"/>
  <c r="AL74" i="1" a="1"/>
  <c r="AL74" i="1" s="1"/>
  <c r="AG74" i="1" a="1"/>
  <c r="AG74" i="1" s="1"/>
  <c r="H74" i="1" a="1"/>
  <c r="H74" i="1" s="1"/>
  <c r="A74" i="7"/>
  <c r="AD74" i="1" a="1"/>
  <c r="AD74" i="1" s="1"/>
  <c r="AJ74" i="1" a="1"/>
  <c r="AJ74" i="1" s="1"/>
  <c r="AE74" i="1" a="1"/>
  <c r="AE74" i="1" s="1"/>
  <c r="C74" i="1" a="1"/>
  <c r="C74" i="1" s="1"/>
  <c r="D74" i="2" s="1"/>
  <c r="AC74" i="1" a="1"/>
  <c r="AC74" i="1" s="1"/>
  <c r="E74" i="1" a="1"/>
  <c r="E74" i="1" s="1"/>
  <c r="A74" i="6"/>
  <c r="M74" i="1" a="1"/>
  <c r="M74" i="1" s="1"/>
  <c r="R74" i="1" a="1"/>
  <c r="R74" i="1" s="1"/>
  <c r="D74" i="1" a="1"/>
  <c r="D74" i="1" s="1"/>
  <c r="AI74" i="1" a="1"/>
  <c r="AI74" i="1" s="1"/>
  <c r="N74" i="1" a="1"/>
  <c r="N74" i="1" s="1"/>
  <c r="G74" i="5" s="1"/>
  <c r="Q74" i="1" a="1"/>
  <c r="Q74" i="1" s="1"/>
  <c r="AN74" i="1" a="1"/>
  <c r="AN74" i="1" s="1"/>
  <c r="AF74" i="1" a="1"/>
  <c r="AF74" i="1" s="1"/>
  <c r="B74" i="1" a="1"/>
  <c r="B74" i="1" s="1"/>
  <c r="A74" i="3"/>
  <c r="L74" i="1" a="1"/>
  <c r="L74" i="1" s="1"/>
  <c r="O74" i="1" a="1"/>
  <c r="O74" i="1" s="1"/>
  <c r="I74" i="5" s="1"/>
  <c r="AO74" i="1" a="1"/>
  <c r="AO74" i="1" s="1"/>
  <c r="AK74" i="1" a="1"/>
  <c r="AK74" i="1" s="1"/>
  <c r="G74" i="1" a="1"/>
  <c r="G74" i="1" s="1"/>
  <c r="F74" i="1" a="1"/>
  <c r="F74" i="1" s="1"/>
  <c r="P74" i="1" a="1"/>
  <c r="P74" i="1" s="1"/>
  <c r="I74" i="1" a="1"/>
  <c r="I74" i="1" s="1"/>
  <c r="Y74" i="1" a="1"/>
  <c r="Y74" i="1" s="1"/>
  <c r="W74" i="1" a="1"/>
  <c r="W74" i="1" s="1"/>
  <c r="I74" i="7" s="1"/>
  <c r="A74" i="4"/>
  <c r="AM74" i="1" a="1"/>
  <c r="AM74" i="1" s="1"/>
  <c r="AJ90" i="1" a="1"/>
  <c r="AJ90" i="1" s="1"/>
  <c r="AF90" i="1" a="1"/>
  <c r="AF90" i="1" s="1"/>
  <c r="AD90" i="1" a="1"/>
  <c r="AD90" i="1" s="1"/>
  <c r="I90" i="1" a="1"/>
  <c r="I90" i="1" s="1"/>
  <c r="N90" i="1" a="1"/>
  <c r="N90" i="1" s="1"/>
  <c r="A90" i="7"/>
  <c r="K90" i="1" a="1"/>
  <c r="K90" i="1" s="1"/>
  <c r="D90" i="5" s="1"/>
  <c r="M90" i="5" s="1"/>
  <c r="W90" i="1" a="1"/>
  <c r="W90" i="1" s="1"/>
  <c r="G90" i="1" a="1"/>
  <c r="G90" i="1" s="1"/>
  <c r="A90" i="6"/>
  <c r="AO90" i="1" a="1"/>
  <c r="AO90" i="1" s="1"/>
  <c r="P90" i="1" a="1"/>
  <c r="P90" i="1" s="1"/>
  <c r="AN90" i="1" a="1"/>
  <c r="AN90" i="1" s="1"/>
  <c r="D90" i="1" a="1"/>
  <c r="D90" i="1" s="1"/>
  <c r="F90" i="1" a="1"/>
  <c r="F90" i="1" s="1"/>
  <c r="B90" i="1" a="1"/>
  <c r="B90" i="1" s="1"/>
  <c r="X90" i="1" a="1"/>
  <c r="X90" i="1" s="1"/>
  <c r="A90" i="2"/>
  <c r="Y90" i="1" a="1"/>
  <c r="Y90" i="1" s="1"/>
  <c r="E90" i="1" a="1"/>
  <c r="E90" i="1" s="1"/>
  <c r="AL90" i="1" a="1"/>
  <c r="AL90" i="1" s="1"/>
  <c r="AB90" i="1" a="1"/>
  <c r="AB90" i="1" s="1"/>
  <c r="AG90" i="1" a="1"/>
  <c r="AG90" i="1" s="1"/>
  <c r="M90" i="1" a="1"/>
  <c r="M90" i="1" s="1"/>
  <c r="S90" i="1" a="1"/>
  <c r="S90" i="1" s="1"/>
  <c r="L90" i="1" a="1"/>
  <c r="L90" i="1" s="1"/>
  <c r="Z90" i="1" a="1"/>
  <c r="Z90" i="1" s="1"/>
  <c r="A90" i="5"/>
  <c r="T90" i="1" a="1"/>
  <c r="T90" i="1" s="1"/>
  <c r="AI90" i="1" a="1"/>
  <c r="AI90" i="1" s="1"/>
  <c r="U90" i="1" a="1"/>
  <c r="U90" i="1" s="1"/>
  <c r="F90" i="7" s="1"/>
  <c r="O90" i="1" a="1"/>
  <c r="O90" i="1" s="1"/>
  <c r="R90" i="1" a="1"/>
  <c r="R90" i="1" s="1"/>
  <c r="Q90" i="1" a="1"/>
  <c r="Q90" i="1" s="1"/>
  <c r="AC90" i="1" a="1"/>
  <c r="AC90" i="1" s="1"/>
  <c r="AM90" i="1" a="1"/>
  <c r="AM90" i="1" s="1"/>
  <c r="A90" i="3"/>
  <c r="AE90" i="1" a="1"/>
  <c r="AE90" i="1" s="1"/>
  <c r="AH90" i="1" a="1"/>
  <c r="AH90" i="1" s="1"/>
  <c r="C90" i="1" a="1"/>
  <c r="C90" i="1" s="1"/>
  <c r="J90" i="1" a="1"/>
  <c r="J90" i="1" s="1"/>
  <c r="AK90" i="1" a="1"/>
  <c r="AK90" i="1" s="1"/>
  <c r="V90" i="1" a="1"/>
  <c r="V90" i="1" s="1"/>
  <c r="G90" i="7" s="1"/>
  <c r="H90" i="1" a="1"/>
  <c r="H90" i="1" s="1"/>
  <c r="AA90" i="1" a="1"/>
  <c r="AA90" i="1" s="1"/>
  <c r="A90" i="4"/>
  <c r="U11" i="1" a="1"/>
  <c r="U11" i="1" s="1"/>
  <c r="F11" i="7" s="1"/>
  <c r="V11" i="1" a="1"/>
  <c r="V11" i="1" s="1"/>
  <c r="P11" i="1" a="1"/>
  <c r="P11" i="1" s="1"/>
  <c r="N11" i="1" a="1"/>
  <c r="N11" i="1" s="1"/>
  <c r="A11" i="4"/>
  <c r="F11" i="1" a="1"/>
  <c r="F11" i="1" s="1"/>
  <c r="W11" i="1" a="1"/>
  <c r="W11" i="1" s="1"/>
  <c r="I11" i="7" s="1"/>
  <c r="Q11" i="1" a="1"/>
  <c r="Q11" i="1" s="1"/>
  <c r="D11" i="1" a="1"/>
  <c r="D11" i="1" s="1"/>
  <c r="Z11" i="1" a="1"/>
  <c r="Z11" i="1" s="1"/>
  <c r="AD11" i="1" a="1"/>
  <c r="AD11" i="1" s="1"/>
  <c r="T11" i="1" a="1"/>
  <c r="T11" i="1" s="1"/>
  <c r="AC11" i="1" a="1"/>
  <c r="AC11" i="1" s="1"/>
  <c r="A11" i="5"/>
  <c r="K11" i="1" a="1"/>
  <c r="K11" i="1" s="1"/>
  <c r="AK11" i="1" a="1"/>
  <c r="AK11" i="1" s="1"/>
  <c r="A11" i="3"/>
  <c r="A11" i="7"/>
  <c r="M11" i="1" a="1"/>
  <c r="M11" i="1" s="1"/>
  <c r="S11" i="1" a="1"/>
  <c r="S11" i="1" s="1"/>
  <c r="AM11" i="1" a="1"/>
  <c r="AM11" i="1" s="1"/>
  <c r="AI11" i="1" a="1"/>
  <c r="AI11" i="1" s="1"/>
  <c r="E11" i="1" a="1"/>
  <c r="E11" i="1" s="1"/>
  <c r="AL11" i="1" a="1"/>
  <c r="AL11" i="1" s="1"/>
  <c r="B11" i="1" a="1"/>
  <c r="B11" i="1" s="1"/>
  <c r="C11" i="2" s="1"/>
  <c r="AN11" i="1" a="1"/>
  <c r="AN11" i="1" s="1"/>
  <c r="C11" i="1" a="1"/>
  <c r="C11" i="1" s="1"/>
  <c r="AO11" i="1" a="1"/>
  <c r="AO11" i="1" s="1"/>
  <c r="A11" i="2"/>
  <c r="AA11" i="1" a="1"/>
  <c r="AA11" i="1" s="1"/>
  <c r="Y11" i="1" a="1"/>
  <c r="Y11" i="1" s="1"/>
  <c r="K11" i="7" s="1"/>
  <c r="L11" i="1" a="1"/>
  <c r="L11" i="1" s="1"/>
  <c r="AJ11" i="1" a="1"/>
  <c r="AJ11" i="1" s="1"/>
  <c r="A11" i="6"/>
  <c r="O11" i="1" a="1"/>
  <c r="O11" i="1" s="1"/>
  <c r="AB11" i="1" a="1"/>
  <c r="AB11" i="1" s="1"/>
  <c r="X11" i="1" a="1"/>
  <c r="X11" i="1" s="1"/>
  <c r="J11" i="7" s="1"/>
  <c r="AH11" i="1" a="1"/>
  <c r="AH11" i="1" s="1"/>
  <c r="J11" i="1" a="1"/>
  <c r="J11" i="1" s="1"/>
  <c r="R11" i="1" a="1"/>
  <c r="R11" i="1" s="1"/>
  <c r="D19" i="1" a="1"/>
  <c r="D19" i="1" s="1"/>
  <c r="E19" i="2" s="1"/>
  <c r="I19" i="4" s="1"/>
  <c r="Z19" i="1" a="1"/>
  <c r="Z19" i="1" s="1"/>
  <c r="A19" i="4"/>
  <c r="Y19" i="1" a="1"/>
  <c r="Y19" i="1" s="1"/>
  <c r="S19" i="1" a="1"/>
  <c r="S19" i="1" s="1"/>
  <c r="U19" i="1" a="1"/>
  <c r="U19" i="1" s="1"/>
  <c r="G19" i="1" a="1"/>
  <c r="G19" i="1" s="1"/>
  <c r="AL19" i="1" a="1"/>
  <c r="AL19" i="1" s="1"/>
  <c r="T19" i="1" a="1"/>
  <c r="T19" i="1" s="1"/>
  <c r="E19" i="7" s="1"/>
  <c r="B19" i="1" a="1"/>
  <c r="B19" i="1" s="1"/>
  <c r="C19" i="2" s="1"/>
  <c r="O19" i="1" a="1"/>
  <c r="O19" i="1" s="1"/>
  <c r="K19" i="1" a="1"/>
  <c r="K19" i="1" s="1"/>
  <c r="AC19" i="1" a="1"/>
  <c r="AC19" i="1" s="1"/>
  <c r="X19" i="1" a="1"/>
  <c r="X19" i="1" s="1"/>
  <c r="AO19" i="1" a="1"/>
  <c r="AO19" i="1" s="1"/>
  <c r="A19" i="5"/>
  <c r="C19" i="1" a="1"/>
  <c r="C19" i="1" s="1"/>
  <c r="AK19" i="1" a="1"/>
  <c r="AK19" i="1" s="1"/>
  <c r="AA19" i="1" a="1"/>
  <c r="AA19" i="1" s="1"/>
  <c r="AH19" i="1" a="1"/>
  <c r="AH19" i="1" s="1"/>
  <c r="AD19" i="1" a="1"/>
  <c r="AD19" i="1" s="1"/>
  <c r="H19" i="1" a="1"/>
  <c r="H19" i="1" s="1"/>
  <c r="A19" i="3"/>
  <c r="AG19" i="1" a="1"/>
  <c r="AG19" i="1" s="1"/>
  <c r="Q19" i="1" a="1"/>
  <c r="Q19" i="1" s="1"/>
  <c r="K19" i="5" s="1"/>
  <c r="P19" i="1" a="1"/>
  <c r="P19" i="1" s="1"/>
  <c r="A19" i="2"/>
  <c r="A19" i="6"/>
  <c r="AI19" i="1" a="1"/>
  <c r="AI19" i="1" s="1"/>
  <c r="E19" i="1" a="1"/>
  <c r="E19" i="1" s="1"/>
  <c r="F19" i="1" a="1"/>
  <c r="F19" i="1" s="1"/>
  <c r="AB19" i="1" a="1"/>
  <c r="AB19" i="1" s="1"/>
  <c r="A19" i="7"/>
  <c r="I19" i="1" a="1"/>
  <c r="I19" i="1" s="1"/>
  <c r="W19" i="1" a="1"/>
  <c r="W19" i="1" s="1"/>
  <c r="L19" i="1" a="1"/>
  <c r="L19" i="1" s="1"/>
  <c r="V19" i="1" a="1"/>
  <c r="V19" i="1" s="1"/>
  <c r="G19" i="7" s="1"/>
  <c r="AM19" i="1" a="1"/>
  <c r="AM19" i="1" s="1"/>
  <c r="M19" i="1" a="1"/>
  <c r="M19" i="1" s="1"/>
  <c r="AN19" i="1" a="1"/>
  <c r="AN19" i="1" s="1"/>
  <c r="AJ19" i="1" a="1"/>
  <c r="AJ19" i="1" s="1"/>
  <c r="R19" i="1" a="1"/>
  <c r="R19" i="1" s="1"/>
  <c r="C19" i="7" s="1"/>
  <c r="L19" i="7" s="1"/>
  <c r="AF19" i="1" a="1"/>
  <c r="AF19" i="1" s="1"/>
  <c r="AE19" i="1" a="1"/>
  <c r="AE19" i="1" s="1"/>
  <c r="N19" i="1" a="1"/>
  <c r="N19" i="1" s="1"/>
  <c r="G19" i="5" s="1"/>
  <c r="J19" i="1" a="1"/>
  <c r="J19" i="1" s="1"/>
  <c r="C19" i="5" s="1"/>
  <c r="L19" i="5" s="1"/>
  <c r="U27" i="1" a="1"/>
  <c r="U27" i="1" s="1"/>
  <c r="AG27" i="1" a="1"/>
  <c r="AG27" i="1" s="1"/>
  <c r="T27" i="1" a="1"/>
  <c r="T27" i="1" s="1"/>
  <c r="P27" i="1" a="1"/>
  <c r="P27" i="1" s="1"/>
  <c r="AO27" i="1" a="1"/>
  <c r="AO27" i="1" s="1"/>
  <c r="X27" i="1" a="1"/>
  <c r="X27" i="1" s="1"/>
  <c r="E27" i="1" a="1"/>
  <c r="E27" i="1" s="1"/>
  <c r="AI27" i="1" a="1"/>
  <c r="AI27" i="1" s="1"/>
  <c r="O27" i="1" a="1"/>
  <c r="O27" i="1" s="1"/>
  <c r="R27" i="1" a="1"/>
  <c r="R27" i="1" s="1"/>
  <c r="M27" i="1" a="1"/>
  <c r="M27" i="1" s="1"/>
  <c r="A27" i="2"/>
  <c r="N27" i="1" a="1"/>
  <c r="N27" i="1" s="1"/>
  <c r="G27" i="1" a="1"/>
  <c r="G27" i="1" s="1"/>
  <c r="A27" i="6"/>
  <c r="AM27" i="1" a="1"/>
  <c r="AM27" i="1" s="1"/>
  <c r="A27" i="7"/>
  <c r="AN27" i="1" a="1"/>
  <c r="AN27" i="1" s="1"/>
  <c r="Z27" i="1" a="1"/>
  <c r="Z27" i="1" s="1"/>
  <c r="Q27" i="1" a="1"/>
  <c r="Q27" i="1" s="1"/>
  <c r="AE27" i="1" a="1"/>
  <c r="AE27" i="1" s="1"/>
  <c r="A27" i="3"/>
  <c r="W27" i="1" a="1"/>
  <c r="W27" i="1" s="1"/>
  <c r="F27" i="1" a="1"/>
  <c r="F27" i="1" s="1"/>
  <c r="I27" i="1" a="1"/>
  <c r="I27" i="1" s="1"/>
  <c r="J27" i="1" a="1"/>
  <c r="J27" i="1" s="1"/>
  <c r="K27" i="1" a="1"/>
  <c r="K27" i="1" s="1"/>
  <c r="D27" i="1" a="1"/>
  <c r="D27" i="1" s="1"/>
  <c r="H27" i="1" a="1"/>
  <c r="H27" i="1" s="1"/>
  <c r="AK27" i="1" a="1"/>
  <c r="AK27" i="1" s="1"/>
  <c r="AJ27" i="1" a="1"/>
  <c r="AJ27" i="1" s="1"/>
  <c r="AH27" i="1" a="1"/>
  <c r="AH27" i="1" s="1"/>
  <c r="AC27" i="1" a="1"/>
  <c r="AC27" i="1" s="1"/>
  <c r="L27" i="1" a="1"/>
  <c r="L27" i="1" s="1"/>
  <c r="A27" i="5"/>
  <c r="Y27" i="1" a="1"/>
  <c r="Y27" i="1" s="1"/>
  <c r="AA27" i="1" a="1"/>
  <c r="AA27" i="1" s="1"/>
  <c r="AF27" i="1" a="1"/>
  <c r="AF27" i="1" s="1"/>
  <c r="C27" i="1" a="1"/>
  <c r="C27" i="1" s="1"/>
  <c r="AD27" i="1" a="1"/>
  <c r="AD27" i="1" s="1"/>
  <c r="B27" i="1" a="1"/>
  <c r="B27" i="1" s="1"/>
  <c r="A27" i="4"/>
  <c r="V27" i="1" a="1"/>
  <c r="V27" i="1" s="1"/>
  <c r="G27" i="7" s="1"/>
  <c r="AL27" i="1" a="1"/>
  <c r="AL27" i="1" s="1"/>
  <c r="S27" i="1" a="1"/>
  <c r="S27" i="1" s="1"/>
  <c r="D27" i="7" s="1"/>
  <c r="M27" i="7" s="1"/>
  <c r="AB27" i="1" a="1"/>
  <c r="AB27" i="1" s="1"/>
  <c r="F35" i="1" a="1"/>
  <c r="F35" i="1" s="1"/>
  <c r="A35" i="3"/>
  <c r="U35" i="1" a="1"/>
  <c r="U35" i="1" s="1"/>
  <c r="AB35" i="1" a="1"/>
  <c r="AB35" i="1" s="1"/>
  <c r="C35" i="1" a="1"/>
  <c r="C35" i="1" s="1"/>
  <c r="D35" i="2" s="1"/>
  <c r="S35" i="1" a="1"/>
  <c r="S35" i="1" s="1"/>
  <c r="AM35" i="1" a="1"/>
  <c r="AM35" i="1" s="1"/>
  <c r="A35" i="5"/>
  <c r="R35" i="1" a="1"/>
  <c r="R35" i="1" s="1"/>
  <c r="AA35" i="1" a="1"/>
  <c r="AA35" i="1" s="1"/>
  <c r="W35" i="1" a="1"/>
  <c r="W35" i="1" s="1"/>
  <c r="A35" i="6"/>
  <c r="K35" i="1" a="1"/>
  <c r="K35" i="1" s="1"/>
  <c r="D35" i="5" s="1"/>
  <c r="M35" i="5" s="1"/>
  <c r="P35" i="1" a="1"/>
  <c r="P35" i="1" s="1"/>
  <c r="N35" i="1" a="1"/>
  <c r="N35" i="1" s="1"/>
  <c r="T35" i="1" a="1"/>
  <c r="T35" i="1" s="1"/>
  <c r="E35" i="1" a="1"/>
  <c r="E35" i="1" s="1"/>
  <c r="V35" i="1" a="1"/>
  <c r="V35" i="1" s="1"/>
  <c r="AG35" i="1" a="1"/>
  <c r="AG35" i="1" s="1"/>
  <c r="X35" i="1" a="1"/>
  <c r="X35" i="1" s="1"/>
  <c r="Z35" i="1" a="1"/>
  <c r="Z35" i="1" s="1"/>
  <c r="AO35" i="1" a="1"/>
  <c r="AO35" i="1" s="1"/>
  <c r="B35" i="1" a="1"/>
  <c r="B35" i="1" s="1"/>
  <c r="AC35" i="1" a="1"/>
  <c r="AC35" i="1" s="1"/>
  <c r="AL35" i="1" a="1"/>
  <c r="AL35" i="1" s="1"/>
  <c r="AK35" i="1" a="1"/>
  <c r="AK35" i="1" s="1"/>
  <c r="O35" i="1" a="1"/>
  <c r="O35" i="1" s="1"/>
  <c r="Y35" i="1" a="1"/>
  <c r="Y35" i="1" s="1"/>
  <c r="AE35" i="1" a="1"/>
  <c r="AE35" i="1" s="1"/>
  <c r="J35" i="1" a="1"/>
  <c r="J35" i="1" s="1"/>
  <c r="I35" i="1" a="1"/>
  <c r="I35" i="1" s="1"/>
  <c r="A35" i="4"/>
  <c r="A35" i="7"/>
  <c r="M35" i="1" a="1"/>
  <c r="M35" i="1" s="1"/>
  <c r="AH35" i="1" a="1"/>
  <c r="AH35" i="1" s="1"/>
  <c r="AJ35" i="1" a="1"/>
  <c r="AJ35" i="1" s="1"/>
  <c r="H35" i="1" a="1"/>
  <c r="H35" i="1" s="1"/>
  <c r="J35" i="2" s="1"/>
  <c r="AF35" i="1" a="1"/>
  <c r="AF35" i="1" s="1"/>
  <c r="Q35" i="1" a="1"/>
  <c r="Q35" i="1" s="1"/>
  <c r="G35" i="1" a="1"/>
  <c r="G35" i="1" s="1"/>
  <c r="L35" i="1" a="1"/>
  <c r="L35" i="1" s="1"/>
  <c r="D35" i="1" a="1"/>
  <c r="D35" i="1" s="1"/>
  <c r="A35" i="2"/>
  <c r="AN35" i="1" a="1"/>
  <c r="AN35" i="1" s="1"/>
  <c r="AD35" i="1" a="1"/>
  <c r="AD35" i="1" s="1"/>
  <c r="AI35" i="1" a="1"/>
  <c r="AI35" i="1" s="1"/>
  <c r="AN43" i="1" a="1"/>
  <c r="AN43" i="1" s="1"/>
  <c r="A43" i="5"/>
  <c r="B43" i="1" a="1"/>
  <c r="B43" i="1" s="1"/>
  <c r="M43" i="1" a="1"/>
  <c r="M43" i="1" s="1"/>
  <c r="C43" i="1" a="1"/>
  <c r="C43" i="1" s="1"/>
  <c r="V43" i="1" a="1"/>
  <c r="V43" i="1" s="1"/>
  <c r="I43" i="1" a="1"/>
  <c r="I43" i="1" s="1"/>
  <c r="K43" i="2" s="1"/>
  <c r="O43" i="4" s="1"/>
  <c r="AM43" i="1" a="1"/>
  <c r="AM43" i="1" s="1"/>
  <c r="E43" i="1" a="1"/>
  <c r="E43" i="1" s="1"/>
  <c r="N43" i="1" a="1"/>
  <c r="N43" i="1" s="1"/>
  <c r="AF43" i="1" a="1"/>
  <c r="AF43" i="1" s="1"/>
  <c r="AG43" i="1" a="1"/>
  <c r="AG43" i="1" s="1"/>
  <c r="F43" i="1" a="1"/>
  <c r="F43" i="1" s="1"/>
  <c r="O43" i="1" a="1"/>
  <c r="O43" i="1" s="1"/>
  <c r="AH43" i="1" a="1"/>
  <c r="AH43" i="1" s="1"/>
  <c r="AD43" i="1" a="1"/>
  <c r="AD43" i="1" s="1"/>
  <c r="D43" i="1" a="1"/>
  <c r="D43" i="1" s="1"/>
  <c r="AL43" i="1" a="1"/>
  <c r="AL43" i="1" s="1"/>
  <c r="AI43" i="1" a="1"/>
  <c r="AI43" i="1" s="1"/>
  <c r="P43" i="1" a="1"/>
  <c r="P43" i="1" s="1"/>
  <c r="K43" i="1" a="1"/>
  <c r="K43" i="1" s="1"/>
  <c r="AK43" i="1" a="1"/>
  <c r="AK43" i="1" s="1"/>
  <c r="H43" i="1" a="1"/>
  <c r="H43" i="1" s="1"/>
  <c r="J43" i="2" s="1"/>
  <c r="AA43" i="1" a="1"/>
  <c r="AA43" i="1" s="1"/>
  <c r="A43" i="4"/>
  <c r="AB43" i="1" a="1"/>
  <c r="AB43" i="1" s="1"/>
  <c r="Z43" i="1" a="1"/>
  <c r="Z43" i="1" s="1"/>
  <c r="A43" i="2"/>
  <c r="X43" i="1" a="1"/>
  <c r="X43" i="1" s="1"/>
  <c r="J43" i="1" a="1"/>
  <c r="J43" i="1" s="1"/>
  <c r="AC43" i="1" a="1"/>
  <c r="AC43" i="1" s="1"/>
  <c r="AJ43" i="1" a="1"/>
  <c r="AJ43" i="1" s="1"/>
  <c r="L43" i="1" a="1"/>
  <c r="L43" i="1" s="1"/>
  <c r="A43" i="7"/>
  <c r="AE43" i="1" a="1"/>
  <c r="AE43" i="1" s="1"/>
  <c r="R43" i="1" a="1"/>
  <c r="R43" i="1" s="1"/>
  <c r="S43" i="1" a="1"/>
  <c r="S43" i="1" s="1"/>
  <c r="A43" i="6"/>
  <c r="G43" i="1" a="1"/>
  <c r="G43" i="1" s="1"/>
  <c r="I43" i="2" s="1"/>
  <c r="U43" i="1" a="1"/>
  <c r="U43" i="1" s="1"/>
  <c r="Y43" i="1" a="1"/>
  <c r="Y43" i="1" s="1"/>
  <c r="W43" i="1" a="1"/>
  <c r="W43" i="1" s="1"/>
  <c r="AO43" i="1" a="1"/>
  <c r="AO43" i="1" s="1"/>
  <c r="Q43" i="1" a="1"/>
  <c r="Q43" i="1" s="1"/>
  <c r="K43" i="5" s="1"/>
  <c r="A43" i="3"/>
  <c r="T43" i="1" a="1"/>
  <c r="T43" i="1" s="1"/>
  <c r="A51" i="2"/>
  <c r="A51" i="5"/>
  <c r="A51" i="3"/>
  <c r="A51" i="4"/>
  <c r="AH51" i="1" a="1"/>
  <c r="AH51" i="1" s="1"/>
  <c r="K51" i="1" a="1"/>
  <c r="K51" i="1" s="1"/>
  <c r="AJ51" i="1" a="1"/>
  <c r="AJ51" i="1" s="1"/>
  <c r="T51" i="1" a="1"/>
  <c r="T51" i="1" s="1"/>
  <c r="J51" i="1" a="1"/>
  <c r="J51" i="1" s="1"/>
  <c r="I51" i="1" a="1"/>
  <c r="I51" i="1" s="1"/>
  <c r="O51" i="1" a="1"/>
  <c r="O51" i="1" s="1"/>
  <c r="AD51" i="1" a="1"/>
  <c r="AD51" i="1" s="1"/>
  <c r="AE51" i="1" a="1"/>
  <c r="AE51" i="1" s="1"/>
  <c r="W51" i="1" a="1"/>
  <c r="W51" i="1" s="1"/>
  <c r="R51" i="1" a="1"/>
  <c r="R51" i="1" s="1"/>
  <c r="C51" i="1" a="1"/>
  <c r="C51" i="1" s="1"/>
  <c r="U51" i="1" a="1"/>
  <c r="U51" i="1" s="1"/>
  <c r="AG51" i="1" a="1"/>
  <c r="AG51" i="1" s="1"/>
  <c r="L51" i="1" a="1"/>
  <c r="L51" i="1" s="1"/>
  <c r="AI51" i="1" a="1"/>
  <c r="AI51" i="1" s="1"/>
  <c r="AL51" i="1" a="1"/>
  <c r="AL51" i="1" s="1"/>
  <c r="AN51" i="1" a="1"/>
  <c r="AN51" i="1" s="1"/>
  <c r="V51" i="1" a="1"/>
  <c r="V51" i="1" s="1"/>
  <c r="AM51" i="1" a="1"/>
  <c r="AM51" i="1" s="1"/>
  <c r="AA51" i="1" a="1"/>
  <c r="AA51" i="1" s="1"/>
  <c r="D51" i="6" s="1"/>
  <c r="M51" i="6" s="1"/>
  <c r="G51" i="1" a="1"/>
  <c r="G51" i="1" s="1"/>
  <c r="AF51" i="1" a="1"/>
  <c r="AF51" i="1" s="1"/>
  <c r="N51" i="1" a="1"/>
  <c r="N51" i="1" s="1"/>
  <c r="G51" i="5" s="1"/>
  <c r="AK51" i="1" a="1"/>
  <c r="AK51" i="1" s="1"/>
  <c r="AO51" i="1" a="1"/>
  <c r="AO51" i="1" s="1"/>
  <c r="AB51" i="1" a="1"/>
  <c r="AB51" i="1" s="1"/>
  <c r="S51" i="1" a="1"/>
  <c r="S51" i="1" s="1"/>
  <c r="X51" i="1" a="1"/>
  <c r="X51" i="1" s="1"/>
  <c r="M51" i="1" a="1"/>
  <c r="M51" i="1" s="1"/>
  <c r="A51" i="7"/>
  <c r="F51" i="1" a="1"/>
  <c r="F51" i="1" s="1"/>
  <c r="G51" i="2" s="1"/>
  <c r="K51" i="4" s="1"/>
  <c r="P51" i="1" a="1"/>
  <c r="P51" i="1" s="1"/>
  <c r="H51" i="1" a="1"/>
  <c r="H51" i="1" s="1"/>
  <c r="AC51" i="1" a="1"/>
  <c r="AC51" i="1" s="1"/>
  <c r="B51" i="1" a="1"/>
  <c r="B51" i="1" s="1"/>
  <c r="A51" i="6"/>
  <c r="E51" i="1" a="1"/>
  <c r="E51" i="1" s="1"/>
  <c r="Z51" i="1" a="1"/>
  <c r="Z51" i="1" s="1"/>
  <c r="D51" i="1" a="1"/>
  <c r="D51" i="1" s="1"/>
  <c r="Q51" i="1" a="1"/>
  <c r="Q51" i="1" s="1"/>
  <c r="Y51" i="1" a="1"/>
  <c r="Y51" i="1" s="1"/>
  <c r="W59" i="1" a="1"/>
  <c r="W59" i="1" s="1"/>
  <c r="C59" i="1" a="1"/>
  <c r="C59" i="1" s="1"/>
  <c r="A59" i="6"/>
  <c r="A59" i="3"/>
  <c r="AH59" i="1" a="1"/>
  <c r="AH59" i="1" s="1"/>
  <c r="AL59" i="1" a="1"/>
  <c r="AL59" i="1" s="1"/>
  <c r="A59" i="5"/>
  <c r="X59" i="1" a="1"/>
  <c r="X59" i="1" s="1"/>
  <c r="L59" i="1" a="1"/>
  <c r="L59" i="1" s="1"/>
  <c r="G59" i="1" a="1"/>
  <c r="G59" i="1" s="1"/>
  <c r="R59" i="1" a="1"/>
  <c r="R59" i="1" s="1"/>
  <c r="AO59" i="1" a="1"/>
  <c r="AO59" i="1" s="1"/>
  <c r="AJ59" i="1" a="1"/>
  <c r="AJ59" i="1" s="1"/>
  <c r="K59" i="1" a="1"/>
  <c r="K59" i="1" s="1"/>
  <c r="AI59" i="1" a="1"/>
  <c r="AI59" i="1" s="1"/>
  <c r="N59" i="1" a="1"/>
  <c r="N59" i="1" s="1"/>
  <c r="A59" i="2"/>
  <c r="AN59" i="1" a="1"/>
  <c r="AN59" i="1" s="1"/>
  <c r="E59" i="1" a="1"/>
  <c r="E59" i="1" s="1"/>
  <c r="F59" i="2" s="1"/>
  <c r="S59" i="1" a="1"/>
  <c r="S59" i="1" s="1"/>
  <c r="J59" i="1" a="1"/>
  <c r="J59" i="1" s="1"/>
  <c r="A59" i="4"/>
  <c r="B59" i="1" a="1"/>
  <c r="B59" i="1" s="1"/>
  <c r="M59" i="1" a="1"/>
  <c r="M59" i="1" s="1"/>
  <c r="P59" i="1" a="1"/>
  <c r="P59" i="1" s="1"/>
  <c r="D59" i="1" a="1"/>
  <c r="D59" i="1" s="1"/>
  <c r="AG59" i="1" a="1"/>
  <c r="AG59" i="1" s="1"/>
  <c r="V59" i="1" a="1"/>
  <c r="V59" i="1" s="1"/>
  <c r="AF59" i="1" a="1"/>
  <c r="AF59" i="1" s="1"/>
  <c r="Q59" i="1" a="1"/>
  <c r="Q59" i="1" s="1"/>
  <c r="AM59" i="1" a="1"/>
  <c r="AM59" i="1" s="1"/>
  <c r="AD59" i="1" a="1"/>
  <c r="AD59" i="1" s="1"/>
  <c r="Z59" i="1" a="1"/>
  <c r="Z59" i="1" s="1"/>
  <c r="AK59" i="1" a="1"/>
  <c r="AK59" i="1" s="1"/>
  <c r="Y59" i="1" a="1"/>
  <c r="Y59" i="1" s="1"/>
  <c r="K59" i="7" s="1"/>
  <c r="AC59" i="1" a="1"/>
  <c r="AC59" i="1" s="1"/>
  <c r="I59" i="1" a="1"/>
  <c r="I59" i="1" s="1"/>
  <c r="F59" i="1" a="1"/>
  <c r="F59" i="1" s="1"/>
  <c r="U59" i="1" a="1"/>
  <c r="U59" i="1" s="1"/>
  <c r="O59" i="1" a="1"/>
  <c r="O59" i="1" s="1"/>
  <c r="AE59" i="1" a="1"/>
  <c r="AE59" i="1" s="1"/>
  <c r="T59" i="1" a="1"/>
  <c r="T59" i="1" s="1"/>
  <c r="AA59" i="1" a="1"/>
  <c r="AA59" i="1" s="1"/>
  <c r="D59" i="6" s="1"/>
  <c r="M59" i="6" s="1"/>
  <c r="H59" i="1" a="1"/>
  <c r="H59" i="1" s="1"/>
  <c r="A59" i="7"/>
  <c r="AB59" i="1" a="1"/>
  <c r="AB59" i="1" s="1"/>
  <c r="AL67" i="1" a="1"/>
  <c r="AL67" i="1" s="1"/>
  <c r="R67" i="1" a="1"/>
  <c r="R67" i="1" s="1"/>
  <c r="AE67" i="1" a="1"/>
  <c r="AE67" i="1" s="1"/>
  <c r="M67" i="1" a="1"/>
  <c r="M67" i="1" s="1"/>
  <c r="S67" i="1" a="1"/>
  <c r="S67" i="1" s="1"/>
  <c r="F67" i="1" a="1"/>
  <c r="F67" i="1" s="1"/>
  <c r="L67" i="1" a="1"/>
  <c r="L67" i="1" s="1"/>
  <c r="O67" i="1" a="1"/>
  <c r="O67" i="1" s="1"/>
  <c r="E67" i="1" a="1"/>
  <c r="E67" i="1" s="1"/>
  <c r="A67" i="6"/>
  <c r="A67" i="4"/>
  <c r="AD67" i="1" a="1"/>
  <c r="AD67" i="1" s="1"/>
  <c r="A67" i="3"/>
  <c r="T67" i="1" a="1"/>
  <c r="T67" i="1" s="1"/>
  <c r="V67" i="1" a="1"/>
  <c r="V67" i="1" s="1"/>
  <c r="AH67" i="1" a="1"/>
  <c r="AH67" i="1" s="1"/>
  <c r="P67" i="1" a="1"/>
  <c r="P67" i="1" s="1"/>
  <c r="Y67" i="1" a="1"/>
  <c r="Y67" i="1" s="1"/>
  <c r="B67" i="1" a="1"/>
  <c r="B67" i="1" s="1"/>
  <c r="Q67" i="1" a="1"/>
  <c r="Q67" i="1" s="1"/>
  <c r="AK67" i="1" a="1"/>
  <c r="AK67" i="1" s="1"/>
  <c r="G67" i="1" a="1"/>
  <c r="G67" i="1" s="1"/>
  <c r="AB67" i="1" a="1"/>
  <c r="AB67" i="1" s="1"/>
  <c r="AM67" i="1" a="1"/>
  <c r="AM67" i="1" s="1"/>
  <c r="N67" i="1" a="1"/>
  <c r="N67" i="1" s="1"/>
  <c r="AG67" i="1" a="1"/>
  <c r="AG67" i="1" s="1"/>
  <c r="Z67" i="1" a="1"/>
  <c r="Z67" i="1" s="1"/>
  <c r="H67" i="1" a="1"/>
  <c r="H67" i="1" s="1"/>
  <c r="U67" i="1" a="1"/>
  <c r="U67" i="1" s="1"/>
  <c r="A67" i="2"/>
  <c r="AF67" i="1" a="1"/>
  <c r="AF67" i="1" s="1"/>
  <c r="AA67" i="1" a="1"/>
  <c r="AA67" i="1" s="1"/>
  <c r="AN67" i="1" a="1"/>
  <c r="AN67" i="1" s="1"/>
  <c r="A67" i="5"/>
  <c r="K67" i="1" a="1"/>
  <c r="K67" i="1" s="1"/>
  <c r="AO67" i="1" a="1"/>
  <c r="AO67" i="1" s="1"/>
  <c r="A67" i="7"/>
  <c r="W67" i="1" a="1"/>
  <c r="W67" i="1" s="1"/>
  <c r="AJ67" i="1" a="1"/>
  <c r="AJ67" i="1" s="1"/>
  <c r="D67" i="1" a="1"/>
  <c r="D67" i="1" s="1"/>
  <c r="I67" i="1" a="1"/>
  <c r="I67" i="1" s="1"/>
  <c r="X67" i="1" a="1"/>
  <c r="X67" i="1" s="1"/>
  <c r="C67" i="1" a="1"/>
  <c r="C67" i="1" s="1"/>
  <c r="AI67" i="1" a="1"/>
  <c r="AI67" i="1" s="1"/>
  <c r="AC67" i="1" a="1"/>
  <c r="AC67" i="1" s="1"/>
  <c r="F67" i="6" s="1"/>
  <c r="J67" i="1" a="1"/>
  <c r="J67" i="1" s="1"/>
  <c r="G75" i="1" a="1"/>
  <c r="G75" i="1" s="1"/>
  <c r="P75" i="1" a="1"/>
  <c r="P75" i="1" s="1"/>
  <c r="F75" i="1" a="1"/>
  <c r="F75" i="1" s="1"/>
  <c r="N75" i="1" a="1"/>
  <c r="N75" i="1" s="1"/>
  <c r="U75" i="1" a="1"/>
  <c r="U75" i="1" s="1"/>
  <c r="AH75" i="1" a="1"/>
  <c r="AH75" i="1" s="1"/>
  <c r="AD75" i="1" a="1"/>
  <c r="AD75" i="1" s="1"/>
  <c r="A75" i="7"/>
  <c r="T75" i="1" a="1"/>
  <c r="T75" i="1" s="1"/>
  <c r="M75" i="1" a="1"/>
  <c r="M75" i="1" s="1"/>
  <c r="X75" i="1" a="1"/>
  <c r="X75" i="1" s="1"/>
  <c r="K75" i="1" a="1"/>
  <c r="K75" i="1" s="1"/>
  <c r="AA75" i="1" a="1"/>
  <c r="AA75" i="1" s="1"/>
  <c r="I75" i="1" a="1"/>
  <c r="I75" i="1" s="1"/>
  <c r="A75" i="5"/>
  <c r="Y75" i="1" a="1"/>
  <c r="Y75" i="1" s="1"/>
  <c r="Q75" i="1" a="1"/>
  <c r="Q75" i="1" s="1"/>
  <c r="AG75" i="1" a="1"/>
  <c r="AG75" i="1" s="1"/>
  <c r="O75" i="1" a="1"/>
  <c r="O75" i="1" s="1"/>
  <c r="D75" i="1" a="1"/>
  <c r="D75" i="1" s="1"/>
  <c r="AE75" i="1" a="1"/>
  <c r="AE75" i="1" s="1"/>
  <c r="C75" i="1" a="1"/>
  <c r="C75" i="1" s="1"/>
  <c r="A75" i="2"/>
  <c r="A75" i="4"/>
  <c r="AB75" i="1" a="1"/>
  <c r="AB75" i="1" s="1"/>
  <c r="H75" i="1" a="1"/>
  <c r="H75" i="1" s="1"/>
  <c r="AI75" i="1" a="1"/>
  <c r="AI75" i="1" s="1"/>
  <c r="R75" i="1" a="1"/>
  <c r="R75" i="1" s="1"/>
  <c r="A75" i="6"/>
  <c r="AM75" i="1" a="1"/>
  <c r="AM75" i="1" s="1"/>
  <c r="E75" i="1" a="1"/>
  <c r="E75" i="1" s="1"/>
  <c r="S75" i="1" a="1"/>
  <c r="S75" i="1" s="1"/>
  <c r="AO75" i="1" a="1"/>
  <c r="AO75" i="1" s="1"/>
  <c r="A75" i="3"/>
  <c r="AF75" i="1" a="1"/>
  <c r="AF75" i="1" s="1"/>
  <c r="W75" i="1" a="1"/>
  <c r="W75" i="1" s="1"/>
  <c r="B75" i="1" a="1"/>
  <c r="B75" i="1" s="1"/>
  <c r="V75" i="1" a="1"/>
  <c r="V75" i="1" s="1"/>
  <c r="AN75" i="1" a="1"/>
  <c r="AN75" i="1" s="1"/>
  <c r="AJ75" i="1" a="1"/>
  <c r="AJ75" i="1" s="1"/>
  <c r="Z75" i="1" a="1"/>
  <c r="Z75" i="1" s="1"/>
  <c r="AL75" i="1" a="1"/>
  <c r="AL75" i="1" s="1"/>
  <c r="J75" i="1" a="1"/>
  <c r="J75" i="1" s="1"/>
  <c r="AC75" i="1" a="1"/>
  <c r="AC75" i="1" s="1"/>
  <c r="L75" i="1" a="1"/>
  <c r="L75" i="1" s="1"/>
  <c r="AK75" i="1" a="1"/>
  <c r="AK75" i="1" s="1"/>
  <c r="AL83" i="1" a="1"/>
  <c r="AL83" i="1" s="1"/>
  <c r="AG83" i="1" a="1"/>
  <c r="AG83" i="1" s="1"/>
  <c r="N83" i="1" a="1"/>
  <c r="N83" i="1" s="1"/>
  <c r="A83" i="6"/>
  <c r="V83" i="1" a="1"/>
  <c r="V83" i="1" s="1"/>
  <c r="P83" i="1" a="1"/>
  <c r="P83" i="1" s="1"/>
  <c r="AO83" i="1" a="1"/>
  <c r="AO83" i="1" s="1"/>
  <c r="G83" i="1" a="1"/>
  <c r="G83" i="1" s="1"/>
  <c r="AJ83" i="1" a="1"/>
  <c r="AJ83" i="1" s="1"/>
  <c r="AK83" i="1" a="1"/>
  <c r="AK83" i="1" s="1"/>
  <c r="AB83" i="1" a="1"/>
  <c r="AB83" i="1" s="1"/>
  <c r="I83" i="1" a="1"/>
  <c r="I83" i="1" s="1"/>
  <c r="X83" i="1" a="1"/>
  <c r="X83" i="1" s="1"/>
  <c r="B83" i="1" a="1"/>
  <c r="B83" i="1" s="1"/>
  <c r="C83" i="1" a="1"/>
  <c r="C83" i="1" s="1"/>
  <c r="AM83" i="1" a="1"/>
  <c r="AM83" i="1" s="1"/>
  <c r="M83" i="1" a="1"/>
  <c r="M83" i="1" s="1"/>
  <c r="L83" i="1" a="1"/>
  <c r="L83" i="1" s="1"/>
  <c r="AI83" i="1" a="1"/>
  <c r="AI83" i="1" s="1"/>
  <c r="AE83" i="1" a="1"/>
  <c r="AE83" i="1" s="1"/>
  <c r="AF83" i="1" a="1"/>
  <c r="AF83" i="1" s="1"/>
  <c r="A83" i="5"/>
  <c r="A83" i="3"/>
  <c r="AN83" i="1" a="1"/>
  <c r="AN83" i="1" s="1"/>
  <c r="W83" i="1" a="1"/>
  <c r="W83" i="1" s="1"/>
  <c r="K83" i="1" a="1"/>
  <c r="K83" i="1" s="1"/>
  <c r="Z83" i="1" a="1"/>
  <c r="Z83" i="1" s="1"/>
  <c r="T83" i="1" a="1"/>
  <c r="T83" i="1" s="1"/>
  <c r="AA83" i="1" a="1"/>
  <c r="AA83" i="1" s="1"/>
  <c r="H83" i="1" a="1"/>
  <c r="H83" i="1" s="1"/>
  <c r="U83" i="1" a="1"/>
  <c r="U83" i="1" s="1"/>
  <c r="O83" i="1" a="1"/>
  <c r="O83" i="1" s="1"/>
  <c r="E83" i="1" a="1"/>
  <c r="E83" i="1" s="1"/>
  <c r="F83" i="1" a="1"/>
  <c r="F83" i="1" s="1"/>
  <c r="Y83" i="1" a="1"/>
  <c r="Y83" i="1" s="1"/>
  <c r="AD83" i="1" a="1"/>
  <c r="AD83" i="1" s="1"/>
  <c r="AH83" i="1" a="1"/>
  <c r="AH83" i="1" s="1"/>
  <c r="R83" i="1" a="1"/>
  <c r="R83" i="1" s="1"/>
  <c r="Q83" i="1" a="1"/>
  <c r="Q83" i="1" s="1"/>
  <c r="K83" i="5" s="1"/>
  <c r="AC83" i="1" a="1"/>
  <c r="AC83" i="1" s="1"/>
  <c r="A83" i="7"/>
  <c r="D83" i="1" a="1"/>
  <c r="D83" i="1" s="1"/>
  <c r="A83" i="4"/>
  <c r="A83" i="2"/>
  <c r="J83" i="1" a="1"/>
  <c r="J83" i="1" s="1"/>
  <c r="S83" i="1" a="1"/>
  <c r="S83" i="1" s="1"/>
  <c r="K91" i="1" a="1"/>
  <c r="K91" i="1" s="1"/>
  <c r="AE91" i="1" a="1"/>
  <c r="AE91" i="1" s="1"/>
  <c r="G91" i="1" a="1"/>
  <c r="G91" i="1" s="1"/>
  <c r="I91" i="2" s="1"/>
  <c r="M91" i="1" a="1"/>
  <c r="M91" i="1" s="1"/>
  <c r="AH91" i="1" a="1"/>
  <c r="AH91" i="1" s="1"/>
  <c r="AI91" i="1" a="1"/>
  <c r="AI91" i="1" s="1"/>
  <c r="Z91" i="1" a="1"/>
  <c r="Z91" i="1" s="1"/>
  <c r="N91" i="1" a="1"/>
  <c r="N91" i="1" s="1"/>
  <c r="AN91" i="1" a="1"/>
  <c r="AN91" i="1" s="1"/>
  <c r="AA91" i="1" a="1"/>
  <c r="AA91" i="1" s="1"/>
  <c r="I91" i="1" a="1"/>
  <c r="I91" i="1" s="1"/>
  <c r="X91" i="1" a="1"/>
  <c r="X91" i="1" s="1"/>
  <c r="J91" i="1" a="1"/>
  <c r="J91" i="1" s="1"/>
  <c r="B91" i="1" a="1"/>
  <c r="B91" i="1" s="1"/>
  <c r="W91" i="1" a="1"/>
  <c r="W91" i="1" s="1"/>
  <c r="AC91" i="1" a="1"/>
  <c r="AC91" i="1" s="1"/>
  <c r="H91" i="1" a="1"/>
  <c r="H91" i="1" s="1"/>
  <c r="P91" i="1" a="1"/>
  <c r="P91" i="1" s="1"/>
  <c r="A91" i="5"/>
  <c r="L91" i="1" a="1"/>
  <c r="L91" i="1" s="1"/>
  <c r="C91" i="1" a="1"/>
  <c r="C91" i="1" s="1"/>
  <c r="Q91" i="1" a="1"/>
  <c r="Q91" i="1" s="1"/>
  <c r="A91" i="2"/>
  <c r="AO91" i="1" a="1"/>
  <c r="AO91" i="1" s="1"/>
  <c r="AJ91" i="1" a="1"/>
  <c r="AJ91" i="1" s="1"/>
  <c r="A91" i="7"/>
  <c r="O91" i="1" a="1"/>
  <c r="O91" i="1" s="1"/>
  <c r="I91" i="5" s="1"/>
  <c r="R91" i="1" a="1"/>
  <c r="R91" i="1" s="1"/>
  <c r="AL91" i="1" a="1"/>
  <c r="AL91" i="1" s="1"/>
  <c r="AK91" i="1" a="1"/>
  <c r="AK91" i="1" s="1"/>
  <c r="D91" i="1" a="1"/>
  <c r="D91" i="1" s="1"/>
  <c r="Y91" i="1" a="1"/>
  <c r="Y91" i="1" s="1"/>
  <c r="AB91" i="1" a="1"/>
  <c r="AB91" i="1" s="1"/>
  <c r="U91" i="1" a="1"/>
  <c r="U91" i="1" s="1"/>
  <c r="E91" i="1" a="1"/>
  <c r="E91" i="1" s="1"/>
  <c r="A91" i="3"/>
  <c r="T91" i="1" a="1"/>
  <c r="T91" i="1" s="1"/>
  <c r="V91" i="1" a="1"/>
  <c r="V91" i="1" s="1"/>
  <c r="AM91" i="1" a="1"/>
  <c r="AM91" i="1" s="1"/>
  <c r="AF91" i="1" a="1"/>
  <c r="AF91" i="1" s="1"/>
  <c r="S91" i="1" a="1"/>
  <c r="S91" i="1" s="1"/>
  <c r="AG91" i="1" a="1"/>
  <c r="AG91" i="1" s="1"/>
  <c r="AD91" i="1" a="1"/>
  <c r="AD91" i="1" s="1"/>
  <c r="A91" i="4"/>
  <c r="F91" i="1" a="1"/>
  <c r="F91" i="1" s="1"/>
  <c r="A91" i="6"/>
  <c r="A99" i="7"/>
  <c r="A99" i="2"/>
  <c r="A99" i="3"/>
  <c r="A99" i="6"/>
  <c r="A99" i="5"/>
  <c r="A99" i="4"/>
  <c r="A107" i="3"/>
  <c r="A107" i="5"/>
  <c r="A107" i="4"/>
  <c r="A107" i="2"/>
  <c r="A107" i="7"/>
  <c r="A107" i="6"/>
  <c r="A115" i="6"/>
  <c r="A115" i="7"/>
  <c r="A115" i="4"/>
  <c r="A115" i="3"/>
  <c r="A115" i="2"/>
  <c r="A115" i="5"/>
  <c r="A123" i="6"/>
  <c r="A123" i="7"/>
  <c r="A123" i="5"/>
  <c r="A123" i="4"/>
  <c r="A123" i="2"/>
  <c r="A123" i="3"/>
  <c r="N12" i="1" a="1"/>
  <c r="N12" i="1" s="1"/>
  <c r="K12" i="1" a="1"/>
  <c r="K12" i="1" s="1"/>
  <c r="E12" i="1" a="1"/>
  <c r="E12" i="1" s="1"/>
  <c r="AN12" i="1" a="1"/>
  <c r="AN12" i="1" s="1"/>
  <c r="J12" i="1" a="1"/>
  <c r="J12" i="1" s="1"/>
  <c r="R12" i="1" a="1"/>
  <c r="R12" i="1" s="1"/>
  <c r="P12" i="1" a="1"/>
  <c r="P12" i="1" s="1"/>
  <c r="L12" i="1" a="1"/>
  <c r="L12" i="1" s="1"/>
  <c r="A12" i="4"/>
  <c r="U12" i="1" a="1"/>
  <c r="U12" i="1" s="1"/>
  <c r="S12" i="1" a="1"/>
  <c r="S12" i="1" s="1"/>
  <c r="A12" i="3"/>
  <c r="O12" i="1" a="1"/>
  <c r="O12" i="1" s="1"/>
  <c r="AH12" i="1" a="1"/>
  <c r="AH12" i="1" s="1"/>
  <c r="AB12" i="1" a="1"/>
  <c r="AB12" i="1" s="1"/>
  <c r="AC12" i="1" a="1"/>
  <c r="AC12" i="1" s="1"/>
  <c r="V12" i="1" a="1"/>
  <c r="V12" i="1" s="1"/>
  <c r="W12" i="1" a="1"/>
  <c r="W12" i="1" s="1"/>
  <c r="I12" i="7" s="1"/>
  <c r="M12" i="1" a="1"/>
  <c r="M12" i="1" s="1"/>
  <c r="AA12" i="1" a="1"/>
  <c r="AA12" i="1" s="1"/>
  <c r="AJ12" i="1" a="1"/>
  <c r="AJ12" i="1" s="1"/>
  <c r="A12" i="6"/>
  <c r="B12" i="1" a="1"/>
  <c r="B12" i="1" s="1"/>
  <c r="Y12" i="1" a="1"/>
  <c r="Y12" i="1" s="1"/>
  <c r="K12" i="7" s="1"/>
  <c r="AD12" i="1" a="1"/>
  <c r="AD12" i="1" s="1"/>
  <c r="X12" i="1" a="1"/>
  <c r="X12" i="1" s="1"/>
  <c r="J12" i="7" s="1"/>
  <c r="AM12" i="1" a="1"/>
  <c r="AM12" i="1" s="1"/>
  <c r="A12" i="5"/>
  <c r="C12" i="1" a="1"/>
  <c r="C12" i="1" s="1"/>
  <c r="D12" i="2" s="1"/>
  <c r="H12" i="4" s="1"/>
  <c r="AL12" i="1" a="1"/>
  <c r="AL12" i="1" s="1"/>
  <c r="T12" i="1" a="1"/>
  <c r="T12" i="1" s="1"/>
  <c r="E12" i="7" s="1"/>
  <c r="AK12" i="1" a="1"/>
  <c r="AK12" i="1" s="1"/>
  <c r="A12" i="2"/>
  <c r="Q12" i="1" a="1"/>
  <c r="Q12" i="1" s="1"/>
  <c r="A12" i="7"/>
  <c r="F12" i="1" a="1"/>
  <c r="F12" i="1" s="1"/>
  <c r="AO12" i="1" a="1"/>
  <c r="AO12" i="1" s="1"/>
  <c r="D12" i="1" a="1"/>
  <c r="D12" i="1" s="1"/>
  <c r="AI12" i="1" a="1"/>
  <c r="AI12" i="1" s="1"/>
  <c r="Z12" i="1" a="1"/>
  <c r="Z12" i="1" s="1"/>
  <c r="J44" i="1" a="1"/>
  <c r="J44" i="1" s="1"/>
  <c r="A44" i="3"/>
  <c r="AL44" i="1" a="1"/>
  <c r="AL44" i="1" s="1"/>
  <c r="H44" i="1" a="1"/>
  <c r="H44" i="1" s="1"/>
  <c r="S44" i="1" a="1"/>
  <c r="S44" i="1" s="1"/>
  <c r="F44" i="1" a="1"/>
  <c r="F44" i="1" s="1"/>
  <c r="AB44" i="1" a="1"/>
  <c r="AB44" i="1" s="1"/>
  <c r="G44" i="1" a="1"/>
  <c r="G44" i="1" s="1"/>
  <c r="A44" i="4"/>
  <c r="A44" i="5"/>
  <c r="AJ44" i="1" a="1"/>
  <c r="AJ44" i="1" s="1"/>
  <c r="C44" i="1" a="1"/>
  <c r="C44" i="1" s="1"/>
  <c r="T44" i="1" a="1"/>
  <c r="T44" i="1" s="1"/>
  <c r="P44" i="1" a="1"/>
  <c r="P44" i="1" s="1"/>
  <c r="AE44" i="1" a="1"/>
  <c r="AE44" i="1" s="1"/>
  <c r="E44" i="1" a="1"/>
  <c r="E44" i="1" s="1"/>
  <c r="A44" i="2"/>
  <c r="AC44" i="1" a="1"/>
  <c r="AC44" i="1" s="1"/>
  <c r="Q44" i="1" a="1"/>
  <c r="Q44" i="1" s="1"/>
  <c r="Y44" i="1" a="1"/>
  <c r="Y44" i="1" s="1"/>
  <c r="K44" i="1" a="1"/>
  <c r="K44" i="1" s="1"/>
  <c r="AM44" i="1" a="1"/>
  <c r="AM44" i="1" s="1"/>
  <c r="AI44" i="1" a="1"/>
  <c r="AI44" i="1" s="1"/>
  <c r="N44" i="1" a="1"/>
  <c r="N44" i="1" s="1"/>
  <c r="AN44" i="1" a="1"/>
  <c r="AN44" i="1" s="1"/>
  <c r="V44" i="1" a="1"/>
  <c r="V44" i="1" s="1"/>
  <c r="AK44" i="1" a="1"/>
  <c r="AK44" i="1" s="1"/>
  <c r="L44" i="1" a="1"/>
  <c r="L44" i="1" s="1"/>
  <c r="A44" i="6"/>
  <c r="AO44" i="1" a="1"/>
  <c r="AO44" i="1" s="1"/>
  <c r="AA44" i="1" a="1"/>
  <c r="AA44" i="1" s="1"/>
  <c r="AH44" i="1" a="1"/>
  <c r="AH44" i="1" s="1"/>
  <c r="O44" i="1" a="1"/>
  <c r="O44" i="1" s="1"/>
  <c r="I44" i="1" a="1"/>
  <c r="I44" i="1" s="1"/>
  <c r="M44" i="1" a="1"/>
  <c r="M44" i="1" s="1"/>
  <c r="D44" i="1" a="1"/>
  <c r="D44" i="1" s="1"/>
  <c r="AF44" i="1" a="1"/>
  <c r="AF44" i="1" s="1"/>
  <c r="J44" i="6" s="1"/>
  <c r="U44" i="1" a="1"/>
  <c r="U44" i="1" s="1"/>
  <c r="R44" i="1" a="1"/>
  <c r="R44" i="1" s="1"/>
  <c r="AD44" i="1" a="1"/>
  <c r="AD44" i="1" s="1"/>
  <c r="X44" i="1" a="1"/>
  <c r="X44" i="1" s="1"/>
  <c r="AG44" i="1" a="1"/>
  <c r="AG44" i="1" s="1"/>
  <c r="W44" i="1" a="1"/>
  <c r="W44" i="1" s="1"/>
  <c r="A44" i="7"/>
  <c r="B44" i="1" a="1"/>
  <c r="B44" i="1" s="1"/>
  <c r="C44" i="2" s="1"/>
  <c r="Z44" i="1" a="1"/>
  <c r="Z44" i="1" s="1"/>
  <c r="A52" i="7"/>
  <c r="A52" i="4"/>
  <c r="E52" i="1" a="1"/>
  <c r="E52" i="1" s="1"/>
  <c r="AH52" i="1" a="1"/>
  <c r="AH52" i="1" s="1"/>
  <c r="O52" i="1" a="1"/>
  <c r="O52" i="1" s="1"/>
  <c r="AO52" i="1" a="1"/>
  <c r="AO52" i="1" s="1"/>
  <c r="AN52" i="1" a="1"/>
  <c r="AN52" i="1" s="1"/>
  <c r="Q52" i="1" a="1"/>
  <c r="Q52" i="1" s="1"/>
  <c r="D52" i="1" a="1"/>
  <c r="D52" i="1" s="1"/>
  <c r="AJ52" i="1" a="1"/>
  <c r="AJ52" i="1" s="1"/>
  <c r="T52" i="1" a="1"/>
  <c r="T52" i="1" s="1"/>
  <c r="C52" i="1" a="1"/>
  <c r="C52" i="1" s="1"/>
  <c r="B52" i="1" a="1"/>
  <c r="B52" i="1" s="1"/>
  <c r="Z52" i="1" a="1"/>
  <c r="Z52" i="1" s="1"/>
  <c r="AA52" i="1" a="1"/>
  <c r="AA52" i="1" s="1"/>
  <c r="AB52" i="1" a="1"/>
  <c r="AB52" i="1" s="1"/>
  <c r="N52" i="1" a="1"/>
  <c r="N52" i="1" s="1"/>
  <c r="W52" i="1" a="1"/>
  <c r="W52" i="1" s="1"/>
  <c r="H52" i="1" a="1"/>
  <c r="H52" i="1" s="1"/>
  <c r="J52" i="1" a="1"/>
  <c r="J52" i="1" s="1"/>
  <c r="I52" i="1" a="1"/>
  <c r="I52" i="1" s="1"/>
  <c r="L52" i="1" a="1"/>
  <c r="L52" i="1" s="1"/>
  <c r="M52" i="1" a="1"/>
  <c r="M52" i="1" s="1"/>
  <c r="F52" i="5" s="1"/>
  <c r="G52" i="1" a="1"/>
  <c r="G52" i="1" s="1"/>
  <c r="AE52" i="1" a="1"/>
  <c r="AE52" i="1" s="1"/>
  <c r="A52" i="5"/>
  <c r="AM52" i="1" a="1"/>
  <c r="AM52" i="1" s="1"/>
  <c r="Y52" i="1" a="1"/>
  <c r="Y52" i="1" s="1"/>
  <c r="P52" i="1" a="1"/>
  <c r="P52" i="1" s="1"/>
  <c r="V52" i="1" a="1"/>
  <c r="V52" i="1" s="1"/>
  <c r="S52" i="1" a="1"/>
  <c r="S52" i="1" s="1"/>
  <c r="D52" i="7" s="1"/>
  <c r="M52" i="7" s="1"/>
  <c r="X52" i="1" a="1"/>
  <c r="X52" i="1" s="1"/>
  <c r="U52" i="1" a="1"/>
  <c r="U52" i="1" s="1"/>
  <c r="AD52" i="1" a="1"/>
  <c r="AD52" i="1" s="1"/>
  <c r="F52" i="1" a="1"/>
  <c r="F52" i="1" s="1"/>
  <c r="R52" i="1" a="1"/>
  <c r="R52" i="1" s="1"/>
  <c r="A52" i="2"/>
  <c r="A52" i="3"/>
  <c r="AK52" i="1" a="1"/>
  <c r="AK52" i="1" s="1"/>
  <c r="AF52" i="1" a="1"/>
  <c r="AF52" i="1" s="1"/>
  <c r="K52" i="1" a="1"/>
  <c r="K52" i="1" s="1"/>
  <c r="AI52" i="1" a="1"/>
  <c r="AI52" i="1" s="1"/>
  <c r="AG52" i="1" a="1"/>
  <c r="AG52" i="1" s="1"/>
  <c r="A52" i="6"/>
  <c r="AL52" i="1" a="1"/>
  <c r="AL52" i="1" s="1"/>
  <c r="AC52" i="1" a="1"/>
  <c r="AC52" i="1" s="1"/>
  <c r="O60" i="1" a="1"/>
  <c r="O60" i="1" s="1"/>
  <c r="N60" i="1" a="1"/>
  <c r="N60" i="1" s="1"/>
  <c r="AJ60" i="1" a="1"/>
  <c r="AJ60" i="1" s="1"/>
  <c r="S60" i="1" a="1"/>
  <c r="S60" i="1" s="1"/>
  <c r="A60" i="2"/>
  <c r="R60" i="1" a="1"/>
  <c r="R60" i="1" s="1"/>
  <c r="AK60" i="1" a="1"/>
  <c r="AK60" i="1" s="1"/>
  <c r="B60" i="1" a="1"/>
  <c r="B60" i="1" s="1"/>
  <c r="AG60" i="1" a="1"/>
  <c r="AG60" i="1" s="1"/>
  <c r="K60" i="6" s="1"/>
  <c r="AD60" i="1" a="1"/>
  <c r="AD60" i="1" s="1"/>
  <c r="K60" i="1" a="1"/>
  <c r="K60" i="1" s="1"/>
  <c r="AH60" i="1" a="1"/>
  <c r="AH60" i="1" s="1"/>
  <c r="Q60" i="1" a="1"/>
  <c r="Q60" i="1" s="1"/>
  <c r="AB60" i="1" a="1"/>
  <c r="AB60" i="1" s="1"/>
  <c r="AA60" i="1" a="1"/>
  <c r="AA60" i="1" s="1"/>
  <c r="A60" i="7"/>
  <c r="AE60" i="1" a="1"/>
  <c r="AE60" i="1" s="1"/>
  <c r="I60" i="6" s="1"/>
  <c r="D60" i="1" a="1"/>
  <c r="D60" i="1" s="1"/>
  <c r="J60" i="1" a="1"/>
  <c r="J60" i="1" s="1"/>
  <c r="AI60" i="1" a="1"/>
  <c r="AI60" i="1" s="1"/>
  <c r="A60" i="3"/>
  <c r="T60" i="1" a="1"/>
  <c r="T60" i="1" s="1"/>
  <c r="E60" i="7" s="1"/>
  <c r="M60" i="1" a="1"/>
  <c r="M60" i="1" s="1"/>
  <c r="W60" i="1" a="1"/>
  <c r="W60" i="1" s="1"/>
  <c r="U60" i="1" a="1"/>
  <c r="U60" i="1" s="1"/>
  <c r="A60" i="4"/>
  <c r="AM60" i="1" a="1"/>
  <c r="AM60" i="1" s="1"/>
  <c r="Y60" i="1" a="1"/>
  <c r="Y60" i="1" s="1"/>
  <c r="L60" i="1" a="1"/>
  <c r="L60" i="1" s="1"/>
  <c r="V60" i="1" a="1"/>
  <c r="V60" i="1" s="1"/>
  <c r="E60" i="1" a="1"/>
  <c r="E60" i="1" s="1"/>
  <c r="P60" i="1" a="1"/>
  <c r="P60" i="1" s="1"/>
  <c r="A60" i="5"/>
  <c r="X60" i="1" a="1"/>
  <c r="X60" i="1" s="1"/>
  <c r="C60" i="1" a="1"/>
  <c r="C60" i="1" s="1"/>
  <c r="AO60" i="1" a="1"/>
  <c r="AO60" i="1" s="1"/>
  <c r="Z60" i="1" a="1"/>
  <c r="Z60" i="1" s="1"/>
  <c r="AL60" i="1" a="1"/>
  <c r="AL60" i="1" s="1"/>
  <c r="F60" i="1" a="1"/>
  <c r="F60" i="1" s="1"/>
  <c r="I60" i="1" a="1"/>
  <c r="I60" i="1" s="1"/>
  <c r="H60" i="1" a="1"/>
  <c r="H60" i="1" s="1"/>
  <c r="J60" i="2" s="1"/>
  <c r="AN60" i="1" a="1"/>
  <c r="AN60" i="1" s="1"/>
  <c r="A60" i="6"/>
  <c r="AC60" i="1" a="1"/>
  <c r="AC60" i="1" s="1"/>
  <c r="AF60" i="1" a="1"/>
  <c r="AF60" i="1" s="1"/>
  <c r="G60" i="1" a="1"/>
  <c r="G60" i="1" s="1"/>
  <c r="R68" i="1" a="1"/>
  <c r="R68" i="1" s="1"/>
  <c r="Y68" i="1" a="1"/>
  <c r="Y68" i="1" s="1"/>
  <c r="AK68" i="1" a="1"/>
  <c r="AK68" i="1" s="1"/>
  <c r="A68" i="4"/>
  <c r="A68" i="7"/>
  <c r="O68" i="1" a="1"/>
  <c r="O68" i="1" s="1"/>
  <c r="I68" i="1" a="1"/>
  <c r="I68" i="1" s="1"/>
  <c r="AI68" i="1" a="1"/>
  <c r="AI68" i="1" s="1"/>
  <c r="E68" i="1" a="1"/>
  <c r="E68" i="1" s="1"/>
  <c r="G68" i="1" a="1"/>
  <c r="G68" i="1" s="1"/>
  <c r="T68" i="1" a="1"/>
  <c r="T68" i="1" s="1"/>
  <c r="E68" i="7" s="1"/>
  <c r="D68" i="1" a="1"/>
  <c r="D68" i="1" s="1"/>
  <c r="AC68" i="1" a="1"/>
  <c r="AC68" i="1" s="1"/>
  <c r="Q68" i="1" a="1"/>
  <c r="Q68" i="1" s="1"/>
  <c r="N68" i="1" a="1"/>
  <c r="N68" i="1" s="1"/>
  <c r="AN68" i="1" a="1"/>
  <c r="AN68" i="1" s="1"/>
  <c r="AD68" i="1" a="1"/>
  <c r="AD68" i="1" s="1"/>
  <c r="AE68" i="1" a="1"/>
  <c r="AE68" i="1" s="1"/>
  <c r="AH68" i="1" a="1"/>
  <c r="AH68" i="1" s="1"/>
  <c r="AO68" i="1" a="1"/>
  <c r="AO68" i="1" s="1"/>
  <c r="A68" i="2"/>
  <c r="C68" i="1" a="1"/>
  <c r="C68" i="1" s="1"/>
  <c r="P68" i="1" a="1"/>
  <c r="P68" i="1" s="1"/>
  <c r="W68" i="1" a="1"/>
  <c r="W68" i="1" s="1"/>
  <c r="AM68" i="1" a="1"/>
  <c r="AM68" i="1" s="1"/>
  <c r="AA68" i="1" a="1"/>
  <c r="AA68" i="1" s="1"/>
  <c r="Z68" i="1" a="1"/>
  <c r="Z68" i="1" s="1"/>
  <c r="S68" i="1" a="1"/>
  <c r="S68" i="1" s="1"/>
  <c r="K68" i="1" a="1"/>
  <c r="K68" i="1" s="1"/>
  <c r="H68" i="1" a="1"/>
  <c r="H68" i="1" s="1"/>
  <c r="A68" i="5"/>
  <c r="AF68" i="1" a="1"/>
  <c r="AF68" i="1" s="1"/>
  <c r="AG68" i="1" a="1"/>
  <c r="AG68" i="1" s="1"/>
  <c r="B68" i="1" a="1"/>
  <c r="B68" i="1" s="1"/>
  <c r="U68" i="1" a="1"/>
  <c r="U68" i="1" s="1"/>
  <c r="V68" i="1" a="1"/>
  <c r="V68" i="1" s="1"/>
  <c r="J68" i="1" a="1"/>
  <c r="J68" i="1" s="1"/>
  <c r="AL68" i="1" a="1"/>
  <c r="AL68" i="1" s="1"/>
  <c r="X68" i="1" a="1"/>
  <c r="X68" i="1" s="1"/>
  <c r="AB68" i="1" a="1"/>
  <c r="AB68" i="1" s="1"/>
  <c r="A68" i="6"/>
  <c r="AJ68" i="1" a="1"/>
  <c r="AJ68" i="1" s="1"/>
  <c r="A68" i="3"/>
  <c r="L68" i="1" a="1"/>
  <c r="L68" i="1" s="1"/>
  <c r="F68" i="1" a="1"/>
  <c r="F68" i="1" s="1"/>
  <c r="M68" i="1" a="1"/>
  <c r="M68" i="1" s="1"/>
  <c r="AB76" i="1" a="1"/>
  <c r="AB76" i="1" s="1"/>
  <c r="AF76" i="1" a="1"/>
  <c r="AF76" i="1" s="1"/>
  <c r="AD76" i="1" a="1"/>
  <c r="AD76" i="1" s="1"/>
  <c r="G76" i="1" a="1"/>
  <c r="G76" i="1" s="1"/>
  <c r="AN76" i="1" a="1"/>
  <c r="AN76" i="1" s="1"/>
  <c r="AE76" i="1" a="1"/>
  <c r="AE76" i="1" s="1"/>
  <c r="R76" i="1" a="1"/>
  <c r="R76" i="1" s="1"/>
  <c r="I76" i="1" a="1"/>
  <c r="I76" i="1" s="1"/>
  <c r="Y76" i="1" a="1"/>
  <c r="Y76" i="1" s="1"/>
  <c r="T76" i="1" a="1"/>
  <c r="T76" i="1" s="1"/>
  <c r="M76" i="1" a="1"/>
  <c r="M76" i="1" s="1"/>
  <c r="D76" i="1" a="1"/>
  <c r="D76" i="1" s="1"/>
  <c r="AO76" i="1" a="1"/>
  <c r="AO76" i="1" s="1"/>
  <c r="X76" i="1" a="1"/>
  <c r="X76" i="1" s="1"/>
  <c r="AC76" i="1" a="1"/>
  <c r="AC76" i="1" s="1"/>
  <c r="N76" i="1" a="1"/>
  <c r="N76" i="1" s="1"/>
  <c r="B76" i="1" a="1"/>
  <c r="B76" i="1" s="1"/>
  <c r="A76" i="3"/>
  <c r="L76" i="1" a="1"/>
  <c r="L76" i="1" s="1"/>
  <c r="O76" i="1" a="1"/>
  <c r="O76" i="1" s="1"/>
  <c r="S76" i="1" a="1"/>
  <c r="S76" i="1" s="1"/>
  <c r="D76" i="7" s="1"/>
  <c r="M76" i="7" s="1"/>
  <c r="AK76" i="1" a="1"/>
  <c r="AK76" i="1" s="1"/>
  <c r="A76" i="6"/>
  <c r="U76" i="1" a="1"/>
  <c r="U76" i="1" s="1"/>
  <c r="AH76" i="1" a="1"/>
  <c r="AH76" i="1" s="1"/>
  <c r="AA76" i="1" a="1"/>
  <c r="AA76" i="1" s="1"/>
  <c r="AJ76" i="1" a="1"/>
  <c r="AJ76" i="1" s="1"/>
  <c r="A76" i="5"/>
  <c r="A76" i="7"/>
  <c r="K76" i="1" a="1"/>
  <c r="K76" i="1" s="1"/>
  <c r="V76" i="1" a="1"/>
  <c r="V76" i="1" s="1"/>
  <c r="F76" i="1" a="1"/>
  <c r="F76" i="1" s="1"/>
  <c r="AM76" i="1" a="1"/>
  <c r="AM76" i="1" s="1"/>
  <c r="Z76" i="1" a="1"/>
  <c r="Z76" i="1" s="1"/>
  <c r="J76" i="1" a="1"/>
  <c r="J76" i="1" s="1"/>
  <c r="AL76" i="1" a="1"/>
  <c r="AL76" i="1" s="1"/>
  <c r="C76" i="1" a="1"/>
  <c r="C76" i="1" s="1"/>
  <c r="D76" i="2" s="1"/>
  <c r="W76" i="1" a="1"/>
  <c r="W76" i="1" s="1"/>
  <c r="I76" i="7" s="1"/>
  <c r="AG76" i="1" a="1"/>
  <c r="AG76" i="1" s="1"/>
  <c r="P76" i="1" a="1"/>
  <c r="P76" i="1" s="1"/>
  <c r="A76" i="2"/>
  <c r="Q76" i="1" a="1"/>
  <c r="Q76" i="1" s="1"/>
  <c r="E76" i="1" a="1"/>
  <c r="E76" i="1" s="1"/>
  <c r="H76" i="1" a="1"/>
  <c r="H76" i="1" s="1"/>
  <c r="A76" i="4"/>
  <c r="AI76" i="1" a="1"/>
  <c r="AI76" i="1" s="1"/>
  <c r="Y84" i="1" a="1"/>
  <c r="Y84" i="1" s="1"/>
  <c r="N84" i="1" a="1"/>
  <c r="N84" i="1" s="1"/>
  <c r="L84" i="1" a="1"/>
  <c r="L84" i="1" s="1"/>
  <c r="AH84" i="1" a="1"/>
  <c r="AH84" i="1" s="1"/>
  <c r="AJ84" i="1" a="1"/>
  <c r="AJ84" i="1" s="1"/>
  <c r="R84" i="1" a="1"/>
  <c r="R84" i="1" s="1"/>
  <c r="H84" i="1" a="1"/>
  <c r="H84" i="1" s="1"/>
  <c r="G84" i="1" a="1"/>
  <c r="G84" i="1" s="1"/>
  <c r="AK84" i="1" a="1"/>
  <c r="AK84" i="1" s="1"/>
  <c r="D84" i="1" a="1"/>
  <c r="D84" i="1" s="1"/>
  <c r="AG84" i="1" a="1"/>
  <c r="AG84" i="1" s="1"/>
  <c r="A84" i="6"/>
  <c r="AD84" i="1" a="1"/>
  <c r="AD84" i="1" s="1"/>
  <c r="AO84" i="1" a="1"/>
  <c r="AO84" i="1" s="1"/>
  <c r="E84" i="1" a="1"/>
  <c r="E84" i="1" s="1"/>
  <c r="AI84" i="1" a="1"/>
  <c r="AI84" i="1" s="1"/>
  <c r="AL84" i="1" a="1"/>
  <c r="AL84" i="1" s="1"/>
  <c r="W84" i="1" a="1"/>
  <c r="W84" i="1" s="1"/>
  <c r="B84" i="1" a="1"/>
  <c r="B84" i="1" s="1"/>
  <c r="AB84" i="1" a="1"/>
  <c r="AB84" i="1" s="1"/>
  <c r="AN84" i="1" a="1"/>
  <c r="AN84" i="1" s="1"/>
  <c r="U84" i="1" a="1"/>
  <c r="U84" i="1" s="1"/>
  <c r="M84" i="1" a="1"/>
  <c r="M84" i="1" s="1"/>
  <c r="AA84" i="1" a="1"/>
  <c r="AA84" i="1" s="1"/>
  <c r="AF84" i="1" a="1"/>
  <c r="AF84" i="1" s="1"/>
  <c r="Z84" i="1" a="1"/>
  <c r="Z84" i="1" s="1"/>
  <c r="AM84" i="1" a="1"/>
  <c r="AM84" i="1" s="1"/>
  <c r="C84" i="1" a="1"/>
  <c r="C84" i="1" s="1"/>
  <c r="P84" i="1" a="1"/>
  <c r="P84" i="1" s="1"/>
  <c r="A84" i="7"/>
  <c r="X84" i="1" a="1"/>
  <c r="X84" i="1" s="1"/>
  <c r="J84" i="1" a="1"/>
  <c r="J84" i="1" s="1"/>
  <c r="A84" i="2"/>
  <c r="F84" i="1" a="1"/>
  <c r="F84" i="1" s="1"/>
  <c r="A84" i="4"/>
  <c r="S84" i="1" a="1"/>
  <c r="S84" i="1" s="1"/>
  <c r="A84" i="3"/>
  <c r="V84" i="1" a="1"/>
  <c r="V84" i="1" s="1"/>
  <c r="I84" i="1" a="1"/>
  <c r="I84" i="1" s="1"/>
  <c r="K84" i="2" s="1"/>
  <c r="T84" i="1" a="1"/>
  <c r="T84" i="1" s="1"/>
  <c r="AC84" i="1" a="1"/>
  <c r="AC84" i="1" s="1"/>
  <c r="A84" i="5"/>
  <c r="AE84" i="1" a="1"/>
  <c r="AE84" i="1" s="1"/>
  <c r="O84" i="1" a="1"/>
  <c r="O84" i="1" s="1"/>
  <c r="K84" i="1" a="1"/>
  <c r="K84" i="1" s="1"/>
  <c r="Q84" i="1" a="1"/>
  <c r="Q84" i="1" s="1"/>
  <c r="A124" i="4"/>
  <c r="A124" i="3"/>
  <c r="A124" i="2"/>
  <c r="A124" i="6"/>
  <c r="A124" i="5"/>
  <c r="A124" i="7"/>
  <c r="T92" i="1" a="1"/>
  <c r="T92" i="1" s="1"/>
  <c r="A92" i="4"/>
  <c r="A92" i="2"/>
  <c r="AJ92" i="1" a="1"/>
  <c r="AJ92" i="1" s="1"/>
  <c r="AL92" i="1" a="1"/>
  <c r="AL92" i="1" s="1"/>
  <c r="AF92" i="1" a="1"/>
  <c r="AF92" i="1" s="1"/>
  <c r="Y92" i="1" a="1"/>
  <c r="Y92" i="1" s="1"/>
  <c r="I92" i="1" a="1"/>
  <c r="I92" i="1" s="1"/>
  <c r="X92" i="1" a="1"/>
  <c r="X92" i="1" s="1"/>
  <c r="P92" i="1" a="1"/>
  <c r="P92" i="1" s="1"/>
  <c r="W92" i="1" a="1"/>
  <c r="W92" i="1" s="1"/>
  <c r="O92" i="1" a="1"/>
  <c r="O92" i="1" s="1"/>
  <c r="C92" i="1" a="1"/>
  <c r="C92" i="1" s="1"/>
  <c r="AB92" i="1" a="1"/>
  <c r="AB92" i="1" s="1"/>
  <c r="M92" i="1" a="1"/>
  <c r="M92" i="1" s="1"/>
  <c r="AG92" i="1" a="1"/>
  <c r="AG92" i="1" s="1"/>
  <c r="J92" i="1" a="1"/>
  <c r="J92" i="1" s="1"/>
  <c r="A92" i="5"/>
  <c r="AC92" i="1" a="1"/>
  <c r="AC92" i="1" s="1"/>
  <c r="S92" i="1" a="1"/>
  <c r="S92" i="1" s="1"/>
  <c r="A92" i="3"/>
  <c r="AH92" i="1" a="1"/>
  <c r="AH92" i="1" s="1"/>
  <c r="B92" i="1" a="1"/>
  <c r="B92" i="1" s="1"/>
  <c r="L92" i="1" a="1"/>
  <c r="L92" i="1" s="1"/>
  <c r="AN92" i="1" a="1"/>
  <c r="AN92" i="1" s="1"/>
  <c r="Q92" i="1" a="1"/>
  <c r="Q92" i="1" s="1"/>
  <c r="K92" i="1" a="1"/>
  <c r="K92" i="1" s="1"/>
  <c r="N92" i="1" a="1"/>
  <c r="N92" i="1" s="1"/>
  <c r="U92" i="1" a="1"/>
  <c r="U92" i="1" s="1"/>
  <c r="AK92" i="1" a="1"/>
  <c r="AK92" i="1" s="1"/>
  <c r="A92" i="6"/>
  <c r="AE92" i="1" a="1"/>
  <c r="AE92" i="1" s="1"/>
  <c r="V92" i="1" a="1"/>
  <c r="V92" i="1" s="1"/>
  <c r="AA92" i="1" a="1"/>
  <c r="AA92" i="1" s="1"/>
  <c r="Z92" i="1" a="1"/>
  <c r="Z92" i="1" s="1"/>
  <c r="R92" i="1" a="1"/>
  <c r="R92" i="1" s="1"/>
  <c r="D92" i="1" a="1"/>
  <c r="D92" i="1" s="1"/>
  <c r="AO92" i="1" a="1"/>
  <c r="AO92" i="1" s="1"/>
  <c r="AI92" i="1" a="1"/>
  <c r="AI92" i="1" s="1"/>
  <c r="A92" i="7"/>
  <c r="E92" i="1" a="1"/>
  <c r="E92" i="1" s="1"/>
  <c r="H92" i="1" a="1"/>
  <c r="H92" i="1" s="1"/>
  <c r="AD92" i="1" a="1"/>
  <c r="AD92" i="1" s="1"/>
  <c r="F92" i="1" a="1"/>
  <c r="F92" i="1" s="1"/>
  <c r="G92" i="1" a="1"/>
  <c r="G92" i="1" s="1"/>
  <c r="AM92" i="1" a="1"/>
  <c r="AM92" i="1" s="1"/>
  <c r="A100" i="7"/>
  <c r="A100" i="5"/>
  <c r="A100" i="2"/>
  <c r="A100" i="3"/>
  <c r="A100" i="4"/>
  <c r="A100" i="6"/>
  <c r="A108" i="3"/>
  <c r="A108" i="5"/>
  <c r="A108" i="7"/>
  <c r="A108" i="6"/>
  <c r="A108" i="4"/>
  <c r="A108" i="2"/>
  <c r="A116" i="4"/>
  <c r="A116" i="6"/>
  <c r="A116" i="5"/>
  <c r="A116" i="3"/>
  <c r="A116" i="7"/>
  <c r="A116" i="2"/>
  <c r="AN13" i="1" a="1"/>
  <c r="AN13" i="1" s="1"/>
  <c r="J13" i="1" a="1"/>
  <c r="J13" i="1" s="1"/>
  <c r="T13" i="1" a="1"/>
  <c r="T13" i="1" s="1"/>
  <c r="D13" i="1" a="1"/>
  <c r="D13" i="1" s="1"/>
  <c r="AM13" i="1" a="1"/>
  <c r="AM13" i="1" s="1"/>
  <c r="Z13" i="1" a="1"/>
  <c r="Z13" i="1" s="1"/>
  <c r="N13" i="1" a="1"/>
  <c r="N13" i="1" s="1"/>
  <c r="U13" i="1" a="1"/>
  <c r="U13" i="1" s="1"/>
  <c r="F13" i="1" a="1"/>
  <c r="F13" i="1" s="1"/>
  <c r="S13" i="1" a="1"/>
  <c r="S13" i="1" s="1"/>
  <c r="AA13" i="1" a="1"/>
  <c r="AA13" i="1" s="1"/>
  <c r="AL13" i="1" a="1"/>
  <c r="AL13" i="1" s="1"/>
  <c r="Q13" i="1" a="1"/>
  <c r="Q13" i="1" s="1"/>
  <c r="A13" i="6"/>
  <c r="R13" i="1" a="1"/>
  <c r="R13" i="1" s="1"/>
  <c r="E13" i="1" a="1"/>
  <c r="E13" i="1" s="1"/>
  <c r="AD13" i="1" a="1"/>
  <c r="AD13" i="1" s="1"/>
  <c r="A13" i="2"/>
  <c r="V13" i="1" a="1"/>
  <c r="V13" i="1" s="1"/>
  <c r="A13" i="4"/>
  <c r="Y13" i="1" a="1"/>
  <c r="Y13" i="1" s="1"/>
  <c r="K13" i="7" s="1"/>
  <c r="L13" i="1" a="1"/>
  <c r="L13" i="1" s="1"/>
  <c r="AO13" i="1" a="1"/>
  <c r="AO13" i="1" s="1"/>
  <c r="A13" i="5"/>
  <c r="C13" i="1" a="1"/>
  <c r="C13" i="1" s="1"/>
  <c r="AB13" i="1" a="1"/>
  <c r="AB13" i="1" s="1"/>
  <c r="AC13" i="1" a="1"/>
  <c r="AC13" i="1" s="1"/>
  <c r="F13" i="6" s="1"/>
  <c r="W13" i="1" a="1"/>
  <c r="W13" i="1" s="1"/>
  <c r="I13" i="7" s="1"/>
  <c r="AJ13" i="1" a="1"/>
  <c r="AJ13" i="1" s="1"/>
  <c r="X13" i="1" a="1"/>
  <c r="X13" i="1" s="1"/>
  <c r="J13" i="7" s="1"/>
  <c r="AK13" i="1" a="1"/>
  <c r="AK13" i="1" s="1"/>
  <c r="M13" i="1" a="1"/>
  <c r="M13" i="1" s="1"/>
  <c r="O13" i="1" a="1"/>
  <c r="O13" i="1" s="1"/>
  <c r="P13" i="1" a="1"/>
  <c r="P13" i="1" s="1"/>
  <c r="AH13" i="1" a="1"/>
  <c r="AH13" i="1" s="1"/>
  <c r="B13" i="1" a="1"/>
  <c r="B13" i="1" s="1"/>
  <c r="K13" i="1" a="1"/>
  <c r="K13" i="1" s="1"/>
  <c r="AI13" i="1" a="1"/>
  <c r="AI13" i="1" s="1"/>
  <c r="A13" i="3"/>
  <c r="A13" i="7"/>
  <c r="AH21" i="1" a="1"/>
  <c r="AH21" i="1" s="1"/>
  <c r="AL21" i="1" a="1"/>
  <c r="AL21" i="1" s="1"/>
  <c r="J21" i="1" a="1"/>
  <c r="J21" i="1" s="1"/>
  <c r="C21" i="5" s="1"/>
  <c r="L21" i="5" s="1"/>
  <c r="AC21" i="1" a="1"/>
  <c r="AC21" i="1" s="1"/>
  <c r="O21" i="1" a="1"/>
  <c r="O21" i="1" s="1"/>
  <c r="B21" i="1" a="1"/>
  <c r="B21" i="1" s="1"/>
  <c r="AM21" i="1" a="1"/>
  <c r="AM21" i="1" s="1"/>
  <c r="AD21" i="1" a="1"/>
  <c r="AD21" i="1" s="1"/>
  <c r="AG21" i="1" a="1"/>
  <c r="AG21" i="1" s="1"/>
  <c r="N21" i="1" a="1"/>
  <c r="N21" i="1" s="1"/>
  <c r="AO21" i="1" a="1"/>
  <c r="AO21" i="1" s="1"/>
  <c r="AK21" i="1" a="1"/>
  <c r="AK21" i="1" s="1"/>
  <c r="F21" i="1" a="1"/>
  <c r="F21" i="1" s="1"/>
  <c r="H21" i="1" a="1"/>
  <c r="H21" i="1" s="1"/>
  <c r="A21" i="7"/>
  <c r="AA21" i="1" a="1"/>
  <c r="AA21" i="1" s="1"/>
  <c r="D21" i="1" a="1"/>
  <c r="D21" i="1" s="1"/>
  <c r="A21" i="2"/>
  <c r="A21" i="4"/>
  <c r="X21" i="1" a="1"/>
  <c r="X21" i="1" s="1"/>
  <c r="A21" i="5"/>
  <c r="E21" i="1" a="1"/>
  <c r="E21" i="1" s="1"/>
  <c r="P21" i="1" a="1"/>
  <c r="P21" i="1" s="1"/>
  <c r="AI21" i="1" a="1"/>
  <c r="AI21" i="1" s="1"/>
  <c r="AJ21" i="1" a="1"/>
  <c r="AJ21" i="1" s="1"/>
  <c r="AB21" i="1" a="1"/>
  <c r="AB21" i="1" s="1"/>
  <c r="A21" i="6"/>
  <c r="W21" i="1" a="1"/>
  <c r="W21" i="1" s="1"/>
  <c r="S21" i="1" a="1"/>
  <c r="S21" i="1" s="1"/>
  <c r="T21" i="1" a="1"/>
  <c r="T21" i="1" s="1"/>
  <c r="A21" i="3"/>
  <c r="R21" i="1" a="1"/>
  <c r="R21" i="1" s="1"/>
  <c r="V21" i="1" a="1"/>
  <c r="V21" i="1" s="1"/>
  <c r="G21" i="1" a="1"/>
  <c r="G21" i="1" s="1"/>
  <c r="Y21" i="1" a="1"/>
  <c r="Y21" i="1" s="1"/>
  <c r="L21" i="1" a="1"/>
  <c r="L21" i="1" s="1"/>
  <c r="I21" i="1" a="1"/>
  <c r="I21" i="1" s="1"/>
  <c r="AN21" i="1" a="1"/>
  <c r="AN21" i="1" s="1"/>
  <c r="AF21" i="1" a="1"/>
  <c r="AF21" i="1" s="1"/>
  <c r="Z21" i="1" a="1"/>
  <c r="Z21" i="1" s="1"/>
  <c r="C21" i="1" a="1"/>
  <c r="C21" i="1" s="1"/>
  <c r="M21" i="1" a="1"/>
  <c r="M21" i="1" s="1"/>
  <c r="AE21" i="1" a="1"/>
  <c r="AE21" i="1" s="1"/>
  <c r="Q21" i="1" a="1"/>
  <c r="Q21" i="1" s="1"/>
  <c r="K21" i="1" a="1"/>
  <c r="K21" i="1" s="1"/>
  <c r="U21" i="1" a="1"/>
  <c r="U21" i="1" s="1"/>
  <c r="A29" i="6"/>
  <c r="V29" i="1" a="1"/>
  <c r="V29" i="1" s="1"/>
  <c r="L29" i="1" a="1"/>
  <c r="L29" i="1" s="1"/>
  <c r="N29" i="1" a="1"/>
  <c r="N29" i="1" s="1"/>
  <c r="M29" i="1" a="1"/>
  <c r="M29" i="1" s="1"/>
  <c r="F29" i="5" s="1"/>
  <c r="AO29" i="1" a="1"/>
  <c r="AO29" i="1" s="1"/>
  <c r="G29" i="1" a="1"/>
  <c r="G29" i="1" s="1"/>
  <c r="R29" i="1" a="1"/>
  <c r="R29" i="1" s="1"/>
  <c r="AC29" i="1" a="1"/>
  <c r="AC29" i="1" s="1"/>
  <c r="AG29" i="1" a="1"/>
  <c r="AG29" i="1" s="1"/>
  <c r="W29" i="1" a="1"/>
  <c r="W29" i="1" s="1"/>
  <c r="X29" i="1" a="1"/>
  <c r="X29" i="1" s="1"/>
  <c r="H29" i="1" a="1"/>
  <c r="H29" i="1" s="1"/>
  <c r="Z29" i="1" a="1"/>
  <c r="Z29" i="1" s="1"/>
  <c r="T29" i="1" a="1"/>
  <c r="T29" i="1" s="1"/>
  <c r="Q29" i="1" a="1"/>
  <c r="Q29" i="1" s="1"/>
  <c r="AB29" i="1" a="1"/>
  <c r="AB29" i="1" s="1"/>
  <c r="AJ29" i="1" a="1"/>
  <c r="AJ29" i="1" s="1"/>
  <c r="AM29" i="1" a="1"/>
  <c r="AM29" i="1" s="1"/>
  <c r="U29" i="1" a="1"/>
  <c r="U29" i="1" s="1"/>
  <c r="C29" i="1" a="1"/>
  <c r="C29" i="1" s="1"/>
  <c r="D29" i="2" s="1"/>
  <c r="A29" i="3"/>
  <c r="O29" i="1" a="1"/>
  <c r="O29" i="1" s="1"/>
  <c r="AF29" i="1" a="1"/>
  <c r="AF29" i="1" s="1"/>
  <c r="AN29" i="1" a="1"/>
  <c r="AN29" i="1" s="1"/>
  <c r="A29" i="7"/>
  <c r="F29" i="1" a="1"/>
  <c r="F29" i="1" s="1"/>
  <c r="AL29" i="1" a="1"/>
  <c r="AL29" i="1" s="1"/>
  <c r="A29" i="5"/>
  <c r="E29" i="1" a="1"/>
  <c r="E29" i="1" s="1"/>
  <c r="AH29" i="1" a="1"/>
  <c r="AH29" i="1" s="1"/>
  <c r="S29" i="1" a="1"/>
  <c r="S29" i="1" s="1"/>
  <c r="AD29" i="1" a="1"/>
  <c r="AD29" i="1" s="1"/>
  <c r="P29" i="1" a="1"/>
  <c r="P29" i="1" s="1"/>
  <c r="D29" i="1" a="1"/>
  <c r="D29" i="1" s="1"/>
  <c r="J29" i="1" a="1"/>
  <c r="J29" i="1" s="1"/>
  <c r="K29" i="1" a="1"/>
  <c r="K29" i="1" s="1"/>
  <c r="D29" i="5" s="1"/>
  <c r="M29" i="5" s="1"/>
  <c r="AA29" i="1" a="1"/>
  <c r="AA29" i="1" s="1"/>
  <c r="AI29" i="1" a="1"/>
  <c r="AI29" i="1" s="1"/>
  <c r="I29" i="1" a="1"/>
  <c r="I29" i="1" s="1"/>
  <c r="A29" i="4"/>
  <c r="A29" i="2"/>
  <c r="AK29" i="1" a="1"/>
  <c r="AK29" i="1" s="1"/>
  <c r="AE29" i="1" a="1"/>
  <c r="AE29" i="1" s="1"/>
  <c r="Y29" i="1" a="1"/>
  <c r="Y29" i="1" s="1"/>
  <c r="K29" i="7" s="1"/>
  <c r="B29" i="1" a="1"/>
  <c r="B29" i="1" s="1"/>
  <c r="C29" i="2" s="1"/>
  <c r="V37" i="1" a="1"/>
  <c r="V37" i="1" s="1"/>
  <c r="AB37" i="1" a="1"/>
  <c r="AB37" i="1" s="1"/>
  <c r="J37" i="1" a="1"/>
  <c r="J37" i="1" s="1"/>
  <c r="G37" i="1" a="1"/>
  <c r="G37" i="1" s="1"/>
  <c r="C37" i="1" a="1"/>
  <c r="C37" i="1" s="1"/>
  <c r="X37" i="1" a="1"/>
  <c r="X37" i="1" s="1"/>
  <c r="AO37" i="1" a="1"/>
  <c r="AO37" i="1" s="1"/>
  <c r="AM37" i="1" a="1"/>
  <c r="AM37" i="1" s="1"/>
  <c r="U37" i="1" a="1"/>
  <c r="U37" i="1" s="1"/>
  <c r="P37" i="1" a="1"/>
  <c r="P37" i="1" s="1"/>
  <c r="L37" i="1" a="1"/>
  <c r="L37" i="1" s="1"/>
  <c r="Q37" i="1" a="1"/>
  <c r="Q37" i="1" s="1"/>
  <c r="AI37" i="1" a="1"/>
  <c r="AI37" i="1" s="1"/>
  <c r="A37" i="4"/>
  <c r="E37" i="1" a="1"/>
  <c r="E37" i="1" s="1"/>
  <c r="A37" i="3"/>
  <c r="AA37" i="1" a="1"/>
  <c r="AA37" i="1" s="1"/>
  <c r="W37" i="1" a="1"/>
  <c r="W37" i="1" s="1"/>
  <c r="A37" i="2"/>
  <c r="AK37" i="1" a="1"/>
  <c r="AK37" i="1" s="1"/>
  <c r="O37" i="1" a="1"/>
  <c r="O37" i="1" s="1"/>
  <c r="F37" i="1" a="1"/>
  <c r="F37" i="1" s="1"/>
  <c r="AC37" i="1" a="1"/>
  <c r="AC37" i="1" s="1"/>
  <c r="K37" i="1" a="1"/>
  <c r="K37" i="1" s="1"/>
  <c r="M37" i="1" a="1"/>
  <c r="M37" i="1" s="1"/>
  <c r="R37" i="1" a="1"/>
  <c r="R37" i="1" s="1"/>
  <c r="AN37" i="1" a="1"/>
  <c r="AN37" i="1" s="1"/>
  <c r="H37" i="1" a="1"/>
  <c r="H37" i="1" s="1"/>
  <c r="AG37" i="1" a="1"/>
  <c r="AG37" i="1" s="1"/>
  <c r="AL37" i="1" a="1"/>
  <c r="AL37" i="1" s="1"/>
  <c r="A37" i="5"/>
  <c r="I37" i="1" a="1"/>
  <c r="I37" i="1" s="1"/>
  <c r="AE37" i="1" a="1"/>
  <c r="AE37" i="1" s="1"/>
  <c r="T37" i="1" a="1"/>
  <c r="T37" i="1" s="1"/>
  <c r="E37" i="7" s="1"/>
  <c r="Z37" i="1" a="1"/>
  <c r="Z37" i="1" s="1"/>
  <c r="D37" i="1" a="1"/>
  <c r="D37" i="1" s="1"/>
  <c r="AD37" i="1" a="1"/>
  <c r="AD37" i="1" s="1"/>
  <c r="AH37" i="1" a="1"/>
  <c r="AH37" i="1" s="1"/>
  <c r="N37" i="1" a="1"/>
  <c r="N37" i="1" s="1"/>
  <c r="Y37" i="1" a="1"/>
  <c r="Y37" i="1" s="1"/>
  <c r="AJ37" i="1" a="1"/>
  <c r="AJ37" i="1" s="1"/>
  <c r="A37" i="7"/>
  <c r="AF37" i="1" a="1"/>
  <c r="AF37" i="1" s="1"/>
  <c r="S37" i="1" a="1"/>
  <c r="S37" i="1" s="1"/>
  <c r="A37" i="6"/>
  <c r="B37" i="1" a="1"/>
  <c r="B37" i="1" s="1"/>
  <c r="AM45" i="1" a="1"/>
  <c r="AM45" i="1" s="1"/>
  <c r="A45" i="2"/>
  <c r="N45" i="1" a="1"/>
  <c r="N45" i="1" s="1"/>
  <c r="G45" i="1" a="1"/>
  <c r="G45" i="1" s="1"/>
  <c r="A45" i="3"/>
  <c r="C45" i="1" a="1"/>
  <c r="C45" i="1" s="1"/>
  <c r="V45" i="1" a="1"/>
  <c r="V45" i="1" s="1"/>
  <c r="AN45" i="1" a="1"/>
  <c r="AN45" i="1" s="1"/>
  <c r="AF45" i="1" a="1"/>
  <c r="AF45" i="1" s="1"/>
  <c r="AG45" i="1" a="1"/>
  <c r="AG45" i="1" s="1"/>
  <c r="T45" i="1" a="1"/>
  <c r="T45" i="1" s="1"/>
  <c r="U45" i="1" a="1"/>
  <c r="U45" i="1" s="1"/>
  <c r="X45" i="1" a="1"/>
  <c r="X45" i="1" s="1"/>
  <c r="A45" i="5"/>
  <c r="AK45" i="1" a="1"/>
  <c r="AK45" i="1" s="1"/>
  <c r="I45" i="1" a="1"/>
  <c r="I45" i="1" s="1"/>
  <c r="S45" i="1" a="1"/>
  <c r="S45" i="1" s="1"/>
  <c r="AB45" i="1" a="1"/>
  <c r="AB45" i="1" s="1"/>
  <c r="AD45" i="1" a="1"/>
  <c r="AD45" i="1" s="1"/>
  <c r="AH45" i="1" a="1"/>
  <c r="AH45" i="1" s="1"/>
  <c r="P45" i="1" a="1"/>
  <c r="P45" i="1" s="1"/>
  <c r="B45" i="1" a="1"/>
  <c r="B45" i="1" s="1"/>
  <c r="AA45" i="1" a="1"/>
  <c r="AA45" i="1" s="1"/>
  <c r="W45" i="1" a="1"/>
  <c r="W45" i="1" s="1"/>
  <c r="Z45" i="1" a="1"/>
  <c r="Z45" i="1" s="1"/>
  <c r="L45" i="1" a="1"/>
  <c r="L45" i="1" s="1"/>
  <c r="E45" i="5" s="1"/>
  <c r="AE45" i="1" a="1"/>
  <c r="AE45" i="1" s="1"/>
  <c r="Y45" i="1" a="1"/>
  <c r="Y45" i="1" s="1"/>
  <c r="F45" i="1" a="1"/>
  <c r="F45" i="1" s="1"/>
  <c r="AL45" i="1" a="1"/>
  <c r="AL45" i="1" s="1"/>
  <c r="M45" i="1" a="1"/>
  <c r="M45" i="1" s="1"/>
  <c r="A45" i="4"/>
  <c r="A45" i="7"/>
  <c r="AI45" i="1" a="1"/>
  <c r="AI45" i="1" s="1"/>
  <c r="AJ45" i="1" a="1"/>
  <c r="AJ45" i="1" s="1"/>
  <c r="Q45" i="1" a="1"/>
  <c r="Q45" i="1" s="1"/>
  <c r="E45" i="1" a="1"/>
  <c r="E45" i="1" s="1"/>
  <c r="AC45" i="1" a="1"/>
  <c r="AC45" i="1" s="1"/>
  <c r="D45" i="1" a="1"/>
  <c r="D45" i="1" s="1"/>
  <c r="H45" i="1" a="1"/>
  <c r="H45" i="1" s="1"/>
  <c r="J45" i="1" a="1"/>
  <c r="J45" i="1" s="1"/>
  <c r="C45" i="5" s="1"/>
  <c r="L45" i="5" s="1"/>
  <c r="A45" i="6"/>
  <c r="O45" i="1" a="1"/>
  <c r="O45" i="1" s="1"/>
  <c r="I45" i="5" s="1"/>
  <c r="K45" i="1" a="1"/>
  <c r="K45" i="1" s="1"/>
  <c r="R45" i="1" a="1"/>
  <c r="R45" i="1" s="1"/>
  <c r="AO45" i="1" a="1"/>
  <c r="AO45" i="1" s="1"/>
  <c r="AG53" i="1" a="1"/>
  <c r="AG53" i="1" s="1"/>
  <c r="AD53" i="1" a="1"/>
  <c r="AD53" i="1" s="1"/>
  <c r="T53" i="1" a="1"/>
  <c r="T53" i="1" s="1"/>
  <c r="E53" i="7" s="1"/>
  <c r="F53" i="1" a="1"/>
  <c r="F53" i="1" s="1"/>
  <c r="AC53" i="1" a="1"/>
  <c r="AC53" i="1" s="1"/>
  <c r="P53" i="1" a="1"/>
  <c r="P53" i="1" s="1"/>
  <c r="AH53" i="1" a="1"/>
  <c r="AH53" i="1" s="1"/>
  <c r="A53" i="7"/>
  <c r="AA53" i="1" a="1"/>
  <c r="AA53" i="1" s="1"/>
  <c r="AO53" i="1" a="1"/>
  <c r="AO53" i="1" s="1"/>
  <c r="A53" i="6"/>
  <c r="AJ53" i="1" a="1"/>
  <c r="AJ53" i="1" s="1"/>
  <c r="G53" i="1" a="1"/>
  <c r="G53" i="1" s="1"/>
  <c r="I53" i="1" a="1"/>
  <c r="I53" i="1" s="1"/>
  <c r="Y53" i="1" a="1"/>
  <c r="Y53" i="1" s="1"/>
  <c r="S53" i="1" a="1"/>
  <c r="S53" i="1" s="1"/>
  <c r="AL53" i="1" a="1"/>
  <c r="AL53" i="1" s="1"/>
  <c r="AE53" i="1" a="1"/>
  <c r="AE53" i="1" s="1"/>
  <c r="C53" i="1" a="1"/>
  <c r="C53" i="1" s="1"/>
  <c r="H53" i="1" a="1"/>
  <c r="H53" i="1" s="1"/>
  <c r="A53" i="5"/>
  <c r="X53" i="1" a="1"/>
  <c r="X53" i="1" s="1"/>
  <c r="AB53" i="1" a="1"/>
  <c r="AB53" i="1" s="1"/>
  <c r="D53" i="1" a="1"/>
  <c r="D53" i="1" s="1"/>
  <c r="E53" i="1" a="1"/>
  <c r="E53" i="1" s="1"/>
  <c r="A53" i="2"/>
  <c r="Q53" i="1" a="1"/>
  <c r="Q53" i="1" s="1"/>
  <c r="R53" i="1" a="1"/>
  <c r="R53" i="1" s="1"/>
  <c r="O53" i="1" a="1"/>
  <c r="O53" i="1" s="1"/>
  <c r="A53" i="3"/>
  <c r="A53" i="4"/>
  <c r="AN53" i="1" a="1"/>
  <c r="AN53" i="1" s="1"/>
  <c r="K53" i="1" a="1"/>
  <c r="K53" i="1" s="1"/>
  <c r="D53" i="5" s="1"/>
  <c r="M53" i="5" s="1"/>
  <c r="N53" i="1" a="1"/>
  <c r="N53" i="1" s="1"/>
  <c r="G53" i="5" s="1"/>
  <c r="W53" i="1" a="1"/>
  <c r="W53" i="1" s="1"/>
  <c r="I53" i="7" s="1"/>
  <c r="U53" i="1" a="1"/>
  <c r="U53" i="1" s="1"/>
  <c r="AF53" i="1" a="1"/>
  <c r="AF53" i="1" s="1"/>
  <c r="J53" i="1" a="1"/>
  <c r="J53" i="1" s="1"/>
  <c r="AM53" i="1" a="1"/>
  <c r="AM53" i="1" s="1"/>
  <c r="B53" i="1" a="1"/>
  <c r="B53" i="1" s="1"/>
  <c r="M53" i="1" a="1"/>
  <c r="M53" i="1" s="1"/>
  <c r="AI53" i="1" a="1"/>
  <c r="AI53" i="1" s="1"/>
  <c r="Z53" i="1" a="1"/>
  <c r="Z53" i="1" s="1"/>
  <c r="V53" i="1" a="1"/>
  <c r="V53" i="1" s="1"/>
  <c r="L53" i="1" a="1"/>
  <c r="L53" i="1" s="1"/>
  <c r="AK53" i="1" a="1"/>
  <c r="AK53" i="1" s="1"/>
  <c r="AE61" i="1" a="1"/>
  <c r="AE61" i="1" s="1"/>
  <c r="R61" i="1" a="1"/>
  <c r="R61" i="1" s="1"/>
  <c r="AI61" i="1" a="1"/>
  <c r="AI61" i="1" s="1"/>
  <c r="AA61" i="1" a="1"/>
  <c r="AA61" i="1" s="1"/>
  <c r="A61" i="6"/>
  <c r="H61" i="1" a="1"/>
  <c r="H61" i="1" s="1"/>
  <c r="A61" i="3"/>
  <c r="Y61" i="1" a="1"/>
  <c r="Y61" i="1" s="1"/>
  <c r="Z61" i="1" a="1"/>
  <c r="Z61" i="1" s="1"/>
  <c r="I61" i="1" a="1"/>
  <c r="I61" i="1" s="1"/>
  <c r="AO61" i="1" a="1"/>
  <c r="AO61" i="1" s="1"/>
  <c r="Q61" i="1" a="1"/>
  <c r="Q61" i="1" s="1"/>
  <c r="AG61" i="1" a="1"/>
  <c r="AG61" i="1" s="1"/>
  <c r="C61" i="1" a="1"/>
  <c r="C61" i="1" s="1"/>
  <c r="A61" i="5"/>
  <c r="M61" i="1" a="1"/>
  <c r="M61" i="1" s="1"/>
  <c r="AH61" i="1" a="1"/>
  <c r="AH61" i="1" s="1"/>
  <c r="P61" i="1" a="1"/>
  <c r="P61" i="1" s="1"/>
  <c r="AJ61" i="1" a="1"/>
  <c r="AJ61" i="1" s="1"/>
  <c r="G61" i="1" a="1"/>
  <c r="G61" i="1" s="1"/>
  <c r="B61" i="1" a="1"/>
  <c r="B61" i="1" s="1"/>
  <c r="C61" i="2" s="1"/>
  <c r="AF61" i="1" a="1"/>
  <c r="AF61" i="1" s="1"/>
  <c r="U61" i="1" a="1"/>
  <c r="U61" i="1" s="1"/>
  <c r="AN61" i="1" a="1"/>
  <c r="AN61" i="1" s="1"/>
  <c r="AL61" i="1" a="1"/>
  <c r="AL61" i="1" s="1"/>
  <c r="S61" i="1" a="1"/>
  <c r="S61" i="1" s="1"/>
  <c r="A61" i="7"/>
  <c r="T61" i="1" a="1"/>
  <c r="T61" i="1" s="1"/>
  <c r="K61" i="1" a="1"/>
  <c r="K61" i="1" s="1"/>
  <c r="D61" i="5" s="1"/>
  <c r="M61" i="5" s="1"/>
  <c r="F61" i="1" a="1"/>
  <c r="F61" i="1" s="1"/>
  <c r="AK61" i="1" a="1"/>
  <c r="AK61" i="1" s="1"/>
  <c r="J61" i="1" a="1"/>
  <c r="J61" i="1" s="1"/>
  <c r="AD61" i="1" a="1"/>
  <c r="AD61" i="1" s="1"/>
  <c r="E61" i="1" a="1"/>
  <c r="E61" i="1" s="1"/>
  <c r="L61" i="1" a="1"/>
  <c r="L61" i="1" s="1"/>
  <c r="AC61" i="1" a="1"/>
  <c r="AC61" i="1" s="1"/>
  <c r="O61" i="1" a="1"/>
  <c r="O61" i="1" s="1"/>
  <c r="I61" i="5" s="1"/>
  <c r="N61" i="1" a="1"/>
  <c r="N61" i="1" s="1"/>
  <c r="X61" i="1" a="1"/>
  <c r="X61" i="1" s="1"/>
  <c r="AB61" i="1" a="1"/>
  <c r="AB61" i="1" s="1"/>
  <c r="AM61" i="1" a="1"/>
  <c r="AM61" i="1" s="1"/>
  <c r="A61" i="2"/>
  <c r="V61" i="1" a="1"/>
  <c r="V61" i="1" s="1"/>
  <c r="A61" i="4"/>
  <c r="D61" i="1" a="1"/>
  <c r="D61" i="1" s="1"/>
  <c r="W61" i="1" a="1"/>
  <c r="W61" i="1" s="1"/>
  <c r="U69" i="1" a="1"/>
  <c r="U69" i="1" s="1"/>
  <c r="AA69" i="1" a="1"/>
  <c r="AA69" i="1" s="1"/>
  <c r="R69" i="1" a="1"/>
  <c r="R69" i="1" s="1"/>
  <c r="V69" i="1" a="1"/>
  <c r="V69" i="1" s="1"/>
  <c r="H69" i="1" a="1"/>
  <c r="H69" i="1" s="1"/>
  <c r="A69" i="4"/>
  <c r="Y69" i="1" a="1"/>
  <c r="Y69" i="1" s="1"/>
  <c r="A69" i="3"/>
  <c r="AF69" i="1" a="1"/>
  <c r="AF69" i="1" s="1"/>
  <c r="P69" i="1" a="1"/>
  <c r="P69" i="1" s="1"/>
  <c r="Z69" i="1" a="1"/>
  <c r="Z69" i="1" s="1"/>
  <c r="E69" i="1" a="1"/>
  <c r="E69" i="1" s="1"/>
  <c r="F69" i="1" a="1"/>
  <c r="F69" i="1" s="1"/>
  <c r="B69" i="1" a="1"/>
  <c r="B69" i="1" s="1"/>
  <c r="A69" i="2"/>
  <c r="AB69" i="1" a="1"/>
  <c r="AB69" i="1" s="1"/>
  <c r="J69" i="1" a="1"/>
  <c r="J69" i="1" s="1"/>
  <c r="L69" i="1" a="1"/>
  <c r="L69" i="1" s="1"/>
  <c r="A69" i="5"/>
  <c r="X69" i="1" a="1"/>
  <c r="X69" i="1" s="1"/>
  <c r="AE69" i="1" a="1"/>
  <c r="AE69" i="1" s="1"/>
  <c r="AN69" i="1" a="1"/>
  <c r="AN69" i="1" s="1"/>
  <c r="T69" i="1" a="1"/>
  <c r="T69" i="1" s="1"/>
  <c r="E69" i="7" s="1"/>
  <c r="AH69" i="1" a="1"/>
  <c r="AH69" i="1" s="1"/>
  <c r="Q69" i="1" a="1"/>
  <c r="Q69" i="1" s="1"/>
  <c r="O69" i="1" a="1"/>
  <c r="O69" i="1" s="1"/>
  <c r="I69" i="1" a="1"/>
  <c r="I69" i="1" s="1"/>
  <c r="W69" i="1" a="1"/>
  <c r="W69" i="1" s="1"/>
  <c r="A69" i="7"/>
  <c r="AI69" i="1" a="1"/>
  <c r="AI69" i="1" s="1"/>
  <c r="AJ69" i="1" a="1"/>
  <c r="AJ69" i="1" s="1"/>
  <c r="AL69" i="1" a="1"/>
  <c r="AL69" i="1" s="1"/>
  <c r="S69" i="1" a="1"/>
  <c r="S69" i="1" s="1"/>
  <c r="D69" i="1" a="1"/>
  <c r="D69" i="1" s="1"/>
  <c r="C69" i="1" a="1"/>
  <c r="C69" i="1" s="1"/>
  <c r="A69" i="6"/>
  <c r="AC69" i="1" a="1"/>
  <c r="AC69" i="1" s="1"/>
  <c r="M69" i="1" a="1"/>
  <c r="M69" i="1" s="1"/>
  <c r="G69" i="1" a="1"/>
  <c r="G69" i="1" s="1"/>
  <c r="AO69" i="1" a="1"/>
  <c r="AO69" i="1" s="1"/>
  <c r="AG69" i="1" a="1"/>
  <c r="AG69" i="1" s="1"/>
  <c r="AM69" i="1" a="1"/>
  <c r="AM69" i="1" s="1"/>
  <c r="N69" i="1" a="1"/>
  <c r="N69" i="1" s="1"/>
  <c r="AD69" i="1" a="1"/>
  <c r="AD69" i="1" s="1"/>
  <c r="K69" i="1" a="1"/>
  <c r="K69" i="1" s="1"/>
  <c r="AK69" i="1" a="1"/>
  <c r="AK69" i="1" s="1"/>
  <c r="M77" i="1" a="1"/>
  <c r="M77" i="1" s="1"/>
  <c r="F77" i="5" s="1"/>
  <c r="U77" i="1" a="1"/>
  <c r="U77" i="1" s="1"/>
  <c r="H77" i="1" a="1"/>
  <c r="H77" i="1" s="1"/>
  <c r="Q77" i="1" a="1"/>
  <c r="Q77" i="1" s="1"/>
  <c r="AD77" i="1" a="1"/>
  <c r="AD77" i="1" s="1"/>
  <c r="L77" i="1" a="1"/>
  <c r="L77" i="1" s="1"/>
  <c r="AM77" i="1" a="1"/>
  <c r="AM77" i="1" s="1"/>
  <c r="T77" i="1" a="1"/>
  <c r="T77" i="1" s="1"/>
  <c r="P77" i="1" a="1"/>
  <c r="P77" i="1" s="1"/>
  <c r="AK77" i="1" a="1"/>
  <c r="AK77" i="1" s="1"/>
  <c r="AF77" i="1" a="1"/>
  <c r="AF77" i="1" s="1"/>
  <c r="E77" i="1" a="1"/>
  <c r="E77" i="1" s="1"/>
  <c r="AA77" i="1" a="1"/>
  <c r="AA77" i="1" s="1"/>
  <c r="AI77" i="1" a="1"/>
  <c r="AI77" i="1" s="1"/>
  <c r="A77" i="2"/>
  <c r="A77" i="7"/>
  <c r="AO77" i="1" a="1"/>
  <c r="AO77" i="1" s="1"/>
  <c r="AB77" i="1" a="1"/>
  <c r="AB77" i="1" s="1"/>
  <c r="AE77" i="1" a="1"/>
  <c r="AE77" i="1" s="1"/>
  <c r="G77" i="1" a="1"/>
  <c r="G77" i="1" s="1"/>
  <c r="AG77" i="1" a="1"/>
  <c r="AG77" i="1" s="1"/>
  <c r="R77" i="1" a="1"/>
  <c r="R77" i="1" s="1"/>
  <c r="Y77" i="1" a="1"/>
  <c r="Y77" i="1" s="1"/>
  <c r="A77" i="6"/>
  <c r="AL77" i="1" a="1"/>
  <c r="AL77" i="1" s="1"/>
  <c r="S77" i="1" a="1"/>
  <c r="S77" i="1" s="1"/>
  <c r="N77" i="1" a="1"/>
  <c r="N77" i="1" s="1"/>
  <c r="AH77" i="1" a="1"/>
  <c r="AH77" i="1" s="1"/>
  <c r="AN77" i="1" a="1"/>
  <c r="AN77" i="1" s="1"/>
  <c r="K77" i="1" a="1"/>
  <c r="K77" i="1" s="1"/>
  <c r="D77" i="5" s="1"/>
  <c r="M77" i="5" s="1"/>
  <c r="Z77" i="1" a="1"/>
  <c r="Z77" i="1" s="1"/>
  <c r="C77" i="1" a="1"/>
  <c r="C77" i="1" s="1"/>
  <c r="W77" i="1" a="1"/>
  <c r="W77" i="1" s="1"/>
  <c r="V77" i="1" a="1"/>
  <c r="V77" i="1" s="1"/>
  <c r="A77" i="4"/>
  <c r="O77" i="1" a="1"/>
  <c r="O77" i="1" s="1"/>
  <c r="I77" i="1" a="1"/>
  <c r="I77" i="1" s="1"/>
  <c r="K77" i="2" s="1"/>
  <c r="J77" i="1" a="1"/>
  <c r="J77" i="1" s="1"/>
  <c r="D77" i="1" a="1"/>
  <c r="D77" i="1" s="1"/>
  <c r="B77" i="1" a="1"/>
  <c r="B77" i="1" s="1"/>
  <c r="AJ77" i="1" a="1"/>
  <c r="AJ77" i="1" s="1"/>
  <c r="AC77" i="1" a="1"/>
  <c r="AC77" i="1" s="1"/>
  <c r="X77" i="1" a="1"/>
  <c r="X77" i="1" s="1"/>
  <c r="J77" i="7" s="1"/>
  <c r="F77" i="1" a="1"/>
  <c r="F77" i="1" s="1"/>
  <c r="A77" i="3"/>
  <c r="A77" i="5"/>
  <c r="AI85" i="1" a="1"/>
  <c r="AI85" i="1" s="1"/>
  <c r="F85" i="1" a="1"/>
  <c r="F85" i="1" s="1"/>
  <c r="S85" i="1" a="1"/>
  <c r="S85" i="1" s="1"/>
  <c r="AG85" i="1" a="1"/>
  <c r="AG85" i="1" s="1"/>
  <c r="D85" i="1" a="1"/>
  <c r="D85" i="1" s="1"/>
  <c r="AH85" i="1" a="1"/>
  <c r="AH85" i="1" s="1"/>
  <c r="I85" i="1" a="1"/>
  <c r="I85" i="1" s="1"/>
  <c r="G85" i="1" a="1"/>
  <c r="G85" i="1" s="1"/>
  <c r="AJ85" i="1" a="1"/>
  <c r="AJ85" i="1" s="1"/>
  <c r="AN85" i="1" a="1"/>
  <c r="AN85" i="1" s="1"/>
  <c r="AF85" i="1" a="1"/>
  <c r="AF85" i="1" s="1"/>
  <c r="R85" i="1" a="1"/>
  <c r="R85" i="1" s="1"/>
  <c r="A85" i="4"/>
  <c r="AM85" i="1" a="1"/>
  <c r="AM85" i="1" s="1"/>
  <c r="AC85" i="1" a="1"/>
  <c r="AC85" i="1" s="1"/>
  <c r="N85" i="1" a="1"/>
  <c r="N85" i="1" s="1"/>
  <c r="M85" i="1" a="1"/>
  <c r="M85" i="1" s="1"/>
  <c r="AB85" i="1" a="1"/>
  <c r="AB85" i="1" s="1"/>
  <c r="AD85" i="1" a="1"/>
  <c r="AD85" i="1" s="1"/>
  <c r="O85" i="1" a="1"/>
  <c r="O85" i="1" s="1"/>
  <c r="A85" i="2"/>
  <c r="W85" i="1" a="1"/>
  <c r="W85" i="1" s="1"/>
  <c r="AL85" i="1" a="1"/>
  <c r="AL85" i="1" s="1"/>
  <c r="P85" i="1" a="1"/>
  <c r="P85" i="1" s="1"/>
  <c r="C85" i="1" a="1"/>
  <c r="C85" i="1" s="1"/>
  <c r="A85" i="5"/>
  <c r="AK85" i="1" a="1"/>
  <c r="AK85" i="1" s="1"/>
  <c r="AE85" i="1" a="1"/>
  <c r="AE85" i="1" s="1"/>
  <c r="L85" i="1" a="1"/>
  <c r="L85" i="1" s="1"/>
  <c r="J85" i="1" a="1"/>
  <c r="J85" i="1" s="1"/>
  <c r="AO85" i="1" a="1"/>
  <c r="AO85" i="1" s="1"/>
  <c r="E85" i="1" a="1"/>
  <c r="E85" i="1" s="1"/>
  <c r="Z85" i="1" a="1"/>
  <c r="Z85" i="1" s="1"/>
  <c r="Y85" i="1" a="1"/>
  <c r="Y85" i="1" s="1"/>
  <c r="T85" i="1" a="1"/>
  <c r="T85" i="1" s="1"/>
  <c r="E85" i="7" s="1"/>
  <c r="K85" i="1" a="1"/>
  <c r="K85" i="1" s="1"/>
  <c r="X85" i="1" a="1"/>
  <c r="X85" i="1" s="1"/>
  <c r="A85" i="7"/>
  <c r="B85" i="1" a="1"/>
  <c r="B85" i="1" s="1"/>
  <c r="H85" i="1" a="1"/>
  <c r="H85" i="1" s="1"/>
  <c r="A85" i="6"/>
  <c r="AA85" i="1" a="1"/>
  <c r="AA85" i="1" s="1"/>
  <c r="U85" i="1" a="1"/>
  <c r="U85" i="1" s="1"/>
  <c r="F85" i="7" s="1"/>
  <c r="A85" i="3"/>
  <c r="V85" i="1" a="1"/>
  <c r="V85" i="1" s="1"/>
  <c r="Q85" i="1" a="1"/>
  <c r="Q85" i="1" s="1"/>
  <c r="L93" i="1" a="1"/>
  <c r="L93" i="1" s="1"/>
  <c r="H93" i="1" a="1"/>
  <c r="H93" i="1" s="1"/>
  <c r="A93" i="2"/>
  <c r="T93" i="1" a="1"/>
  <c r="T93" i="1" s="1"/>
  <c r="AC93" i="1" a="1"/>
  <c r="AC93" i="1" s="1"/>
  <c r="W93" i="1" a="1"/>
  <c r="W93" i="1" s="1"/>
  <c r="AI93" i="1" a="1"/>
  <c r="AI93" i="1" s="1"/>
  <c r="E93" i="1" a="1"/>
  <c r="E93" i="1" s="1"/>
  <c r="J93" i="1" a="1"/>
  <c r="J93" i="1" s="1"/>
  <c r="AG93" i="1" a="1"/>
  <c r="AG93" i="1" s="1"/>
  <c r="Z93" i="1" a="1"/>
  <c r="Z93" i="1" s="1"/>
  <c r="D93" i="1" a="1"/>
  <c r="D93" i="1" s="1"/>
  <c r="M93" i="1" a="1"/>
  <c r="M93" i="1" s="1"/>
  <c r="F93" i="5" s="1"/>
  <c r="A93" i="3"/>
  <c r="AO93" i="1" a="1"/>
  <c r="AO93" i="1" s="1"/>
  <c r="R93" i="1" a="1"/>
  <c r="R93" i="1" s="1"/>
  <c r="Y93" i="1" a="1"/>
  <c r="Y93" i="1" s="1"/>
  <c r="AJ93" i="1" a="1"/>
  <c r="AJ93" i="1" s="1"/>
  <c r="AL93" i="1" a="1"/>
  <c r="AL93" i="1" s="1"/>
  <c r="AB93" i="1" a="1"/>
  <c r="AB93" i="1" s="1"/>
  <c r="AH93" i="1" a="1"/>
  <c r="AH93" i="1" s="1"/>
  <c r="G93" i="1" a="1"/>
  <c r="G93" i="1" s="1"/>
  <c r="AA93" i="1" a="1"/>
  <c r="AA93" i="1" s="1"/>
  <c r="V93" i="1" a="1"/>
  <c r="V93" i="1" s="1"/>
  <c r="A93" i="5"/>
  <c r="P93" i="1" a="1"/>
  <c r="P93" i="1" s="1"/>
  <c r="C93" i="1" a="1"/>
  <c r="C93" i="1" s="1"/>
  <c r="A93" i="4"/>
  <c r="O93" i="1" a="1"/>
  <c r="O93" i="1" s="1"/>
  <c r="I93" i="5" s="1"/>
  <c r="I93" i="1" a="1"/>
  <c r="I93" i="1" s="1"/>
  <c r="Q93" i="1" a="1"/>
  <c r="Q93" i="1" s="1"/>
  <c r="B93" i="1" a="1"/>
  <c r="B93" i="1" s="1"/>
  <c r="AF93" i="1" a="1"/>
  <c r="AF93" i="1" s="1"/>
  <c r="N93" i="1" a="1"/>
  <c r="N93" i="1" s="1"/>
  <c r="AD93" i="1" a="1"/>
  <c r="AD93" i="1" s="1"/>
  <c r="A93" i="7"/>
  <c r="F93" i="1" a="1"/>
  <c r="F93" i="1" s="1"/>
  <c r="K93" i="1" a="1"/>
  <c r="K93" i="1" s="1"/>
  <c r="A93" i="6"/>
  <c r="AN93" i="1" a="1"/>
  <c r="AN93" i="1" s="1"/>
  <c r="S93" i="1" a="1"/>
  <c r="S93" i="1" s="1"/>
  <c r="AK93" i="1" a="1"/>
  <c r="AK93" i="1" s="1"/>
  <c r="X93" i="1" a="1"/>
  <c r="X93" i="1" s="1"/>
  <c r="AM93" i="1" a="1"/>
  <c r="AM93" i="1" s="1"/>
  <c r="U93" i="1" a="1"/>
  <c r="U93" i="1" s="1"/>
  <c r="F93" i="7" s="1"/>
  <c r="AE93" i="1" a="1"/>
  <c r="AE93" i="1" s="1"/>
  <c r="A101" i="3"/>
  <c r="A101" i="2"/>
  <c r="A101" i="5"/>
  <c r="A101" i="4"/>
  <c r="A101" i="6"/>
  <c r="A101" i="7"/>
  <c r="A109" i="7"/>
  <c r="A109" i="4"/>
  <c r="A109" i="3"/>
  <c r="A109" i="6"/>
  <c r="A109" i="2"/>
  <c r="A109" i="5"/>
  <c r="A117" i="5"/>
  <c r="A117" i="2"/>
  <c r="A117" i="4"/>
  <c r="A117" i="7"/>
  <c r="A117" i="6"/>
  <c r="A117" i="3"/>
  <c r="A125" i="5"/>
  <c r="A125" i="2"/>
  <c r="A125" i="3"/>
  <c r="A125" i="6"/>
  <c r="A125" i="7"/>
  <c r="A125" i="4"/>
  <c r="AG20" i="1" a="1"/>
  <c r="AG20" i="1" s="1"/>
  <c r="I20" i="1" a="1"/>
  <c r="I20" i="1" s="1"/>
  <c r="AI20" i="1" a="1"/>
  <c r="AI20" i="1" s="1"/>
  <c r="Z20" i="1" a="1"/>
  <c r="Z20" i="1" s="1"/>
  <c r="P20" i="1" a="1"/>
  <c r="P20" i="1" s="1"/>
  <c r="C20" i="1" a="1"/>
  <c r="C20" i="1" s="1"/>
  <c r="N20" i="1" a="1"/>
  <c r="N20" i="1" s="1"/>
  <c r="D20" i="1" a="1"/>
  <c r="D20" i="1" s="1"/>
  <c r="AD20" i="1" a="1"/>
  <c r="AD20" i="1" s="1"/>
  <c r="AL20" i="1" a="1"/>
  <c r="AL20" i="1" s="1"/>
  <c r="AK20" i="1" a="1"/>
  <c r="AK20" i="1" s="1"/>
  <c r="A20" i="2"/>
  <c r="AJ20" i="1" a="1"/>
  <c r="AJ20" i="1" s="1"/>
  <c r="U20" i="1" a="1"/>
  <c r="U20" i="1" s="1"/>
  <c r="M20" i="1" a="1"/>
  <c r="M20" i="1" s="1"/>
  <c r="F20" i="5" s="1"/>
  <c r="A20" i="5"/>
  <c r="K20" i="1" a="1"/>
  <c r="K20" i="1" s="1"/>
  <c r="A20" i="6"/>
  <c r="X20" i="1" a="1"/>
  <c r="X20" i="1" s="1"/>
  <c r="L20" i="1" a="1"/>
  <c r="L20" i="1" s="1"/>
  <c r="Q20" i="1" a="1"/>
  <c r="Q20" i="1" s="1"/>
  <c r="A20" i="3"/>
  <c r="AM20" i="1" a="1"/>
  <c r="AM20" i="1" s="1"/>
  <c r="AC20" i="1" a="1"/>
  <c r="AC20" i="1" s="1"/>
  <c r="AA20" i="1" a="1"/>
  <c r="AA20" i="1" s="1"/>
  <c r="T20" i="1" a="1"/>
  <c r="T20" i="1" s="1"/>
  <c r="A20" i="7"/>
  <c r="H20" i="1" a="1"/>
  <c r="H20" i="1" s="1"/>
  <c r="AO20" i="1" a="1"/>
  <c r="AO20" i="1" s="1"/>
  <c r="V20" i="1" a="1"/>
  <c r="V20" i="1" s="1"/>
  <c r="J20" i="1" a="1"/>
  <c r="J20" i="1" s="1"/>
  <c r="C20" i="5" s="1"/>
  <c r="L20" i="5" s="1"/>
  <c r="A20" i="4"/>
  <c r="F20" i="1" a="1"/>
  <c r="F20" i="1" s="1"/>
  <c r="G20" i="2" s="1"/>
  <c r="AE20" i="1" a="1"/>
  <c r="AE20" i="1" s="1"/>
  <c r="G20" i="1" a="1"/>
  <c r="G20" i="1" s="1"/>
  <c r="R20" i="1" a="1"/>
  <c r="R20" i="1" s="1"/>
  <c r="C20" i="7" s="1"/>
  <c r="L20" i="7" s="1"/>
  <c r="AH20" i="1" a="1"/>
  <c r="AH20" i="1" s="1"/>
  <c r="B20" i="1" a="1"/>
  <c r="B20" i="1" s="1"/>
  <c r="Y20" i="1" a="1"/>
  <c r="Y20" i="1" s="1"/>
  <c r="AB20" i="1" a="1"/>
  <c r="AB20" i="1" s="1"/>
  <c r="AN20" i="1" a="1"/>
  <c r="AN20" i="1" s="1"/>
  <c r="W20" i="1" a="1"/>
  <c r="W20" i="1" s="1"/>
  <c r="I20" i="7" s="1"/>
  <c r="S20" i="1" a="1"/>
  <c r="S20" i="1" s="1"/>
  <c r="E20" i="1" a="1"/>
  <c r="E20" i="1" s="1"/>
  <c r="AF20" i="1" a="1"/>
  <c r="AF20" i="1" s="1"/>
  <c r="O20" i="1" a="1"/>
  <c r="O20" i="1" s="1"/>
  <c r="B36" i="1" a="1"/>
  <c r="B36" i="1" s="1"/>
  <c r="C36" i="2" s="1"/>
  <c r="AE36" i="1" a="1"/>
  <c r="AE36" i="1" s="1"/>
  <c r="A36" i="6"/>
  <c r="E36" i="1" a="1"/>
  <c r="E36" i="1" s="1"/>
  <c r="S36" i="1" a="1"/>
  <c r="S36" i="1" s="1"/>
  <c r="Z36" i="1" a="1"/>
  <c r="Z36" i="1" s="1"/>
  <c r="T36" i="1" a="1"/>
  <c r="T36" i="1" s="1"/>
  <c r="A36" i="5"/>
  <c r="AC36" i="1" a="1"/>
  <c r="AC36" i="1" s="1"/>
  <c r="A36" i="2"/>
  <c r="Y36" i="1" a="1"/>
  <c r="Y36" i="1" s="1"/>
  <c r="D36" i="1" a="1"/>
  <c r="D36" i="1" s="1"/>
  <c r="C36" i="1" a="1"/>
  <c r="C36" i="1" s="1"/>
  <c r="AD36" i="1" a="1"/>
  <c r="AD36" i="1" s="1"/>
  <c r="H36" i="1" a="1"/>
  <c r="H36" i="1" s="1"/>
  <c r="V36" i="1" a="1"/>
  <c r="V36" i="1" s="1"/>
  <c r="AL36" i="1" a="1"/>
  <c r="AL36" i="1" s="1"/>
  <c r="AA36" i="1" a="1"/>
  <c r="AA36" i="1" s="1"/>
  <c r="K36" i="1" a="1"/>
  <c r="K36" i="1" s="1"/>
  <c r="R36" i="1" a="1"/>
  <c r="R36" i="1" s="1"/>
  <c r="U36" i="1" a="1"/>
  <c r="U36" i="1" s="1"/>
  <c r="AM36" i="1" a="1"/>
  <c r="AM36" i="1" s="1"/>
  <c r="AO36" i="1" a="1"/>
  <c r="AO36" i="1" s="1"/>
  <c r="M36" i="1" a="1"/>
  <c r="M36" i="1" s="1"/>
  <c r="AH36" i="1" a="1"/>
  <c r="AH36" i="1" s="1"/>
  <c r="A36" i="3"/>
  <c r="N36" i="1" a="1"/>
  <c r="N36" i="1" s="1"/>
  <c r="AK36" i="1" a="1"/>
  <c r="AK36" i="1" s="1"/>
  <c r="AB36" i="1" a="1"/>
  <c r="AB36" i="1" s="1"/>
  <c r="AG36" i="1" a="1"/>
  <c r="AG36" i="1" s="1"/>
  <c r="J36" i="1" a="1"/>
  <c r="J36" i="1" s="1"/>
  <c r="P36" i="1" a="1"/>
  <c r="P36" i="1" s="1"/>
  <c r="L36" i="1" a="1"/>
  <c r="L36" i="1" s="1"/>
  <c r="E36" i="5" s="1"/>
  <c r="AF36" i="1" a="1"/>
  <c r="AF36" i="1" s="1"/>
  <c r="AJ36" i="1" a="1"/>
  <c r="AJ36" i="1" s="1"/>
  <c r="AN36" i="1" a="1"/>
  <c r="AN36" i="1" s="1"/>
  <c r="Q36" i="1" a="1"/>
  <c r="Q36" i="1" s="1"/>
  <c r="A36" i="7"/>
  <c r="AI36" i="1" a="1"/>
  <c r="AI36" i="1" s="1"/>
  <c r="W36" i="1" a="1"/>
  <c r="W36" i="1" s="1"/>
  <c r="G36" i="1" a="1"/>
  <c r="G36" i="1" s="1"/>
  <c r="I36" i="2" s="1"/>
  <c r="O36" i="1" a="1"/>
  <c r="O36" i="1" s="1"/>
  <c r="I36" i="5" s="1"/>
  <c r="F36" i="1" a="1"/>
  <c r="F36" i="1" s="1"/>
  <c r="A36" i="4"/>
  <c r="I36" i="1" a="1"/>
  <c r="I36" i="1" s="1"/>
  <c r="X36" i="1" a="1"/>
  <c r="X36" i="1" s="1"/>
  <c r="AM46" i="1" a="1"/>
  <c r="AM46" i="1" s="1"/>
  <c r="K46" i="1" a="1"/>
  <c r="K46" i="1" s="1"/>
  <c r="AI46" i="1" a="1"/>
  <c r="AI46" i="1" s="1"/>
  <c r="A46" i="5"/>
  <c r="G46" i="1" a="1"/>
  <c r="G46" i="1" s="1"/>
  <c r="M46" i="1" a="1"/>
  <c r="M46" i="1" s="1"/>
  <c r="J46" i="1" a="1"/>
  <c r="J46" i="1" s="1"/>
  <c r="W46" i="1" a="1"/>
  <c r="W46" i="1" s="1"/>
  <c r="AO46" i="1" a="1"/>
  <c r="AO46" i="1" s="1"/>
  <c r="AJ46" i="1" a="1"/>
  <c r="AJ46" i="1" s="1"/>
  <c r="D46" i="1" a="1"/>
  <c r="D46" i="1" s="1"/>
  <c r="R46" i="1" a="1"/>
  <c r="R46" i="1" s="1"/>
  <c r="Z46" i="1" a="1"/>
  <c r="Z46" i="1" s="1"/>
  <c r="S46" i="1" a="1"/>
  <c r="S46" i="1" s="1"/>
  <c r="AN46" i="1" a="1"/>
  <c r="AN46" i="1" s="1"/>
  <c r="H46" i="1" a="1"/>
  <c r="H46" i="1" s="1"/>
  <c r="F46" i="1" a="1"/>
  <c r="F46" i="1" s="1"/>
  <c r="A46" i="3"/>
  <c r="N46" i="1" a="1"/>
  <c r="N46" i="1" s="1"/>
  <c r="AL46" i="1" a="1"/>
  <c r="AL46" i="1" s="1"/>
  <c r="AD46" i="1" a="1"/>
  <c r="AD46" i="1" s="1"/>
  <c r="I46" i="1" a="1"/>
  <c r="I46" i="1" s="1"/>
  <c r="A46" i="2"/>
  <c r="A46" i="4"/>
  <c r="AA46" i="1" a="1"/>
  <c r="AA46" i="1" s="1"/>
  <c r="AF46" i="1" a="1"/>
  <c r="AF46" i="1" s="1"/>
  <c r="Y46" i="1" a="1"/>
  <c r="Y46" i="1" s="1"/>
  <c r="K46" i="7" s="1"/>
  <c r="U46" i="1" a="1"/>
  <c r="U46" i="1" s="1"/>
  <c r="T46" i="1" a="1"/>
  <c r="T46" i="1" s="1"/>
  <c r="AB46" i="1" a="1"/>
  <c r="AB46" i="1" s="1"/>
  <c r="AG46" i="1" a="1"/>
  <c r="AG46" i="1" s="1"/>
  <c r="X46" i="1" a="1"/>
  <c r="X46" i="1" s="1"/>
  <c r="AK46" i="1" a="1"/>
  <c r="AK46" i="1" s="1"/>
  <c r="C46" i="1" a="1"/>
  <c r="C46" i="1" s="1"/>
  <c r="O46" i="1" a="1"/>
  <c r="O46" i="1" s="1"/>
  <c r="V46" i="1" a="1"/>
  <c r="V46" i="1" s="1"/>
  <c r="AC46" i="1" a="1"/>
  <c r="AC46" i="1" s="1"/>
  <c r="AE46" i="1" a="1"/>
  <c r="AE46" i="1" s="1"/>
  <c r="A46" i="6"/>
  <c r="E46" i="1" a="1"/>
  <c r="E46" i="1" s="1"/>
  <c r="L46" i="1" a="1"/>
  <c r="L46" i="1" s="1"/>
  <c r="A46" i="7"/>
  <c r="Q46" i="1" a="1"/>
  <c r="Q46" i="1" s="1"/>
  <c r="K46" i="5" s="1"/>
  <c r="P46" i="1" a="1"/>
  <c r="P46" i="1" s="1"/>
  <c r="B46" i="1" a="1"/>
  <c r="B46" i="1" s="1"/>
  <c r="C46" i="2" s="1"/>
  <c r="AH46" i="1" a="1"/>
  <c r="AH46" i="1" s="1"/>
  <c r="D54" i="1" a="1"/>
  <c r="D54" i="1" s="1"/>
  <c r="A54" i="6"/>
  <c r="Z54" i="1" a="1"/>
  <c r="Z54" i="1" s="1"/>
  <c r="A54" i="3"/>
  <c r="AL54" i="1" a="1"/>
  <c r="AL54" i="1" s="1"/>
  <c r="O54" i="1" a="1"/>
  <c r="O54" i="1" s="1"/>
  <c r="U54" i="1" a="1"/>
  <c r="U54" i="1" s="1"/>
  <c r="X54" i="1" a="1"/>
  <c r="X54" i="1" s="1"/>
  <c r="AA54" i="1" a="1"/>
  <c r="AA54" i="1" s="1"/>
  <c r="AI54" i="1" a="1"/>
  <c r="AI54" i="1" s="1"/>
  <c r="Q54" i="1" a="1"/>
  <c r="Q54" i="1" s="1"/>
  <c r="V54" i="1" a="1"/>
  <c r="V54" i="1" s="1"/>
  <c r="AM54" i="1" a="1"/>
  <c r="AM54" i="1" s="1"/>
  <c r="A54" i="5"/>
  <c r="T54" i="1" a="1"/>
  <c r="T54" i="1" s="1"/>
  <c r="B54" i="1" a="1"/>
  <c r="B54" i="1" s="1"/>
  <c r="AN54" i="1" a="1"/>
  <c r="AN54" i="1" s="1"/>
  <c r="A54" i="7"/>
  <c r="R54" i="1" a="1"/>
  <c r="R54" i="1" s="1"/>
  <c r="C54" i="7" s="1"/>
  <c r="L54" i="7" s="1"/>
  <c r="H54" i="1" a="1"/>
  <c r="H54" i="1" s="1"/>
  <c r="S54" i="1" a="1"/>
  <c r="S54" i="1" s="1"/>
  <c r="D54" i="7" s="1"/>
  <c r="M54" i="7" s="1"/>
  <c r="P54" i="1" a="1"/>
  <c r="P54" i="1" s="1"/>
  <c r="AK54" i="1" a="1"/>
  <c r="AK54" i="1" s="1"/>
  <c r="E54" i="1" a="1"/>
  <c r="E54" i="1" s="1"/>
  <c r="M54" i="1" a="1"/>
  <c r="M54" i="1" s="1"/>
  <c r="AD54" i="1" a="1"/>
  <c r="AD54" i="1" s="1"/>
  <c r="AO54" i="1" a="1"/>
  <c r="AO54" i="1" s="1"/>
  <c r="AH54" i="1" a="1"/>
  <c r="AH54" i="1" s="1"/>
  <c r="G54" i="1" a="1"/>
  <c r="G54" i="1" s="1"/>
  <c r="I54" i="2" s="1"/>
  <c r="AB54" i="1" a="1"/>
  <c r="AB54" i="1" s="1"/>
  <c r="A54" i="2"/>
  <c r="AC54" i="1" a="1"/>
  <c r="AC54" i="1" s="1"/>
  <c r="A54" i="4"/>
  <c r="L54" i="1" a="1"/>
  <c r="L54" i="1" s="1"/>
  <c r="J54" i="1" a="1"/>
  <c r="J54" i="1" s="1"/>
  <c r="C54" i="5" s="1"/>
  <c r="L54" i="5" s="1"/>
  <c r="AJ54" i="1" a="1"/>
  <c r="AJ54" i="1" s="1"/>
  <c r="W54" i="1" a="1"/>
  <c r="W54" i="1" s="1"/>
  <c r="I54" i="7" s="1"/>
  <c r="AG54" i="1" a="1"/>
  <c r="AG54" i="1" s="1"/>
  <c r="C54" i="1" a="1"/>
  <c r="C54" i="1" s="1"/>
  <c r="F54" i="1" a="1"/>
  <c r="F54" i="1" s="1"/>
  <c r="K54" i="1" a="1"/>
  <c r="K54" i="1" s="1"/>
  <c r="D54" i="5" s="1"/>
  <c r="M54" i="5" s="1"/>
  <c r="N54" i="1" a="1"/>
  <c r="N54" i="1" s="1"/>
  <c r="G54" i="5" s="1"/>
  <c r="I54" i="1" a="1"/>
  <c r="I54" i="1" s="1"/>
  <c r="Y54" i="1" a="1"/>
  <c r="Y54" i="1" s="1"/>
  <c r="AF54" i="1" a="1"/>
  <c r="AF54" i="1" s="1"/>
  <c r="J54" i="6" s="1"/>
  <c r="AE54" i="1" a="1"/>
  <c r="AE54" i="1" s="1"/>
  <c r="G62" i="1" a="1"/>
  <c r="G62" i="1" s="1"/>
  <c r="S62" i="1" a="1"/>
  <c r="S62" i="1" s="1"/>
  <c r="W62" i="1" a="1"/>
  <c r="W62" i="1" s="1"/>
  <c r="AI62" i="1" a="1"/>
  <c r="AI62" i="1" s="1"/>
  <c r="AA62" i="1" a="1"/>
  <c r="AA62" i="1" s="1"/>
  <c r="A62" i="4"/>
  <c r="N62" i="1" a="1"/>
  <c r="N62" i="1" s="1"/>
  <c r="G62" i="5" s="1"/>
  <c r="U62" i="1" a="1"/>
  <c r="U62" i="1" s="1"/>
  <c r="AH62" i="1" a="1"/>
  <c r="AH62" i="1" s="1"/>
  <c r="Y62" i="1" a="1"/>
  <c r="Y62" i="1" s="1"/>
  <c r="I62" i="1" a="1"/>
  <c r="I62" i="1" s="1"/>
  <c r="AK62" i="1" a="1"/>
  <c r="AK62" i="1" s="1"/>
  <c r="C62" i="1" a="1"/>
  <c r="C62" i="1" s="1"/>
  <c r="D62" i="2" s="1"/>
  <c r="E62" i="1" a="1"/>
  <c r="E62" i="1" s="1"/>
  <c r="M62" i="1" a="1"/>
  <c r="M62" i="1" s="1"/>
  <c r="F62" i="5" s="1"/>
  <c r="T62" i="1" a="1"/>
  <c r="T62" i="1" s="1"/>
  <c r="A62" i="7"/>
  <c r="R62" i="1" a="1"/>
  <c r="R62" i="1" s="1"/>
  <c r="B62" i="1" a="1"/>
  <c r="B62" i="1" s="1"/>
  <c r="A62" i="5"/>
  <c r="K62" i="1" a="1"/>
  <c r="K62" i="1" s="1"/>
  <c r="D62" i="5" s="1"/>
  <c r="M62" i="5" s="1"/>
  <c r="AJ62" i="1" a="1"/>
  <c r="AJ62" i="1" s="1"/>
  <c r="V62" i="1" a="1"/>
  <c r="V62" i="1" s="1"/>
  <c r="G62" i="7" s="1"/>
  <c r="AE62" i="1" a="1"/>
  <c r="AE62" i="1" s="1"/>
  <c r="A62" i="2"/>
  <c r="A62" i="3"/>
  <c r="O62" i="1" a="1"/>
  <c r="O62" i="1" s="1"/>
  <c r="AC62" i="1" a="1"/>
  <c r="AC62" i="1" s="1"/>
  <c r="AB62" i="1" a="1"/>
  <c r="AB62" i="1" s="1"/>
  <c r="D62" i="1" a="1"/>
  <c r="D62" i="1" s="1"/>
  <c r="Z62" i="1" a="1"/>
  <c r="Z62" i="1" s="1"/>
  <c r="C62" i="6" s="1"/>
  <c r="L62" i="6" s="1"/>
  <c r="AF62" i="1" a="1"/>
  <c r="AF62" i="1" s="1"/>
  <c r="H62" i="1" a="1"/>
  <c r="H62" i="1" s="1"/>
  <c r="A62" i="6"/>
  <c r="AM62" i="1" a="1"/>
  <c r="AM62" i="1" s="1"/>
  <c r="AD62" i="1" a="1"/>
  <c r="AD62" i="1" s="1"/>
  <c r="X62" i="1" a="1"/>
  <c r="X62" i="1" s="1"/>
  <c r="J62" i="1" a="1"/>
  <c r="J62" i="1" s="1"/>
  <c r="AN62" i="1" a="1"/>
  <c r="AN62" i="1" s="1"/>
  <c r="L62" i="1" a="1"/>
  <c r="L62" i="1" s="1"/>
  <c r="P62" i="1" a="1"/>
  <c r="P62" i="1" s="1"/>
  <c r="F62" i="1" a="1"/>
  <c r="F62" i="1" s="1"/>
  <c r="AL62" i="1" a="1"/>
  <c r="AL62" i="1" s="1"/>
  <c r="AG62" i="1" a="1"/>
  <c r="AG62" i="1" s="1"/>
  <c r="AO62" i="1" a="1"/>
  <c r="AO62" i="1" s="1"/>
  <c r="Q62" i="1" a="1"/>
  <c r="Q62" i="1" s="1"/>
  <c r="AD70" i="1" a="1"/>
  <c r="AD70" i="1" s="1"/>
  <c r="N70" i="1" a="1"/>
  <c r="N70" i="1" s="1"/>
  <c r="G70" i="1" a="1"/>
  <c r="G70" i="1" s="1"/>
  <c r="D70" i="1" a="1"/>
  <c r="D70" i="1" s="1"/>
  <c r="V70" i="1" a="1"/>
  <c r="V70" i="1" s="1"/>
  <c r="AF70" i="1" a="1"/>
  <c r="AF70" i="1" s="1"/>
  <c r="K70" i="1" a="1"/>
  <c r="K70" i="1" s="1"/>
  <c r="AB70" i="1" a="1"/>
  <c r="AB70" i="1" s="1"/>
  <c r="Q70" i="1" a="1"/>
  <c r="Q70" i="1" s="1"/>
  <c r="K70" i="5" s="1"/>
  <c r="F70" i="1" a="1"/>
  <c r="F70" i="1" s="1"/>
  <c r="Y70" i="1" a="1"/>
  <c r="Y70" i="1" s="1"/>
  <c r="M70" i="1" a="1"/>
  <c r="M70" i="1" s="1"/>
  <c r="B70" i="1" a="1"/>
  <c r="B70" i="1" s="1"/>
  <c r="AE70" i="1" a="1"/>
  <c r="AE70" i="1" s="1"/>
  <c r="J70" i="1" a="1"/>
  <c r="J70" i="1" s="1"/>
  <c r="AH70" i="1" a="1"/>
  <c r="AH70" i="1" s="1"/>
  <c r="AM70" i="1" a="1"/>
  <c r="AM70" i="1" s="1"/>
  <c r="AK70" i="1" a="1"/>
  <c r="AK70" i="1" s="1"/>
  <c r="W70" i="1" a="1"/>
  <c r="W70" i="1" s="1"/>
  <c r="AA70" i="1" a="1"/>
  <c r="AA70" i="1" s="1"/>
  <c r="Z70" i="1" a="1"/>
  <c r="Z70" i="1" s="1"/>
  <c r="O70" i="1" a="1"/>
  <c r="O70" i="1" s="1"/>
  <c r="I70" i="5" s="1"/>
  <c r="C70" i="1" a="1"/>
  <c r="C70" i="1" s="1"/>
  <c r="AI70" i="1" a="1"/>
  <c r="AI70" i="1" s="1"/>
  <c r="AL70" i="1" a="1"/>
  <c r="AL70" i="1" s="1"/>
  <c r="A70" i="7"/>
  <c r="X70" i="1" a="1"/>
  <c r="X70" i="1" s="1"/>
  <c r="E70" i="1" a="1"/>
  <c r="E70" i="1" s="1"/>
  <c r="A70" i="5"/>
  <c r="AO70" i="1" a="1"/>
  <c r="AO70" i="1" s="1"/>
  <c r="R70" i="1" a="1"/>
  <c r="R70" i="1" s="1"/>
  <c r="AG70" i="1" a="1"/>
  <c r="AG70" i="1" s="1"/>
  <c r="AC70" i="1" a="1"/>
  <c r="AC70" i="1" s="1"/>
  <c r="A70" i="4"/>
  <c r="A70" i="2"/>
  <c r="H70" i="1" a="1"/>
  <c r="H70" i="1" s="1"/>
  <c r="A70" i="3"/>
  <c r="AJ70" i="1" a="1"/>
  <c r="AJ70" i="1" s="1"/>
  <c r="AN70" i="1" a="1"/>
  <c r="AN70" i="1" s="1"/>
  <c r="L70" i="1" a="1"/>
  <c r="L70" i="1" s="1"/>
  <c r="E70" i="5" s="1"/>
  <c r="A70" i="6"/>
  <c r="I70" i="1" a="1"/>
  <c r="I70" i="1" s="1"/>
  <c r="S70" i="1" a="1"/>
  <c r="S70" i="1" s="1"/>
  <c r="T70" i="1" a="1"/>
  <c r="T70" i="1" s="1"/>
  <c r="U70" i="1" a="1"/>
  <c r="U70" i="1" s="1"/>
  <c r="P70" i="1" a="1"/>
  <c r="P70" i="1" s="1"/>
  <c r="J70" i="5" s="1"/>
  <c r="W78" i="1" a="1"/>
  <c r="W78" i="1" s="1"/>
  <c r="O78" i="1" a="1"/>
  <c r="O78" i="1" s="1"/>
  <c r="Q78" i="1" a="1"/>
  <c r="Q78" i="1" s="1"/>
  <c r="K78" i="5" s="1"/>
  <c r="AG78" i="1" a="1"/>
  <c r="AG78" i="1" s="1"/>
  <c r="AJ78" i="1" a="1"/>
  <c r="AJ78" i="1" s="1"/>
  <c r="Z78" i="1" a="1"/>
  <c r="Z78" i="1" s="1"/>
  <c r="N78" i="1" a="1"/>
  <c r="N78" i="1" s="1"/>
  <c r="AE78" i="1" a="1"/>
  <c r="AE78" i="1" s="1"/>
  <c r="A78" i="5"/>
  <c r="H78" i="1" a="1"/>
  <c r="H78" i="1" s="1"/>
  <c r="AF78" i="1" a="1"/>
  <c r="AF78" i="1" s="1"/>
  <c r="J78" i="6" s="1"/>
  <c r="T78" i="1" a="1"/>
  <c r="T78" i="1" s="1"/>
  <c r="F78" i="1" a="1"/>
  <c r="F78" i="1" s="1"/>
  <c r="AM78" i="1" a="1"/>
  <c r="AM78" i="1" s="1"/>
  <c r="J78" i="1" a="1"/>
  <c r="J78" i="1" s="1"/>
  <c r="S78" i="1" a="1"/>
  <c r="S78" i="1" s="1"/>
  <c r="G78" i="1" a="1"/>
  <c r="G78" i="1" s="1"/>
  <c r="AN78" i="1" a="1"/>
  <c r="AN78" i="1" s="1"/>
  <c r="A78" i="2"/>
  <c r="AC78" i="1" a="1"/>
  <c r="AC78" i="1" s="1"/>
  <c r="B78" i="1" a="1"/>
  <c r="B78" i="1" s="1"/>
  <c r="AB78" i="1" a="1"/>
  <c r="AB78" i="1" s="1"/>
  <c r="AK78" i="1" a="1"/>
  <c r="AK78" i="1" s="1"/>
  <c r="L78" i="1" a="1"/>
  <c r="L78" i="1" s="1"/>
  <c r="AI78" i="1" a="1"/>
  <c r="AI78" i="1" s="1"/>
  <c r="E78" i="1" a="1"/>
  <c r="E78" i="1" s="1"/>
  <c r="AO78" i="1" a="1"/>
  <c r="AO78" i="1" s="1"/>
  <c r="P78" i="1" a="1"/>
  <c r="P78" i="1" s="1"/>
  <c r="X78" i="1" a="1"/>
  <c r="X78" i="1" s="1"/>
  <c r="K78" i="1" a="1"/>
  <c r="K78" i="1" s="1"/>
  <c r="M78" i="1" a="1"/>
  <c r="M78" i="1" s="1"/>
  <c r="A78" i="7"/>
  <c r="Y78" i="1" a="1"/>
  <c r="Y78" i="1" s="1"/>
  <c r="V78" i="1" a="1"/>
  <c r="V78" i="1" s="1"/>
  <c r="I78" i="1" a="1"/>
  <c r="I78" i="1" s="1"/>
  <c r="K78" i="2" s="1"/>
  <c r="A78" i="3"/>
  <c r="C78" i="1" a="1"/>
  <c r="C78" i="1" s="1"/>
  <c r="A78" i="6"/>
  <c r="AA78" i="1" a="1"/>
  <c r="AA78" i="1" s="1"/>
  <c r="AH78" i="1" a="1"/>
  <c r="AH78" i="1" s="1"/>
  <c r="U78" i="1" a="1"/>
  <c r="U78" i="1" s="1"/>
  <c r="R78" i="1" a="1"/>
  <c r="R78" i="1" s="1"/>
  <c r="AL78" i="1" a="1"/>
  <c r="AL78" i="1" s="1"/>
  <c r="A78" i="4"/>
  <c r="D78" i="1" a="1"/>
  <c r="D78" i="1" s="1"/>
  <c r="AD78" i="1" a="1"/>
  <c r="AD78" i="1" s="1"/>
  <c r="A86" i="2"/>
  <c r="AF86" i="1" a="1"/>
  <c r="AF86" i="1" s="1"/>
  <c r="E86" i="1" a="1"/>
  <c r="E86" i="1" s="1"/>
  <c r="S86" i="1" a="1"/>
  <c r="S86" i="1" s="1"/>
  <c r="V86" i="1" a="1"/>
  <c r="V86" i="1" s="1"/>
  <c r="I86" i="1" a="1"/>
  <c r="I86" i="1" s="1"/>
  <c r="AH86" i="1" a="1"/>
  <c r="AH86" i="1" s="1"/>
  <c r="A86" i="3"/>
  <c r="A86" i="5"/>
  <c r="J86" i="1" a="1"/>
  <c r="J86" i="1" s="1"/>
  <c r="Z86" i="1" a="1"/>
  <c r="Z86" i="1" s="1"/>
  <c r="A86" i="4"/>
  <c r="AO86" i="1" a="1"/>
  <c r="AO86" i="1" s="1"/>
  <c r="O86" i="1" a="1"/>
  <c r="O86" i="1" s="1"/>
  <c r="AI86" i="1" a="1"/>
  <c r="AI86" i="1" s="1"/>
  <c r="K86" i="1" a="1"/>
  <c r="K86" i="1" s="1"/>
  <c r="AB86" i="1" a="1"/>
  <c r="AB86" i="1" s="1"/>
  <c r="D86" i="1" a="1"/>
  <c r="D86" i="1" s="1"/>
  <c r="E86" i="2" s="1"/>
  <c r="R86" i="1" a="1"/>
  <c r="R86" i="1" s="1"/>
  <c r="C86" i="7" s="1"/>
  <c r="L86" i="7" s="1"/>
  <c r="AL86" i="1" a="1"/>
  <c r="AL86" i="1" s="1"/>
  <c r="A86" i="7"/>
  <c r="AG86" i="1" a="1"/>
  <c r="AG86" i="1" s="1"/>
  <c r="U86" i="1" a="1"/>
  <c r="U86" i="1" s="1"/>
  <c r="AA86" i="1" a="1"/>
  <c r="AA86" i="1" s="1"/>
  <c r="X86" i="1" a="1"/>
  <c r="X86" i="1" s="1"/>
  <c r="M86" i="1" a="1"/>
  <c r="M86" i="1" s="1"/>
  <c r="A86" i="6"/>
  <c r="W86" i="1" a="1"/>
  <c r="W86" i="1" s="1"/>
  <c r="AK86" i="1" a="1"/>
  <c r="AK86" i="1" s="1"/>
  <c r="AC86" i="1" a="1"/>
  <c r="AC86" i="1" s="1"/>
  <c r="AN86" i="1" a="1"/>
  <c r="AN86" i="1" s="1"/>
  <c r="AJ86" i="1" a="1"/>
  <c r="AJ86" i="1" s="1"/>
  <c r="B86" i="1" a="1"/>
  <c r="B86" i="1" s="1"/>
  <c r="N86" i="1" a="1"/>
  <c r="N86" i="1" s="1"/>
  <c r="AD86" i="1" a="1"/>
  <c r="AD86" i="1" s="1"/>
  <c r="L86" i="1" a="1"/>
  <c r="L86" i="1" s="1"/>
  <c r="T86" i="1" a="1"/>
  <c r="T86" i="1" s="1"/>
  <c r="E86" i="7" s="1"/>
  <c r="P86" i="1" a="1"/>
  <c r="P86" i="1" s="1"/>
  <c r="AE86" i="1" a="1"/>
  <c r="AE86" i="1" s="1"/>
  <c r="G86" i="1" a="1"/>
  <c r="G86" i="1" s="1"/>
  <c r="Y86" i="1" a="1"/>
  <c r="Y86" i="1" s="1"/>
  <c r="Q86" i="1" a="1"/>
  <c r="Q86" i="1" s="1"/>
  <c r="H86" i="1" a="1"/>
  <c r="H86" i="1" s="1"/>
  <c r="AM86" i="1" a="1"/>
  <c r="AM86" i="1" s="1"/>
  <c r="C86" i="1" a="1"/>
  <c r="C86" i="1" s="1"/>
  <c r="F86" i="1" a="1"/>
  <c r="F86" i="1" s="1"/>
  <c r="AN94" i="1" a="1"/>
  <c r="AN94" i="1" s="1"/>
  <c r="V94" i="1" a="1"/>
  <c r="V94" i="1" s="1"/>
  <c r="Y94" i="1" a="1"/>
  <c r="Y94" i="1" s="1"/>
  <c r="U94" i="1" a="1"/>
  <c r="U94" i="1" s="1"/>
  <c r="B94" i="1" a="1"/>
  <c r="B94" i="1" s="1"/>
  <c r="A94" i="4"/>
  <c r="N94" i="1" a="1"/>
  <c r="N94" i="1" s="1"/>
  <c r="AE94" i="1" a="1"/>
  <c r="AE94" i="1" s="1"/>
  <c r="AG94" i="1" a="1"/>
  <c r="AG94" i="1" s="1"/>
  <c r="AO94" i="1" a="1"/>
  <c r="AO94" i="1" s="1"/>
  <c r="F94" i="1" a="1"/>
  <c r="F94" i="1" s="1"/>
  <c r="A94" i="3"/>
  <c r="E94" i="1" a="1"/>
  <c r="E94" i="1" s="1"/>
  <c r="AJ94" i="1" a="1"/>
  <c r="AJ94" i="1" s="1"/>
  <c r="Z94" i="1" a="1"/>
  <c r="Z94" i="1" s="1"/>
  <c r="C94" i="1" a="1"/>
  <c r="C94" i="1" s="1"/>
  <c r="J94" i="1" a="1"/>
  <c r="J94" i="1" s="1"/>
  <c r="A94" i="7"/>
  <c r="I94" i="1" a="1"/>
  <c r="I94" i="1" s="1"/>
  <c r="Q94" i="1" a="1"/>
  <c r="Q94" i="1" s="1"/>
  <c r="AD94" i="1" a="1"/>
  <c r="AD94" i="1" s="1"/>
  <c r="AF94" i="1" a="1"/>
  <c r="AF94" i="1" s="1"/>
  <c r="T94" i="1" a="1"/>
  <c r="T94" i="1" s="1"/>
  <c r="A94" i="5"/>
  <c r="G94" i="1" a="1"/>
  <c r="G94" i="1" s="1"/>
  <c r="AB94" i="1" a="1"/>
  <c r="AB94" i="1" s="1"/>
  <c r="K94" i="1" a="1"/>
  <c r="K94" i="1" s="1"/>
  <c r="AK94" i="1" a="1"/>
  <c r="AK94" i="1" s="1"/>
  <c r="AC94" i="1" a="1"/>
  <c r="AC94" i="1" s="1"/>
  <c r="A94" i="2"/>
  <c r="D94" i="1" a="1"/>
  <c r="D94" i="1" s="1"/>
  <c r="P94" i="1" a="1"/>
  <c r="P94" i="1" s="1"/>
  <c r="M94" i="1" a="1"/>
  <c r="M94" i="1" s="1"/>
  <c r="R94" i="1" a="1"/>
  <c r="R94" i="1" s="1"/>
  <c r="AI94" i="1" a="1"/>
  <c r="AI94" i="1" s="1"/>
  <c r="O94" i="1" a="1"/>
  <c r="O94" i="1" s="1"/>
  <c r="AL94" i="1" a="1"/>
  <c r="AL94" i="1" s="1"/>
  <c r="AM94" i="1" a="1"/>
  <c r="AM94" i="1" s="1"/>
  <c r="AA94" i="1" a="1"/>
  <c r="AA94" i="1" s="1"/>
  <c r="D94" i="6" s="1"/>
  <c r="M94" i="6" s="1"/>
  <c r="H94" i="1" a="1"/>
  <c r="H94" i="1" s="1"/>
  <c r="S94" i="1" a="1"/>
  <c r="S94" i="1" s="1"/>
  <c r="AH94" i="1" a="1"/>
  <c r="AH94" i="1" s="1"/>
  <c r="L94" i="1" a="1"/>
  <c r="L94" i="1" s="1"/>
  <c r="A94" i="6"/>
  <c r="X94" i="1" a="1"/>
  <c r="X94" i="1" s="1"/>
  <c r="J94" i="7" s="1"/>
  <c r="W94" i="1" a="1"/>
  <c r="W94" i="1" s="1"/>
  <c r="A102" i="5"/>
  <c r="A102" i="7"/>
  <c r="A102" i="2"/>
  <c r="A102" i="3"/>
  <c r="A102" i="4"/>
  <c r="A102" i="6"/>
  <c r="A110" i="2"/>
  <c r="A110" i="5"/>
  <c r="A110" i="4"/>
  <c r="A110" i="3"/>
  <c r="A110" i="7"/>
  <c r="A110" i="6"/>
  <c r="A118" i="4"/>
  <c r="A118" i="7"/>
  <c r="A118" i="3"/>
  <c r="A118" i="5"/>
  <c r="A118" i="2"/>
  <c r="A118" i="6"/>
  <c r="A126" i="4"/>
  <c r="A126" i="7"/>
  <c r="A126" i="2"/>
  <c r="A126" i="6"/>
  <c r="A126" i="3"/>
  <c r="A126" i="5"/>
  <c r="L23" i="1" a="1"/>
  <c r="L23" i="1" s="1"/>
  <c r="AJ23" i="1" a="1"/>
  <c r="AJ23" i="1" s="1"/>
  <c r="AF23" i="1" a="1"/>
  <c r="AF23" i="1" s="1"/>
  <c r="X23" i="1" a="1"/>
  <c r="X23" i="1" s="1"/>
  <c r="AK23" i="1" a="1"/>
  <c r="AK23" i="1" s="1"/>
  <c r="N23" i="1" a="1"/>
  <c r="N23" i="1" s="1"/>
  <c r="G23" i="1" a="1"/>
  <c r="G23" i="1" s="1"/>
  <c r="AL23" i="1" a="1"/>
  <c r="AL23" i="1" s="1"/>
  <c r="Q23" i="1" a="1"/>
  <c r="Q23" i="1" s="1"/>
  <c r="AO23" i="1" a="1"/>
  <c r="AO23" i="1" s="1"/>
  <c r="AI23" i="1" a="1"/>
  <c r="AI23" i="1" s="1"/>
  <c r="I23" i="1" a="1"/>
  <c r="I23" i="1" s="1"/>
  <c r="F23" i="1" a="1"/>
  <c r="F23" i="1" s="1"/>
  <c r="S23" i="1" a="1"/>
  <c r="S23" i="1" s="1"/>
  <c r="U23" i="1" a="1"/>
  <c r="U23" i="1" s="1"/>
  <c r="A23" i="5"/>
  <c r="AM23" i="1" a="1"/>
  <c r="AM23" i="1" s="1"/>
  <c r="H23" i="1" a="1"/>
  <c r="H23" i="1" s="1"/>
  <c r="AB23" i="1" a="1"/>
  <c r="AB23" i="1" s="1"/>
  <c r="P23" i="1" a="1"/>
  <c r="P23" i="1" s="1"/>
  <c r="AH23" i="1" a="1"/>
  <c r="AH23" i="1" s="1"/>
  <c r="AE23" i="1" a="1"/>
  <c r="AE23" i="1" s="1"/>
  <c r="V23" i="1" a="1"/>
  <c r="V23" i="1" s="1"/>
  <c r="R23" i="1" a="1"/>
  <c r="R23" i="1" s="1"/>
  <c r="A23" i="6"/>
  <c r="A23" i="4"/>
  <c r="E23" i="1" a="1"/>
  <c r="E23" i="1" s="1"/>
  <c r="Y23" i="1" a="1"/>
  <c r="Y23" i="1" s="1"/>
  <c r="AC23" i="1" a="1"/>
  <c r="AC23" i="1" s="1"/>
  <c r="AA23" i="1" a="1"/>
  <c r="AA23" i="1" s="1"/>
  <c r="D23" i="1" a="1"/>
  <c r="D23" i="1" s="1"/>
  <c r="M23" i="1" a="1"/>
  <c r="M23" i="1" s="1"/>
  <c r="C23" i="1" a="1"/>
  <c r="C23" i="1" s="1"/>
  <c r="D23" i="2" s="1"/>
  <c r="Z23" i="1" a="1"/>
  <c r="Z23" i="1" s="1"/>
  <c r="T23" i="1" a="1"/>
  <c r="T23" i="1" s="1"/>
  <c r="E23" i="7" s="1"/>
  <c r="A23" i="3"/>
  <c r="J23" i="1" a="1"/>
  <c r="J23" i="1" s="1"/>
  <c r="K23" i="1" a="1"/>
  <c r="K23" i="1" s="1"/>
  <c r="D23" i="5" s="1"/>
  <c r="M23" i="5" s="1"/>
  <c r="AN23" i="1" a="1"/>
  <c r="AN23" i="1" s="1"/>
  <c r="W23" i="1" a="1"/>
  <c r="W23" i="1" s="1"/>
  <c r="AD23" i="1" a="1"/>
  <c r="AD23" i="1" s="1"/>
  <c r="G23" i="6" s="1"/>
  <c r="A23" i="2"/>
  <c r="A23" i="7"/>
  <c r="AG23" i="1" a="1"/>
  <c r="AG23" i="1" s="1"/>
  <c r="O23" i="1" a="1"/>
  <c r="O23" i="1" s="1"/>
  <c r="B23" i="1" a="1"/>
  <c r="B23" i="1" s="1"/>
  <c r="D47" i="1" a="1"/>
  <c r="D47" i="1" s="1"/>
  <c r="Z47" i="1" a="1"/>
  <c r="Z47" i="1" s="1"/>
  <c r="F47" i="1" a="1"/>
  <c r="F47" i="1" s="1"/>
  <c r="G47" i="2" s="1"/>
  <c r="X47" i="1" a="1"/>
  <c r="X47" i="1" s="1"/>
  <c r="A47" i="3"/>
  <c r="B47" i="1" a="1"/>
  <c r="B47" i="1" s="1"/>
  <c r="E47" i="1" a="1"/>
  <c r="E47" i="1" s="1"/>
  <c r="AG47" i="1" a="1"/>
  <c r="AG47" i="1" s="1"/>
  <c r="T47" i="1" a="1"/>
  <c r="T47" i="1" s="1"/>
  <c r="AF47" i="1" a="1"/>
  <c r="AF47" i="1" s="1"/>
  <c r="S47" i="1" a="1"/>
  <c r="S47" i="1" s="1"/>
  <c r="R47" i="1" a="1"/>
  <c r="R47" i="1" s="1"/>
  <c r="AL47" i="1" a="1"/>
  <c r="AL47" i="1" s="1"/>
  <c r="L47" i="1" a="1"/>
  <c r="L47" i="1" s="1"/>
  <c r="Q47" i="1" a="1"/>
  <c r="Q47" i="1" s="1"/>
  <c r="AM47" i="1" a="1"/>
  <c r="AM47" i="1" s="1"/>
  <c r="G47" i="1" a="1"/>
  <c r="G47" i="1" s="1"/>
  <c r="A47" i="2"/>
  <c r="K47" i="1" a="1"/>
  <c r="K47" i="1" s="1"/>
  <c r="O47" i="1" a="1"/>
  <c r="O47" i="1" s="1"/>
  <c r="AI47" i="1" a="1"/>
  <c r="AI47" i="1" s="1"/>
  <c r="AA47" i="1" a="1"/>
  <c r="AA47" i="1" s="1"/>
  <c r="C47" i="1" a="1"/>
  <c r="C47" i="1" s="1"/>
  <c r="AC47" i="1" a="1"/>
  <c r="AC47" i="1" s="1"/>
  <c r="Y47" i="1" a="1"/>
  <c r="Y47" i="1" s="1"/>
  <c r="A47" i="4"/>
  <c r="H47" i="1" a="1"/>
  <c r="H47" i="1" s="1"/>
  <c r="J47" i="2" s="1"/>
  <c r="AJ47" i="1" a="1"/>
  <c r="AJ47" i="1" s="1"/>
  <c r="N47" i="1" a="1"/>
  <c r="N47" i="1" s="1"/>
  <c r="A47" i="5"/>
  <c r="P47" i="1" a="1"/>
  <c r="P47" i="1" s="1"/>
  <c r="A47" i="7"/>
  <c r="AE47" i="1" a="1"/>
  <c r="AE47" i="1" s="1"/>
  <c r="AH47" i="1" a="1"/>
  <c r="AH47" i="1" s="1"/>
  <c r="V47" i="1" a="1"/>
  <c r="V47" i="1" s="1"/>
  <c r="G47" i="7" s="1"/>
  <c r="AO47" i="1" a="1"/>
  <c r="AO47" i="1" s="1"/>
  <c r="M47" i="1" a="1"/>
  <c r="M47" i="1" s="1"/>
  <c r="W47" i="1" a="1"/>
  <c r="W47" i="1" s="1"/>
  <c r="AD47" i="1" a="1"/>
  <c r="AD47" i="1" s="1"/>
  <c r="A47" i="6"/>
  <c r="AB47" i="1" a="1"/>
  <c r="AB47" i="1" s="1"/>
  <c r="U47" i="1" a="1"/>
  <c r="U47" i="1" s="1"/>
  <c r="J47" i="1" a="1"/>
  <c r="J47" i="1" s="1"/>
  <c r="C47" i="5" s="1"/>
  <c r="L47" i="5" s="1"/>
  <c r="I47" i="1" a="1"/>
  <c r="I47" i="1" s="1"/>
  <c r="AN47" i="1" a="1"/>
  <c r="AN47" i="1" s="1"/>
  <c r="AK47" i="1" a="1"/>
  <c r="AK47" i="1" s="1"/>
  <c r="W63" i="1" a="1"/>
  <c r="W63" i="1" s="1"/>
  <c r="C63" i="1" a="1"/>
  <c r="C63" i="1" s="1"/>
  <c r="A63" i="7"/>
  <c r="B63" i="1" a="1"/>
  <c r="B63" i="1" s="1"/>
  <c r="A63" i="3"/>
  <c r="AD63" i="1" a="1"/>
  <c r="AD63" i="1" s="1"/>
  <c r="M63" i="1" a="1"/>
  <c r="M63" i="1" s="1"/>
  <c r="AJ63" i="1" a="1"/>
  <c r="AJ63" i="1" s="1"/>
  <c r="AB63" i="1" a="1"/>
  <c r="AB63" i="1" s="1"/>
  <c r="J63" i="1" a="1"/>
  <c r="J63" i="1" s="1"/>
  <c r="Y63" i="1" a="1"/>
  <c r="Y63" i="1" s="1"/>
  <c r="AC63" i="1" a="1"/>
  <c r="AC63" i="1" s="1"/>
  <c r="I63" i="1" a="1"/>
  <c r="I63" i="1" s="1"/>
  <c r="L63" i="1" a="1"/>
  <c r="L63" i="1" s="1"/>
  <c r="AL63" i="1" a="1"/>
  <c r="AL63" i="1" s="1"/>
  <c r="AK63" i="1" a="1"/>
  <c r="AK63" i="1" s="1"/>
  <c r="AN63" i="1" a="1"/>
  <c r="AN63" i="1" s="1"/>
  <c r="AG63" i="1" a="1"/>
  <c r="AG63" i="1" s="1"/>
  <c r="Z63" i="1" a="1"/>
  <c r="Z63" i="1" s="1"/>
  <c r="S63" i="1" a="1"/>
  <c r="S63" i="1" s="1"/>
  <c r="O63" i="1" a="1"/>
  <c r="O63" i="1" s="1"/>
  <c r="I63" i="5" s="1"/>
  <c r="V63" i="1" a="1"/>
  <c r="V63" i="1" s="1"/>
  <c r="G63" i="7" s="1"/>
  <c r="A63" i="2"/>
  <c r="T63" i="1" a="1"/>
  <c r="T63" i="1" s="1"/>
  <c r="AE63" i="1" a="1"/>
  <c r="AE63" i="1" s="1"/>
  <c r="A63" i="5"/>
  <c r="AO63" i="1" a="1"/>
  <c r="AO63" i="1" s="1"/>
  <c r="AH63" i="1" a="1"/>
  <c r="AH63" i="1" s="1"/>
  <c r="Q63" i="1" a="1"/>
  <c r="Q63" i="1" s="1"/>
  <c r="AF63" i="1" a="1"/>
  <c r="AF63" i="1" s="1"/>
  <c r="H63" i="1" a="1"/>
  <c r="H63" i="1" s="1"/>
  <c r="AI63" i="1" a="1"/>
  <c r="AI63" i="1" s="1"/>
  <c r="R63" i="1" a="1"/>
  <c r="R63" i="1" s="1"/>
  <c r="A63" i="4"/>
  <c r="AM63" i="1" a="1"/>
  <c r="AM63" i="1" s="1"/>
  <c r="D63" i="1" a="1"/>
  <c r="D63" i="1" s="1"/>
  <c r="K63" i="1" a="1"/>
  <c r="K63" i="1" s="1"/>
  <c r="D63" i="5" s="1"/>
  <c r="F63" i="1" a="1"/>
  <c r="F63" i="1" s="1"/>
  <c r="G63" i="2" s="1"/>
  <c r="E63" i="1" a="1"/>
  <c r="E63" i="1" s="1"/>
  <c r="N63" i="1" a="1"/>
  <c r="N63" i="1" s="1"/>
  <c r="X63" i="1" a="1"/>
  <c r="X63" i="1" s="1"/>
  <c r="A63" i="6"/>
  <c r="G63" i="1" a="1"/>
  <c r="G63" i="1" s="1"/>
  <c r="AA63" i="1" a="1"/>
  <c r="AA63" i="1" s="1"/>
  <c r="P63" i="1" a="1"/>
  <c r="P63" i="1" s="1"/>
  <c r="J63" i="5" s="1"/>
  <c r="U63" i="1" a="1"/>
  <c r="U63" i="1" s="1"/>
  <c r="AD79" i="1" a="1"/>
  <c r="AD79" i="1" s="1"/>
  <c r="C79" i="1" a="1"/>
  <c r="C79" i="1" s="1"/>
  <c r="K79" i="1" a="1"/>
  <c r="K79" i="1" s="1"/>
  <c r="Y79" i="1" a="1"/>
  <c r="Y79" i="1" s="1"/>
  <c r="W79" i="1" a="1"/>
  <c r="W79" i="1" s="1"/>
  <c r="I79" i="7" s="1"/>
  <c r="A79" i="5"/>
  <c r="AN79" i="1" a="1"/>
  <c r="AN79" i="1" s="1"/>
  <c r="AK79" i="1" a="1"/>
  <c r="AK79" i="1" s="1"/>
  <c r="E79" i="1" a="1"/>
  <c r="E79" i="1" s="1"/>
  <c r="N79" i="1" a="1"/>
  <c r="N79" i="1" s="1"/>
  <c r="P79" i="1" a="1"/>
  <c r="P79" i="1" s="1"/>
  <c r="AM79" i="1" a="1"/>
  <c r="AM79" i="1" s="1"/>
  <c r="I79" i="1" a="1"/>
  <c r="I79" i="1" s="1"/>
  <c r="K79" i="2" s="1"/>
  <c r="F79" i="1" a="1"/>
  <c r="F79" i="1" s="1"/>
  <c r="AC79" i="1" a="1"/>
  <c r="AC79" i="1" s="1"/>
  <c r="R79" i="1" a="1"/>
  <c r="R79" i="1" s="1"/>
  <c r="A79" i="4"/>
  <c r="AJ79" i="1" a="1"/>
  <c r="AJ79" i="1" s="1"/>
  <c r="D79" i="1" a="1"/>
  <c r="D79" i="1" s="1"/>
  <c r="A79" i="3"/>
  <c r="S79" i="1" a="1"/>
  <c r="S79" i="1" s="1"/>
  <c r="G79" i="1" a="1"/>
  <c r="G79" i="1" s="1"/>
  <c r="X79" i="1" a="1"/>
  <c r="X79" i="1" s="1"/>
  <c r="M79" i="1" a="1"/>
  <c r="M79" i="1" s="1"/>
  <c r="A79" i="6"/>
  <c r="Q79" i="1" a="1"/>
  <c r="Q79" i="1" s="1"/>
  <c r="AA79" i="1" a="1"/>
  <c r="AA79" i="1" s="1"/>
  <c r="V79" i="1" a="1"/>
  <c r="V79" i="1" s="1"/>
  <c r="AF79" i="1" a="1"/>
  <c r="AF79" i="1" s="1"/>
  <c r="J79" i="1" a="1"/>
  <c r="J79" i="1" s="1"/>
  <c r="O79" i="1" a="1"/>
  <c r="O79" i="1" s="1"/>
  <c r="I79" i="5" s="1"/>
  <c r="AI79" i="1" a="1"/>
  <c r="AI79" i="1" s="1"/>
  <c r="AH79" i="1" a="1"/>
  <c r="AH79" i="1" s="1"/>
  <c r="Z79" i="1" a="1"/>
  <c r="Z79" i="1" s="1"/>
  <c r="AL79" i="1" a="1"/>
  <c r="AL79" i="1" s="1"/>
  <c r="B79" i="1" a="1"/>
  <c r="B79" i="1" s="1"/>
  <c r="A79" i="2"/>
  <c r="AG79" i="1" a="1"/>
  <c r="AG79" i="1" s="1"/>
  <c r="U79" i="1" a="1"/>
  <c r="U79" i="1" s="1"/>
  <c r="F79" i="7" s="1"/>
  <c r="T79" i="1" a="1"/>
  <c r="T79" i="1" s="1"/>
  <c r="AB79" i="1" a="1"/>
  <c r="AB79" i="1" s="1"/>
  <c r="AO79" i="1" a="1"/>
  <c r="AO79" i="1" s="1"/>
  <c r="L79" i="1" a="1"/>
  <c r="L79" i="1" s="1"/>
  <c r="H79" i="1" a="1"/>
  <c r="H79" i="1" s="1"/>
  <c r="A79" i="7"/>
  <c r="AE79" i="1" a="1"/>
  <c r="AE79" i="1" s="1"/>
  <c r="A103" i="2"/>
  <c r="A103" i="5"/>
  <c r="A103" i="4"/>
  <c r="A103" i="3"/>
  <c r="A103" i="6"/>
  <c r="A103" i="7"/>
  <c r="A119" i="7"/>
  <c r="A119" i="4"/>
  <c r="A119" i="2"/>
  <c r="A119" i="6"/>
  <c r="A119" i="5"/>
  <c r="A119" i="3"/>
  <c r="X22" i="1" a="1"/>
  <c r="X22" i="1" s="1"/>
  <c r="G22" i="1" a="1"/>
  <c r="G22" i="1" s="1"/>
  <c r="A22" i="3"/>
  <c r="K22" i="1" a="1"/>
  <c r="K22" i="1" s="1"/>
  <c r="AG22" i="1" a="1"/>
  <c r="AG22" i="1" s="1"/>
  <c r="AD22" i="1" a="1"/>
  <c r="AD22" i="1" s="1"/>
  <c r="A22" i="2"/>
  <c r="I22" i="1" a="1"/>
  <c r="I22" i="1" s="1"/>
  <c r="AH22" i="1" a="1"/>
  <c r="AH22" i="1" s="1"/>
  <c r="AA22" i="1" a="1"/>
  <c r="AA22" i="1" s="1"/>
  <c r="L22" i="1" a="1"/>
  <c r="L22" i="1" s="1"/>
  <c r="A22" i="4"/>
  <c r="J22" i="1" a="1"/>
  <c r="J22" i="1" s="1"/>
  <c r="AE22" i="1" a="1"/>
  <c r="AE22" i="1" s="1"/>
  <c r="C22" i="1" a="1"/>
  <c r="C22" i="1" s="1"/>
  <c r="AJ22" i="1" a="1"/>
  <c r="AJ22" i="1" s="1"/>
  <c r="AN22" i="1" a="1"/>
  <c r="AN22" i="1" s="1"/>
  <c r="A22" i="6"/>
  <c r="AL22" i="1" a="1"/>
  <c r="AL22" i="1" s="1"/>
  <c r="H22" i="1" a="1"/>
  <c r="H22" i="1" s="1"/>
  <c r="AI22" i="1" a="1"/>
  <c r="AI22" i="1" s="1"/>
  <c r="Q22" i="1" a="1"/>
  <c r="Q22" i="1" s="1"/>
  <c r="T22" i="1" a="1"/>
  <c r="T22" i="1" s="1"/>
  <c r="A22" i="7"/>
  <c r="Y22" i="1" a="1"/>
  <c r="Y22" i="1" s="1"/>
  <c r="AB22" i="1" a="1"/>
  <c r="AB22" i="1" s="1"/>
  <c r="AM22" i="1" a="1"/>
  <c r="AM22" i="1" s="1"/>
  <c r="D22" i="1" a="1"/>
  <c r="D22" i="1" s="1"/>
  <c r="R22" i="1" a="1"/>
  <c r="R22" i="1" s="1"/>
  <c r="AF22" i="1" a="1"/>
  <c r="AF22" i="1" s="1"/>
  <c r="AO22" i="1" a="1"/>
  <c r="AO22" i="1" s="1"/>
  <c r="N22" i="1" a="1"/>
  <c r="N22" i="1" s="1"/>
  <c r="M22" i="1" a="1"/>
  <c r="M22" i="1" s="1"/>
  <c r="P22" i="1" a="1"/>
  <c r="P22" i="1" s="1"/>
  <c r="U22" i="1" a="1"/>
  <c r="U22" i="1" s="1"/>
  <c r="S22" i="1" a="1"/>
  <c r="S22" i="1" s="1"/>
  <c r="AC22" i="1" a="1"/>
  <c r="AC22" i="1" s="1"/>
  <c r="Z22" i="1" a="1"/>
  <c r="Z22" i="1" s="1"/>
  <c r="AK22" i="1" a="1"/>
  <c r="AK22" i="1" s="1"/>
  <c r="V22" i="1" a="1"/>
  <c r="V22" i="1" s="1"/>
  <c r="F22" i="1" a="1"/>
  <c r="F22" i="1" s="1"/>
  <c r="B22" i="1" a="1"/>
  <c r="B22" i="1" s="1"/>
  <c r="O22" i="1" a="1"/>
  <c r="O22" i="1" s="1"/>
  <c r="E22" i="1" a="1"/>
  <c r="E22" i="1" s="1"/>
  <c r="A22" i="5"/>
  <c r="W22" i="1" a="1"/>
  <c r="W22" i="1" s="1"/>
  <c r="I22" i="7" s="1"/>
  <c r="Z7" i="1" a="1"/>
  <c r="Z7" i="1" s="1"/>
  <c r="Q7" i="1" a="1"/>
  <c r="Q7" i="1" s="1"/>
  <c r="V7" i="1" a="1"/>
  <c r="V7" i="1" s="1"/>
  <c r="AD7" i="1" a="1"/>
  <c r="AD7" i="1" s="1"/>
  <c r="A7" i="6"/>
  <c r="A7" i="2"/>
  <c r="A7" i="4"/>
  <c r="A7" i="5"/>
  <c r="O7" i="1" a="1"/>
  <c r="O7" i="1" s="1"/>
  <c r="AA7" i="1" a="1"/>
  <c r="AA7" i="1" s="1"/>
  <c r="W7" i="1" a="1"/>
  <c r="W7" i="1" s="1"/>
  <c r="I7" i="7" s="1"/>
  <c r="J7" i="1" a="1"/>
  <c r="J7" i="1" s="1"/>
  <c r="E7" i="1" a="1"/>
  <c r="E7" i="1" s="1"/>
  <c r="B7" i="1" a="1"/>
  <c r="B7" i="1" s="1"/>
  <c r="F7" i="1" a="1"/>
  <c r="F7" i="1" s="1"/>
  <c r="C7" i="1" a="1"/>
  <c r="C7" i="1" s="1"/>
  <c r="X7" i="1" a="1"/>
  <c r="X7" i="1" s="1"/>
  <c r="J7" i="7" s="1"/>
  <c r="AM7" i="1" a="1"/>
  <c r="AM7" i="1" s="1"/>
  <c r="M7" i="1" a="1"/>
  <c r="M7" i="1" s="1"/>
  <c r="A7" i="3"/>
  <c r="P7" i="1" a="1"/>
  <c r="P7" i="1" s="1"/>
  <c r="AN7" i="1" a="1"/>
  <c r="AN7" i="1" s="1"/>
  <c r="D7" i="1" a="1"/>
  <c r="D7" i="1" s="1"/>
  <c r="AO7" i="1" a="1"/>
  <c r="AO7" i="1" s="1"/>
  <c r="T7" i="1" a="1"/>
  <c r="T7" i="1" s="1"/>
  <c r="S7" i="1" a="1"/>
  <c r="S7" i="1" s="1"/>
  <c r="D7" i="7" s="1"/>
  <c r="M7" i="7" s="1"/>
  <c r="Y7" i="1" a="1"/>
  <c r="Y7" i="1" s="1"/>
  <c r="K7" i="7" s="1"/>
  <c r="AJ7" i="1" a="1"/>
  <c r="AJ7" i="1" s="1"/>
  <c r="U7" i="1" a="1"/>
  <c r="U7" i="1" s="1"/>
  <c r="AK7" i="1" a="1"/>
  <c r="AK7" i="1" s="1"/>
  <c r="L7" i="1" a="1"/>
  <c r="L7" i="1" s="1"/>
  <c r="K7" i="1" a="1"/>
  <c r="K7" i="1" s="1"/>
  <c r="A7" i="7"/>
  <c r="N7" i="1" a="1"/>
  <c r="N7" i="1" s="1"/>
  <c r="AB7" i="1" a="1"/>
  <c r="AB7" i="1" s="1"/>
  <c r="R7" i="1" a="1"/>
  <c r="R7" i="1" s="1"/>
  <c r="AC7" i="1" a="1"/>
  <c r="AC7" i="1" s="1"/>
  <c r="AL7" i="1" a="1"/>
  <c r="AL7" i="1" s="1"/>
  <c r="A104" i="7"/>
  <c r="A104" i="3"/>
  <c r="A104" i="2"/>
  <c r="A104" i="4"/>
  <c r="A104" i="5"/>
  <c r="A104" i="6"/>
  <c r="A112" i="5"/>
  <c r="A112" i="7"/>
  <c r="A112" i="4"/>
  <c r="A112" i="6"/>
  <c r="A112" i="3"/>
  <c r="A112" i="2"/>
  <c r="A120" i="2"/>
  <c r="A120" i="4"/>
  <c r="A120" i="7"/>
  <c r="A120" i="5"/>
  <c r="A120" i="3"/>
  <c r="A120" i="6"/>
  <c r="A128" i="7"/>
  <c r="A128" i="3"/>
  <c r="A128" i="6"/>
  <c r="A128" i="2"/>
  <c r="A128" i="4"/>
  <c r="A128" i="5"/>
  <c r="A6" i="1"/>
  <c r="B5" i="9"/>
  <c r="B6" i="9"/>
  <c r="B8" i="9"/>
  <c r="B4" i="9"/>
  <c r="B3" i="9"/>
  <c r="B7" i="9"/>
  <c r="F99" i="2" l="1"/>
  <c r="J99" i="4" s="1"/>
  <c r="F99" i="6"/>
  <c r="G99" i="5"/>
  <c r="J99" i="7"/>
  <c r="J99" i="6"/>
  <c r="D99" i="5"/>
  <c r="M99" i="5" s="1"/>
  <c r="E99" i="6"/>
  <c r="G24" i="5"/>
  <c r="I73" i="5"/>
  <c r="G48" i="7"/>
  <c r="E14" i="7"/>
  <c r="G97" i="5"/>
  <c r="M99" i="2"/>
  <c r="Q99" i="4" s="1"/>
  <c r="H99" i="4"/>
  <c r="F23" i="2"/>
  <c r="D78" i="2"/>
  <c r="D54" i="2"/>
  <c r="D69" i="7"/>
  <c r="M69" i="7" s="1"/>
  <c r="E92" i="2"/>
  <c r="I92" i="4" s="1"/>
  <c r="G52" i="5"/>
  <c r="C12" i="2"/>
  <c r="K75" i="5"/>
  <c r="E43" i="5"/>
  <c r="E43" i="2"/>
  <c r="E88" i="6"/>
  <c r="E95" i="2"/>
  <c r="I55" i="6"/>
  <c r="K55" i="5"/>
  <c r="J99" i="2"/>
  <c r="N99" i="4" s="1"/>
  <c r="E99" i="5"/>
  <c r="D99" i="6"/>
  <c r="M99" i="6" s="1"/>
  <c r="C99" i="2"/>
  <c r="C99" i="6"/>
  <c r="L99" i="6" s="1"/>
  <c r="K99" i="7"/>
  <c r="K99" i="6"/>
  <c r="K63" i="2"/>
  <c r="J85" i="6"/>
  <c r="G99" i="6"/>
  <c r="G99" i="2"/>
  <c r="K99" i="4" s="1"/>
  <c r="D99" i="7"/>
  <c r="M99" i="7" s="1"/>
  <c r="K63" i="5"/>
  <c r="F57" i="5"/>
  <c r="D49" i="5"/>
  <c r="M49" i="5" s="1"/>
  <c r="D49" i="7"/>
  <c r="M49" i="7" s="1"/>
  <c r="D56" i="5"/>
  <c r="M56" i="5" s="1"/>
  <c r="K48" i="6"/>
  <c r="E48" i="6"/>
  <c r="I95" i="6"/>
  <c r="E95" i="5"/>
  <c r="E55" i="6"/>
  <c r="K55" i="7"/>
  <c r="E31" i="7"/>
  <c r="F31" i="5"/>
  <c r="C38" i="7"/>
  <c r="L38" i="7" s="1"/>
  <c r="I99" i="7"/>
  <c r="I99" i="6"/>
  <c r="G60" i="2"/>
  <c r="C11" i="5"/>
  <c r="E74" i="5"/>
  <c r="E74" i="2"/>
  <c r="G28" i="5"/>
  <c r="D49" i="2"/>
  <c r="G48" i="2"/>
  <c r="I38" i="5"/>
  <c r="G98" i="5"/>
  <c r="I99" i="2"/>
  <c r="M99" i="4" s="1"/>
  <c r="C22" i="2"/>
  <c r="J22" i="5"/>
  <c r="K47" i="6"/>
  <c r="C23" i="2"/>
  <c r="I94" i="5"/>
  <c r="K86" i="5"/>
  <c r="F86" i="5"/>
  <c r="E54" i="5"/>
  <c r="J36" i="7"/>
  <c r="F20" i="2"/>
  <c r="E20" i="5"/>
  <c r="E77" i="5"/>
  <c r="J61" i="5"/>
  <c r="D84" i="7"/>
  <c r="M84" i="7" s="1"/>
  <c r="D84" i="2"/>
  <c r="E68" i="6"/>
  <c r="G60" i="7"/>
  <c r="F59" i="5"/>
  <c r="K51" i="7"/>
  <c r="F74" i="7"/>
  <c r="E30" i="7"/>
  <c r="D82" i="2"/>
  <c r="F82" i="7"/>
  <c r="D24" i="7"/>
  <c r="M24" i="7" s="1"/>
  <c r="G24" i="7"/>
  <c r="G24" i="2"/>
  <c r="E81" i="7"/>
  <c r="I17" i="5"/>
  <c r="M98" i="2"/>
  <c r="Q98" i="4" s="1"/>
  <c r="H98" i="4"/>
  <c r="E98" i="7"/>
  <c r="K97" i="5"/>
  <c r="C98" i="6"/>
  <c r="L98" i="6" s="1"/>
  <c r="C98" i="2"/>
  <c r="J98" i="2"/>
  <c r="N98" i="4" s="1"/>
  <c r="F98" i="7"/>
  <c r="D98" i="7"/>
  <c r="M98" i="7" s="1"/>
  <c r="J98" i="5"/>
  <c r="G83" i="5"/>
  <c r="E67" i="6"/>
  <c r="J27" i="2"/>
  <c r="E40" i="6"/>
  <c r="D16" i="2"/>
  <c r="I28" i="6"/>
  <c r="D10" i="2"/>
  <c r="F32" i="6"/>
  <c r="E73" i="5"/>
  <c r="F57" i="7"/>
  <c r="E57" i="5"/>
  <c r="C49" i="7"/>
  <c r="L49" i="7" s="1"/>
  <c r="E49" i="7"/>
  <c r="I25" i="6"/>
  <c r="K72" i="6"/>
  <c r="C31" i="2"/>
  <c r="E38" i="5"/>
  <c r="D98" i="6"/>
  <c r="M98" i="6" s="1"/>
  <c r="K98" i="7"/>
  <c r="K98" i="6"/>
  <c r="G98" i="2"/>
  <c r="K98" i="4" s="1"/>
  <c r="G98" i="6"/>
  <c r="F98" i="5"/>
  <c r="F96" i="5"/>
  <c r="I98" i="2"/>
  <c r="M98" i="4" s="1"/>
  <c r="F98" i="6"/>
  <c r="F98" i="2"/>
  <c r="J98" i="4" s="1"/>
  <c r="J98" i="7"/>
  <c r="J98" i="6"/>
  <c r="E98" i="6"/>
  <c r="I98" i="7"/>
  <c r="I98" i="6"/>
  <c r="G98" i="7"/>
  <c r="E98" i="2"/>
  <c r="I98" i="4" s="1"/>
  <c r="C7" i="7"/>
  <c r="L7" i="7" s="1"/>
  <c r="C7" i="5"/>
  <c r="L7" i="5" s="1"/>
  <c r="G79" i="7"/>
  <c r="K94" i="5"/>
  <c r="E78" i="5"/>
  <c r="I46" i="7"/>
  <c r="D37" i="7"/>
  <c r="M37" i="7" s="1"/>
  <c r="E37" i="2"/>
  <c r="I37" i="4" s="1"/>
  <c r="J29" i="5"/>
  <c r="K29" i="6"/>
  <c r="I92" i="6"/>
  <c r="E92" i="5"/>
  <c r="K76" i="5"/>
  <c r="K44" i="6"/>
  <c r="G44" i="7"/>
  <c r="F44" i="6"/>
  <c r="F12" i="7"/>
  <c r="I75" i="7"/>
  <c r="J67" i="7"/>
  <c r="G59" i="6"/>
  <c r="J90" i="2"/>
  <c r="D58" i="2"/>
  <c r="D42" i="6"/>
  <c r="M42" i="6" s="1"/>
  <c r="E26" i="2"/>
  <c r="D40" i="5"/>
  <c r="M40" i="5" s="1"/>
  <c r="D40" i="2"/>
  <c r="D15" i="5"/>
  <c r="C30" i="5"/>
  <c r="L30" i="5" s="1"/>
  <c r="K28" i="5"/>
  <c r="E10" i="5"/>
  <c r="F10" i="5"/>
  <c r="E32" i="2"/>
  <c r="I49" i="6"/>
  <c r="E17" i="5"/>
  <c r="C88" i="5"/>
  <c r="L88" i="5" s="1"/>
  <c r="J56" i="2"/>
  <c r="G31" i="7"/>
  <c r="C97" i="5"/>
  <c r="L97" i="5" s="1"/>
  <c r="G97" i="7"/>
  <c r="C97" i="6"/>
  <c r="L97" i="6" s="1"/>
  <c r="C97" i="2"/>
  <c r="D97" i="7"/>
  <c r="M97" i="7" s="1"/>
  <c r="F97" i="6"/>
  <c r="F97" i="2"/>
  <c r="J97" i="4" s="1"/>
  <c r="E97" i="7"/>
  <c r="J97" i="2"/>
  <c r="N97" i="4" s="1"/>
  <c r="K97" i="7"/>
  <c r="K97" i="6"/>
  <c r="D97" i="2"/>
  <c r="D97" i="5"/>
  <c r="M97" i="5" s="1"/>
  <c r="C13" i="2"/>
  <c r="G97" i="2"/>
  <c r="K97" i="4" s="1"/>
  <c r="G97" i="6"/>
  <c r="F97" i="7"/>
  <c r="D47" i="5"/>
  <c r="M47" i="5" s="1"/>
  <c r="D47" i="7"/>
  <c r="M47" i="7" s="1"/>
  <c r="K23" i="5"/>
  <c r="E23" i="5"/>
  <c r="E94" i="2"/>
  <c r="E94" i="7"/>
  <c r="D86" i="2"/>
  <c r="I46" i="5"/>
  <c r="G46" i="5"/>
  <c r="E46" i="2"/>
  <c r="F36" i="6"/>
  <c r="K20" i="7"/>
  <c r="G20" i="5"/>
  <c r="I77" i="7"/>
  <c r="J77" i="5"/>
  <c r="I69" i="2"/>
  <c r="K69" i="7"/>
  <c r="E61" i="2"/>
  <c r="K61" i="6"/>
  <c r="C53" i="6"/>
  <c r="L53" i="6" s="1"/>
  <c r="K53" i="5"/>
  <c r="D53" i="2"/>
  <c r="D45" i="7"/>
  <c r="M45" i="7" s="1"/>
  <c r="G37" i="5"/>
  <c r="F37" i="6"/>
  <c r="J29" i="2"/>
  <c r="I21" i="6"/>
  <c r="K21" i="7"/>
  <c r="G13" i="7"/>
  <c r="D13" i="6"/>
  <c r="D92" i="5"/>
  <c r="M92" i="5" s="1"/>
  <c r="J84" i="7"/>
  <c r="F84" i="5"/>
  <c r="J84" i="2"/>
  <c r="F68" i="7"/>
  <c r="F60" i="7"/>
  <c r="D52" i="6"/>
  <c r="M52" i="6" s="1"/>
  <c r="D44" i="5"/>
  <c r="M44" i="5" s="1"/>
  <c r="E44" i="7"/>
  <c r="D44" i="7"/>
  <c r="M44" i="7" s="1"/>
  <c r="C12" i="5"/>
  <c r="I83" i="7"/>
  <c r="F83" i="5"/>
  <c r="D67" i="7"/>
  <c r="M67" i="7" s="1"/>
  <c r="K59" i="6"/>
  <c r="C59" i="7"/>
  <c r="L59" i="7" s="1"/>
  <c r="J51" i="7"/>
  <c r="F51" i="7"/>
  <c r="C51" i="5"/>
  <c r="L51" i="5" s="1"/>
  <c r="F43" i="6"/>
  <c r="G35" i="6"/>
  <c r="I35" i="6"/>
  <c r="C35" i="6"/>
  <c r="L35" i="6" s="1"/>
  <c r="D27" i="5"/>
  <c r="M27" i="5" s="1"/>
  <c r="C27" i="6"/>
  <c r="L27" i="6" s="1"/>
  <c r="F27" i="5"/>
  <c r="E27" i="7"/>
  <c r="D19" i="2"/>
  <c r="E11" i="2"/>
  <c r="I11" i="4" s="1"/>
  <c r="K90" i="6"/>
  <c r="C66" i="5"/>
  <c r="L66" i="5" s="1"/>
  <c r="C58" i="6"/>
  <c r="L58" i="6" s="1"/>
  <c r="J97" i="5"/>
  <c r="F97" i="5"/>
  <c r="I97" i="7"/>
  <c r="I97" i="6"/>
  <c r="E97" i="6"/>
  <c r="C97" i="7"/>
  <c r="L97" i="7" s="1"/>
  <c r="I38" i="2"/>
  <c r="J97" i="7"/>
  <c r="G22" i="2"/>
  <c r="E79" i="5"/>
  <c r="D79" i="6"/>
  <c r="M79" i="6" s="1"/>
  <c r="E79" i="2"/>
  <c r="D20" i="7"/>
  <c r="M20" i="7" s="1"/>
  <c r="I20" i="2"/>
  <c r="D93" i="7"/>
  <c r="M93" i="7" s="1"/>
  <c r="D69" i="2"/>
  <c r="G45" i="2"/>
  <c r="E37" i="5"/>
  <c r="J21" i="6"/>
  <c r="C13" i="7"/>
  <c r="K76" i="7"/>
  <c r="D7" i="5"/>
  <c r="M7" i="5" s="1"/>
  <c r="D7" i="2"/>
  <c r="K21" i="5"/>
  <c r="C84" i="5"/>
  <c r="L84" i="5" s="1"/>
  <c r="J79" i="7"/>
  <c r="J92" i="2"/>
  <c r="G84" i="7"/>
  <c r="D75" i="5"/>
  <c r="M75" i="5" s="1"/>
  <c r="C67" i="7"/>
  <c r="L67" i="7" s="1"/>
  <c r="I59" i="5"/>
  <c r="G27" i="6"/>
  <c r="J90" i="5"/>
  <c r="K74" i="2"/>
  <c r="C74" i="7"/>
  <c r="L74" i="7" s="1"/>
  <c r="G66" i="5"/>
  <c r="E58" i="2"/>
  <c r="C42" i="5"/>
  <c r="L42" i="5" s="1"/>
  <c r="K33" i="6"/>
  <c r="E80" i="6"/>
  <c r="I72" i="6"/>
  <c r="C64" i="6"/>
  <c r="L64" i="6" s="1"/>
  <c r="G95" i="5"/>
  <c r="C55" i="7"/>
  <c r="L55" i="7" s="1"/>
  <c r="C31" i="5"/>
  <c r="L31" i="5" s="1"/>
  <c r="K38" i="6"/>
  <c r="G68" i="5"/>
  <c r="K52" i="6"/>
  <c r="G52" i="2"/>
  <c r="J52" i="2"/>
  <c r="E52" i="7"/>
  <c r="I44" i="5"/>
  <c r="C44" i="5"/>
  <c r="L44" i="5" s="1"/>
  <c r="E91" i="2"/>
  <c r="C83" i="5"/>
  <c r="L83" i="5" s="1"/>
  <c r="D83" i="6"/>
  <c r="M83" i="6" s="1"/>
  <c r="G83" i="7"/>
  <c r="C75" i="5"/>
  <c r="L75" i="5" s="1"/>
  <c r="J75" i="6"/>
  <c r="I75" i="5"/>
  <c r="K67" i="2"/>
  <c r="J67" i="5"/>
  <c r="F59" i="7"/>
  <c r="C59" i="2"/>
  <c r="K51" i="5"/>
  <c r="J51" i="5"/>
  <c r="I51" i="6"/>
  <c r="F35" i="2"/>
  <c r="D27" i="2"/>
  <c r="I27" i="7"/>
  <c r="F27" i="2"/>
  <c r="F19" i="6"/>
  <c r="D19" i="7"/>
  <c r="M19" i="7" s="1"/>
  <c r="F11" i="6"/>
  <c r="J74" i="5"/>
  <c r="F74" i="5"/>
  <c r="C74" i="5"/>
  <c r="L74" i="5" s="1"/>
  <c r="J66" i="2"/>
  <c r="E66" i="5"/>
  <c r="I58" i="6"/>
  <c r="C26" i="6"/>
  <c r="L26" i="6" s="1"/>
  <c r="F26" i="7"/>
  <c r="J40" i="2"/>
  <c r="N40" i="4" s="1"/>
  <c r="E40" i="7"/>
  <c r="K87" i="2"/>
  <c r="J71" i="6"/>
  <c r="G71" i="7"/>
  <c r="F39" i="5"/>
  <c r="G15" i="2"/>
  <c r="D15" i="7"/>
  <c r="C15" i="7"/>
  <c r="G15" i="5"/>
  <c r="K30" i="7"/>
  <c r="F30" i="5"/>
  <c r="J30" i="2"/>
  <c r="G28" i="7"/>
  <c r="K28" i="7"/>
  <c r="G82" i="7"/>
  <c r="D34" i="5"/>
  <c r="M34" i="5" s="1"/>
  <c r="G34" i="7"/>
  <c r="D34" i="2"/>
  <c r="D10" i="5"/>
  <c r="E24" i="2"/>
  <c r="J24" i="2"/>
  <c r="C8" i="6"/>
  <c r="L8" i="6" s="1"/>
  <c r="C89" i="7"/>
  <c r="L89" i="7" s="1"/>
  <c r="D89" i="5"/>
  <c r="M89" i="5" s="1"/>
  <c r="C89" i="5"/>
  <c r="L89" i="5" s="1"/>
  <c r="K89" i="6"/>
  <c r="I81" i="2"/>
  <c r="F81" i="5"/>
  <c r="J81" i="7"/>
  <c r="I73" i="7"/>
  <c r="J73" i="7"/>
  <c r="D65" i="7"/>
  <c r="M65" i="7" s="1"/>
  <c r="J65" i="2"/>
  <c r="K57" i="6"/>
  <c r="I57" i="7"/>
  <c r="I57" i="2"/>
  <c r="K41" i="2"/>
  <c r="O41" i="4" s="1"/>
  <c r="C33" i="6"/>
  <c r="L33" i="6" s="1"/>
  <c r="I33" i="2"/>
  <c r="G25" i="5"/>
  <c r="E17" i="2"/>
  <c r="I17" i="4" s="1"/>
  <c r="C9" i="5"/>
  <c r="L9" i="5" s="1"/>
  <c r="D88" i="2"/>
  <c r="G80" i="5"/>
  <c r="F72" i="5"/>
  <c r="E64" i="2"/>
  <c r="I64" i="4" s="1"/>
  <c r="E38" i="2"/>
  <c r="C14" i="2"/>
  <c r="G58" i="5"/>
  <c r="F55" i="5"/>
  <c r="D75" i="7"/>
  <c r="M75" i="7" s="1"/>
  <c r="C67" i="5"/>
  <c r="L67" i="5" s="1"/>
  <c r="I67" i="7"/>
  <c r="I67" i="2"/>
  <c r="M67" i="4" s="1"/>
  <c r="F51" i="2"/>
  <c r="F51" i="5"/>
  <c r="J38" i="5"/>
  <c r="I76" i="5"/>
  <c r="I76" i="2"/>
  <c r="I68" i="6"/>
  <c r="E52" i="5"/>
  <c r="I83" i="5"/>
  <c r="D75" i="2"/>
  <c r="G43" i="7"/>
  <c r="K35" i="7"/>
  <c r="J35" i="7"/>
  <c r="C11" i="7"/>
  <c r="E74" i="7"/>
  <c r="F58" i="6"/>
  <c r="K58" i="7"/>
  <c r="D58" i="5"/>
  <c r="M58" i="5" s="1"/>
  <c r="K42" i="5"/>
  <c r="K18" i="2"/>
  <c r="F18" i="7"/>
  <c r="C40" i="7"/>
  <c r="L40" i="7" s="1"/>
  <c r="E16" i="2"/>
  <c r="I16" i="4" s="1"/>
  <c r="C71" i="7"/>
  <c r="L71" i="7" s="1"/>
  <c r="E71" i="7"/>
  <c r="G28" i="2"/>
  <c r="G82" i="5"/>
  <c r="I50" i="7"/>
  <c r="I50" i="2"/>
  <c r="F10" i="7"/>
  <c r="F10" i="2"/>
  <c r="E32" i="5"/>
  <c r="D32" i="2"/>
  <c r="E24" i="5"/>
  <c r="E24" i="7"/>
  <c r="I81" i="7"/>
  <c r="D81" i="7"/>
  <c r="M81" i="7" s="1"/>
  <c r="G81" i="5"/>
  <c r="K65" i="6"/>
  <c r="D65" i="2"/>
  <c r="E65" i="5"/>
  <c r="J65" i="5"/>
  <c r="J57" i="5"/>
  <c r="D57" i="7"/>
  <c r="M57" i="7" s="1"/>
  <c r="G57" i="7"/>
  <c r="D57" i="5"/>
  <c r="M57" i="5" s="1"/>
  <c r="K49" i="6"/>
  <c r="F41" i="2"/>
  <c r="F33" i="5"/>
  <c r="I33" i="5"/>
  <c r="C25" i="2"/>
  <c r="J25" i="5"/>
  <c r="E17" i="7"/>
  <c r="J17" i="2"/>
  <c r="K88" i="5"/>
  <c r="C80" i="7"/>
  <c r="L80" i="7" s="1"/>
  <c r="J64" i="7"/>
  <c r="D64" i="2"/>
  <c r="D64" i="7"/>
  <c r="M64" i="7" s="1"/>
  <c r="C56" i="6"/>
  <c r="L56" i="6" s="1"/>
  <c r="G55" i="5"/>
  <c r="F38" i="5"/>
  <c r="K39" i="2"/>
  <c r="I34" i="5"/>
  <c r="K34" i="2"/>
  <c r="E73" i="2"/>
  <c r="E73" i="7"/>
  <c r="J65" i="7"/>
  <c r="E57" i="7"/>
  <c r="G22" i="7"/>
  <c r="G22" i="5"/>
  <c r="G79" i="5"/>
  <c r="G63" i="5"/>
  <c r="R63" i="5" s="1"/>
  <c r="E63" i="7"/>
  <c r="J23" i="5"/>
  <c r="J23" i="7"/>
  <c r="I86" i="2"/>
  <c r="D78" i="5"/>
  <c r="M78" i="5" s="1"/>
  <c r="F54" i="6"/>
  <c r="K20" i="2"/>
  <c r="O20" i="4" s="1"/>
  <c r="I77" i="5"/>
  <c r="E79" i="7"/>
  <c r="E63" i="5"/>
  <c r="J23" i="2"/>
  <c r="I86" i="5"/>
  <c r="J62" i="6"/>
  <c r="I62" i="6"/>
  <c r="G46" i="7"/>
  <c r="F46" i="7"/>
  <c r="C46" i="7"/>
  <c r="L46" i="7" s="1"/>
  <c r="D36" i="6"/>
  <c r="M36" i="6" s="1"/>
  <c r="D93" i="5"/>
  <c r="M93" i="5" s="1"/>
  <c r="K85" i="6"/>
  <c r="G77" i="7"/>
  <c r="D77" i="7"/>
  <c r="M77" i="7" s="1"/>
  <c r="E69" i="6"/>
  <c r="I61" i="7"/>
  <c r="G61" i="5"/>
  <c r="G61" i="2"/>
  <c r="F53" i="7"/>
  <c r="J53" i="2"/>
  <c r="D37" i="5"/>
  <c r="M37" i="5" s="1"/>
  <c r="F29" i="2"/>
  <c r="J21" i="7"/>
  <c r="E7" i="2"/>
  <c r="I7" i="4" s="1"/>
  <c r="C22" i="7"/>
  <c r="L22" i="7" s="1"/>
  <c r="K22" i="6"/>
  <c r="I92" i="7"/>
  <c r="G7" i="2"/>
  <c r="C22" i="5"/>
  <c r="L22" i="5" s="1"/>
  <c r="C7" i="2"/>
  <c r="D22" i="7"/>
  <c r="M22" i="7" s="1"/>
  <c r="E22" i="2"/>
  <c r="I22" i="4" s="1"/>
  <c r="J22" i="2"/>
  <c r="D22" i="5"/>
  <c r="M22" i="5" s="1"/>
  <c r="C79" i="5"/>
  <c r="L79" i="5" s="1"/>
  <c r="E63" i="2"/>
  <c r="F63" i="6"/>
  <c r="I23" i="7"/>
  <c r="F23" i="5"/>
  <c r="C23" i="7"/>
  <c r="L23" i="7" s="1"/>
  <c r="I94" i="7"/>
  <c r="J94" i="6"/>
  <c r="E86" i="5"/>
  <c r="I86" i="7"/>
  <c r="D86" i="7"/>
  <c r="M86" i="7" s="1"/>
  <c r="C78" i="7"/>
  <c r="L78" i="7" s="1"/>
  <c r="G78" i="7"/>
  <c r="I78" i="5"/>
  <c r="K62" i="5"/>
  <c r="F62" i="2"/>
  <c r="K54" i="7"/>
  <c r="G54" i="7"/>
  <c r="D46" i="2"/>
  <c r="J46" i="6"/>
  <c r="I36" i="7"/>
  <c r="J36" i="5"/>
  <c r="G36" i="7"/>
  <c r="I20" i="5"/>
  <c r="C20" i="2"/>
  <c r="G20" i="7"/>
  <c r="F20" i="7"/>
  <c r="D20" i="2"/>
  <c r="E93" i="6"/>
  <c r="D85" i="6"/>
  <c r="M85" i="6" s="1"/>
  <c r="K85" i="7"/>
  <c r="E85" i="6"/>
  <c r="D77" i="2"/>
  <c r="E77" i="7"/>
  <c r="F69" i="5"/>
  <c r="F61" i="6"/>
  <c r="E61" i="7"/>
  <c r="I61" i="2"/>
  <c r="M61" i="4" s="1"/>
  <c r="I53" i="6"/>
  <c r="J45" i="2"/>
  <c r="N45" i="4" s="1"/>
  <c r="I45" i="7"/>
  <c r="K45" i="2"/>
  <c r="O45" i="4" s="1"/>
  <c r="C37" i="2"/>
  <c r="G37" i="2"/>
  <c r="J37" i="7"/>
  <c r="I29" i="6"/>
  <c r="C29" i="5"/>
  <c r="L29" i="5" s="1"/>
  <c r="F29" i="7"/>
  <c r="J29" i="7"/>
  <c r="G29" i="5"/>
  <c r="F21" i="5"/>
  <c r="E21" i="6"/>
  <c r="G21" i="5"/>
  <c r="E13" i="6"/>
  <c r="C13" i="5"/>
  <c r="K92" i="5"/>
  <c r="J92" i="5"/>
  <c r="K84" i="5"/>
  <c r="F84" i="7"/>
  <c r="C84" i="7"/>
  <c r="L84" i="7" s="1"/>
  <c r="E7" i="5"/>
  <c r="F22" i="6"/>
  <c r="F7" i="6"/>
  <c r="I22" i="5"/>
  <c r="E22" i="5"/>
  <c r="J79" i="6"/>
  <c r="D79" i="7"/>
  <c r="M79" i="7" s="1"/>
  <c r="I63" i="2"/>
  <c r="M63" i="4" s="1"/>
  <c r="C63" i="6"/>
  <c r="K63" i="7"/>
  <c r="E47" i="6"/>
  <c r="I47" i="6"/>
  <c r="K47" i="7"/>
  <c r="E23" i="2"/>
  <c r="I23" i="4" s="1"/>
  <c r="G23" i="7"/>
  <c r="F23" i="7"/>
  <c r="I23" i="2"/>
  <c r="J86" i="2"/>
  <c r="F78" i="7"/>
  <c r="K78" i="7"/>
  <c r="I78" i="2"/>
  <c r="I78" i="7"/>
  <c r="C70" i="7"/>
  <c r="L70" i="7" s="1"/>
  <c r="D70" i="2"/>
  <c r="C70" i="5"/>
  <c r="L70" i="5" s="1"/>
  <c r="D70" i="5"/>
  <c r="M70" i="5" s="1"/>
  <c r="J62" i="7"/>
  <c r="E62" i="6"/>
  <c r="K54" i="2"/>
  <c r="K54" i="5"/>
  <c r="E46" i="5"/>
  <c r="G46" i="2"/>
  <c r="C36" i="5"/>
  <c r="L36" i="5" s="1"/>
  <c r="J36" i="2"/>
  <c r="E36" i="7"/>
  <c r="J20" i="6"/>
  <c r="K20" i="5"/>
  <c r="J93" i="7"/>
  <c r="D93" i="2"/>
  <c r="F85" i="5"/>
  <c r="E77" i="2"/>
  <c r="I77" i="4" s="1"/>
  <c r="K77" i="7"/>
  <c r="D69" i="5"/>
  <c r="M69" i="5" s="1"/>
  <c r="J69" i="2"/>
  <c r="N69" i="4" s="1"/>
  <c r="G61" i="7"/>
  <c r="E61" i="5"/>
  <c r="F53" i="5"/>
  <c r="F53" i="2"/>
  <c r="E45" i="2"/>
  <c r="F45" i="5"/>
  <c r="D45" i="6"/>
  <c r="M45" i="6" s="1"/>
  <c r="G45" i="7"/>
  <c r="K37" i="6"/>
  <c r="I37" i="5"/>
  <c r="D37" i="2"/>
  <c r="E29" i="2"/>
  <c r="G29" i="2"/>
  <c r="E29" i="5"/>
  <c r="G13" i="6"/>
  <c r="J92" i="7"/>
  <c r="E92" i="7"/>
  <c r="D84" i="5"/>
  <c r="M84" i="5" s="1"/>
  <c r="J84" i="5"/>
  <c r="I22" i="2"/>
  <c r="F47" i="6"/>
  <c r="D78" i="7"/>
  <c r="M78" i="7" s="1"/>
  <c r="F46" i="2"/>
  <c r="K36" i="6"/>
  <c r="G36" i="6"/>
  <c r="J93" i="5"/>
  <c r="K93" i="6"/>
  <c r="J93" i="2"/>
  <c r="I85" i="2"/>
  <c r="M85" i="4" s="1"/>
  <c r="J69" i="7"/>
  <c r="C61" i="7"/>
  <c r="L61" i="7" s="1"/>
  <c r="E53" i="2"/>
  <c r="J37" i="2"/>
  <c r="N37" i="4" s="1"/>
  <c r="I37" i="2"/>
  <c r="G29" i="7"/>
  <c r="D21" i="6"/>
  <c r="M21" i="6" s="1"/>
  <c r="I84" i="5"/>
  <c r="E84" i="6"/>
  <c r="E76" i="7"/>
  <c r="J68" i="6"/>
  <c r="K94" i="2"/>
  <c r="C46" i="5"/>
  <c r="L46" i="5" s="1"/>
  <c r="K69" i="2"/>
  <c r="O69" i="4" s="1"/>
  <c r="D39" i="7"/>
  <c r="M39" i="7" s="1"/>
  <c r="E8" i="7"/>
  <c r="J89" i="6"/>
  <c r="I89" i="5"/>
  <c r="I25" i="7"/>
  <c r="E25" i="2"/>
  <c r="J64" i="5"/>
  <c r="G14" i="6"/>
  <c r="G96" i="6"/>
  <c r="G96" i="2"/>
  <c r="K96" i="4" s="1"/>
  <c r="D96" i="6"/>
  <c r="M96" i="6" s="1"/>
  <c r="D96" i="2"/>
  <c r="C96" i="7"/>
  <c r="L96" i="7" s="1"/>
  <c r="D96" i="5"/>
  <c r="M96" i="5" s="1"/>
  <c r="J90" i="7"/>
  <c r="K96" i="6"/>
  <c r="K96" i="2"/>
  <c r="O96" i="4" s="1"/>
  <c r="I52" i="2"/>
  <c r="G44" i="2"/>
  <c r="E12" i="2"/>
  <c r="C12" i="7"/>
  <c r="E83" i="2"/>
  <c r="E83" i="5"/>
  <c r="K75" i="7"/>
  <c r="E67" i="7"/>
  <c r="J59" i="2"/>
  <c r="D43" i="6"/>
  <c r="M43" i="6" s="1"/>
  <c r="G43" i="6"/>
  <c r="E27" i="2"/>
  <c r="I27" i="4" s="1"/>
  <c r="J27" i="5"/>
  <c r="J19" i="5"/>
  <c r="G11" i="7"/>
  <c r="D90" i="2"/>
  <c r="K74" i="5"/>
  <c r="E66" i="7"/>
  <c r="I66" i="2"/>
  <c r="I66" i="5"/>
  <c r="D58" i="7"/>
  <c r="M58" i="7" s="1"/>
  <c r="J58" i="7"/>
  <c r="G58" i="7"/>
  <c r="G42" i="2"/>
  <c r="G42" i="7"/>
  <c r="K42" i="2"/>
  <c r="O42" i="4" s="1"/>
  <c r="K26" i="7"/>
  <c r="F26" i="2"/>
  <c r="E26" i="7"/>
  <c r="E18" i="7"/>
  <c r="I18" i="2"/>
  <c r="J18" i="2"/>
  <c r="F40" i="7"/>
  <c r="J40" i="7"/>
  <c r="I16" i="7"/>
  <c r="F39" i="7"/>
  <c r="D39" i="5"/>
  <c r="M39" i="5" s="1"/>
  <c r="D28" i="7"/>
  <c r="M28" i="7" s="1"/>
  <c r="K28" i="2"/>
  <c r="F82" i="5"/>
  <c r="D82" i="5"/>
  <c r="M82" i="5" s="1"/>
  <c r="E50" i="7"/>
  <c r="G50" i="6"/>
  <c r="I89" i="7"/>
  <c r="C81" i="5"/>
  <c r="L81" i="5" s="1"/>
  <c r="I65" i="7"/>
  <c r="G49" i="6"/>
  <c r="E49" i="2"/>
  <c r="E41" i="5"/>
  <c r="C17" i="2"/>
  <c r="G17" i="4" s="1"/>
  <c r="D96" i="7"/>
  <c r="M96" i="7" s="1"/>
  <c r="C96" i="6"/>
  <c r="L96" i="6" s="1"/>
  <c r="C96" i="2"/>
  <c r="C26" i="7"/>
  <c r="L26" i="7" s="1"/>
  <c r="J87" i="6"/>
  <c r="C39" i="6"/>
  <c r="L39" i="6" s="1"/>
  <c r="E28" i="6"/>
  <c r="I28" i="7"/>
  <c r="I82" i="6"/>
  <c r="E82" i="6"/>
  <c r="J82" i="7"/>
  <c r="J50" i="6"/>
  <c r="F34" i="5"/>
  <c r="C32" i="2"/>
  <c r="F8" i="6"/>
  <c r="K73" i="6"/>
  <c r="F73" i="5"/>
  <c r="G65" i="5"/>
  <c r="K57" i="7"/>
  <c r="C49" i="5"/>
  <c r="L49" i="5" s="1"/>
  <c r="C41" i="2"/>
  <c r="I41" i="6"/>
  <c r="F41" i="7"/>
  <c r="K33" i="7"/>
  <c r="D33" i="6"/>
  <c r="M33" i="6" s="1"/>
  <c r="E33" i="5"/>
  <c r="D25" i="6"/>
  <c r="M25" i="6" s="1"/>
  <c r="F25" i="6"/>
  <c r="K17" i="6"/>
  <c r="G17" i="5"/>
  <c r="G17" i="7"/>
  <c r="F9" i="7"/>
  <c r="G88" i="5"/>
  <c r="J88" i="6"/>
  <c r="J80" i="5"/>
  <c r="G80" i="7"/>
  <c r="D80" i="5"/>
  <c r="M80" i="5" s="1"/>
  <c r="I80" i="6"/>
  <c r="J72" i="6"/>
  <c r="J64" i="2"/>
  <c r="I64" i="5"/>
  <c r="F56" i="5"/>
  <c r="F56" i="7"/>
  <c r="F48" i="2"/>
  <c r="F48" i="7"/>
  <c r="C48" i="7"/>
  <c r="L48" i="7" s="1"/>
  <c r="C95" i="5"/>
  <c r="L95" i="5" s="1"/>
  <c r="I55" i="7"/>
  <c r="E31" i="2"/>
  <c r="K31" i="6"/>
  <c r="G38" i="6"/>
  <c r="D38" i="2"/>
  <c r="E96" i="7"/>
  <c r="E96" i="6"/>
  <c r="E96" i="2"/>
  <c r="I96" i="4" s="1"/>
  <c r="K96" i="7"/>
  <c r="J76" i="2"/>
  <c r="E76" i="2"/>
  <c r="D68" i="6"/>
  <c r="M68" i="6" s="1"/>
  <c r="K68" i="7"/>
  <c r="J60" i="5"/>
  <c r="C60" i="2"/>
  <c r="G52" i="7"/>
  <c r="C52" i="6"/>
  <c r="L52" i="6" s="1"/>
  <c r="E44" i="2"/>
  <c r="I44" i="4" s="1"/>
  <c r="E44" i="5"/>
  <c r="K44" i="7"/>
  <c r="D44" i="2"/>
  <c r="G12" i="2"/>
  <c r="K91" i="6"/>
  <c r="F91" i="7"/>
  <c r="J91" i="5"/>
  <c r="D91" i="6"/>
  <c r="M91" i="6" s="1"/>
  <c r="I83" i="2"/>
  <c r="K75" i="2"/>
  <c r="J67" i="2"/>
  <c r="N67" i="4" s="1"/>
  <c r="K67" i="5"/>
  <c r="G67" i="6"/>
  <c r="E59" i="7"/>
  <c r="E59" i="2"/>
  <c r="I59" i="2"/>
  <c r="M59" i="4" s="1"/>
  <c r="C51" i="2"/>
  <c r="E51" i="7"/>
  <c r="E43" i="7"/>
  <c r="C43" i="5"/>
  <c r="L43" i="5" s="1"/>
  <c r="I43" i="5"/>
  <c r="E35" i="6"/>
  <c r="E27" i="5"/>
  <c r="K27" i="6"/>
  <c r="E11" i="5"/>
  <c r="I90" i="6"/>
  <c r="E90" i="6"/>
  <c r="F66" i="7"/>
  <c r="G66" i="2"/>
  <c r="D66" i="2"/>
  <c r="F42" i="6"/>
  <c r="E42" i="7"/>
  <c r="C42" i="2"/>
  <c r="G42" i="5"/>
  <c r="E26" i="5"/>
  <c r="I18" i="5"/>
  <c r="D18" i="6"/>
  <c r="M18" i="6" s="1"/>
  <c r="I40" i="2"/>
  <c r="M40" i="4" s="1"/>
  <c r="D16" i="7"/>
  <c r="M16" i="7" s="1"/>
  <c r="C87" i="7"/>
  <c r="L87" i="7" s="1"/>
  <c r="G87" i="5"/>
  <c r="I87" i="5"/>
  <c r="D71" i="2"/>
  <c r="D71" i="5"/>
  <c r="M71" i="5" s="1"/>
  <c r="J39" i="6"/>
  <c r="I39" i="7"/>
  <c r="E39" i="6"/>
  <c r="D15" i="2"/>
  <c r="D30" i="5"/>
  <c r="M30" i="5" s="1"/>
  <c r="G30" i="6"/>
  <c r="J82" i="2"/>
  <c r="E50" i="2"/>
  <c r="F50" i="5"/>
  <c r="E50" i="5"/>
  <c r="G34" i="2"/>
  <c r="C10" i="6"/>
  <c r="C32" i="7"/>
  <c r="L32" i="7" s="1"/>
  <c r="G32" i="7"/>
  <c r="C24" i="6"/>
  <c r="L24" i="6" s="1"/>
  <c r="G8" i="6"/>
  <c r="C8" i="7"/>
  <c r="L8" i="7" s="1"/>
  <c r="F89" i="5"/>
  <c r="J89" i="7"/>
  <c r="F49" i="7"/>
  <c r="K25" i="6"/>
  <c r="D17" i="6"/>
  <c r="G9" i="6"/>
  <c r="F9" i="6"/>
  <c r="E88" i="7"/>
  <c r="K88" i="7"/>
  <c r="C72" i="5"/>
  <c r="L72" i="5" s="1"/>
  <c r="G56" i="5"/>
  <c r="J95" i="6"/>
  <c r="I31" i="6"/>
  <c r="I96" i="7"/>
  <c r="J96" i="5"/>
  <c r="F76" i="5"/>
  <c r="K68" i="6"/>
  <c r="F60" i="2"/>
  <c r="F60" i="5"/>
  <c r="D60" i="6"/>
  <c r="M60" i="6" s="1"/>
  <c r="J52" i="5"/>
  <c r="I52" i="5"/>
  <c r="I44" i="7"/>
  <c r="F12" i="5"/>
  <c r="F12" i="2"/>
  <c r="E75" i="5"/>
  <c r="D67" i="2"/>
  <c r="D67" i="5"/>
  <c r="M67" i="5" s="1"/>
  <c r="J59" i="5"/>
  <c r="E59" i="5"/>
  <c r="E51" i="6"/>
  <c r="G51" i="7"/>
  <c r="C51" i="7"/>
  <c r="L51" i="7" s="1"/>
  <c r="K35" i="6"/>
  <c r="F35" i="7"/>
  <c r="I27" i="5"/>
  <c r="I19" i="2"/>
  <c r="K74" i="7"/>
  <c r="G66" i="7"/>
  <c r="K66" i="6"/>
  <c r="E58" i="5"/>
  <c r="I40" i="5"/>
  <c r="I16" i="5"/>
  <c r="D87" i="6"/>
  <c r="M87" i="6" s="1"/>
  <c r="F39" i="2"/>
  <c r="D39" i="2"/>
  <c r="D28" i="2"/>
  <c r="C50" i="7"/>
  <c r="L50" i="7" s="1"/>
  <c r="I34" i="7"/>
  <c r="E8" i="5"/>
  <c r="I89" i="2"/>
  <c r="D81" i="2"/>
  <c r="E33" i="7"/>
  <c r="E25" i="7"/>
  <c r="E25" i="5"/>
  <c r="K56" i="5"/>
  <c r="D48" i="2"/>
  <c r="D55" i="2"/>
  <c r="J31" i="6"/>
  <c r="G31" i="5"/>
  <c r="F14" i="5"/>
  <c r="I96" i="5"/>
  <c r="E60" i="6"/>
  <c r="C60" i="7"/>
  <c r="L60" i="7" s="1"/>
  <c r="K52" i="7"/>
  <c r="D83" i="7"/>
  <c r="M83" i="7" s="1"/>
  <c r="C83" i="7"/>
  <c r="L83" i="7" s="1"/>
  <c r="J83" i="2"/>
  <c r="C75" i="7"/>
  <c r="L75" i="7" s="1"/>
  <c r="E75" i="2"/>
  <c r="J59" i="7"/>
  <c r="J51" i="2"/>
  <c r="N51" i="4" s="1"/>
  <c r="F35" i="5"/>
  <c r="J19" i="2"/>
  <c r="J19" i="7"/>
  <c r="D11" i="6"/>
  <c r="G11" i="2"/>
  <c r="J74" i="7"/>
  <c r="C66" i="2"/>
  <c r="F66" i="5"/>
  <c r="I26" i="6"/>
  <c r="I18" i="7"/>
  <c r="J18" i="7"/>
  <c r="I40" i="7"/>
  <c r="F16" i="7"/>
  <c r="D87" i="7"/>
  <c r="M87" i="7" s="1"/>
  <c r="C15" i="2"/>
  <c r="D30" i="7"/>
  <c r="M30" i="7" s="1"/>
  <c r="F50" i="2"/>
  <c r="F34" i="7"/>
  <c r="K32" i="6"/>
  <c r="F32" i="7"/>
  <c r="I24" i="6"/>
  <c r="E8" i="2"/>
  <c r="J81" i="6"/>
  <c r="C65" i="2"/>
  <c r="C49" i="2"/>
  <c r="D41" i="6"/>
  <c r="M41" i="6" s="1"/>
  <c r="J33" i="5"/>
  <c r="F17" i="2"/>
  <c r="I64" i="7"/>
  <c r="I56" i="6"/>
  <c r="E56" i="7"/>
  <c r="C48" i="5"/>
  <c r="L48" i="5" s="1"/>
  <c r="K95" i="6"/>
  <c r="E96" i="5"/>
  <c r="F96" i="2"/>
  <c r="J96" i="4" s="1"/>
  <c r="F96" i="6"/>
  <c r="F24" i="6"/>
  <c r="I65" i="5"/>
  <c r="C17" i="7"/>
  <c r="I96" i="2"/>
  <c r="M96" i="4" s="1"/>
  <c r="I96" i="6"/>
  <c r="J96" i="6"/>
  <c r="J96" i="2"/>
  <c r="N96" i="4" s="1"/>
  <c r="G96" i="7"/>
  <c r="F22" i="7"/>
  <c r="G7" i="6"/>
  <c r="F7" i="7"/>
  <c r="O79" i="4"/>
  <c r="F7" i="2"/>
  <c r="G7" i="4"/>
  <c r="L7" i="2"/>
  <c r="J7" i="6"/>
  <c r="J7" i="5"/>
  <c r="P6" i="1" a="1"/>
  <c r="P6" i="1" s="1"/>
  <c r="A6" i="4"/>
  <c r="C112" i="4" s="1"/>
  <c r="AA6" i="1" a="1"/>
  <c r="AA6" i="1" s="1"/>
  <c r="Z6" i="1" a="1"/>
  <c r="Z6" i="1" s="1"/>
  <c r="V6" i="1" a="1"/>
  <c r="V6" i="1" s="1"/>
  <c r="D6" i="1" a="1"/>
  <c r="D6" i="1" s="1"/>
  <c r="Y6" i="1" a="1"/>
  <c r="Y6" i="1" s="1"/>
  <c r="K6" i="7" s="1"/>
  <c r="AM6" i="1" a="1"/>
  <c r="AM6" i="1" s="1"/>
  <c r="L6" i="1" a="1"/>
  <c r="L6" i="1" s="1"/>
  <c r="AD6" i="1" a="1"/>
  <c r="AD6" i="1" s="1"/>
  <c r="AO6" i="1" a="1"/>
  <c r="AO6" i="1" s="1"/>
  <c r="AK6" i="1" a="1"/>
  <c r="AK6" i="1" s="1"/>
  <c r="W6" i="1" a="1"/>
  <c r="W6" i="1" s="1"/>
  <c r="I6" i="7" s="1"/>
  <c r="S6" i="1" a="1"/>
  <c r="S6" i="1" s="1"/>
  <c r="D6" i="7" s="1"/>
  <c r="M6" i="7" s="1"/>
  <c r="A6" i="2"/>
  <c r="X6" i="1" a="1"/>
  <c r="X6" i="1" s="1"/>
  <c r="J6" i="7" s="1"/>
  <c r="A6" i="6"/>
  <c r="A6" i="3"/>
  <c r="AB6" i="1" a="1"/>
  <c r="AB6" i="1" s="1"/>
  <c r="E6" i="6" s="1"/>
  <c r="T6" i="1" a="1"/>
  <c r="T6" i="1" s="1"/>
  <c r="AC6" i="1" a="1"/>
  <c r="AC6" i="1" s="1"/>
  <c r="AN6" i="1" a="1"/>
  <c r="AN6" i="1" s="1"/>
  <c r="O6" i="1" a="1"/>
  <c r="O6" i="1" s="1"/>
  <c r="K6" i="1" a="1"/>
  <c r="K6" i="1" s="1"/>
  <c r="D6" i="5" s="1"/>
  <c r="M6" i="5" s="1"/>
  <c r="J6" i="1" a="1"/>
  <c r="J6" i="1" s="1"/>
  <c r="C6" i="5" s="1"/>
  <c r="L6" i="5" s="1"/>
  <c r="AL6" i="1" a="1"/>
  <c r="AL6" i="1" s="1"/>
  <c r="A6" i="5"/>
  <c r="A6" i="7"/>
  <c r="U6" i="1" a="1"/>
  <c r="U6" i="1" s="1"/>
  <c r="F6" i="7" s="1"/>
  <c r="AJ6" i="1" a="1"/>
  <c r="AJ6" i="1" s="1"/>
  <c r="Q6" i="1" a="1"/>
  <c r="Q6" i="1" s="1"/>
  <c r="N6" i="1" a="1"/>
  <c r="N6" i="1" s="1"/>
  <c r="G6" i="5" s="1"/>
  <c r="C6" i="1" a="1"/>
  <c r="C6" i="1" s="1"/>
  <c r="D6" i="2" s="1"/>
  <c r="B6" i="1" a="1"/>
  <c r="B6" i="1" s="1"/>
  <c r="C6" i="2" s="1"/>
  <c r="E6" i="1" a="1"/>
  <c r="E6" i="1" s="1"/>
  <c r="R6" i="1" a="1"/>
  <c r="R6" i="1" s="1"/>
  <c r="C6" i="7" s="1"/>
  <c r="L6" i="7" s="1"/>
  <c r="M6" i="1" a="1"/>
  <c r="M6" i="1" s="1"/>
  <c r="F6" i="5" s="1"/>
  <c r="F6" i="1" a="1"/>
  <c r="F6" i="1" s="1"/>
  <c r="G6" i="2" s="1"/>
  <c r="I120" i="3"/>
  <c r="O120" i="3"/>
  <c r="M120" i="3"/>
  <c r="E120" i="3"/>
  <c r="H120" i="3"/>
  <c r="F120" i="3"/>
  <c r="L120" i="3"/>
  <c r="G120" i="3"/>
  <c r="N120" i="3"/>
  <c r="K120" i="3"/>
  <c r="J120" i="3"/>
  <c r="N22" i="4"/>
  <c r="C119" i="4"/>
  <c r="I79" i="6"/>
  <c r="K7" i="4"/>
  <c r="F22" i="2"/>
  <c r="AC22" i="3"/>
  <c r="E22" i="3"/>
  <c r="M22" i="3"/>
  <c r="I22" i="3"/>
  <c r="G22" i="3"/>
  <c r="O22" i="5" s="1"/>
  <c r="F22" i="3"/>
  <c r="N22" i="6" s="1"/>
  <c r="H22" i="3"/>
  <c r="O22" i="3"/>
  <c r="W22" i="5" s="1"/>
  <c r="K22" i="3"/>
  <c r="N22" i="3"/>
  <c r="V22" i="5" s="1"/>
  <c r="L22" i="3"/>
  <c r="E22" i="6"/>
  <c r="N79" i="3"/>
  <c r="V79" i="6" s="1"/>
  <c r="O79" i="3"/>
  <c r="I79" i="3"/>
  <c r="Q79" i="7" s="1"/>
  <c r="G79" i="3"/>
  <c r="H79" i="3"/>
  <c r="P79" i="7" s="1"/>
  <c r="M79" i="3"/>
  <c r="J79" i="3"/>
  <c r="R79" i="7" s="1"/>
  <c r="F79" i="3"/>
  <c r="N79" i="7" s="1"/>
  <c r="K79" i="3"/>
  <c r="L79" i="3"/>
  <c r="E79" i="3"/>
  <c r="X79" i="5" s="1"/>
  <c r="K79" i="7"/>
  <c r="K63" i="6"/>
  <c r="C63" i="5"/>
  <c r="D63" i="2"/>
  <c r="L23" i="2"/>
  <c r="G23" i="4"/>
  <c r="D23" i="6"/>
  <c r="M23" i="6" s="1"/>
  <c r="I23" i="6"/>
  <c r="D23" i="7"/>
  <c r="M23" i="7" s="1"/>
  <c r="G23" i="5"/>
  <c r="N94" i="3"/>
  <c r="V94" i="7" s="1"/>
  <c r="H94" i="3"/>
  <c r="L94" i="3"/>
  <c r="F94" i="3"/>
  <c r="G94" i="3"/>
  <c r="I94" i="3"/>
  <c r="J94" i="3"/>
  <c r="K94" i="3"/>
  <c r="M94" i="3"/>
  <c r="U94" i="5" s="1"/>
  <c r="E94" i="3"/>
  <c r="X94" i="2" s="1"/>
  <c r="R94" i="4" s="1"/>
  <c r="O94" i="3"/>
  <c r="W94" i="5" s="1"/>
  <c r="F94" i="7"/>
  <c r="G86" i="5"/>
  <c r="I86" i="4"/>
  <c r="C86" i="5"/>
  <c r="L86" i="5" s="1"/>
  <c r="J86" i="6"/>
  <c r="I78" i="6"/>
  <c r="I70" i="6"/>
  <c r="J70" i="6"/>
  <c r="K62" i="6"/>
  <c r="G62" i="6"/>
  <c r="F62" i="6"/>
  <c r="G54" i="6"/>
  <c r="J46" i="4"/>
  <c r="J46" i="7"/>
  <c r="J46" i="2"/>
  <c r="C36" i="6"/>
  <c r="L36" i="6" s="1"/>
  <c r="J20" i="4"/>
  <c r="J20" i="2"/>
  <c r="C20" i="6"/>
  <c r="L20" i="6" s="1"/>
  <c r="C101" i="4"/>
  <c r="G93" i="5"/>
  <c r="N93" i="4"/>
  <c r="J85" i="2"/>
  <c r="F85" i="2"/>
  <c r="F85" i="6"/>
  <c r="J85" i="5"/>
  <c r="G85" i="5"/>
  <c r="C77" i="5"/>
  <c r="L77" i="5" s="1"/>
  <c r="C77" i="7"/>
  <c r="L77" i="7" s="1"/>
  <c r="I69" i="7"/>
  <c r="F69" i="6"/>
  <c r="F69" i="2"/>
  <c r="G69" i="7"/>
  <c r="F61" i="2"/>
  <c r="J61" i="4" s="1"/>
  <c r="D61" i="7"/>
  <c r="M61" i="7" s="1"/>
  <c r="K61" i="2"/>
  <c r="C53" i="2"/>
  <c r="I53" i="4"/>
  <c r="D53" i="7"/>
  <c r="M53" i="7" s="1"/>
  <c r="F45" i="6"/>
  <c r="C45" i="2"/>
  <c r="D45" i="2"/>
  <c r="K37" i="5"/>
  <c r="M37" i="4"/>
  <c r="C21" i="6"/>
  <c r="L21" i="6" s="1"/>
  <c r="C21" i="7"/>
  <c r="L21" i="7" s="1"/>
  <c r="G21" i="6"/>
  <c r="F13" i="5"/>
  <c r="F13" i="2"/>
  <c r="F13" i="7"/>
  <c r="K92" i="6"/>
  <c r="K92" i="2"/>
  <c r="H84" i="4"/>
  <c r="M84" i="2"/>
  <c r="Q84" i="4" s="1"/>
  <c r="D76" i="6"/>
  <c r="M76" i="6" s="1"/>
  <c r="O76" i="3"/>
  <c r="W76" i="5" s="1"/>
  <c r="G76" i="3"/>
  <c r="K76" i="3"/>
  <c r="M76" i="3"/>
  <c r="N76" i="3"/>
  <c r="L76" i="3"/>
  <c r="T76" i="5" s="1"/>
  <c r="I76" i="3"/>
  <c r="E76" i="3"/>
  <c r="X76" i="7" s="1"/>
  <c r="F76" i="3"/>
  <c r="J76" i="3"/>
  <c r="H76" i="3"/>
  <c r="J76" i="6"/>
  <c r="I68" i="7"/>
  <c r="I60" i="2"/>
  <c r="C52" i="7"/>
  <c r="L52" i="7" s="1"/>
  <c r="C52" i="5"/>
  <c r="L52" i="5" s="1"/>
  <c r="D52" i="2"/>
  <c r="K44" i="2"/>
  <c r="I44" i="3"/>
  <c r="Q44" i="7" s="1"/>
  <c r="L44" i="3"/>
  <c r="T44" i="6" s="1"/>
  <c r="H44" i="3"/>
  <c r="P44" i="7" s="1"/>
  <c r="F44" i="3"/>
  <c r="N44" i="6" s="1"/>
  <c r="E44" i="3"/>
  <c r="X44" i="5" s="1"/>
  <c r="O44" i="3"/>
  <c r="W44" i="5" s="1"/>
  <c r="J44" i="3"/>
  <c r="K44" i="3"/>
  <c r="N44" i="3"/>
  <c r="V44" i="6" s="1"/>
  <c r="G44" i="3"/>
  <c r="O44" i="2" s="1"/>
  <c r="T44" i="4" s="1"/>
  <c r="M44" i="3"/>
  <c r="AC44" i="3"/>
  <c r="K12" i="6"/>
  <c r="K12" i="5"/>
  <c r="D12" i="5"/>
  <c r="J91" i="6"/>
  <c r="K91" i="7"/>
  <c r="G91" i="5"/>
  <c r="N83" i="4"/>
  <c r="C83" i="2"/>
  <c r="C83" i="6"/>
  <c r="L83" i="6" s="1"/>
  <c r="J83" i="5"/>
  <c r="I75" i="4"/>
  <c r="G75" i="5"/>
  <c r="K67" i="6"/>
  <c r="K67" i="7"/>
  <c r="R59" i="6"/>
  <c r="G59" i="5"/>
  <c r="I51" i="7"/>
  <c r="D51" i="5"/>
  <c r="M51" i="5" s="1"/>
  <c r="C43" i="7"/>
  <c r="L43" i="7" s="1"/>
  <c r="J43" i="5"/>
  <c r="K43" i="6"/>
  <c r="F43" i="5"/>
  <c r="E35" i="2"/>
  <c r="G35" i="7"/>
  <c r="D35" i="6"/>
  <c r="M35" i="6" s="1"/>
  <c r="K35" i="3"/>
  <c r="N35" i="3"/>
  <c r="AC35" i="3"/>
  <c r="G35" i="3"/>
  <c r="O35" i="6" s="1"/>
  <c r="O35" i="3"/>
  <c r="M35" i="3"/>
  <c r="U35" i="6" s="1"/>
  <c r="I35" i="3"/>
  <c r="Q35" i="6" s="1"/>
  <c r="H35" i="3"/>
  <c r="P35" i="6" s="1"/>
  <c r="L35" i="3"/>
  <c r="T35" i="7" s="1"/>
  <c r="J35" i="3"/>
  <c r="E35" i="3"/>
  <c r="X35" i="6" s="1"/>
  <c r="F35" i="3"/>
  <c r="G27" i="2"/>
  <c r="K27" i="4" s="1"/>
  <c r="F19" i="2"/>
  <c r="N19" i="4"/>
  <c r="F19" i="7"/>
  <c r="K11" i="4"/>
  <c r="N90" i="4"/>
  <c r="F90" i="6"/>
  <c r="F90" i="2"/>
  <c r="K90" i="2"/>
  <c r="O74" i="4"/>
  <c r="J74" i="3"/>
  <c r="R74" i="5" s="1"/>
  <c r="I74" i="3"/>
  <c r="Q74" i="5" s="1"/>
  <c r="L74" i="3"/>
  <c r="T74" i="2" s="1"/>
  <c r="F74" i="3"/>
  <c r="N74" i="7" s="1"/>
  <c r="H74" i="3"/>
  <c r="E74" i="3"/>
  <c r="X74" i="2" s="1"/>
  <c r="R74" i="4" s="1"/>
  <c r="O74" i="3"/>
  <c r="W74" i="7" s="1"/>
  <c r="K74" i="3"/>
  <c r="N74" i="3"/>
  <c r="V74" i="7" s="1"/>
  <c r="G74" i="3"/>
  <c r="O74" i="5" s="1"/>
  <c r="M74" i="3"/>
  <c r="U74" i="2" s="1"/>
  <c r="Z74" i="4" s="1"/>
  <c r="G66" i="4"/>
  <c r="L66" i="2"/>
  <c r="D66" i="6"/>
  <c r="M66" i="6" s="1"/>
  <c r="E66" i="6"/>
  <c r="I58" i="4"/>
  <c r="H58" i="4"/>
  <c r="M58" i="2"/>
  <c r="Q58" i="4" s="1"/>
  <c r="F42" i="2"/>
  <c r="J42" i="4" s="1"/>
  <c r="H42" i="3"/>
  <c r="E42" i="3"/>
  <c r="X42" i="2" s="1"/>
  <c r="R42" i="4" s="1"/>
  <c r="L42" i="3"/>
  <c r="T42" i="2" s="1"/>
  <c r="AC42" i="3"/>
  <c r="I42" i="3"/>
  <c r="Q42" i="7" s="1"/>
  <c r="N42" i="3"/>
  <c r="V42" i="5" s="1"/>
  <c r="K42" i="3"/>
  <c r="F42" i="3"/>
  <c r="N42" i="2" s="1"/>
  <c r="S42" i="4" s="1"/>
  <c r="J42" i="3"/>
  <c r="M42" i="3"/>
  <c r="U42" i="2" s="1"/>
  <c r="Z42" i="4" s="1"/>
  <c r="O42" i="3"/>
  <c r="W42" i="5" s="1"/>
  <c r="G42" i="3"/>
  <c r="O42" i="2" s="1"/>
  <c r="T42" i="4" s="1"/>
  <c r="C26" i="2"/>
  <c r="I26" i="4"/>
  <c r="D26" i="6"/>
  <c r="M26" i="6" s="1"/>
  <c r="G18" i="6"/>
  <c r="C18" i="7"/>
  <c r="L18" i="7" s="1"/>
  <c r="G40" i="5"/>
  <c r="F40" i="5"/>
  <c r="K40" i="2"/>
  <c r="M40" i="2"/>
  <c r="Q40" i="4" s="1"/>
  <c r="H40" i="4"/>
  <c r="C16" i="7"/>
  <c r="L16" i="7" s="1"/>
  <c r="K16" i="2"/>
  <c r="O16" i="4" s="1"/>
  <c r="C16" i="5"/>
  <c r="L16" i="5" s="1"/>
  <c r="K16" i="5"/>
  <c r="I87" i="6"/>
  <c r="K87" i="6"/>
  <c r="L87" i="3"/>
  <c r="T87" i="2" s="1"/>
  <c r="J87" i="3"/>
  <c r="R87" i="5" s="1"/>
  <c r="E87" i="3"/>
  <c r="X87" i="6" s="1"/>
  <c r="K87" i="3"/>
  <c r="F87" i="3"/>
  <c r="O87" i="3"/>
  <c r="W87" i="5" s="1"/>
  <c r="I87" i="3"/>
  <c r="Q87" i="5" s="1"/>
  <c r="G87" i="3"/>
  <c r="O87" i="5" s="1"/>
  <c r="M87" i="3"/>
  <c r="U87" i="2" s="1"/>
  <c r="Z87" i="4" s="1"/>
  <c r="H87" i="3"/>
  <c r="P87" i="5" s="1"/>
  <c r="N87" i="3"/>
  <c r="V87" i="6" s="1"/>
  <c r="F71" i="2"/>
  <c r="F71" i="6"/>
  <c r="J71" i="5"/>
  <c r="G71" i="3"/>
  <c r="O71" i="7" s="1"/>
  <c r="I71" i="3"/>
  <c r="Q71" i="7" s="1"/>
  <c r="F71" i="3"/>
  <c r="N71" i="5" s="1"/>
  <c r="K71" i="3"/>
  <c r="L71" i="3"/>
  <c r="T71" i="6" s="1"/>
  <c r="O71" i="3"/>
  <c r="W71" i="5" s="1"/>
  <c r="M71" i="3"/>
  <c r="U71" i="6" s="1"/>
  <c r="J71" i="3"/>
  <c r="N71" i="3"/>
  <c r="V71" i="6" s="1"/>
  <c r="H71" i="3"/>
  <c r="P71" i="7" s="1"/>
  <c r="E71" i="3"/>
  <c r="X71" i="7" s="1"/>
  <c r="J71" i="2"/>
  <c r="F15" i="2"/>
  <c r="G15" i="4"/>
  <c r="N30" i="3"/>
  <c r="V30" i="2" s="1"/>
  <c r="AA30" i="4" s="1"/>
  <c r="M30" i="3"/>
  <c r="I30" i="3"/>
  <c r="Q30" i="6" s="1"/>
  <c r="O30" i="3"/>
  <c r="W30" i="7" s="1"/>
  <c r="E30" i="3"/>
  <c r="X30" i="7" s="1"/>
  <c r="AC30" i="3"/>
  <c r="F30" i="3"/>
  <c r="N30" i="2" s="1"/>
  <c r="S30" i="4" s="1"/>
  <c r="H30" i="3"/>
  <c r="P30" i="6" s="1"/>
  <c r="L30" i="3"/>
  <c r="T30" i="2" s="1"/>
  <c r="K30" i="3"/>
  <c r="J30" i="3"/>
  <c r="R30" i="6" s="1"/>
  <c r="G30" i="3"/>
  <c r="O30" i="6" s="1"/>
  <c r="G30" i="7"/>
  <c r="E28" i="7"/>
  <c r="E114" i="3"/>
  <c r="L114" i="3"/>
  <c r="K114" i="3"/>
  <c r="M114" i="3"/>
  <c r="O114" i="3"/>
  <c r="F114" i="3"/>
  <c r="J114" i="3"/>
  <c r="N114" i="3"/>
  <c r="I114" i="3"/>
  <c r="H114" i="3"/>
  <c r="G114" i="3"/>
  <c r="E82" i="2"/>
  <c r="M82" i="2"/>
  <c r="Q82" i="4" s="1"/>
  <c r="H82" i="4"/>
  <c r="F50" i="3"/>
  <c r="N50" i="2" s="1"/>
  <c r="S50" i="4" s="1"/>
  <c r="O50" i="3"/>
  <c r="W50" i="7" s="1"/>
  <c r="H50" i="3"/>
  <c r="P50" i="6" s="1"/>
  <c r="I50" i="3"/>
  <c r="Q50" i="7" s="1"/>
  <c r="E50" i="3"/>
  <c r="X50" i="7" s="1"/>
  <c r="L50" i="3"/>
  <c r="M50" i="3"/>
  <c r="U50" i="2" s="1"/>
  <c r="Z50" i="4" s="1"/>
  <c r="K50" i="3"/>
  <c r="G50" i="3"/>
  <c r="N50" i="3"/>
  <c r="V50" i="6" s="1"/>
  <c r="J50" i="3"/>
  <c r="R50" i="7" s="1"/>
  <c r="J50" i="4"/>
  <c r="J50" i="7"/>
  <c r="D50" i="2"/>
  <c r="E34" i="2"/>
  <c r="D34" i="6"/>
  <c r="M34" i="6" s="1"/>
  <c r="C34" i="6"/>
  <c r="L34" i="6" s="1"/>
  <c r="G10" i="2"/>
  <c r="J10" i="5"/>
  <c r="J10" i="6"/>
  <c r="I32" i="4"/>
  <c r="G32" i="2"/>
  <c r="E24" i="6"/>
  <c r="J24" i="6"/>
  <c r="K24" i="4"/>
  <c r="D8" i="7"/>
  <c r="M8" i="7" s="1"/>
  <c r="I8" i="4"/>
  <c r="E89" i="2"/>
  <c r="F89" i="2"/>
  <c r="F89" i="6"/>
  <c r="C89" i="2"/>
  <c r="C89" i="6"/>
  <c r="L89" i="6" s="1"/>
  <c r="G89" i="5"/>
  <c r="F81" i="7"/>
  <c r="G73" i="7"/>
  <c r="J73" i="6"/>
  <c r="G73" i="5"/>
  <c r="E65" i="7"/>
  <c r="G65" i="4"/>
  <c r="L65" i="2"/>
  <c r="G65" i="7"/>
  <c r="J57" i="6"/>
  <c r="D57" i="6"/>
  <c r="M57" i="6" s="1"/>
  <c r="J49" i="6"/>
  <c r="G49" i="4"/>
  <c r="L49" i="2"/>
  <c r="J41" i="2"/>
  <c r="J41" i="5"/>
  <c r="I41" i="2"/>
  <c r="G41" i="6"/>
  <c r="F33" i="6"/>
  <c r="K33" i="5"/>
  <c r="AC25" i="3"/>
  <c r="M25" i="3"/>
  <c r="J25" i="3"/>
  <c r="R25" i="5" s="1"/>
  <c r="E25" i="3"/>
  <c r="X25" i="7" s="1"/>
  <c r="O25" i="3"/>
  <c r="W25" i="7" s="1"/>
  <c r="N25" i="3"/>
  <c r="V25" i="2" s="1"/>
  <c r="AA25" i="4" s="1"/>
  <c r="I25" i="3"/>
  <c r="Q25" i="5" s="1"/>
  <c r="K25" i="3"/>
  <c r="G25" i="3"/>
  <c r="L25" i="3"/>
  <c r="F25" i="3"/>
  <c r="N25" i="6" s="1"/>
  <c r="H25" i="3"/>
  <c r="P25" i="5" s="1"/>
  <c r="K25" i="5"/>
  <c r="J25" i="6"/>
  <c r="E17" i="3"/>
  <c r="X17" i="5" s="1"/>
  <c r="O17" i="3"/>
  <c r="K17" i="3"/>
  <c r="L17" i="3"/>
  <c r="T17" i="6" s="1"/>
  <c r="F17" i="3"/>
  <c r="N17" i="2" s="1"/>
  <c r="S17" i="4" s="1"/>
  <c r="N17" i="3"/>
  <c r="V17" i="7" s="1"/>
  <c r="J17" i="3"/>
  <c r="R17" i="7" s="1"/>
  <c r="I17" i="3"/>
  <c r="Q17" i="5" s="1"/>
  <c r="M17" i="3"/>
  <c r="U17" i="6" s="1"/>
  <c r="G17" i="3"/>
  <c r="H17" i="3"/>
  <c r="P17" i="7" s="1"/>
  <c r="D17" i="2"/>
  <c r="J17" i="4"/>
  <c r="D9" i="2"/>
  <c r="E88" i="3"/>
  <c r="X88" i="7" s="1"/>
  <c r="M88" i="3"/>
  <c r="H88" i="3"/>
  <c r="L88" i="3"/>
  <c r="T88" i="7" s="1"/>
  <c r="N88" i="3"/>
  <c r="V88" i="6" s="1"/>
  <c r="F88" i="3"/>
  <c r="O88" i="3"/>
  <c r="J88" i="3"/>
  <c r="R88" i="5" s="1"/>
  <c r="K88" i="3"/>
  <c r="I88" i="3"/>
  <c r="Q88" i="5" s="1"/>
  <c r="G88" i="3"/>
  <c r="O88" i="5" s="1"/>
  <c r="J88" i="2"/>
  <c r="J80" i="6"/>
  <c r="O80" i="4"/>
  <c r="G72" i="2"/>
  <c r="G72" i="6"/>
  <c r="J72" i="2"/>
  <c r="N56" i="4"/>
  <c r="F56" i="6"/>
  <c r="R48" i="5"/>
  <c r="F48" i="6"/>
  <c r="F48" i="5"/>
  <c r="E48" i="2"/>
  <c r="E95" i="7"/>
  <c r="E55" i="2"/>
  <c r="I55" i="4" s="1"/>
  <c r="I55" i="5"/>
  <c r="J31" i="5"/>
  <c r="D31" i="2"/>
  <c r="G38" i="4"/>
  <c r="L38" i="2"/>
  <c r="K38" i="5"/>
  <c r="I14" i="4"/>
  <c r="E14" i="6"/>
  <c r="G22" i="4"/>
  <c r="L22" i="2"/>
  <c r="J79" i="2"/>
  <c r="R22" i="2"/>
  <c r="W22" i="4" s="1"/>
  <c r="Q22" i="2"/>
  <c r="V22" i="4" s="1"/>
  <c r="K22" i="4"/>
  <c r="P22" i="2"/>
  <c r="U22" i="4" s="1"/>
  <c r="F22" i="5"/>
  <c r="K22" i="7"/>
  <c r="J22" i="7"/>
  <c r="I79" i="4"/>
  <c r="J79" i="5"/>
  <c r="D79" i="5"/>
  <c r="M79" i="5" s="1"/>
  <c r="J63" i="7"/>
  <c r="C63" i="7"/>
  <c r="I63" i="6"/>
  <c r="E63" i="6"/>
  <c r="I63" i="7"/>
  <c r="G47" i="6"/>
  <c r="J47" i="5"/>
  <c r="D47" i="2"/>
  <c r="K47" i="5"/>
  <c r="F47" i="2"/>
  <c r="I23" i="5"/>
  <c r="C23" i="5"/>
  <c r="L23" i="5" s="1"/>
  <c r="F23" i="6"/>
  <c r="G23" i="2"/>
  <c r="C118" i="4"/>
  <c r="C102" i="4"/>
  <c r="E94" i="5"/>
  <c r="D94" i="5"/>
  <c r="M94" i="5" s="1"/>
  <c r="O94" i="4"/>
  <c r="G94" i="2"/>
  <c r="G94" i="6"/>
  <c r="K94" i="7"/>
  <c r="K86" i="7"/>
  <c r="C86" i="2"/>
  <c r="C86" i="6"/>
  <c r="L86" i="6" s="1"/>
  <c r="J86" i="7"/>
  <c r="E86" i="6"/>
  <c r="D78" i="6"/>
  <c r="M78" i="6" s="1"/>
  <c r="F78" i="5"/>
  <c r="C78" i="5"/>
  <c r="L78" i="5" s="1"/>
  <c r="G78" i="5"/>
  <c r="F70" i="7"/>
  <c r="M70" i="3"/>
  <c r="U70" i="5" s="1"/>
  <c r="F70" i="3"/>
  <c r="G70" i="3"/>
  <c r="I70" i="3"/>
  <c r="L70" i="3"/>
  <c r="T70" i="5" s="1"/>
  <c r="N70" i="3"/>
  <c r="H70" i="3"/>
  <c r="E70" i="3"/>
  <c r="X70" i="5" s="1"/>
  <c r="J70" i="3"/>
  <c r="O70" i="3"/>
  <c r="W70" i="5" s="1"/>
  <c r="C70" i="6"/>
  <c r="L70" i="6" s="1"/>
  <c r="C70" i="2"/>
  <c r="G70" i="7"/>
  <c r="I62" i="5"/>
  <c r="C62" i="2"/>
  <c r="K62" i="2"/>
  <c r="I62" i="7"/>
  <c r="F54" i="5"/>
  <c r="D54" i="6"/>
  <c r="M54" i="6" s="1"/>
  <c r="E54" i="2"/>
  <c r="K46" i="6"/>
  <c r="K36" i="2"/>
  <c r="K36" i="5"/>
  <c r="E36" i="6"/>
  <c r="F36" i="7"/>
  <c r="D36" i="2"/>
  <c r="D36" i="7"/>
  <c r="M36" i="7" s="1"/>
  <c r="M20" i="4"/>
  <c r="J20" i="7"/>
  <c r="J93" i="6"/>
  <c r="K93" i="7"/>
  <c r="C93" i="5"/>
  <c r="L93" i="5" s="1"/>
  <c r="E93" i="5"/>
  <c r="C85" i="2"/>
  <c r="C85" i="6"/>
  <c r="L85" i="6" s="1"/>
  <c r="K85" i="2"/>
  <c r="O85" i="4" s="1"/>
  <c r="N77" i="3"/>
  <c r="V77" i="5" s="1"/>
  <c r="G77" i="3"/>
  <c r="O77" i="7" s="1"/>
  <c r="H77" i="3"/>
  <c r="P77" i="7" s="1"/>
  <c r="E77" i="3"/>
  <c r="X77" i="2" s="1"/>
  <c r="R77" i="4" s="1"/>
  <c r="K77" i="3"/>
  <c r="L77" i="3"/>
  <c r="T77" i="2" s="1"/>
  <c r="I77" i="3"/>
  <c r="Q77" i="7" s="1"/>
  <c r="O77" i="3"/>
  <c r="W77" i="5" s="1"/>
  <c r="J77" i="3"/>
  <c r="R77" i="7" s="1"/>
  <c r="M77" i="3"/>
  <c r="F77" i="3"/>
  <c r="N77" i="5" s="1"/>
  <c r="O77" i="4"/>
  <c r="K77" i="6"/>
  <c r="D77" i="6"/>
  <c r="M77" i="6" s="1"/>
  <c r="G69" i="5"/>
  <c r="H69" i="4"/>
  <c r="M69" i="2"/>
  <c r="Q69" i="4" s="1"/>
  <c r="C69" i="7"/>
  <c r="L69" i="7" s="1"/>
  <c r="G61" i="6"/>
  <c r="C61" i="6"/>
  <c r="L61" i="6" s="1"/>
  <c r="I61" i="6"/>
  <c r="E53" i="6"/>
  <c r="K53" i="7"/>
  <c r="C45" i="7"/>
  <c r="L45" i="7" s="1"/>
  <c r="F45" i="2"/>
  <c r="K45" i="4"/>
  <c r="J45" i="5"/>
  <c r="J45" i="7"/>
  <c r="AC45" i="3"/>
  <c r="G45" i="3"/>
  <c r="L45" i="3"/>
  <c r="T45" i="2" s="1"/>
  <c r="O45" i="3"/>
  <c r="W45" i="7" s="1"/>
  <c r="M45" i="3"/>
  <c r="U45" i="2" s="1"/>
  <c r="Z45" i="4" s="1"/>
  <c r="J45" i="3"/>
  <c r="R45" i="2" s="1"/>
  <c r="W45" i="4" s="1"/>
  <c r="K45" i="3"/>
  <c r="N45" i="3"/>
  <c r="V45" i="2" s="1"/>
  <c r="AA45" i="4" s="1"/>
  <c r="H45" i="3"/>
  <c r="P45" i="7" s="1"/>
  <c r="I45" i="3"/>
  <c r="Q45" i="2" s="1"/>
  <c r="V45" i="4" s="1"/>
  <c r="F45" i="3"/>
  <c r="N45" i="5" s="1"/>
  <c r="E45" i="3"/>
  <c r="X45" i="5" s="1"/>
  <c r="J37" i="6"/>
  <c r="C37" i="6"/>
  <c r="L37" i="6" s="1"/>
  <c r="C37" i="5"/>
  <c r="L37" i="5" s="1"/>
  <c r="G29" i="6"/>
  <c r="E29" i="6"/>
  <c r="F29" i="6"/>
  <c r="AC21" i="3"/>
  <c r="O21" i="3"/>
  <c r="W21" i="6" s="1"/>
  <c r="K21" i="3"/>
  <c r="F21" i="3"/>
  <c r="N21" i="5" s="1"/>
  <c r="H21" i="3"/>
  <c r="P21" i="5" s="1"/>
  <c r="N21" i="3"/>
  <c r="V21" i="7" s="1"/>
  <c r="I21" i="3"/>
  <c r="Q21" i="5" s="1"/>
  <c r="J21" i="3"/>
  <c r="R21" i="5" s="1"/>
  <c r="L21" i="3"/>
  <c r="T21" i="5" s="1"/>
  <c r="E21" i="3"/>
  <c r="X21" i="6" s="1"/>
  <c r="G21" i="3"/>
  <c r="O21" i="5" s="1"/>
  <c r="M21" i="3"/>
  <c r="U21" i="5" s="1"/>
  <c r="J21" i="5"/>
  <c r="K13" i="3"/>
  <c r="N13" i="3"/>
  <c r="E13" i="3"/>
  <c r="X13" i="6" s="1"/>
  <c r="G13" i="3"/>
  <c r="O13" i="7" s="1"/>
  <c r="H13" i="3"/>
  <c r="P13" i="7" s="1"/>
  <c r="M13" i="3"/>
  <c r="U13" i="2" s="1"/>
  <c r="Z13" i="4" s="1"/>
  <c r="F13" i="3"/>
  <c r="N13" i="6" s="1"/>
  <c r="J13" i="3"/>
  <c r="R13" i="7" s="1"/>
  <c r="I13" i="3"/>
  <c r="O13" i="3"/>
  <c r="W13" i="2" s="1"/>
  <c r="AB13" i="4" s="1"/>
  <c r="L13" i="3"/>
  <c r="G13" i="5"/>
  <c r="C92" i="6"/>
  <c r="L92" i="6" s="1"/>
  <c r="C92" i="2"/>
  <c r="F92" i="5"/>
  <c r="K92" i="7"/>
  <c r="I84" i="6"/>
  <c r="C84" i="2"/>
  <c r="C84" i="6"/>
  <c r="L84" i="6" s="1"/>
  <c r="K84" i="6"/>
  <c r="E84" i="5"/>
  <c r="C76" i="6"/>
  <c r="L76" i="6" s="1"/>
  <c r="C76" i="2"/>
  <c r="E76" i="6"/>
  <c r="J68" i="7"/>
  <c r="J68" i="5"/>
  <c r="K68" i="2"/>
  <c r="J60" i="6"/>
  <c r="C60" i="6"/>
  <c r="L60" i="6" s="1"/>
  <c r="E60" i="5"/>
  <c r="M60" i="3"/>
  <c r="U60" i="6" s="1"/>
  <c r="G60" i="3"/>
  <c r="O60" i="7" s="1"/>
  <c r="E60" i="3"/>
  <c r="O60" i="3"/>
  <c r="W60" i="6" s="1"/>
  <c r="H60" i="3"/>
  <c r="P60" i="2" s="1"/>
  <c r="U60" i="4" s="1"/>
  <c r="K60" i="3"/>
  <c r="I60" i="3"/>
  <c r="Q60" i="7" s="1"/>
  <c r="F60" i="3"/>
  <c r="N60" i="7" s="1"/>
  <c r="L60" i="3"/>
  <c r="T60" i="6" s="1"/>
  <c r="J60" i="3"/>
  <c r="N60" i="3"/>
  <c r="V60" i="5" s="1"/>
  <c r="K60" i="5"/>
  <c r="K52" i="4"/>
  <c r="N52" i="4"/>
  <c r="F52" i="2"/>
  <c r="J44" i="7"/>
  <c r="G12" i="6"/>
  <c r="G12" i="7"/>
  <c r="G12" i="5"/>
  <c r="C107" i="4"/>
  <c r="I91" i="4"/>
  <c r="I91" i="7"/>
  <c r="J83" i="6"/>
  <c r="J83" i="7"/>
  <c r="J75" i="7"/>
  <c r="G75" i="2"/>
  <c r="G75" i="6"/>
  <c r="O67" i="4"/>
  <c r="G67" i="5"/>
  <c r="F67" i="2"/>
  <c r="G59" i="4"/>
  <c r="L59" i="2"/>
  <c r="I43" i="6"/>
  <c r="C43" i="6"/>
  <c r="L43" i="6" s="1"/>
  <c r="J43" i="6"/>
  <c r="C43" i="2"/>
  <c r="E35" i="5"/>
  <c r="X35" i="5" s="1"/>
  <c r="J35" i="4"/>
  <c r="C35" i="7"/>
  <c r="L35" i="7" s="1"/>
  <c r="G35" i="2"/>
  <c r="M27" i="2"/>
  <c r="Q27" i="4" s="1"/>
  <c r="H27" i="4"/>
  <c r="J27" i="4"/>
  <c r="G19" i="6"/>
  <c r="K90" i="7"/>
  <c r="C74" i="2"/>
  <c r="C74" i="6"/>
  <c r="L74" i="6" s="1"/>
  <c r="N66" i="4"/>
  <c r="F58" i="7"/>
  <c r="O58" i="4"/>
  <c r="C58" i="7"/>
  <c r="L58" i="7" s="1"/>
  <c r="E42" i="6"/>
  <c r="X42" i="6" s="1"/>
  <c r="E26" i="3"/>
  <c r="X26" i="2" s="1"/>
  <c r="R26" i="4" s="1"/>
  <c r="I26" i="3"/>
  <c r="Q26" i="7" s="1"/>
  <c r="G26" i="3"/>
  <c r="O26" i="7" s="1"/>
  <c r="O26" i="3"/>
  <c r="W26" i="6" s="1"/>
  <c r="F26" i="3"/>
  <c r="N26" i="5" s="1"/>
  <c r="H26" i="3"/>
  <c r="P26" i="5" s="1"/>
  <c r="M26" i="3"/>
  <c r="U26" i="2" s="1"/>
  <c r="Z26" i="4" s="1"/>
  <c r="N26" i="3"/>
  <c r="AC26" i="3"/>
  <c r="K26" i="3"/>
  <c r="J26" i="3"/>
  <c r="L26" i="3"/>
  <c r="T26" i="2" s="1"/>
  <c r="D18" i="5"/>
  <c r="M18" i="5" s="1"/>
  <c r="G40" i="4"/>
  <c r="L40" i="2"/>
  <c r="L16" i="2"/>
  <c r="G16" i="4"/>
  <c r="L16" i="3"/>
  <c r="E16" i="3"/>
  <c r="K16" i="3"/>
  <c r="N16" i="3"/>
  <c r="F16" i="3"/>
  <c r="N16" i="2" s="1"/>
  <c r="S16" i="4" s="1"/>
  <c r="I16" i="3"/>
  <c r="Q16" i="5" s="1"/>
  <c r="G16" i="3"/>
  <c r="O16" i="5" s="1"/>
  <c r="M16" i="3"/>
  <c r="J16" i="3"/>
  <c r="R16" i="5" s="1"/>
  <c r="O16" i="3"/>
  <c r="W16" i="5" s="1"/>
  <c r="H16" i="3"/>
  <c r="P16" i="5" s="1"/>
  <c r="C16" i="6"/>
  <c r="L16" i="6" s="1"/>
  <c r="C111" i="4"/>
  <c r="O87" i="4"/>
  <c r="J87" i="2"/>
  <c r="V71" i="7"/>
  <c r="R71" i="7"/>
  <c r="C39" i="2"/>
  <c r="J39" i="5"/>
  <c r="E39" i="5"/>
  <c r="K15" i="4"/>
  <c r="T30" i="7"/>
  <c r="U30" i="7"/>
  <c r="N30" i="4"/>
  <c r="G30" i="5"/>
  <c r="E28" i="5"/>
  <c r="I106" i="3"/>
  <c r="L106" i="3"/>
  <c r="E106" i="3"/>
  <c r="G106" i="3"/>
  <c r="M106" i="3"/>
  <c r="O106" i="3"/>
  <c r="J106" i="3"/>
  <c r="F106" i="3"/>
  <c r="K106" i="3"/>
  <c r="N106" i="3"/>
  <c r="H106" i="3"/>
  <c r="G82" i="6"/>
  <c r="G82" i="2"/>
  <c r="I82" i="7"/>
  <c r="O50" i="4"/>
  <c r="J50" i="2"/>
  <c r="K50" i="6"/>
  <c r="F50" i="6"/>
  <c r="H34" i="4"/>
  <c r="M34" i="2"/>
  <c r="Q34" i="4" s="1"/>
  <c r="J34" i="7"/>
  <c r="C10" i="5"/>
  <c r="G10" i="7"/>
  <c r="R10" i="7" s="1"/>
  <c r="N32" i="4"/>
  <c r="C32" i="6"/>
  <c r="L32" i="6" s="1"/>
  <c r="J32" i="6"/>
  <c r="C24" i="5"/>
  <c r="L24" i="5" s="1"/>
  <c r="I24" i="4"/>
  <c r="N24" i="4"/>
  <c r="F8" i="2"/>
  <c r="C8" i="2"/>
  <c r="G89" i="2"/>
  <c r="G89" i="6"/>
  <c r="M81" i="4"/>
  <c r="K81" i="5"/>
  <c r="K81" i="7"/>
  <c r="K73" i="5"/>
  <c r="D73" i="6"/>
  <c r="M73" i="6" s="1"/>
  <c r="K73" i="2"/>
  <c r="E65" i="2"/>
  <c r="K65" i="2"/>
  <c r="N65" i="4"/>
  <c r="M57" i="4"/>
  <c r="F57" i="6"/>
  <c r="C57" i="2"/>
  <c r="K49" i="5"/>
  <c r="F49" i="6"/>
  <c r="D49" i="6"/>
  <c r="M49" i="6" s="1"/>
  <c r="I41" i="5"/>
  <c r="M33" i="4"/>
  <c r="D33" i="2"/>
  <c r="F25" i="5"/>
  <c r="O25" i="5"/>
  <c r="I25" i="2"/>
  <c r="G25" i="2"/>
  <c r="G17" i="6"/>
  <c r="K17" i="7"/>
  <c r="I9" i="6"/>
  <c r="I9" i="5"/>
  <c r="F9" i="5"/>
  <c r="H88" i="4"/>
  <c r="M88" i="2"/>
  <c r="Q88" i="4" s="1"/>
  <c r="E88" i="5"/>
  <c r="E88" i="2"/>
  <c r="D80" i="6"/>
  <c r="M80" i="6" s="1"/>
  <c r="E80" i="5"/>
  <c r="I80" i="7"/>
  <c r="K72" i="5"/>
  <c r="G72" i="7"/>
  <c r="N64" i="3"/>
  <c r="V64" i="7" s="1"/>
  <c r="E64" i="3"/>
  <c r="X64" i="2" s="1"/>
  <c r="R64" i="4" s="1"/>
  <c r="M64" i="3"/>
  <c r="U64" i="5" s="1"/>
  <c r="I64" i="3"/>
  <c r="Q64" i="5" s="1"/>
  <c r="J64" i="3"/>
  <c r="G64" i="3"/>
  <c r="O64" i="5" s="1"/>
  <c r="L64" i="3"/>
  <c r="T64" i="5" s="1"/>
  <c r="K64" i="3"/>
  <c r="O64" i="3"/>
  <c r="W64" i="5" s="1"/>
  <c r="H64" i="3"/>
  <c r="P64" i="2" s="1"/>
  <c r="U64" i="4" s="1"/>
  <c r="F64" i="3"/>
  <c r="N64" i="6" s="1"/>
  <c r="D64" i="5"/>
  <c r="M64" i="5" s="1"/>
  <c r="E64" i="5"/>
  <c r="K56" i="3"/>
  <c r="E56" i="3"/>
  <c r="X56" i="7" s="1"/>
  <c r="M56" i="3"/>
  <c r="U56" i="5" s="1"/>
  <c r="I56" i="3"/>
  <c r="Q56" i="5" s="1"/>
  <c r="F56" i="3"/>
  <c r="N56" i="5" s="1"/>
  <c r="N56" i="3"/>
  <c r="V56" i="2" s="1"/>
  <c r="AA56" i="4" s="1"/>
  <c r="O56" i="3"/>
  <c r="W56" i="6" s="1"/>
  <c r="G56" i="3"/>
  <c r="O56" i="5" s="1"/>
  <c r="J56" i="3"/>
  <c r="R56" i="5" s="1"/>
  <c r="H56" i="3"/>
  <c r="P56" i="5" s="1"/>
  <c r="L56" i="3"/>
  <c r="T56" i="5" s="1"/>
  <c r="E56" i="2"/>
  <c r="I56" i="5"/>
  <c r="D56" i="6"/>
  <c r="M56" i="6" s="1"/>
  <c r="K48" i="2"/>
  <c r="M48" i="4"/>
  <c r="E95" i="6"/>
  <c r="F95" i="7"/>
  <c r="I95" i="2"/>
  <c r="D55" i="6"/>
  <c r="M55" i="6" s="1"/>
  <c r="G55" i="7"/>
  <c r="O55" i="4"/>
  <c r="D55" i="7"/>
  <c r="M55" i="7" s="1"/>
  <c r="K31" i="4"/>
  <c r="E31" i="6"/>
  <c r="J31" i="2"/>
  <c r="F31" i="6"/>
  <c r="D31" i="7"/>
  <c r="M31" i="7" s="1"/>
  <c r="I38" i="4"/>
  <c r="K38" i="7"/>
  <c r="G14" i="4"/>
  <c r="G14" i="2"/>
  <c r="L7" i="3"/>
  <c r="T7" i="2" s="1"/>
  <c r="J7" i="3"/>
  <c r="R7" i="6" s="1"/>
  <c r="H7" i="3"/>
  <c r="G7" i="3"/>
  <c r="O7" i="6" s="1"/>
  <c r="F7" i="3"/>
  <c r="E7" i="3"/>
  <c r="O7" i="3"/>
  <c r="W7" i="2" s="1"/>
  <c r="AB7" i="4" s="1"/>
  <c r="I7" i="3"/>
  <c r="Q7" i="6" s="1"/>
  <c r="N7" i="3"/>
  <c r="K7" i="3"/>
  <c r="M7" i="3"/>
  <c r="C79" i="6"/>
  <c r="L79" i="6" s="1"/>
  <c r="C79" i="2"/>
  <c r="F7" i="5"/>
  <c r="G7" i="7"/>
  <c r="L128" i="3"/>
  <c r="G128" i="3"/>
  <c r="O128" i="3"/>
  <c r="H128" i="3"/>
  <c r="M128" i="3"/>
  <c r="N128" i="3"/>
  <c r="J128" i="3"/>
  <c r="I128" i="3"/>
  <c r="E128" i="3"/>
  <c r="K128" i="3"/>
  <c r="F128" i="3"/>
  <c r="C104" i="4"/>
  <c r="D7" i="6"/>
  <c r="M7" i="6" s="1"/>
  <c r="O22" i="7"/>
  <c r="R22" i="7"/>
  <c r="Q22" i="7"/>
  <c r="K22" i="2"/>
  <c r="O119" i="3"/>
  <c r="H119" i="3"/>
  <c r="F119" i="3"/>
  <c r="I119" i="3"/>
  <c r="N119" i="3"/>
  <c r="M119" i="3"/>
  <c r="J119" i="3"/>
  <c r="E119" i="3"/>
  <c r="G119" i="3"/>
  <c r="L119" i="3"/>
  <c r="K119" i="3"/>
  <c r="E103" i="3"/>
  <c r="N103" i="3"/>
  <c r="I103" i="3"/>
  <c r="O103" i="3"/>
  <c r="J103" i="3"/>
  <c r="L103" i="3"/>
  <c r="F103" i="3"/>
  <c r="G103" i="3"/>
  <c r="M103" i="3"/>
  <c r="H103" i="3"/>
  <c r="K103" i="3"/>
  <c r="K79" i="5"/>
  <c r="D79" i="2"/>
  <c r="I47" i="7"/>
  <c r="D47" i="6"/>
  <c r="M47" i="6" s="1"/>
  <c r="E47" i="5"/>
  <c r="C47" i="2"/>
  <c r="K23" i="6"/>
  <c r="AC23" i="3"/>
  <c r="L23" i="3"/>
  <c r="M23" i="3"/>
  <c r="I23" i="3"/>
  <c r="Q23" i="7" s="1"/>
  <c r="J23" i="3"/>
  <c r="R23" i="6" s="1"/>
  <c r="E23" i="3"/>
  <c r="K23" i="3"/>
  <c r="H23" i="3"/>
  <c r="O23" i="3"/>
  <c r="N23" i="3"/>
  <c r="V23" i="7" s="1"/>
  <c r="F23" i="3"/>
  <c r="G23" i="3"/>
  <c r="O23" i="6" s="1"/>
  <c r="K23" i="7"/>
  <c r="K23" i="2"/>
  <c r="J102" i="3"/>
  <c r="K102" i="3"/>
  <c r="E102" i="3"/>
  <c r="H102" i="3"/>
  <c r="O102" i="3"/>
  <c r="N102" i="3"/>
  <c r="F102" i="3"/>
  <c r="L102" i="3"/>
  <c r="I102" i="3"/>
  <c r="G102" i="3"/>
  <c r="M102" i="3"/>
  <c r="C94" i="7"/>
  <c r="L94" i="7" s="1"/>
  <c r="E94" i="6"/>
  <c r="G94" i="7"/>
  <c r="M86" i="4"/>
  <c r="D86" i="6"/>
  <c r="M86" i="6" s="1"/>
  <c r="D86" i="5"/>
  <c r="M86" i="5" s="1"/>
  <c r="J86" i="3"/>
  <c r="K86" i="3"/>
  <c r="I86" i="3"/>
  <c r="O86" i="3"/>
  <c r="W86" i="2" s="1"/>
  <c r="AB86" i="4" s="1"/>
  <c r="L86" i="3"/>
  <c r="H86" i="3"/>
  <c r="M86" i="3"/>
  <c r="G86" i="3"/>
  <c r="E86" i="3"/>
  <c r="X86" i="5" s="1"/>
  <c r="N86" i="3"/>
  <c r="V86" i="2" s="1"/>
  <c r="AA86" i="4" s="1"/>
  <c r="F86" i="3"/>
  <c r="N86" i="5" s="1"/>
  <c r="E78" i="6"/>
  <c r="E70" i="7"/>
  <c r="J70" i="2"/>
  <c r="N70" i="4" s="1"/>
  <c r="F70" i="2"/>
  <c r="F70" i="6"/>
  <c r="D70" i="6"/>
  <c r="M70" i="6" s="1"/>
  <c r="F70" i="5"/>
  <c r="E70" i="2"/>
  <c r="G62" i="2"/>
  <c r="M62" i="3"/>
  <c r="U62" i="5" s="1"/>
  <c r="F62" i="3"/>
  <c r="N62" i="2" s="1"/>
  <c r="S62" i="4" s="1"/>
  <c r="E62" i="3"/>
  <c r="X62" i="6" s="1"/>
  <c r="G62" i="3"/>
  <c r="N62" i="3"/>
  <c r="V62" i="6" s="1"/>
  <c r="H62" i="3"/>
  <c r="P62" i="5" s="1"/>
  <c r="L62" i="3"/>
  <c r="T62" i="5" s="1"/>
  <c r="I62" i="3"/>
  <c r="Q62" i="5" s="1"/>
  <c r="O62" i="3"/>
  <c r="W62" i="6" s="1"/>
  <c r="C62" i="7"/>
  <c r="L62" i="7" s="1"/>
  <c r="K62" i="7"/>
  <c r="D62" i="7"/>
  <c r="M62" i="7" s="1"/>
  <c r="G54" i="2"/>
  <c r="F54" i="2"/>
  <c r="C54" i="2"/>
  <c r="J54" i="7"/>
  <c r="I46" i="6"/>
  <c r="E46" i="6"/>
  <c r="K46" i="2"/>
  <c r="D46" i="7"/>
  <c r="M46" i="7" s="1"/>
  <c r="F46" i="5"/>
  <c r="C36" i="7"/>
  <c r="L36" i="7" s="1"/>
  <c r="E36" i="2"/>
  <c r="F36" i="2"/>
  <c r="I20" i="6"/>
  <c r="E20" i="7"/>
  <c r="O117" i="3"/>
  <c r="J117" i="3"/>
  <c r="K117" i="3"/>
  <c r="E117" i="3"/>
  <c r="M117" i="3"/>
  <c r="H117" i="3"/>
  <c r="G117" i="3"/>
  <c r="L117" i="3"/>
  <c r="N117" i="3"/>
  <c r="F117" i="3"/>
  <c r="I117" i="3"/>
  <c r="C93" i="6"/>
  <c r="L93" i="6" s="1"/>
  <c r="C93" i="2"/>
  <c r="G93" i="7"/>
  <c r="C93" i="7"/>
  <c r="L93" i="7" s="1"/>
  <c r="F93" i="2"/>
  <c r="F93" i="6"/>
  <c r="K85" i="5"/>
  <c r="C85" i="5"/>
  <c r="L85" i="5" s="1"/>
  <c r="I85" i="7"/>
  <c r="G77" i="2"/>
  <c r="G77" i="6"/>
  <c r="I77" i="2"/>
  <c r="F77" i="2"/>
  <c r="F77" i="6"/>
  <c r="K77" i="5"/>
  <c r="E69" i="2"/>
  <c r="I69" i="5"/>
  <c r="E69" i="5"/>
  <c r="J69" i="5"/>
  <c r="D69" i="6"/>
  <c r="M69" i="6" s="1"/>
  <c r="E61" i="6"/>
  <c r="C61" i="5"/>
  <c r="L61" i="5" s="1"/>
  <c r="F61" i="5"/>
  <c r="K61" i="7"/>
  <c r="C53" i="5"/>
  <c r="L53" i="5" s="1"/>
  <c r="J53" i="3"/>
  <c r="R53" i="5" s="1"/>
  <c r="L53" i="3"/>
  <c r="T53" i="5" s="1"/>
  <c r="H53" i="3"/>
  <c r="P53" i="5" s="1"/>
  <c r="K53" i="3"/>
  <c r="O53" i="3"/>
  <c r="W53" i="6" s="1"/>
  <c r="N53" i="3"/>
  <c r="V53" i="2" s="1"/>
  <c r="AA53" i="4" s="1"/>
  <c r="E53" i="3"/>
  <c r="X53" i="7" s="1"/>
  <c r="I53" i="3"/>
  <c r="Q53" i="5" s="1"/>
  <c r="F53" i="3"/>
  <c r="N53" i="2" s="1"/>
  <c r="S53" i="4" s="1"/>
  <c r="G53" i="3"/>
  <c r="O53" i="5" s="1"/>
  <c r="M53" i="3"/>
  <c r="U53" i="5" s="1"/>
  <c r="J53" i="7"/>
  <c r="K53" i="2"/>
  <c r="J53" i="5"/>
  <c r="D45" i="5"/>
  <c r="M45" i="5" s="1"/>
  <c r="K45" i="5"/>
  <c r="K45" i="7"/>
  <c r="F45" i="7"/>
  <c r="I45" i="2"/>
  <c r="M45" i="4" s="1"/>
  <c r="C37" i="7"/>
  <c r="L37" i="7" s="1"/>
  <c r="I37" i="7"/>
  <c r="J37" i="5"/>
  <c r="E37" i="6"/>
  <c r="K29" i="2"/>
  <c r="D29" i="7"/>
  <c r="M29" i="7" s="1"/>
  <c r="J29" i="6"/>
  <c r="K29" i="5"/>
  <c r="C29" i="7"/>
  <c r="L29" i="7" s="1"/>
  <c r="F21" i="7"/>
  <c r="E21" i="7"/>
  <c r="F21" i="2"/>
  <c r="J21" i="2"/>
  <c r="C21" i="2"/>
  <c r="E13" i="5"/>
  <c r="C13" i="6"/>
  <c r="N116" i="3"/>
  <c r="E116" i="3"/>
  <c r="J116" i="3"/>
  <c r="L116" i="3"/>
  <c r="G116" i="3"/>
  <c r="K116" i="3"/>
  <c r="M116" i="3"/>
  <c r="H116" i="3"/>
  <c r="I116" i="3"/>
  <c r="F116" i="3"/>
  <c r="O116" i="3"/>
  <c r="E92" i="6"/>
  <c r="J92" i="6"/>
  <c r="G84" i="6"/>
  <c r="G84" i="2"/>
  <c r="I84" i="7"/>
  <c r="E84" i="2"/>
  <c r="G84" i="5"/>
  <c r="J76" i="5"/>
  <c r="G76" i="6"/>
  <c r="G76" i="2"/>
  <c r="F76" i="7"/>
  <c r="G76" i="5"/>
  <c r="K76" i="2"/>
  <c r="F68" i="5"/>
  <c r="J68" i="2"/>
  <c r="D68" i="2"/>
  <c r="K68" i="5"/>
  <c r="I68" i="5"/>
  <c r="F60" i="6"/>
  <c r="K60" i="7"/>
  <c r="D60" i="7"/>
  <c r="M60" i="7" s="1"/>
  <c r="G52" i="6"/>
  <c r="I52" i="7"/>
  <c r="G44" i="6"/>
  <c r="G44" i="5"/>
  <c r="F44" i="2"/>
  <c r="I44" i="2"/>
  <c r="C12" i="6"/>
  <c r="F12" i="6"/>
  <c r="E12" i="5"/>
  <c r="K123" i="3"/>
  <c r="O123" i="3"/>
  <c r="J123" i="3"/>
  <c r="L123" i="3"/>
  <c r="E123" i="3"/>
  <c r="G123" i="3"/>
  <c r="H123" i="3"/>
  <c r="N123" i="3"/>
  <c r="M123" i="3"/>
  <c r="I123" i="3"/>
  <c r="F123" i="3"/>
  <c r="O115" i="3"/>
  <c r="L115" i="3"/>
  <c r="H115" i="3"/>
  <c r="K115" i="3"/>
  <c r="E115" i="3"/>
  <c r="I115" i="3"/>
  <c r="M115" i="3"/>
  <c r="N115" i="3"/>
  <c r="F115" i="3"/>
  <c r="J115" i="3"/>
  <c r="G115" i="3"/>
  <c r="G91" i="7"/>
  <c r="K91" i="5"/>
  <c r="C91" i="6"/>
  <c r="L91" i="6" s="1"/>
  <c r="C91" i="2"/>
  <c r="E83" i="7"/>
  <c r="I83" i="6"/>
  <c r="K83" i="2"/>
  <c r="H75" i="3"/>
  <c r="N75" i="3"/>
  <c r="E75" i="3"/>
  <c r="I75" i="3"/>
  <c r="L75" i="3"/>
  <c r="T75" i="7" s="1"/>
  <c r="G75" i="3"/>
  <c r="K75" i="3"/>
  <c r="O75" i="3"/>
  <c r="F75" i="3"/>
  <c r="M75" i="3"/>
  <c r="U75" i="7" s="1"/>
  <c r="J75" i="3"/>
  <c r="J75" i="2"/>
  <c r="K75" i="6"/>
  <c r="F75" i="5"/>
  <c r="J75" i="5"/>
  <c r="E67" i="2"/>
  <c r="D67" i="6"/>
  <c r="M67" i="6" s="1"/>
  <c r="I67" i="5"/>
  <c r="E59" i="6"/>
  <c r="G59" i="2"/>
  <c r="K59" i="5"/>
  <c r="D59" i="5"/>
  <c r="M59" i="5" s="1"/>
  <c r="E51" i="2"/>
  <c r="G51" i="6"/>
  <c r="I43" i="7"/>
  <c r="E43" i="6"/>
  <c r="G43" i="5"/>
  <c r="I35" i="2"/>
  <c r="F35" i="6"/>
  <c r="E35" i="7"/>
  <c r="E27" i="6"/>
  <c r="J27" i="6"/>
  <c r="H27" i="3"/>
  <c r="O27" i="3"/>
  <c r="W27" i="5" s="1"/>
  <c r="G27" i="3"/>
  <c r="F27" i="3"/>
  <c r="N27" i="5" s="1"/>
  <c r="M27" i="3"/>
  <c r="U27" i="6" s="1"/>
  <c r="L27" i="3"/>
  <c r="T27" i="6" s="1"/>
  <c r="J27" i="3"/>
  <c r="I27" i="3"/>
  <c r="E27" i="3"/>
  <c r="X27" i="2" s="1"/>
  <c r="R27" i="4" s="1"/>
  <c r="N27" i="3"/>
  <c r="V27" i="2" s="1"/>
  <c r="AA27" i="4" s="1"/>
  <c r="AC27" i="3"/>
  <c r="I27" i="2"/>
  <c r="J27" i="7"/>
  <c r="I19" i="6"/>
  <c r="E19" i="5"/>
  <c r="D19" i="5"/>
  <c r="M19" i="5" s="1"/>
  <c r="K19" i="7"/>
  <c r="E11" i="6"/>
  <c r="D11" i="7"/>
  <c r="E11" i="7"/>
  <c r="G11" i="5"/>
  <c r="K90" i="5"/>
  <c r="E90" i="5"/>
  <c r="J90" i="6"/>
  <c r="G74" i="6"/>
  <c r="G74" i="2"/>
  <c r="J74" i="6"/>
  <c r="V74" i="6" s="1"/>
  <c r="J74" i="2"/>
  <c r="C66" i="6"/>
  <c r="L66" i="6" s="1"/>
  <c r="K66" i="2"/>
  <c r="J66" i="5"/>
  <c r="F66" i="6"/>
  <c r="K58" i="4"/>
  <c r="K58" i="5"/>
  <c r="J58" i="5"/>
  <c r="C58" i="2"/>
  <c r="F42" i="5"/>
  <c r="D42" i="5"/>
  <c r="M42" i="5" s="1"/>
  <c r="D42" i="7"/>
  <c r="M42" i="7" s="1"/>
  <c r="D26" i="7"/>
  <c r="M26" i="7" s="1"/>
  <c r="K26" i="6"/>
  <c r="J26" i="7"/>
  <c r="F26" i="6"/>
  <c r="D18" i="2"/>
  <c r="I18" i="6"/>
  <c r="E18" i="6"/>
  <c r="K18" i="7"/>
  <c r="K18" i="5"/>
  <c r="I40" i="6"/>
  <c r="G40" i="7"/>
  <c r="E40" i="2"/>
  <c r="C40" i="5"/>
  <c r="L40" i="5" s="1"/>
  <c r="J40" i="6"/>
  <c r="G16" i="7"/>
  <c r="E16" i="7"/>
  <c r="J16" i="7"/>
  <c r="D16" i="6"/>
  <c r="M16" i="6" s="1"/>
  <c r="F16" i="6"/>
  <c r="F87" i="7"/>
  <c r="I87" i="2"/>
  <c r="D87" i="5"/>
  <c r="M87" i="5" s="1"/>
  <c r="K87" i="7"/>
  <c r="K71" i="5"/>
  <c r="K71" i="7"/>
  <c r="C71" i="6"/>
  <c r="L71" i="6" s="1"/>
  <c r="C71" i="2"/>
  <c r="E71" i="2"/>
  <c r="C39" i="5"/>
  <c r="L39" i="5" s="1"/>
  <c r="G39" i="3"/>
  <c r="O39" i="2" s="1"/>
  <c r="T39" i="4" s="1"/>
  <c r="H39" i="3"/>
  <c r="AC39" i="3"/>
  <c r="J39" i="3"/>
  <c r="R39" i="2" s="1"/>
  <c r="W39" i="4" s="1"/>
  <c r="M39" i="3"/>
  <c r="U39" i="5" s="1"/>
  <c r="L39" i="3"/>
  <c r="T39" i="5" s="1"/>
  <c r="N39" i="3"/>
  <c r="V39" i="5" s="1"/>
  <c r="K39" i="3"/>
  <c r="I39" i="3"/>
  <c r="Q39" i="2" s="1"/>
  <c r="V39" i="4" s="1"/>
  <c r="F39" i="3"/>
  <c r="N39" i="2" s="1"/>
  <c r="S39" i="4" s="1"/>
  <c r="E39" i="3"/>
  <c r="X39" i="6" s="1"/>
  <c r="O39" i="3"/>
  <c r="W39" i="7" s="1"/>
  <c r="G39" i="7"/>
  <c r="D15" i="6"/>
  <c r="F15" i="7"/>
  <c r="K30" i="6"/>
  <c r="C30" i="7"/>
  <c r="L30" i="7" s="1"/>
  <c r="I30" i="5"/>
  <c r="D30" i="2"/>
  <c r="C28" i="6"/>
  <c r="L28" i="6" s="1"/>
  <c r="K28" i="6"/>
  <c r="D28" i="6"/>
  <c r="M28" i="6" s="1"/>
  <c r="I28" i="5"/>
  <c r="C122" i="4"/>
  <c r="C114" i="4"/>
  <c r="O98" i="3"/>
  <c r="G98" i="3"/>
  <c r="J98" i="3"/>
  <c r="N98" i="3"/>
  <c r="L98" i="3"/>
  <c r="M98" i="3"/>
  <c r="I98" i="3"/>
  <c r="H98" i="3"/>
  <c r="E98" i="3"/>
  <c r="F98" i="3"/>
  <c r="K82" i="7"/>
  <c r="I82" i="2"/>
  <c r="M82" i="4" s="1"/>
  <c r="K82" i="5"/>
  <c r="C50" i="6"/>
  <c r="L50" i="6" s="1"/>
  <c r="D50" i="5"/>
  <c r="M50" i="5" s="1"/>
  <c r="C50" i="5"/>
  <c r="L50" i="5" s="1"/>
  <c r="G50" i="5"/>
  <c r="I50" i="6"/>
  <c r="I34" i="6"/>
  <c r="I34" i="2"/>
  <c r="K34" i="7"/>
  <c r="M10" i="3"/>
  <c r="U10" i="2" s="1"/>
  <c r="Z10" i="4" s="1"/>
  <c r="O10" i="3"/>
  <c r="W10" i="2" s="1"/>
  <c r="AB10" i="4" s="1"/>
  <c r="G10" i="3"/>
  <c r="O10" i="6" s="1"/>
  <c r="E10" i="3"/>
  <c r="L10" i="3"/>
  <c r="T10" i="2" s="1"/>
  <c r="K10" i="3"/>
  <c r="N10" i="3"/>
  <c r="V10" i="2" s="1"/>
  <c r="AA10" i="4" s="1"/>
  <c r="I10" i="3"/>
  <c r="Q10" i="6" s="1"/>
  <c r="H10" i="3"/>
  <c r="F10" i="3"/>
  <c r="N10" i="7" s="1"/>
  <c r="E10" i="6"/>
  <c r="G10" i="5"/>
  <c r="I10" i="5"/>
  <c r="I10" i="6"/>
  <c r="E32" i="6"/>
  <c r="K32" i="5"/>
  <c r="K24" i="7"/>
  <c r="K24" i="2"/>
  <c r="O24" i="4" s="1"/>
  <c r="C8" i="5"/>
  <c r="L8" i="5" s="1"/>
  <c r="G8" i="2"/>
  <c r="C105" i="4"/>
  <c r="D89" i="2"/>
  <c r="I81" i="4"/>
  <c r="D81" i="6"/>
  <c r="M81" i="6" s="1"/>
  <c r="C81" i="2"/>
  <c r="C81" i="6"/>
  <c r="L81" i="6" s="1"/>
  <c r="C81" i="7"/>
  <c r="L81" i="7" s="1"/>
  <c r="C73" i="7"/>
  <c r="L73" i="7" s="1"/>
  <c r="E73" i="6"/>
  <c r="F65" i="3"/>
  <c r="N65" i="2" s="1"/>
  <c r="S65" i="4" s="1"/>
  <c r="I65" i="3"/>
  <c r="Q65" i="5" s="1"/>
  <c r="N65" i="3"/>
  <c r="V65" i="7" s="1"/>
  <c r="M65" i="3"/>
  <c r="U65" i="6" s="1"/>
  <c r="E65" i="3"/>
  <c r="X65" i="5" s="1"/>
  <c r="K65" i="3"/>
  <c r="G65" i="3"/>
  <c r="O65" i="5" s="1"/>
  <c r="H65" i="3"/>
  <c r="L65" i="3"/>
  <c r="T65" i="6" s="1"/>
  <c r="J65" i="3"/>
  <c r="R65" i="5" s="1"/>
  <c r="O65" i="3"/>
  <c r="W65" i="5" s="1"/>
  <c r="G65" i="2"/>
  <c r="J65" i="6"/>
  <c r="K57" i="4"/>
  <c r="I57" i="4"/>
  <c r="E57" i="6"/>
  <c r="M57" i="3"/>
  <c r="U57" i="7" s="1"/>
  <c r="J57" i="3"/>
  <c r="L57" i="3"/>
  <c r="T57" i="6" s="1"/>
  <c r="F57" i="3"/>
  <c r="N57" i="7" s="1"/>
  <c r="H57" i="3"/>
  <c r="P57" i="2" s="1"/>
  <c r="U57" i="4" s="1"/>
  <c r="N57" i="3"/>
  <c r="K57" i="3"/>
  <c r="I57" i="3"/>
  <c r="Q57" i="7" s="1"/>
  <c r="G57" i="3"/>
  <c r="O57" i="7" s="1"/>
  <c r="E57" i="3"/>
  <c r="X57" i="5" s="1"/>
  <c r="O57" i="3"/>
  <c r="W57" i="5" s="1"/>
  <c r="J57" i="7"/>
  <c r="C49" i="6"/>
  <c r="L49" i="6" s="1"/>
  <c r="J49" i="2"/>
  <c r="N49" i="4" s="1"/>
  <c r="I49" i="5"/>
  <c r="C41" i="7"/>
  <c r="L41" i="7" s="1"/>
  <c r="C41" i="5"/>
  <c r="L41" i="5" s="1"/>
  <c r="C33" i="5"/>
  <c r="L33" i="5" s="1"/>
  <c r="D33" i="5"/>
  <c r="M33" i="5" s="1"/>
  <c r="J33" i="6"/>
  <c r="K25" i="2"/>
  <c r="I25" i="4"/>
  <c r="G25" i="7"/>
  <c r="E17" i="6"/>
  <c r="J17" i="6"/>
  <c r="L9" i="2"/>
  <c r="G9" i="4"/>
  <c r="C9" i="6"/>
  <c r="L9" i="6" s="1"/>
  <c r="E9" i="2"/>
  <c r="J88" i="5"/>
  <c r="V88" i="5" s="1"/>
  <c r="K88" i="6"/>
  <c r="F88" i="7"/>
  <c r="I80" i="2"/>
  <c r="J80" i="7"/>
  <c r="F80" i="5"/>
  <c r="E80" i="7"/>
  <c r="I72" i="7"/>
  <c r="K72" i="7"/>
  <c r="O64" i="4"/>
  <c r="K64" i="6"/>
  <c r="E64" i="6"/>
  <c r="C64" i="7"/>
  <c r="L64" i="7" s="1"/>
  <c r="C56" i="2"/>
  <c r="O56" i="4"/>
  <c r="J56" i="5"/>
  <c r="G56" i="2"/>
  <c r="K56" i="6"/>
  <c r="C56" i="7"/>
  <c r="L56" i="7" s="1"/>
  <c r="D48" i="6"/>
  <c r="M48" i="6" s="1"/>
  <c r="C48" i="6"/>
  <c r="L48" i="6" s="1"/>
  <c r="R48" i="7"/>
  <c r="D48" i="7"/>
  <c r="M48" i="7" s="1"/>
  <c r="J95" i="2"/>
  <c r="C95" i="7"/>
  <c r="L95" i="7" s="1"/>
  <c r="J95" i="5"/>
  <c r="J95" i="7"/>
  <c r="F95" i="2"/>
  <c r="F95" i="6"/>
  <c r="F55" i="6"/>
  <c r="I55" i="2"/>
  <c r="L55" i="3"/>
  <c r="T55" i="5" s="1"/>
  <c r="N55" i="3"/>
  <c r="V55" i="6" s="1"/>
  <c r="I55" i="3"/>
  <c r="F55" i="3"/>
  <c r="N55" i="2" s="1"/>
  <c r="S55" i="4" s="1"/>
  <c r="M55" i="3"/>
  <c r="U55" i="7" s="1"/>
  <c r="E55" i="3"/>
  <c r="O55" i="3"/>
  <c r="W55" i="7" s="1"/>
  <c r="G55" i="3"/>
  <c r="O55" i="2" s="1"/>
  <c r="T55" i="4" s="1"/>
  <c r="H55" i="3"/>
  <c r="P55" i="2" s="1"/>
  <c r="U55" i="4" s="1"/>
  <c r="J55" i="2"/>
  <c r="C31" i="6"/>
  <c r="L31" i="6" s="1"/>
  <c r="I31" i="7"/>
  <c r="F31" i="7"/>
  <c r="D38" i="6"/>
  <c r="M38" i="6" s="1"/>
  <c r="E38" i="6"/>
  <c r="D14" i="6"/>
  <c r="D22" i="6"/>
  <c r="M22" i="6" s="1"/>
  <c r="E7" i="6"/>
  <c r="G7" i="5"/>
  <c r="K7" i="6"/>
  <c r="K7" i="5"/>
  <c r="R22" i="5"/>
  <c r="Q22" i="5"/>
  <c r="H112" i="3"/>
  <c r="M112" i="3"/>
  <c r="K112" i="3"/>
  <c r="J112" i="3"/>
  <c r="N112" i="3"/>
  <c r="L112" i="3"/>
  <c r="F112" i="3"/>
  <c r="G112" i="3"/>
  <c r="O112" i="3"/>
  <c r="E112" i="3"/>
  <c r="I112" i="3"/>
  <c r="E7" i="7"/>
  <c r="I7" i="6"/>
  <c r="I7" i="5"/>
  <c r="C7" i="6"/>
  <c r="L7" i="6" s="1"/>
  <c r="E22" i="7"/>
  <c r="D22" i="2"/>
  <c r="C103" i="4"/>
  <c r="E79" i="6"/>
  <c r="F79" i="2"/>
  <c r="F79" i="6"/>
  <c r="N79" i="6" s="1"/>
  <c r="F63" i="2"/>
  <c r="J63" i="2"/>
  <c r="F63" i="5"/>
  <c r="F47" i="5"/>
  <c r="G47" i="5"/>
  <c r="N47" i="3"/>
  <c r="V47" i="2" s="1"/>
  <c r="AA47" i="4" s="1"/>
  <c r="E47" i="3"/>
  <c r="X47" i="6" s="1"/>
  <c r="I47" i="3"/>
  <c r="Q47" i="2" s="1"/>
  <c r="V47" i="4" s="1"/>
  <c r="M47" i="3"/>
  <c r="U47" i="7" s="1"/>
  <c r="K47" i="3"/>
  <c r="J47" i="3"/>
  <c r="R47" i="7" s="1"/>
  <c r="O47" i="3"/>
  <c r="W47" i="6" s="1"/>
  <c r="G47" i="3"/>
  <c r="L47" i="3"/>
  <c r="T47" i="6" s="1"/>
  <c r="H47" i="3"/>
  <c r="P47" i="2" s="1"/>
  <c r="U47" i="4" s="1"/>
  <c r="AC47" i="3"/>
  <c r="F47" i="3"/>
  <c r="J23" i="4"/>
  <c r="E23" i="6"/>
  <c r="J23" i="6"/>
  <c r="C126" i="4"/>
  <c r="D94" i="7"/>
  <c r="M94" i="7" s="1"/>
  <c r="F94" i="5"/>
  <c r="N94" i="5" s="1"/>
  <c r="I94" i="2"/>
  <c r="C94" i="5"/>
  <c r="L94" i="5" s="1"/>
  <c r="K94" i="6"/>
  <c r="I86" i="6"/>
  <c r="F86" i="7"/>
  <c r="E78" i="2"/>
  <c r="M78" i="2"/>
  <c r="Q78" i="4" s="1"/>
  <c r="H78" i="4"/>
  <c r="J78" i="7"/>
  <c r="C78" i="2"/>
  <c r="C78" i="6"/>
  <c r="L78" i="6" s="1"/>
  <c r="G78" i="6"/>
  <c r="G78" i="2"/>
  <c r="D70" i="7"/>
  <c r="M70" i="7" s="1"/>
  <c r="J70" i="7"/>
  <c r="I70" i="7"/>
  <c r="K70" i="7"/>
  <c r="I70" i="2"/>
  <c r="J62" i="5"/>
  <c r="J62" i="2"/>
  <c r="N62" i="4" s="1"/>
  <c r="I62" i="2"/>
  <c r="M62" i="4" s="1"/>
  <c r="M54" i="2"/>
  <c r="Q54" i="4" s="1"/>
  <c r="H54" i="4"/>
  <c r="E54" i="7"/>
  <c r="F54" i="7"/>
  <c r="L46" i="2"/>
  <c r="G46" i="4"/>
  <c r="F46" i="6"/>
  <c r="E46" i="7"/>
  <c r="G46" i="6"/>
  <c r="C46" i="6"/>
  <c r="L46" i="6" s="1"/>
  <c r="I46" i="2"/>
  <c r="G36" i="2"/>
  <c r="G36" i="5"/>
  <c r="D36" i="5"/>
  <c r="M36" i="5" s="1"/>
  <c r="K36" i="7"/>
  <c r="K20" i="4"/>
  <c r="D20" i="6"/>
  <c r="M20" i="6" s="1"/>
  <c r="D20" i="5"/>
  <c r="M20" i="5" s="1"/>
  <c r="G20" i="6"/>
  <c r="K20" i="6"/>
  <c r="O109" i="3"/>
  <c r="I109" i="3"/>
  <c r="K109" i="3"/>
  <c r="N109" i="3"/>
  <c r="L109" i="3"/>
  <c r="G109" i="3"/>
  <c r="J109" i="3"/>
  <c r="M109" i="3"/>
  <c r="H109" i="3"/>
  <c r="E109" i="3"/>
  <c r="F109" i="3"/>
  <c r="K101" i="3"/>
  <c r="I101" i="3"/>
  <c r="J101" i="3"/>
  <c r="M101" i="3"/>
  <c r="N101" i="3"/>
  <c r="G101" i="3"/>
  <c r="L101" i="3"/>
  <c r="F101" i="3"/>
  <c r="O101" i="3"/>
  <c r="H101" i="3"/>
  <c r="E101" i="3"/>
  <c r="K93" i="5"/>
  <c r="D93" i="6"/>
  <c r="M93" i="6" s="1"/>
  <c r="G85" i="7"/>
  <c r="J85" i="7"/>
  <c r="E85" i="5"/>
  <c r="E85" i="2"/>
  <c r="I85" i="4" s="1"/>
  <c r="G77" i="5"/>
  <c r="I77" i="6"/>
  <c r="W77" i="6" s="1"/>
  <c r="J77" i="6"/>
  <c r="J77" i="2"/>
  <c r="N77" i="4" s="1"/>
  <c r="K69" i="6"/>
  <c r="K69" i="5"/>
  <c r="C69" i="5"/>
  <c r="L69" i="5" s="1"/>
  <c r="J69" i="6"/>
  <c r="F69" i="7"/>
  <c r="J61" i="7"/>
  <c r="F61" i="7"/>
  <c r="G61" i="3"/>
  <c r="O61" i="5" s="1"/>
  <c r="I61" i="3"/>
  <c r="Q61" i="5" s="1"/>
  <c r="E61" i="3"/>
  <c r="X61" i="7" s="1"/>
  <c r="F61" i="3"/>
  <c r="N61" i="6" s="1"/>
  <c r="K61" i="3"/>
  <c r="M61" i="3"/>
  <c r="U61" i="6" s="1"/>
  <c r="L61" i="3"/>
  <c r="T61" i="6" s="1"/>
  <c r="O61" i="3"/>
  <c r="W61" i="2" s="1"/>
  <c r="AB61" i="4" s="1"/>
  <c r="N61" i="3"/>
  <c r="V61" i="5" s="1"/>
  <c r="H61" i="3"/>
  <c r="P61" i="5" s="1"/>
  <c r="J61" i="3"/>
  <c r="R61" i="7" s="1"/>
  <c r="E53" i="5"/>
  <c r="J53" i="6"/>
  <c r="I53" i="5"/>
  <c r="I53" i="2"/>
  <c r="F53" i="6"/>
  <c r="I45" i="6"/>
  <c r="G45" i="6"/>
  <c r="E45" i="7"/>
  <c r="G45" i="5"/>
  <c r="I37" i="6"/>
  <c r="F37" i="5"/>
  <c r="D37" i="6"/>
  <c r="M37" i="6" s="1"/>
  <c r="F37" i="7"/>
  <c r="G37" i="7"/>
  <c r="I29" i="5"/>
  <c r="E29" i="7"/>
  <c r="I29" i="2"/>
  <c r="D21" i="5"/>
  <c r="M21" i="5" s="1"/>
  <c r="K21" i="2"/>
  <c r="D21" i="7"/>
  <c r="M21" i="7" s="1"/>
  <c r="G21" i="2"/>
  <c r="I21" i="5"/>
  <c r="D13" i="5"/>
  <c r="K13" i="6"/>
  <c r="K13" i="5"/>
  <c r="J108" i="3"/>
  <c r="G108" i="3"/>
  <c r="I108" i="3"/>
  <c r="L108" i="3"/>
  <c r="F108" i="3"/>
  <c r="H108" i="3"/>
  <c r="O108" i="3"/>
  <c r="N108" i="3"/>
  <c r="M108" i="3"/>
  <c r="E108" i="3"/>
  <c r="K108" i="3"/>
  <c r="I92" i="2"/>
  <c r="F92" i="7"/>
  <c r="F92" i="3"/>
  <c r="L92" i="3"/>
  <c r="T92" i="5" s="1"/>
  <c r="O92" i="3"/>
  <c r="W92" i="6" s="1"/>
  <c r="E92" i="3"/>
  <c r="X92" i="2" s="1"/>
  <c r="R92" i="4" s="1"/>
  <c r="J92" i="3"/>
  <c r="N92" i="3"/>
  <c r="V92" i="2" s="1"/>
  <c r="AA92" i="4" s="1"/>
  <c r="M92" i="3"/>
  <c r="U92" i="5" s="1"/>
  <c r="K92" i="3"/>
  <c r="G92" i="3"/>
  <c r="I92" i="3"/>
  <c r="H92" i="3"/>
  <c r="D92" i="2"/>
  <c r="J84" i="6"/>
  <c r="K84" i="7"/>
  <c r="K76" i="6"/>
  <c r="G76" i="7"/>
  <c r="C76" i="7"/>
  <c r="L76" i="7" s="1"/>
  <c r="G68" i="2"/>
  <c r="G68" i="6"/>
  <c r="C68" i="5"/>
  <c r="L68" i="5" s="1"/>
  <c r="D68" i="5"/>
  <c r="M68" i="5" s="1"/>
  <c r="D60" i="2"/>
  <c r="C60" i="5"/>
  <c r="L60" i="5" s="1"/>
  <c r="D60" i="5"/>
  <c r="M60" i="5" s="1"/>
  <c r="D52" i="5"/>
  <c r="M52" i="5" s="1"/>
  <c r="F52" i="7"/>
  <c r="I52" i="6"/>
  <c r="E52" i="2"/>
  <c r="C44" i="7"/>
  <c r="L44" i="7" s="1"/>
  <c r="D44" i="6"/>
  <c r="M44" i="6" s="1"/>
  <c r="I44" i="6"/>
  <c r="E44" i="6"/>
  <c r="G12" i="4"/>
  <c r="E12" i="6"/>
  <c r="J12" i="6"/>
  <c r="J12" i="5"/>
  <c r="C115" i="4"/>
  <c r="O107" i="3"/>
  <c r="J107" i="3"/>
  <c r="G107" i="3"/>
  <c r="H107" i="3"/>
  <c r="L107" i="3"/>
  <c r="E107" i="3"/>
  <c r="N107" i="3"/>
  <c r="I107" i="3"/>
  <c r="F107" i="3"/>
  <c r="M107" i="3"/>
  <c r="K107" i="3"/>
  <c r="G91" i="6"/>
  <c r="G91" i="2"/>
  <c r="E91" i="7"/>
  <c r="D91" i="2"/>
  <c r="C91" i="5"/>
  <c r="L91" i="5" s="1"/>
  <c r="K83" i="7"/>
  <c r="E83" i="6"/>
  <c r="E75" i="6"/>
  <c r="E75" i="7"/>
  <c r="I75" i="2"/>
  <c r="J67" i="6"/>
  <c r="G67" i="7"/>
  <c r="E67" i="5"/>
  <c r="K59" i="2"/>
  <c r="J59" i="6"/>
  <c r="C59" i="5"/>
  <c r="L59" i="5" s="1"/>
  <c r="C51" i="6"/>
  <c r="L51" i="6" s="1"/>
  <c r="J51" i="6"/>
  <c r="E51" i="5"/>
  <c r="I51" i="5"/>
  <c r="N51" i="3"/>
  <c r="V51" i="2" s="1"/>
  <c r="AA51" i="4" s="1"/>
  <c r="J51" i="3"/>
  <c r="R51" i="2" s="1"/>
  <c r="W51" i="4" s="1"/>
  <c r="K51" i="3"/>
  <c r="I51" i="3"/>
  <c r="Q51" i="7" s="1"/>
  <c r="F51" i="3"/>
  <c r="N51" i="7" s="1"/>
  <c r="E51" i="3"/>
  <c r="X51" i="7" s="1"/>
  <c r="M51" i="3"/>
  <c r="U51" i="5" s="1"/>
  <c r="G51" i="3"/>
  <c r="O51" i="3"/>
  <c r="W51" i="6" s="1"/>
  <c r="L51" i="3"/>
  <c r="T51" i="7" s="1"/>
  <c r="H51" i="3"/>
  <c r="P51" i="2" s="1"/>
  <c r="U51" i="4" s="1"/>
  <c r="K43" i="7"/>
  <c r="I43" i="4"/>
  <c r="F43" i="2"/>
  <c r="K35" i="5"/>
  <c r="K35" i="2"/>
  <c r="C35" i="2"/>
  <c r="G35" i="5"/>
  <c r="D27" i="6"/>
  <c r="M27" i="6" s="1"/>
  <c r="N27" i="4"/>
  <c r="I27" i="6"/>
  <c r="G27" i="5"/>
  <c r="J19" i="6"/>
  <c r="I19" i="7"/>
  <c r="D19" i="6"/>
  <c r="M19" i="6" s="1"/>
  <c r="I19" i="5"/>
  <c r="I11" i="6"/>
  <c r="I11" i="5"/>
  <c r="D11" i="2"/>
  <c r="H11" i="4" s="1"/>
  <c r="F11" i="5"/>
  <c r="G11" i="6"/>
  <c r="J11" i="6"/>
  <c r="J11" i="5"/>
  <c r="C90" i="5"/>
  <c r="L90" i="5" s="1"/>
  <c r="C90" i="7"/>
  <c r="L90" i="7" s="1"/>
  <c r="D90" i="7"/>
  <c r="M90" i="7" s="1"/>
  <c r="I90" i="2"/>
  <c r="I74" i="2"/>
  <c r="F74" i="6"/>
  <c r="F74" i="2"/>
  <c r="K74" i="6"/>
  <c r="K66" i="5"/>
  <c r="G66" i="6"/>
  <c r="C66" i="7"/>
  <c r="L66" i="7" s="1"/>
  <c r="I66" i="6"/>
  <c r="C58" i="5"/>
  <c r="L58" i="5" s="1"/>
  <c r="I58" i="5"/>
  <c r="E58" i="6"/>
  <c r="F58" i="5"/>
  <c r="G58" i="6"/>
  <c r="J42" i="2"/>
  <c r="I42" i="2"/>
  <c r="C42" i="6"/>
  <c r="L42" i="6" s="1"/>
  <c r="I42" i="7"/>
  <c r="J42" i="7"/>
  <c r="D26" i="2"/>
  <c r="I26" i="2"/>
  <c r="E26" i="6"/>
  <c r="J26" i="5"/>
  <c r="J18" i="6"/>
  <c r="E40" i="5"/>
  <c r="K16" i="7"/>
  <c r="M16" i="2"/>
  <c r="Q16" i="4" s="1"/>
  <c r="H16" i="4"/>
  <c r="I16" i="6"/>
  <c r="K87" i="5"/>
  <c r="G87" i="7"/>
  <c r="C87" i="5"/>
  <c r="L87" i="5" s="1"/>
  <c r="G87" i="6"/>
  <c r="G87" i="2"/>
  <c r="F71" i="7"/>
  <c r="D71" i="6"/>
  <c r="M71" i="6" s="1"/>
  <c r="D71" i="7"/>
  <c r="M71" i="7" s="1"/>
  <c r="G71" i="5"/>
  <c r="D39" i="6"/>
  <c r="M39" i="6" s="1"/>
  <c r="F39" i="6"/>
  <c r="K39" i="7"/>
  <c r="J39" i="2"/>
  <c r="E15" i="2"/>
  <c r="C15" i="6"/>
  <c r="D30" i="6"/>
  <c r="M30" i="6" s="1"/>
  <c r="C28" i="5"/>
  <c r="L28" i="5" s="1"/>
  <c r="I28" i="2"/>
  <c r="I122" i="3"/>
  <c r="J122" i="3"/>
  <c r="N122" i="3"/>
  <c r="L122" i="3"/>
  <c r="M122" i="3"/>
  <c r="H122" i="3"/>
  <c r="O122" i="3"/>
  <c r="K122" i="3"/>
  <c r="F122" i="3"/>
  <c r="E122" i="3"/>
  <c r="G122" i="3"/>
  <c r="J82" i="6"/>
  <c r="I82" i="5"/>
  <c r="E82" i="5"/>
  <c r="K50" i="7"/>
  <c r="E50" i="6"/>
  <c r="X50" i="6" s="1"/>
  <c r="K50" i="5"/>
  <c r="G34" i="6"/>
  <c r="C34" i="2"/>
  <c r="F34" i="6"/>
  <c r="H10" i="4"/>
  <c r="I32" i="2"/>
  <c r="F32" i="2"/>
  <c r="K32" i="2"/>
  <c r="O32" i="4" s="1"/>
  <c r="E32" i="7"/>
  <c r="F24" i="5"/>
  <c r="F24" i="2"/>
  <c r="C24" i="2"/>
  <c r="I24" i="2"/>
  <c r="C24" i="7"/>
  <c r="L24" i="7" s="1"/>
  <c r="D8" i="2"/>
  <c r="G8" i="7"/>
  <c r="E8" i="6"/>
  <c r="N113" i="3"/>
  <c r="G113" i="3"/>
  <c r="K113" i="3"/>
  <c r="H113" i="3"/>
  <c r="M113" i="3"/>
  <c r="F113" i="3"/>
  <c r="J113" i="3"/>
  <c r="E113" i="3"/>
  <c r="L113" i="3"/>
  <c r="O113" i="3"/>
  <c r="I113" i="3"/>
  <c r="L105" i="3"/>
  <c r="J105" i="3"/>
  <c r="N105" i="3"/>
  <c r="I105" i="3"/>
  <c r="G105" i="3"/>
  <c r="M105" i="3"/>
  <c r="H105" i="3"/>
  <c r="O105" i="3"/>
  <c r="E105" i="3"/>
  <c r="K105" i="3"/>
  <c r="F105" i="3"/>
  <c r="K97" i="3"/>
  <c r="H97" i="3"/>
  <c r="E97" i="3"/>
  <c r="O97" i="3"/>
  <c r="J97" i="3"/>
  <c r="F97" i="3"/>
  <c r="G97" i="3"/>
  <c r="M97" i="3"/>
  <c r="L97" i="3"/>
  <c r="I97" i="3"/>
  <c r="N97" i="3"/>
  <c r="F89" i="7"/>
  <c r="J89" i="5"/>
  <c r="I89" i="6"/>
  <c r="E89" i="7"/>
  <c r="J81" i="2"/>
  <c r="D81" i="5"/>
  <c r="M81" i="5" s="1"/>
  <c r="C73" i="5"/>
  <c r="L73" i="5" s="1"/>
  <c r="D73" i="2"/>
  <c r="D73" i="7"/>
  <c r="M73" i="7" s="1"/>
  <c r="G65" i="6"/>
  <c r="I65" i="6"/>
  <c r="C65" i="7"/>
  <c r="L65" i="7" s="1"/>
  <c r="K65" i="5"/>
  <c r="I57" i="6"/>
  <c r="L49" i="3"/>
  <c r="N49" i="3"/>
  <c r="G49" i="3"/>
  <c r="O49" i="6" s="1"/>
  <c r="F49" i="3"/>
  <c r="N49" i="5" s="1"/>
  <c r="M49" i="3"/>
  <c r="J49" i="3"/>
  <c r="R49" i="6" s="1"/>
  <c r="O49" i="3"/>
  <c r="W49" i="6" s="1"/>
  <c r="I49" i="3"/>
  <c r="Q49" i="6" s="1"/>
  <c r="H49" i="3"/>
  <c r="P49" i="6" s="1"/>
  <c r="K49" i="3"/>
  <c r="E49" i="3"/>
  <c r="X49" i="7" s="1"/>
  <c r="G49" i="5"/>
  <c r="K49" i="7"/>
  <c r="C41" i="6"/>
  <c r="L41" i="6" s="1"/>
  <c r="D41" i="5"/>
  <c r="M41" i="5" s="1"/>
  <c r="N41" i="3"/>
  <c r="F41" i="3"/>
  <c r="N41" i="7" s="1"/>
  <c r="H41" i="3"/>
  <c r="P41" i="7" s="1"/>
  <c r="M41" i="3"/>
  <c r="U41" i="2" s="1"/>
  <c r="Z41" i="4" s="1"/>
  <c r="K41" i="3"/>
  <c r="G41" i="3"/>
  <c r="O41" i="7" s="1"/>
  <c r="AC41" i="3"/>
  <c r="E41" i="3"/>
  <c r="O41" i="3"/>
  <c r="W41" i="6" s="1"/>
  <c r="L41" i="3"/>
  <c r="T41" i="2" s="1"/>
  <c r="I41" i="3"/>
  <c r="Q41" i="7" s="1"/>
  <c r="J41" i="3"/>
  <c r="R41" i="2" s="1"/>
  <c r="W41" i="4" s="1"/>
  <c r="D41" i="7"/>
  <c r="M41" i="7" s="1"/>
  <c r="I41" i="7"/>
  <c r="I33" i="4"/>
  <c r="E33" i="6"/>
  <c r="K33" i="2"/>
  <c r="D33" i="7"/>
  <c r="M33" i="7" s="1"/>
  <c r="C25" i="6"/>
  <c r="L25" i="6" s="1"/>
  <c r="D25" i="2"/>
  <c r="E25" i="6"/>
  <c r="C17" i="6"/>
  <c r="F9" i="3"/>
  <c r="N9" i="6" s="1"/>
  <c r="O9" i="3"/>
  <c r="W9" i="2" s="1"/>
  <c r="AB9" i="4" s="1"/>
  <c r="I9" i="3"/>
  <c r="Q9" i="6" s="1"/>
  <c r="M9" i="3"/>
  <c r="J9" i="3"/>
  <c r="R9" i="6" s="1"/>
  <c r="N9" i="3"/>
  <c r="L9" i="3"/>
  <c r="T9" i="2" s="1"/>
  <c r="G9" i="3"/>
  <c r="O9" i="6" s="1"/>
  <c r="H9" i="3"/>
  <c r="P9" i="6" s="1"/>
  <c r="E9" i="3"/>
  <c r="X9" i="6" s="1"/>
  <c r="K9" i="3"/>
  <c r="G9" i="5"/>
  <c r="D9" i="7"/>
  <c r="M9" i="7" s="1"/>
  <c r="G96" i="3"/>
  <c r="O96" i="3"/>
  <c r="J96" i="3"/>
  <c r="N96" i="3"/>
  <c r="H96" i="3"/>
  <c r="M96" i="3"/>
  <c r="I96" i="3"/>
  <c r="F96" i="3"/>
  <c r="E96" i="3"/>
  <c r="K96" i="3"/>
  <c r="L96" i="3"/>
  <c r="G88" i="7"/>
  <c r="F80" i="2"/>
  <c r="F80" i="6"/>
  <c r="J80" i="2"/>
  <c r="E80" i="2"/>
  <c r="I80" i="4" s="1"/>
  <c r="M72" i="2"/>
  <c r="Q72" i="4" s="1"/>
  <c r="H72" i="4"/>
  <c r="I72" i="4"/>
  <c r="I72" i="2"/>
  <c r="N72" i="3"/>
  <c r="V72" i="6" s="1"/>
  <c r="E72" i="3"/>
  <c r="X72" i="7" s="1"/>
  <c r="H72" i="3"/>
  <c r="P72" i="5" s="1"/>
  <c r="F72" i="3"/>
  <c r="J72" i="3"/>
  <c r="R72" i="5" s="1"/>
  <c r="I72" i="3"/>
  <c r="Q72" i="5" s="1"/>
  <c r="G72" i="3"/>
  <c r="L72" i="3"/>
  <c r="T72" i="6" s="1"/>
  <c r="O72" i="3"/>
  <c r="W72" i="6" s="1"/>
  <c r="M72" i="3"/>
  <c r="U72" i="7" s="1"/>
  <c r="K72" i="3"/>
  <c r="J64" i="6"/>
  <c r="C64" i="5"/>
  <c r="L64" i="5" s="1"/>
  <c r="D64" i="6"/>
  <c r="M64" i="6" s="1"/>
  <c r="I56" i="2"/>
  <c r="G56" i="6"/>
  <c r="J56" i="6"/>
  <c r="K48" i="7"/>
  <c r="E48" i="7"/>
  <c r="L95" i="3"/>
  <c r="T95" i="6" s="1"/>
  <c r="K95" i="3"/>
  <c r="N95" i="3"/>
  <c r="M95" i="3"/>
  <c r="U95" i="6" s="1"/>
  <c r="E95" i="3"/>
  <c r="X95" i="2" s="1"/>
  <c r="R95" i="4" s="1"/>
  <c r="H95" i="3"/>
  <c r="P95" i="7" s="1"/>
  <c r="O95" i="3"/>
  <c r="W95" i="6" s="1"/>
  <c r="G95" i="3"/>
  <c r="O95" i="5" s="1"/>
  <c r="J95" i="3"/>
  <c r="R95" i="5" s="1"/>
  <c r="I95" i="3"/>
  <c r="F95" i="3"/>
  <c r="I95" i="4"/>
  <c r="K95" i="5"/>
  <c r="J55" i="4"/>
  <c r="E55" i="5"/>
  <c r="I31" i="2"/>
  <c r="M31" i="4" s="1"/>
  <c r="G31" i="4"/>
  <c r="L31" i="2"/>
  <c r="E31" i="5"/>
  <c r="G31" i="6"/>
  <c r="E38" i="7"/>
  <c r="F38" i="6"/>
  <c r="J14" i="4"/>
  <c r="F14" i="6"/>
  <c r="C14" i="5"/>
  <c r="C14" i="7"/>
  <c r="C120" i="4"/>
  <c r="M22" i="4"/>
  <c r="E104" i="3"/>
  <c r="J104" i="3"/>
  <c r="K104" i="3"/>
  <c r="G104" i="3"/>
  <c r="M104" i="3"/>
  <c r="N104" i="3"/>
  <c r="L104" i="3"/>
  <c r="H104" i="3"/>
  <c r="O104" i="3"/>
  <c r="I104" i="3"/>
  <c r="F104" i="3"/>
  <c r="H7" i="4"/>
  <c r="M7" i="2"/>
  <c r="Q7" i="4" s="1"/>
  <c r="C22" i="6"/>
  <c r="L22" i="6" s="1"/>
  <c r="J22" i="6"/>
  <c r="K22" i="5"/>
  <c r="I22" i="6"/>
  <c r="G22" i="6"/>
  <c r="F79" i="5"/>
  <c r="N79" i="5" s="1"/>
  <c r="C79" i="7"/>
  <c r="L79" i="7" s="1"/>
  <c r="F63" i="7"/>
  <c r="R63" i="2"/>
  <c r="W63" i="4" s="1"/>
  <c r="K63" i="4"/>
  <c r="J63" i="6"/>
  <c r="R63" i="7"/>
  <c r="G63" i="6"/>
  <c r="K47" i="2"/>
  <c r="I47" i="5"/>
  <c r="C47" i="7"/>
  <c r="L47" i="7" s="1"/>
  <c r="J47" i="7"/>
  <c r="C23" i="6"/>
  <c r="L23" i="6" s="1"/>
  <c r="N23" i="4"/>
  <c r="N110" i="3"/>
  <c r="O110" i="3"/>
  <c r="M110" i="3"/>
  <c r="E110" i="3"/>
  <c r="J110" i="3"/>
  <c r="L110" i="3"/>
  <c r="H110" i="3"/>
  <c r="K110" i="3"/>
  <c r="I110" i="3"/>
  <c r="G110" i="3"/>
  <c r="F110" i="3"/>
  <c r="J94" i="2"/>
  <c r="J94" i="5"/>
  <c r="D94" i="2"/>
  <c r="I94" i="6"/>
  <c r="G86" i="2"/>
  <c r="G86" i="6"/>
  <c r="J86" i="5"/>
  <c r="K86" i="6"/>
  <c r="K86" i="2"/>
  <c r="O86" i="4" s="1"/>
  <c r="I78" i="3"/>
  <c r="E78" i="3"/>
  <c r="X78" i="5" s="1"/>
  <c r="G78" i="3"/>
  <c r="O78" i="7" s="1"/>
  <c r="N78" i="3"/>
  <c r="V78" i="6" s="1"/>
  <c r="J78" i="3"/>
  <c r="R78" i="7" s="1"/>
  <c r="O78" i="3"/>
  <c r="W78" i="7" s="1"/>
  <c r="H78" i="3"/>
  <c r="P78" i="7" s="1"/>
  <c r="M78" i="3"/>
  <c r="U78" i="2" s="1"/>
  <c r="Z78" i="4" s="1"/>
  <c r="K78" i="3"/>
  <c r="L78" i="3"/>
  <c r="T78" i="2" s="1"/>
  <c r="F78" i="3"/>
  <c r="N78" i="7" s="1"/>
  <c r="J78" i="5"/>
  <c r="E78" i="7"/>
  <c r="K78" i="6"/>
  <c r="K70" i="2"/>
  <c r="G70" i="6"/>
  <c r="G70" i="2"/>
  <c r="G70" i="5"/>
  <c r="E62" i="5"/>
  <c r="E62" i="7"/>
  <c r="F62" i="7"/>
  <c r="I54" i="6"/>
  <c r="K54" i="6"/>
  <c r="E54" i="6"/>
  <c r="J54" i="5"/>
  <c r="I54" i="5"/>
  <c r="J46" i="5"/>
  <c r="J36" i="6"/>
  <c r="H36" i="3"/>
  <c r="P36" i="7" s="1"/>
  <c r="O36" i="3"/>
  <c r="W36" i="7" s="1"/>
  <c r="M36" i="3"/>
  <c r="N36" i="3"/>
  <c r="V36" i="7" s="1"/>
  <c r="I36" i="3"/>
  <c r="Q36" i="6" s="1"/>
  <c r="J36" i="3"/>
  <c r="R36" i="7" s="1"/>
  <c r="G36" i="3"/>
  <c r="O36" i="6" s="1"/>
  <c r="L36" i="3"/>
  <c r="K36" i="3"/>
  <c r="F36" i="3"/>
  <c r="N36" i="6" s="1"/>
  <c r="AC36" i="3"/>
  <c r="E36" i="3"/>
  <c r="I36" i="6"/>
  <c r="E20" i="6"/>
  <c r="F20" i="6"/>
  <c r="E20" i="2"/>
  <c r="C125" i="4"/>
  <c r="C109" i="4"/>
  <c r="I93" i="6"/>
  <c r="K93" i="2"/>
  <c r="I93" i="2"/>
  <c r="M93" i="4" s="1"/>
  <c r="F93" i="3"/>
  <c r="N93" i="7" s="1"/>
  <c r="O93" i="3"/>
  <c r="W93" i="5" s="1"/>
  <c r="E93" i="3"/>
  <c r="X93" i="6" s="1"/>
  <c r="J93" i="3"/>
  <c r="K93" i="3"/>
  <c r="I93" i="3"/>
  <c r="M93" i="3"/>
  <c r="U93" i="6" s="1"/>
  <c r="N93" i="3"/>
  <c r="V93" i="7" s="1"/>
  <c r="G93" i="3"/>
  <c r="L93" i="3"/>
  <c r="H93" i="3"/>
  <c r="I93" i="7"/>
  <c r="N85" i="3"/>
  <c r="V85" i="6" s="1"/>
  <c r="E85" i="3"/>
  <c r="G85" i="3"/>
  <c r="J85" i="3"/>
  <c r="L85" i="3"/>
  <c r="F85" i="3"/>
  <c r="N85" i="7" s="1"/>
  <c r="I85" i="3"/>
  <c r="O85" i="3"/>
  <c r="W85" i="2" s="1"/>
  <c r="AB85" i="4" s="1"/>
  <c r="H85" i="3"/>
  <c r="M85" i="3"/>
  <c r="K85" i="3"/>
  <c r="D85" i="5"/>
  <c r="M85" i="5" s="1"/>
  <c r="I85" i="6"/>
  <c r="I85" i="5"/>
  <c r="C85" i="7"/>
  <c r="L85" i="7" s="1"/>
  <c r="E77" i="6"/>
  <c r="F77" i="7"/>
  <c r="M69" i="3"/>
  <c r="U69" i="2" s="1"/>
  <c r="Z69" i="4" s="1"/>
  <c r="I69" i="3"/>
  <c r="G69" i="3"/>
  <c r="J69" i="3"/>
  <c r="H69" i="3"/>
  <c r="O69" i="3"/>
  <c r="W69" i="2" s="1"/>
  <c r="AB69" i="4" s="1"/>
  <c r="F69" i="3"/>
  <c r="N69" i="5" s="1"/>
  <c r="N69" i="3"/>
  <c r="L69" i="3"/>
  <c r="T69" i="2" s="1"/>
  <c r="E69" i="3"/>
  <c r="K61" i="4"/>
  <c r="J61" i="6"/>
  <c r="D61" i="2"/>
  <c r="J61" i="2"/>
  <c r="G53" i="7"/>
  <c r="N53" i="7"/>
  <c r="C53" i="7"/>
  <c r="L53" i="7" s="1"/>
  <c r="N53" i="4"/>
  <c r="G53" i="2"/>
  <c r="E45" i="6"/>
  <c r="K45" i="6"/>
  <c r="K37" i="7"/>
  <c r="K37" i="2"/>
  <c r="G37" i="3"/>
  <c r="O37" i="5" s="1"/>
  <c r="N37" i="3"/>
  <c r="V37" i="2" s="1"/>
  <c r="AA37" i="4" s="1"/>
  <c r="K37" i="3"/>
  <c r="J37" i="3"/>
  <c r="R37" i="5" s="1"/>
  <c r="H37" i="3"/>
  <c r="P37" i="2" s="1"/>
  <c r="U37" i="4" s="1"/>
  <c r="I37" i="3"/>
  <c r="Q37" i="2" s="1"/>
  <c r="V37" i="4" s="1"/>
  <c r="E37" i="3"/>
  <c r="X37" i="2" s="1"/>
  <c r="R37" i="4" s="1"/>
  <c r="M37" i="3"/>
  <c r="U37" i="6" s="1"/>
  <c r="AC37" i="3"/>
  <c r="O37" i="3"/>
  <c r="L37" i="3"/>
  <c r="F37" i="3"/>
  <c r="N37" i="6" s="1"/>
  <c r="L29" i="2"/>
  <c r="G29" i="4"/>
  <c r="D29" i="6"/>
  <c r="M29" i="6" s="1"/>
  <c r="J29" i="4"/>
  <c r="O29" i="3"/>
  <c r="W29" i="6" s="1"/>
  <c r="E29" i="3"/>
  <c r="L29" i="3"/>
  <c r="T29" i="7" s="1"/>
  <c r="H29" i="3"/>
  <c r="P29" i="7" s="1"/>
  <c r="J29" i="3"/>
  <c r="R29" i="5" s="1"/>
  <c r="M29" i="3"/>
  <c r="AC29" i="3"/>
  <c r="G29" i="3"/>
  <c r="O29" i="5" s="1"/>
  <c r="F29" i="3"/>
  <c r="N29" i="7" s="1"/>
  <c r="N29" i="3"/>
  <c r="I29" i="3"/>
  <c r="Q29" i="7" s="1"/>
  <c r="C29" i="6"/>
  <c r="L29" i="6" s="1"/>
  <c r="E21" i="5"/>
  <c r="I21" i="7"/>
  <c r="W21" i="7" s="1"/>
  <c r="F21" i="6"/>
  <c r="G13" i="4"/>
  <c r="E13" i="2"/>
  <c r="G92" i="6"/>
  <c r="G92" i="2"/>
  <c r="C92" i="7"/>
  <c r="L92" i="7" s="1"/>
  <c r="G92" i="5"/>
  <c r="D92" i="7"/>
  <c r="M92" i="7" s="1"/>
  <c r="I92" i="5"/>
  <c r="E124" i="3"/>
  <c r="M124" i="3"/>
  <c r="G124" i="3"/>
  <c r="J124" i="3"/>
  <c r="N124" i="3"/>
  <c r="F124" i="3"/>
  <c r="H124" i="3"/>
  <c r="K124" i="3"/>
  <c r="L124" i="3"/>
  <c r="I124" i="3"/>
  <c r="O124" i="3"/>
  <c r="E84" i="7"/>
  <c r="D84" i="6"/>
  <c r="M84" i="6" s="1"/>
  <c r="I84" i="2"/>
  <c r="M84" i="4" s="1"/>
  <c r="W76" i="7"/>
  <c r="D76" i="5"/>
  <c r="M76" i="5" s="1"/>
  <c r="J76" i="7"/>
  <c r="I76" i="6"/>
  <c r="E68" i="5"/>
  <c r="G68" i="7"/>
  <c r="D68" i="7"/>
  <c r="M68" i="7" s="1"/>
  <c r="E68" i="2"/>
  <c r="J60" i="7"/>
  <c r="V60" i="7" s="1"/>
  <c r="E60" i="2"/>
  <c r="G60" i="6"/>
  <c r="G60" i="5"/>
  <c r="J52" i="6"/>
  <c r="J52" i="7"/>
  <c r="M52" i="4"/>
  <c r="E52" i="6"/>
  <c r="K52" i="5"/>
  <c r="C44" i="6"/>
  <c r="L44" i="6" s="1"/>
  <c r="F44" i="7"/>
  <c r="J44" i="5"/>
  <c r="K44" i="4"/>
  <c r="R44" i="2"/>
  <c r="W44" i="4" s="1"/>
  <c r="I12" i="4"/>
  <c r="C123" i="4"/>
  <c r="G91" i="3"/>
  <c r="M91" i="3"/>
  <c r="O91" i="3"/>
  <c r="W91" i="5" s="1"/>
  <c r="H91" i="3"/>
  <c r="I91" i="3"/>
  <c r="N91" i="3"/>
  <c r="E91" i="3"/>
  <c r="L91" i="3"/>
  <c r="T91" i="6" s="1"/>
  <c r="F91" i="3"/>
  <c r="N91" i="7" s="1"/>
  <c r="J91" i="3"/>
  <c r="C91" i="7"/>
  <c r="L91" i="7" s="1"/>
  <c r="E91" i="5"/>
  <c r="J91" i="7"/>
  <c r="F91" i="5"/>
  <c r="I83" i="4"/>
  <c r="G83" i="2"/>
  <c r="G83" i="6"/>
  <c r="D83" i="5"/>
  <c r="M83" i="5" s="1"/>
  <c r="K83" i="6"/>
  <c r="G67" i="2"/>
  <c r="N59" i="4"/>
  <c r="F59" i="6"/>
  <c r="G59" i="7"/>
  <c r="D59" i="7"/>
  <c r="M59" i="7" s="1"/>
  <c r="H59" i="3"/>
  <c r="E59" i="3"/>
  <c r="X59" i="2" s="1"/>
  <c r="R59" i="4" s="1"/>
  <c r="F59" i="3"/>
  <c r="N59" i="7" s="1"/>
  <c r="M59" i="3"/>
  <c r="U59" i="7" s="1"/>
  <c r="L59" i="3"/>
  <c r="T59" i="7" s="1"/>
  <c r="I59" i="3"/>
  <c r="N59" i="3"/>
  <c r="V59" i="7" s="1"/>
  <c r="G59" i="3"/>
  <c r="O59" i="6" s="1"/>
  <c r="O59" i="3"/>
  <c r="W59" i="2" s="1"/>
  <c r="AB59" i="4" s="1"/>
  <c r="J51" i="4"/>
  <c r="I51" i="2"/>
  <c r="K51" i="6"/>
  <c r="K51" i="2"/>
  <c r="F43" i="7"/>
  <c r="J35" i="6"/>
  <c r="C35" i="5"/>
  <c r="L35" i="5" s="1"/>
  <c r="J35" i="5"/>
  <c r="V35" i="5" s="1"/>
  <c r="D35" i="7"/>
  <c r="M35" i="7" s="1"/>
  <c r="K27" i="7"/>
  <c r="K27" i="5"/>
  <c r="K19" i="2"/>
  <c r="O19" i="4" s="1"/>
  <c r="G19" i="4"/>
  <c r="L19" i="2"/>
  <c r="C19" i="6"/>
  <c r="L19" i="6" s="1"/>
  <c r="C11" i="6"/>
  <c r="M90" i="2"/>
  <c r="Q90" i="4" s="1"/>
  <c r="H90" i="4"/>
  <c r="I90" i="5"/>
  <c r="F90" i="5"/>
  <c r="C90" i="2"/>
  <c r="C90" i="6"/>
  <c r="L90" i="6" s="1"/>
  <c r="I90" i="7"/>
  <c r="E74" i="6"/>
  <c r="M66" i="4"/>
  <c r="J66" i="6"/>
  <c r="D66" i="7"/>
  <c r="M66" i="7" s="1"/>
  <c r="M66" i="3"/>
  <c r="U66" i="6" s="1"/>
  <c r="L66" i="3"/>
  <c r="T66" i="6" s="1"/>
  <c r="J66" i="3"/>
  <c r="R66" i="2" s="1"/>
  <c r="W66" i="4" s="1"/>
  <c r="G66" i="3"/>
  <c r="I66" i="3"/>
  <c r="Q66" i="2" s="1"/>
  <c r="V66" i="4" s="1"/>
  <c r="H66" i="3"/>
  <c r="P66" i="2" s="1"/>
  <c r="U66" i="4" s="1"/>
  <c r="N66" i="3"/>
  <c r="E66" i="3"/>
  <c r="O66" i="3"/>
  <c r="F66" i="3"/>
  <c r="N66" i="2" s="1"/>
  <c r="S66" i="4" s="1"/>
  <c r="K58" i="6"/>
  <c r="F58" i="2"/>
  <c r="K42" i="4"/>
  <c r="P42" i="2"/>
  <c r="U42" i="4" s="1"/>
  <c r="P42" i="7"/>
  <c r="J26" i="4"/>
  <c r="I26" i="7"/>
  <c r="K26" i="5"/>
  <c r="N18" i="3"/>
  <c r="V18" i="5" s="1"/>
  <c r="E18" i="3"/>
  <c r="X18" i="7" s="1"/>
  <c r="L18" i="3"/>
  <c r="T18" i="2" s="1"/>
  <c r="M18" i="3"/>
  <c r="O18" i="3"/>
  <c r="W18" i="5" s="1"/>
  <c r="F18" i="3"/>
  <c r="N18" i="7" s="1"/>
  <c r="I18" i="3"/>
  <c r="Q18" i="5" s="1"/>
  <c r="J18" i="3"/>
  <c r="R18" i="5" s="1"/>
  <c r="K18" i="3"/>
  <c r="H18" i="3"/>
  <c r="P18" i="5" s="1"/>
  <c r="G18" i="3"/>
  <c r="M18" i="4"/>
  <c r="N18" i="4"/>
  <c r="G18" i="2"/>
  <c r="C40" i="6"/>
  <c r="L40" i="6" s="1"/>
  <c r="I40" i="3"/>
  <c r="N40" i="3"/>
  <c r="V40" i="5" s="1"/>
  <c r="G40" i="3"/>
  <c r="AC40" i="3"/>
  <c r="M40" i="3"/>
  <c r="E40" i="3"/>
  <c r="X40" i="7" s="1"/>
  <c r="O40" i="3"/>
  <c r="W40" i="2" s="1"/>
  <c r="AB40" i="4" s="1"/>
  <c r="H40" i="3"/>
  <c r="F40" i="3"/>
  <c r="N40" i="7" s="1"/>
  <c r="L40" i="3"/>
  <c r="T40" i="6" s="1"/>
  <c r="K40" i="5"/>
  <c r="J16" i="6"/>
  <c r="G16" i="2"/>
  <c r="W16" i="7"/>
  <c r="E111" i="3"/>
  <c r="F111" i="3"/>
  <c r="H111" i="3"/>
  <c r="I111" i="3"/>
  <c r="L111" i="3"/>
  <c r="K111" i="3"/>
  <c r="G111" i="3"/>
  <c r="M111" i="3"/>
  <c r="O111" i="3"/>
  <c r="J111" i="3"/>
  <c r="N111" i="3"/>
  <c r="E87" i="2"/>
  <c r="C87" i="2"/>
  <c r="C87" i="6"/>
  <c r="L87" i="6" s="1"/>
  <c r="J87" i="7"/>
  <c r="I71" i="6"/>
  <c r="I71" i="7"/>
  <c r="K71" i="2"/>
  <c r="E71" i="6"/>
  <c r="J39" i="7"/>
  <c r="E39" i="2"/>
  <c r="K39" i="6"/>
  <c r="J15" i="5"/>
  <c r="J15" i="6"/>
  <c r="E15" i="6"/>
  <c r="G15" i="6"/>
  <c r="E30" i="6"/>
  <c r="E30" i="2"/>
  <c r="I30" i="4" s="1"/>
  <c r="G30" i="2"/>
  <c r="K30" i="4" s="1"/>
  <c r="K30" i="5"/>
  <c r="G28" i="3"/>
  <c r="O28" i="2" s="1"/>
  <c r="T28" i="4" s="1"/>
  <c r="M28" i="3"/>
  <c r="U28" i="6" s="1"/>
  <c r="F28" i="3"/>
  <c r="N28" i="5" s="1"/>
  <c r="E28" i="3"/>
  <c r="AC28" i="3"/>
  <c r="H28" i="3"/>
  <c r="P28" i="2" s="1"/>
  <c r="U28" i="4" s="1"/>
  <c r="O28" i="3"/>
  <c r="W28" i="6" s="1"/>
  <c r="J28" i="3"/>
  <c r="R28" i="5" s="1"/>
  <c r="N28" i="3"/>
  <c r="V28" i="6" s="1"/>
  <c r="K28" i="3"/>
  <c r="L28" i="3"/>
  <c r="T28" i="7" s="1"/>
  <c r="I28" i="3"/>
  <c r="Q28" i="5" s="1"/>
  <c r="O28" i="4"/>
  <c r="G28" i="6"/>
  <c r="J28" i="7"/>
  <c r="C82" i="7"/>
  <c r="L82" i="7" s="1"/>
  <c r="K82" i="2"/>
  <c r="C82" i="2"/>
  <c r="C82" i="6"/>
  <c r="L82" i="6" s="1"/>
  <c r="G50" i="2"/>
  <c r="F50" i="7"/>
  <c r="K34" i="6"/>
  <c r="F34" i="2"/>
  <c r="D34" i="7"/>
  <c r="M34" i="7" s="1"/>
  <c r="E10" i="7"/>
  <c r="C10" i="2"/>
  <c r="F32" i="5"/>
  <c r="I32" i="7"/>
  <c r="G32" i="5"/>
  <c r="I24" i="7"/>
  <c r="K24" i="5"/>
  <c r="G24" i="6"/>
  <c r="I24" i="5"/>
  <c r="F24" i="3"/>
  <c r="I24" i="3"/>
  <c r="Q24" i="5" s="1"/>
  <c r="J24" i="3"/>
  <c r="R24" i="5" s="1"/>
  <c r="N24" i="3"/>
  <c r="G24" i="3"/>
  <c r="O24" i="7" s="1"/>
  <c r="O24" i="3"/>
  <c r="W24" i="6" s="1"/>
  <c r="M24" i="3"/>
  <c r="K24" i="3"/>
  <c r="L24" i="3"/>
  <c r="AC24" i="3"/>
  <c r="H24" i="3"/>
  <c r="E24" i="3"/>
  <c r="F8" i="5"/>
  <c r="C113" i="4"/>
  <c r="D89" i="6"/>
  <c r="M89" i="6" s="1"/>
  <c r="K89" i="7"/>
  <c r="K89" i="2"/>
  <c r="G89" i="3"/>
  <c r="N89" i="3"/>
  <c r="E89" i="3"/>
  <c r="X89" i="6" s="1"/>
  <c r="F89" i="3"/>
  <c r="N89" i="5" s="1"/>
  <c r="O89" i="3"/>
  <c r="W89" i="7" s="1"/>
  <c r="M89" i="3"/>
  <c r="I89" i="3"/>
  <c r="H89" i="3"/>
  <c r="L89" i="3"/>
  <c r="J89" i="3"/>
  <c r="K89" i="3"/>
  <c r="E81" i="6"/>
  <c r="I73" i="6"/>
  <c r="K73" i="7"/>
  <c r="I73" i="2"/>
  <c r="I65" i="2"/>
  <c r="F65" i="7"/>
  <c r="J57" i="2"/>
  <c r="K57" i="2"/>
  <c r="D57" i="2"/>
  <c r="G57" i="5"/>
  <c r="I49" i="4"/>
  <c r="I49" i="2"/>
  <c r="E49" i="5"/>
  <c r="J49" i="7"/>
  <c r="K41" i="6"/>
  <c r="K41" i="7"/>
  <c r="D41" i="2"/>
  <c r="E41" i="2"/>
  <c r="F33" i="2"/>
  <c r="G33" i="2"/>
  <c r="C33" i="7"/>
  <c r="L33" i="7" s="1"/>
  <c r="G25" i="6"/>
  <c r="D25" i="7"/>
  <c r="M25" i="7" s="1"/>
  <c r="C25" i="7"/>
  <c r="L25" i="7" s="1"/>
  <c r="F25" i="2"/>
  <c r="J25" i="7"/>
  <c r="G17" i="2"/>
  <c r="D17" i="7"/>
  <c r="I17" i="2"/>
  <c r="K17" i="2"/>
  <c r="C17" i="5"/>
  <c r="G9" i="2"/>
  <c r="J9" i="5"/>
  <c r="J9" i="6"/>
  <c r="F88" i="2"/>
  <c r="F88" i="6"/>
  <c r="K88" i="2"/>
  <c r="I88" i="6"/>
  <c r="J88" i="7"/>
  <c r="G80" i="6"/>
  <c r="G80" i="2"/>
  <c r="K80" i="5"/>
  <c r="F80" i="7"/>
  <c r="C72" i="7"/>
  <c r="L72" i="7" s="1"/>
  <c r="J72" i="7"/>
  <c r="E72" i="6"/>
  <c r="F72" i="7"/>
  <c r="D72" i="6"/>
  <c r="M72" i="6" s="1"/>
  <c r="G64" i="6"/>
  <c r="I64" i="2"/>
  <c r="E56" i="5"/>
  <c r="D56" i="7"/>
  <c r="M56" i="7" s="1"/>
  <c r="I56" i="7"/>
  <c r="K56" i="7"/>
  <c r="E48" i="3"/>
  <c r="X48" i="6" s="1"/>
  <c r="I48" i="3"/>
  <c r="Q48" i="7" s="1"/>
  <c r="O48" i="3"/>
  <c r="W48" i="2" s="1"/>
  <c r="AB48" i="4" s="1"/>
  <c r="L48" i="3"/>
  <c r="T48" i="6" s="1"/>
  <c r="G48" i="3"/>
  <c r="O48" i="5" s="1"/>
  <c r="AC48" i="3"/>
  <c r="N48" i="3"/>
  <c r="V48" i="2" s="1"/>
  <c r="AA48" i="4" s="1"/>
  <c r="H48" i="3"/>
  <c r="P48" i="7" s="1"/>
  <c r="F48" i="3"/>
  <c r="N48" i="2" s="1"/>
  <c r="S48" i="4" s="1"/>
  <c r="M48" i="3"/>
  <c r="U48" i="6" s="1"/>
  <c r="J48" i="6"/>
  <c r="G48" i="6"/>
  <c r="C127" i="4"/>
  <c r="F95" i="5"/>
  <c r="C95" i="6"/>
  <c r="L95" i="6" s="1"/>
  <c r="C95" i="2"/>
  <c r="K95" i="7"/>
  <c r="D95" i="2"/>
  <c r="K55" i="6"/>
  <c r="J55" i="7"/>
  <c r="C31" i="7"/>
  <c r="L31" i="7" s="1"/>
  <c r="F31" i="2"/>
  <c r="J31" i="7"/>
  <c r="D38" i="5"/>
  <c r="M38" i="5" s="1"/>
  <c r="J38" i="3"/>
  <c r="R38" i="6" s="1"/>
  <c r="E38" i="3"/>
  <c r="O38" i="3"/>
  <c r="W38" i="7" s="1"/>
  <c r="I38" i="3"/>
  <c r="Q38" i="6" s="1"/>
  <c r="L38" i="3"/>
  <c r="T38" i="6" s="1"/>
  <c r="H38" i="3"/>
  <c r="P38" i="6" s="1"/>
  <c r="G38" i="3"/>
  <c r="O38" i="6" s="1"/>
  <c r="F38" i="3"/>
  <c r="N38" i="5" s="1"/>
  <c r="M38" i="3"/>
  <c r="U38" i="6" s="1"/>
  <c r="AC38" i="3"/>
  <c r="K38" i="3"/>
  <c r="N38" i="3"/>
  <c r="V38" i="5" s="1"/>
  <c r="I38" i="6"/>
  <c r="C38" i="6"/>
  <c r="L38" i="6" s="1"/>
  <c r="K14" i="6"/>
  <c r="K14" i="5"/>
  <c r="O63" i="4"/>
  <c r="F63" i="3"/>
  <c r="L63" i="3"/>
  <c r="T63" i="5" s="1"/>
  <c r="M63" i="3"/>
  <c r="U63" i="5" s="1"/>
  <c r="G63" i="3"/>
  <c r="O63" i="5" s="1"/>
  <c r="I63" i="3"/>
  <c r="Q63" i="2" s="1"/>
  <c r="V63" i="4" s="1"/>
  <c r="N63" i="3"/>
  <c r="E63" i="3"/>
  <c r="X63" i="7" s="1"/>
  <c r="H63" i="3"/>
  <c r="P63" i="5" s="1"/>
  <c r="O63" i="3"/>
  <c r="N47" i="4"/>
  <c r="K47" i="4"/>
  <c r="H23" i="4"/>
  <c r="M23" i="2"/>
  <c r="Q23" i="4" s="1"/>
  <c r="C110" i="4"/>
  <c r="I94" i="4"/>
  <c r="G94" i="5"/>
  <c r="H86" i="4"/>
  <c r="M86" i="2"/>
  <c r="Q86" i="4" s="1"/>
  <c r="G86" i="7"/>
  <c r="O78" i="4"/>
  <c r="R62" i="7"/>
  <c r="R62" i="5"/>
  <c r="M54" i="4"/>
  <c r="I46" i="4"/>
  <c r="M36" i="4"/>
  <c r="L36" i="2"/>
  <c r="G36" i="4"/>
  <c r="C117" i="4"/>
  <c r="G93" i="6"/>
  <c r="G93" i="2"/>
  <c r="D85" i="7"/>
  <c r="M85" i="7" s="1"/>
  <c r="M69" i="4"/>
  <c r="I61" i="4"/>
  <c r="G61" i="4"/>
  <c r="L61" i="2"/>
  <c r="M53" i="2"/>
  <c r="Q53" i="4" s="1"/>
  <c r="H53" i="4"/>
  <c r="C45" i="6"/>
  <c r="L45" i="6" s="1"/>
  <c r="J45" i="6"/>
  <c r="F37" i="2"/>
  <c r="M29" i="2"/>
  <c r="Q29" i="4" s="1"/>
  <c r="H29" i="4"/>
  <c r="N29" i="4"/>
  <c r="E13" i="7"/>
  <c r="C116" i="4"/>
  <c r="C124" i="4"/>
  <c r="O84" i="4"/>
  <c r="F84" i="2"/>
  <c r="F84" i="6"/>
  <c r="N84" i="4"/>
  <c r="H76" i="4"/>
  <c r="M76" i="2"/>
  <c r="Q76" i="4" s="1"/>
  <c r="I68" i="3"/>
  <c r="Q68" i="5" s="1"/>
  <c r="L68" i="3"/>
  <c r="G68" i="3"/>
  <c r="O68" i="5" s="1"/>
  <c r="E68" i="3"/>
  <c r="X68" i="6" s="1"/>
  <c r="H68" i="3"/>
  <c r="J68" i="3"/>
  <c r="R68" i="5" s="1"/>
  <c r="K68" i="3"/>
  <c r="M68" i="3"/>
  <c r="U68" i="7" s="1"/>
  <c r="F68" i="3"/>
  <c r="N68" i="7" s="1"/>
  <c r="O68" i="3"/>
  <c r="W68" i="6" s="1"/>
  <c r="N68" i="3"/>
  <c r="N60" i="4"/>
  <c r="I60" i="5"/>
  <c r="G44" i="4"/>
  <c r="L44" i="2"/>
  <c r="I12" i="6"/>
  <c r="I12" i="5"/>
  <c r="F91" i="2"/>
  <c r="F91" i="6"/>
  <c r="K91" i="2"/>
  <c r="M91" i="4"/>
  <c r="F83" i="2"/>
  <c r="F83" i="6"/>
  <c r="F75" i="2"/>
  <c r="F75" i="6"/>
  <c r="F67" i="7"/>
  <c r="H67" i="3"/>
  <c r="P67" i="6" s="1"/>
  <c r="I67" i="3"/>
  <c r="Q67" i="6" s="1"/>
  <c r="E67" i="3"/>
  <c r="X67" i="6" s="1"/>
  <c r="G67" i="3"/>
  <c r="O67" i="6" s="1"/>
  <c r="L67" i="3"/>
  <c r="T67" i="5" s="1"/>
  <c r="O67" i="3"/>
  <c r="W67" i="2" s="1"/>
  <c r="AB67" i="4" s="1"/>
  <c r="F67" i="3"/>
  <c r="K67" i="3"/>
  <c r="M67" i="3"/>
  <c r="N67" i="3"/>
  <c r="V67" i="7" s="1"/>
  <c r="J67" i="3"/>
  <c r="R67" i="6" s="1"/>
  <c r="T59" i="6"/>
  <c r="J59" i="4"/>
  <c r="M43" i="4"/>
  <c r="N43" i="4"/>
  <c r="R35" i="6"/>
  <c r="V35" i="2"/>
  <c r="AA35" i="4" s="1"/>
  <c r="N35" i="4"/>
  <c r="H35" i="4"/>
  <c r="M35" i="2"/>
  <c r="Q35" i="4" s="1"/>
  <c r="M19" i="2"/>
  <c r="Q19" i="4" s="1"/>
  <c r="H19" i="4"/>
  <c r="G11" i="4"/>
  <c r="H11" i="3"/>
  <c r="P11" i="7" s="1"/>
  <c r="G11" i="3"/>
  <c r="O11" i="2" s="1"/>
  <c r="T11" i="4" s="1"/>
  <c r="J11" i="3"/>
  <c r="R11" i="2" s="1"/>
  <c r="W11" i="4" s="1"/>
  <c r="M11" i="3"/>
  <c r="U11" i="2" s="1"/>
  <c r="Z11" i="4" s="1"/>
  <c r="E11" i="3"/>
  <c r="X11" i="5" s="1"/>
  <c r="I11" i="3"/>
  <c r="Q11" i="7" s="1"/>
  <c r="F11" i="3"/>
  <c r="L11" i="3"/>
  <c r="T11" i="2" s="1"/>
  <c r="K11" i="3"/>
  <c r="N11" i="3"/>
  <c r="V11" i="2" s="1"/>
  <c r="AA11" i="4" s="1"/>
  <c r="O11" i="3"/>
  <c r="W11" i="2" s="1"/>
  <c r="AB11" i="4" s="1"/>
  <c r="G90" i="2"/>
  <c r="G90" i="6"/>
  <c r="P74" i="5"/>
  <c r="H74" i="4"/>
  <c r="M74" i="2"/>
  <c r="Q74" i="4" s="1"/>
  <c r="J66" i="4"/>
  <c r="I66" i="4"/>
  <c r="J26" i="2"/>
  <c r="J18" i="4"/>
  <c r="I18" i="4"/>
  <c r="K40" i="7"/>
  <c r="M16" i="4"/>
  <c r="N16" i="4"/>
  <c r="F87" i="5"/>
  <c r="G71" i="2"/>
  <c r="G71" i="6"/>
  <c r="C39" i="7"/>
  <c r="L39" i="7" s="1"/>
  <c r="K39" i="4"/>
  <c r="G39" i="6"/>
  <c r="G15" i="3"/>
  <c r="O15" i="7" s="1"/>
  <c r="O15" i="3"/>
  <c r="W15" i="2" s="1"/>
  <c r="AB15" i="4" s="1"/>
  <c r="N15" i="3"/>
  <c r="V15" i="2" s="1"/>
  <c r="AA15" i="4" s="1"/>
  <c r="J15" i="3"/>
  <c r="R15" i="2" s="1"/>
  <c r="W15" i="4" s="1"/>
  <c r="E15" i="3"/>
  <c r="H15" i="3"/>
  <c r="P15" i="7" s="1"/>
  <c r="M15" i="3"/>
  <c r="U15" i="2" s="1"/>
  <c r="Z15" i="4" s="1"/>
  <c r="L15" i="3"/>
  <c r="T15" i="2" s="1"/>
  <c r="F15" i="3"/>
  <c r="N15" i="6" s="1"/>
  <c r="K15" i="3"/>
  <c r="I15" i="3"/>
  <c r="Q15" i="5" s="1"/>
  <c r="I15" i="6"/>
  <c r="I15" i="5"/>
  <c r="O30" i="4"/>
  <c r="U30" i="2"/>
  <c r="Z30" i="4" s="1"/>
  <c r="L30" i="2"/>
  <c r="G30" i="4"/>
  <c r="L28" i="2"/>
  <c r="G28" i="4"/>
  <c r="C106" i="4"/>
  <c r="L50" i="2"/>
  <c r="G50" i="4"/>
  <c r="K10" i="6"/>
  <c r="K10" i="5"/>
  <c r="R10" i="6"/>
  <c r="G32" i="4"/>
  <c r="L32" i="2"/>
  <c r="I8" i="5"/>
  <c r="I8" i="6"/>
  <c r="N121" i="3"/>
  <c r="G121" i="3"/>
  <c r="I121" i="3"/>
  <c r="K121" i="3"/>
  <c r="L121" i="3"/>
  <c r="J121" i="3"/>
  <c r="M121" i="3"/>
  <c r="H121" i="3"/>
  <c r="O121" i="3"/>
  <c r="E121" i="3"/>
  <c r="F121" i="3"/>
  <c r="F81" i="2"/>
  <c r="F81" i="6"/>
  <c r="G81" i="6"/>
  <c r="G81" i="2"/>
  <c r="O81" i="4"/>
  <c r="K81" i="6"/>
  <c r="N73" i="4"/>
  <c r="P65" i="5"/>
  <c r="J65" i="4"/>
  <c r="F65" i="6"/>
  <c r="J57" i="4"/>
  <c r="J49" i="4"/>
  <c r="K41" i="4"/>
  <c r="L41" i="2"/>
  <c r="G41" i="4"/>
  <c r="J41" i="7"/>
  <c r="N33" i="4"/>
  <c r="H33" i="3"/>
  <c r="P33" i="7" s="1"/>
  <c r="F33" i="3"/>
  <c r="N33" i="5" s="1"/>
  <c r="G33" i="3"/>
  <c r="O33" i="7" s="1"/>
  <c r="J33" i="3"/>
  <c r="R33" i="5" s="1"/>
  <c r="K33" i="3"/>
  <c r="N33" i="3"/>
  <c r="V33" i="7" s="1"/>
  <c r="O33" i="3"/>
  <c r="W33" i="2" s="1"/>
  <c r="AB33" i="4" s="1"/>
  <c r="AC33" i="3"/>
  <c r="M33" i="3"/>
  <c r="U33" i="6" s="1"/>
  <c r="L33" i="3"/>
  <c r="T33" i="6" s="1"/>
  <c r="I33" i="3"/>
  <c r="Q33" i="7" s="1"/>
  <c r="E33" i="3"/>
  <c r="X33" i="5" s="1"/>
  <c r="N25" i="4"/>
  <c r="F25" i="7"/>
  <c r="K9" i="6"/>
  <c r="K9" i="5"/>
  <c r="E9" i="5"/>
  <c r="C88" i="6"/>
  <c r="L88" i="6" s="1"/>
  <c r="C88" i="2"/>
  <c r="C80" i="2"/>
  <c r="C80" i="6"/>
  <c r="L80" i="6" s="1"/>
  <c r="N64" i="4"/>
  <c r="K64" i="4"/>
  <c r="Q64" i="2"/>
  <c r="V64" i="4" s="1"/>
  <c r="H56" i="4"/>
  <c r="M56" i="2"/>
  <c r="Q56" i="4" s="1"/>
  <c r="J48" i="4"/>
  <c r="N48" i="4"/>
  <c r="N127" i="3"/>
  <c r="L127" i="3"/>
  <c r="M127" i="3"/>
  <c r="O127" i="3"/>
  <c r="H127" i="3"/>
  <c r="K127" i="3"/>
  <c r="J127" i="3"/>
  <c r="G127" i="3"/>
  <c r="F127" i="3"/>
  <c r="I127" i="3"/>
  <c r="E127" i="3"/>
  <c r="I95" i="7"/>
  <c r="L55" i="2"/>
  <c r="G55" i="4"/>
  <c r="K55" i="4"/>
  <c r="R55" i="2"/>
  <c r="W55" i="4" s="1"/>
  <c r="G55" i="6"/>
  <c r="G31" i="3"/>
  <c r="O31" i="2" s="1"/>
  <c r="T31" i="4" s="1"/>
  <c r="F31" i="3"/>
  <c r="N31" i="5" s="1"/>
  <c r="K31" i="3"/>
  <c r="AC31" i="3"/>
  <c r="N31" i="3"/>
  <c r="V31" i="6" s="1"/>
  <c r="H31" i="3"/>
  <c r="P31" i="7" s="1"/>
  <c r="I31" i="3"/>
  <c r="Q31" i="7" s="1"/>
  <c r="E31" i="3"/>
  <c r="X31" i="7" s="1"/>
  <c r="M31" i="3"/>
  <c r="U31" i="6" s="1"/>
  <c r="O31" i="3"/>
  <c r="W31" i="2" s="1"/>
  <c r="AB31" i="4" s="1"/>
  <c r="J31" i="3"/>
  <c r="R31" i="2" s="1"/>
  <c r="W31" i="4" s="1"/>
  <c r="L31" i="3"/>
  <c r="T31" i="6" s="1"/>
  <c r="I31" i="4"/>
  <c r="K31" i="7"/>
  <c r="M38" i="2"/>
  <c r="Q38" i="4" s="1"/>
  <c r="H38" i="4"/>
  <c r="N38" i="4"/>
  <c r="J38" i="6"/>
  <c r="C14" i="6"/>
  <c r="G14" i="7"/>
  <c r="K79" i="6"/>
  <c r="I79" i="2"/>
  <c r="G79" i="2"/>
  <c r="G79" i="6"/>
  <c r="D63" i="6"/>
  <c r="I63" i="4"/>
  <c r="D63" i="7"/>
  <c r="C63" i="2"/>
  <c r="F47" i="7"/>
  <c r="J47" i="6"/>
  <c r="C47" i="6"/>
  <c r="L47" i="6" s="1"/>
  <c r="W23" i="7"/>
  <c r="W94" i="7"/>
  <c r="F78" i="2"/>
  <c r="F78" i="6"/>
  <c r="J78" i="2"/>
  <c r="K70" i="6"/>
  <c r="E70" i="6"/>
  <c r="C62" i="5"/>
  <c r="L62" i="5" s="1"/>
  <c r="E62" i="2"/>
  <c r="J62" i="4"/>
  <c r="J54" i="2"/>
  <c r="N54" i="4" s="1"/>
  <c r="E54" i="3"/>
  <c r="N54" i="3"/>
  <c r="H54" i="3"/>
  <c r="P54" i="5" s="1"/>
  <c r="M54" i="3"/>
  <c r="F54" i="3"/>
  <c r="I54" i="3"/>
  <c r="K54" i="3"/>
  <c r="G54" i="3"/>
  <c r="O54" i="7" s="1"/>
  <c r="J54" i="3"/>
  <c r="R54" i="7" s="1"/>
  <c r="L54" i="3"/>
  <c r="T54" i="2" s="1"/>
  <c r="O54" i="3"/>
  <c r="M46" i="2"/>
  <c r="Q46" i="4" s="1"/>
  <c r="H46" i="4"/>
  <c r="E46" i="3"/>
  <c r="N46" i="3"/>
  <c r="V46" i="6" s="1"/>
  <c r="L46" i="3"/>
  <c r="T46" i="5" s="1"/>
  <c r="J46" i="3"/>
  <c r="R46" i="7" s="1"/>
  <c r="F46" i="3"/>
  <c r="N46" i="7" s="1"/>
  <c r="K46" i="3"/>
  <c r="I46" i="3"/>
  <c r="Q46" i="5" s="1"/>
  <c r="G46" i="3"/>
  <c r="M46" i="3"/>
  <c r="U46" i="5" s="1"/>
  <c r="O46" i="3"/>
  <c r="W46" i="7" s="1"/>
  <c r="AC46" i="3"/>
  <c r="H46" i="3"/>
  <c r="P46" i="2" s="1"/>
  <c r="U46" i="4" s="1"/>
  <c r="D46" i="5"/>
  <c r="M46" i="5" s="1"/>
  <c r="V36" i="5"/>
  <c r="F36" i="5"/>
  <c r="G20" i="4"/>
  <c r="L20" i="2"/>
  <c r="N20" i="3"/>
  <c r="V20" i="6" s="1"/>
  <c r="F20" i="3"/>
  <c r="N20" i="2" s="1"/>
  <c r="S20" i="4" s="1"/>
  <c r="J20" i="3"/>
  <c r="AC20" i="3"/>
  <c r="L20" i="3"/>
  <c r="T20" i="2" s="1"/>
  <c r="G20" i="3"/>
  <c r="O20" i="7" s="1"/>
  <c r="I20" i="3"/>
  <c r="M20" i="3"/>
  <c r="U20" i="2" s="1"/>
  <c r="Z20" i="4" s="1"/>
  <c r="O20" i="3"/>
  <c r="W20" i="5" s="1"/>
  <c r="H20" i="3"/>
  <c r="P20" i="2" s="1"/>
  <c r="U20" i="4" s="1"/>
  <c r="K20" i="3"/>
  <c r="E20" i="3"/>
  <c r="M20" i="2"/>
  <c r="Q20" i="4" s="1"/>
  <c r="H20" i="4"/>
  <c r="E93" i="2"/>
  <c r="E93" i="7"/>
  <c r="G85" i="2"/>
  <c r="G85" i="6"/>
  <c r="C77" i="6"/>
  <c r="L77" i="6" s="1"/>
  <c r="C77" i="2"/>
  <c r="H77" i="4"/>
  <c r="M77" i="2"/>
  <c r="Q77" i="4" s="1"/>
  <c r="C69" i="6"/>
  <c r="L69" i="6" s="1"/>
  <c r="C69" i="2"/>
  <c r="K61" i="5"/>
  <c r="D61" i="6"/>
  <c r="M61" i="6" s="1"/>
  <c r="G53" i="6"/>
  <c r="L37" i="2"/>
  <c r="G37" i="4"/>
  <c r="K37" i="4"/>
  <c r="Q29" i="5"/>
  <c r="I21" i="2"/>
  <c r="J13" i="6"/>
  <c r="J13" i="5"/>
  <c r="D13" i="7"/>
  <c r="E100" i="3"/>
  <c r="O100" i="3"/>
  <c r="M100" i="3"/>
  <c r="H100" i="3"/>
  <c r="G100" i="3"/>
  <c r="K100" i="3"/>
  <c r="F100" i="3"/>
  <c r="J100" i="3"/>
  <c r="I100" i="3"/>
  <c r="N100" i="3"/>
  <c r="L100" i="3"/>
  <c r="N92" i="4"/>
  <c r="D92" i="6"/>
  <c r="M92" i="6" s="1"/>
  <c r="V76" i="2"/>
  <c r="AA76" i="4" s="1"/>
  <c r="N76" i="4"/>
  <c r="I76" i="4"/>
  <c r="M76" i="4"/>
  <c r="W76" i="2"/>
  <c r="AB76" i="4" s="1"/>
  <c r="C68" i="6"/>
  <c r="L68" i="6" s="1"/>
  <c r="C68" i="2"/>
  <c r="I68" i="2"/>
  <c r="M68" i="4" s="1"/>
  <c r="K60" i="2"/>
  <c r="I60" i="7"/>
  <c r="L60" i="2"/>
  <c r="G60" i="4"/>
  <c r="F52" i="6"/>
  <c r="K52" i="3"/>
  <c r="G52" i="3"/>
  <c r="O52" i="5" s="1"/>
  <c r="E52" i="3"/>
  <c r="X52" i="5" s="1"/>
  <c r="F52" i="3"/>
  <c r="N52" i="5" s="1"/>
  <c r="M52" i="3"/>
  <c r="U52" i="7" s="1"/>
  <c r="I52" i="3"/>
  <c r="Q52" i="2" s="1"/>
  <c r="V52" i="4" s="1"/>
  <c r="J52" i="3"/>
  <c r="R52" i="5" s="1"/>
  <c r="O52" i="3"/>
  <c r="W52" i="5" s="1"/>
  <c r="L52" i="3"/>
  <c r="T52" i="7" s="1"/>
  <c r="N52" i="3"/>
  <c r="V52" i="5" s="1"/>
  <c r="H52" i="3"/>
  <c r="P52" i="7" s="1"/>
  <c r="H44" i="4"/>
  <c r="M44" i="2"/>
  <c r="Q44" i="4" s="1"/>
  <c r="J44" i="2"/>
  <c r="K12" i="4"/>
  <c r="D12" i="6"/>
  <c r="O12" i="3"/>
  <c r="W12" i="2" s="1"/>
  <c r="AB12" i="4" s="1"/>
  <c r="K12" i="3"/>
  <c r="I12" i="3"/>
  <c r="F12" i="3"/>
  <c r="N12" i="7" s="1"/>
  <c r="L12" i="3"/>
  <c r="T12" i="2" s="1"/>
  <c r="N12" i="3"/>
  <c r="V12" i="2" s="1"/>
  <c r="AA12" i="4" s="1"/>
  <c r="H12" i="3"/>
  <c r="P12" i="2" s="1"/>
  <c r="U12" i="4" s="1"/>
  <c r="J12" i="3"/>
  <c r="R12" i="2" s="1"/>
  <c r="W12" i="4" s="1"/>
  <c r="G12" i="3"/>
  <c r="O12" i="2" s="1"/>
  <c r="T12" i="4" s="1"/>
  <c r="E12" i="3"/>
  <c r="X12" i="2" s="1"/>
  <c r="R12" i="4" s="1"/>
  <c r="M12" i="3"/>
  <c r="U12" i="2" s="1"/>
  <c r="Z12" i="4" s="1"/>
  <c r="U91" i="6"/>
  <c r="I91" i="6"/>
  <c r="M83" i="4"/>
  <c r="G75" i="7"/>
  <c r="H75" i="4"/>
  <c r="M75" i="2"/>
  <c r="Q75" i="4" s="1"/>
  <c r="O75" i="4"/>
  <c r="F67" i="5"/>
  <c r="I59" i="4"/>
  <c r="D59" i="2"/>
  <c r="L51" i="2"/>
  <c r="G51" i="4"/>
  <c r="D51" i="7"/>
  <c r="M51" i="7" s="1"/>
  <c r="D51" i="2"/>
  <c r="V35" i="7"/>
  <c r="X27" i="5"/>
  <c r="C27" i="5"/>
  <c r="L27" i="5" s="1"/>
  <c r="C27" i="7"/>
  <c r="L27" i="7" s="1"/>
  <c r="E19" i="6"/>
  <c r="K19" i="6"/>
  <c r="K11" i="5"/>
  <c r="K11" i="6"/>
  <c r="E90" i="2"/>
  <c r="I74" i="6"/>
  <c r="D74" i="6"/>
  <c r="M74" i="6" s="1"/>
  <c r="N66" i="7"/>
  <c r="K66" i="4"/>
  <c r="M66" i="2"/>
  <c r="Q66" i="4" s="1"/>
  <c r="H66" i="4"/>
  <c r="N58" i="3"/>
  <c r="V58" i="2" s="1"/>
  <c r="AA58" i="4" s="1"/>
  <c r="I58" i="3"/>
  <c r="Q58" i="7" s="1"/>
  <c r="M58" i="3"/>
  <c r="U58" i="7" s="1"/>
  <c r="O58" i="3"/>
  <c r="W58" i="6" s="1"/>
  <c r="K58" i="3"/>
  <c r="J58" i="3"/>
  <c r="R58" i="5" s="1"/>
  <c r="H58" i="3"/>
  <c r="P58" i="7" s="1"/>
  <c r="L58" i="3"/>
  <c r="E58" i="3"/>
  <c r="X58" i="7" s="1"/>
  <c r="G58" i="3"/>
  <c r="F58" i="3"/>
  <c r="N58" i="6" s="1"/>
  <c r="X42" i="7"/>
  <c r="G42" i="4"/>
  <c r="L42" i="2"/>
  <c r="R42" i="5"/>
  <c r="P42" i="5"/>
  <c r="R26" i="5"/>
  <c r="O26" i="5"/>
  <c r="G26" i="6"/>
  <c r="G26" i="2"/>
  <c r="K26" i="4" s="1"/>
  <c r="O18" i="4"/>
  <c r="J40" i="4"/>
  <c r="F40" i="6"/>
  <c r="G40" i="6"/>
  <c r="G16" i="6"/>
  <c r="E87" i="5"/>
  <c r="M71" i="2"/>
  <c r="Q71" i="4" s="1"/>
  <c r="H71" i="4"/>
  <c r="G39" i="5"/>
  <c r="F15" i="5"/>
  <c r="K15" i="6"/>
  <c r="K15" i="5"/>
  <c r="H15" i="4"/>
  <c r="M30" i="4"/>
  <c r="I30" i="6"/>
  <c r="F28" i="6"/>
  <c r="K28" i="4"/>
  <c r="J28" i="2"/>
  <c r="E28" i="2"/>
  <c r="N82" i="4"/>
  <c r="F82" i="2"/>
  <c r="F82" i="6"/>
  <c r="M82" i="3"/>
  <c r="O82" i="3"/>
  <c r="J82" i="3"/>
  <c r="R82" i="5" s="1"/>
  <c r="I82" i="3"/>
  <c r="Q82" i="5" s="1"/>
  <c r="N82" i="3"/>
  <c r="L82" i="3"/>
  <c r="H82" i="3"/>
  <c r="P82" i="5" s="1"/>
  <c r="E82" i="3"/>
  <c r="X82" i="6" s="1"/>
  <c r="G82" i="3"/>
  <c r="K82" i="3"/>
  <c r="F82" i="3"/>
  <c r="N82" i="7" s="1"/>
  <c r="I50" i="4"/>
  <c r="X50" i="2"/>
  <c r="R50" i="4" s="1"/>
  <c r="M50" i="4"/>
  <c r="J34" i="5"/>
  <c r="E34" i="5"/>
  <c r="J34" i="2"/>
  <c r="K34" i="4"/>
  <c r="N34" i="3"/>
  <c r="M34" i="3"/>
  <c r="U34" i="2" s="1"/>
  <c r="Z34" i="4" s="1"/>
  <c r="J34" i="3"/>
  <c r="R34" i="2" s="1"/>
  <c r="W34" i="4" s="1"/>
  <c r="AC34" i="3"/>
  <c r="H34" i="3"/>
  <c r="P34" i="7" s="1"/>
  <c r="F34" i="3"/>
  <c r="O34" i="3"/>
  <c r="W34" i="7" s="1"/>
  <c r="K34" i="3"/>
  <c r="G34" i="3"/>
  <c r="O34" i="2" s="1"/>
  <c r="T34" i="4" s="1"/>
  <c r="L34" i="3"/>
  <c r="T34" i="2" s="1"/>
  <c r="I34" i="3"/>
  <c r="Q34" i="7" s="1"/>
  <c r="E34" i="3"/>
  <c r="X34" i="7" s="1"/>
  <c r="J10" i="4"/>
  <c r="I32" i="6"/>
  <c r="H32" i="4"/>
  <c r="M32" i="2"/>
  <c r="Q32" i="4" s="1"/>
  <c r="F24" i="7"/>
  <c r="J8" i="6"/>
  <c r="J8" i="5"/>
  <c r="D8" i="5"/>
  <c r="M8" i="5" s="1"/>
  <c r="G8" i="3"/>
  <c r="E8" i="3"/>
  <c r="X8" i="7" s="1"/>
  <c r="H8" i="3"/>
  <c r="P8" i="6" s="1"/>
  <c r="J8" i="3"/>
  <c r="F8" i="3"/>
  <c r="N8" i="6" s="1"/>
  <c r="K8" i="3"/>
  <c r="O8" i="3"/>
  <c r="W8" i="2" s="1"/>
  <c r="AB8" i="4" s="1"/>
  <c r="I8" i="3"/>
  <c r="Q8" i="6" s="1"/>
  <c r="M8" i="3"/>
  <c r="U8" i="2" s="1"/>
  <c r="Z8" i="4" s="1"/>
  <c r="N8" i="3"/>
  <c r="V8" i="2" s="1"/>
  <c r="AA8" i="4" s="1"/>
  <c r="L8" i="3"/>
  <c r="R8" i="6"/>
  <c r="C121" i="4"/>
  <c r="K81" i="3"/>
  <c r="H81" i="3"/>
  <c r="P81" i="5" s="1"/>
  <c r="E81" i="3"/>
  <c r="X81" i="5" s="1"/>
  <c r="O81" i="3"/>
  <c r="W81" i="5" s="1"/>
  <c r="G81" i="3"/>
  <c r="O81" i="7" s="1"/>
  <c r="M81" i="3"/>
  <c r="U81" i="2" s="1"/>
  <c r="Z81" i="4" s="1"/>
  <c r="I81" i="3"/>
  <c r="Q81" i="5" s="1"/>
  <c r="N81" i="3"/>
  <c r="J81" i="3"/>
  <c r="R81" i="7" s="1"/>
  <c r="L81" i="3"/>
  <c r="T81" i="2" s="1"/>
  <c r="F81" i="3"/>
  <c r="N81" i="5" s="1"/>
  <c r="N73" i="3"/>
  <c r="V73" i="2" s="1"/>
  <c r="AA73" i="4" s="1"/>
  <c r="J73" i="3"/>
  <c r="K73" i="3"/>
  <c r="G73" i="3"/>
  <c r="O73" i="5" s="1"/>
  <c r="I73" i="3"/>
  <c r="Q73" i="5" s="1"/>
  <c r="O73" i="3"/>
  <c r="W73" i="7" s="1"/>
  <c r="L73" i="3"/>
  <c r="T73" i="6" s="1"/>
  <c r="H73" i="3"/>
  <c r="P73" i="5" s="1"/>
  <c r="M73" i="3"/>
  <c r="U73" i="6" s="1"/>
  <c r="F73" i="3"/>
  <c r="N73" i="5" s="1"/>
  <c r="E73" i="3"/>
  <c r="X73" i="2" s="1"/>
  <c r="R73" i="4" s="1"/>
  <c r="F73" i="2"/>
  <c r="F73" i="6"/>
  <c r="H65" i="4"/>
  <c r="M65" i="2"/>
  <c r="Q65" i="4" s="1"/>
  <c r="K65" i="7"/>
  <c r="V57" i="5"/>
  <c r="J41" i="4"/>
  <c r="G33" i="6"/>
  <c r="D25" i="5"/>
  <c r="M25" i="5" s="1"/>
  <c r="G25" i="4"/>
  <c r="L25" i="2"/>
  <c r="K17" i="5"/>
  <c r="N17" i="4"/>
  <c r="G9" i="7"/>
  <c r="G88" i="2"/>
  <c r="G88" i="6"/>
  <c r="I80" i="5"/>
  <c r="K80" i="3"/>
  <c r="E80" i="3"/>
  <c r="F80" i="3"/>
  <c r="N80" i="7" s="1"/>
  <c r="L80" i="3"/>
  <c r="J80" i="3"/>
  <c r="N80" i="3"/>
  <c r="V80" i="6" s="1"/>
  <c r="O80" i="3"/>
  <c r="W80" i="6" s="1"/>
  <c r="I80" i="3"/>
  <c r="Q80" i="7" s="1"/>
  <c r="H80" i="3"/>
  <c r="P80" i="7" s="1"/>
  <c r="G80" i="3"/>
  <c r="M80" i="3"/>
  <c r="F72" i="2"/>
  <c r="F72" i="6"/>
  <c r="C72" i="2"/>
  <c r="C72" i="6"/>
  <c r="L72" i="6" s="1"/>
  <c r="M64" i="2"/>
  <c r="Q64" i="4" s="1"/>
  <c r="H64" i="4"/>
  <c r="I64" i="6"/>
  <c r="G48" i="4"/>
  <c r="L48" i="2"/>
  <c r="E48" i="5"/>
  <c r="I95" i="5"/>
  <c r="G95" i="2"/>
  <c r="G95" i="6"/>
  <c r="V95" i="6"/>
  <c r="R55" i="5"/>
  <c r="K31" i="2"/>
  <c r="K31" i="5"/>
  <c r="G38" i="5"/>
  <c r="K38" i="2"/>
  <c r="D38" i="7"/>
  <c r="M38" i="7" s="1"/>
  <c r="J14" i="5"/>
  <c r="J14" i="6"/>
  <c r="F14" i="7"/>
  <c r="I14" i="5"/>
  <c r="I14" i="6"/>
  <c r="I47" i="2"/>
  <c r="M47" i="4" s="1"/>
  <c r="E47" i="7"/>
  <c r="E47" i="2"/>
  <c r="M23" i="4"/>
  <c r="W23" i="2"/>
  <c r="AB23" i="4" s="1"/>
  <c r="I126" i="3"/>
  <c r="F126" i="3"/>
  <c r="E126" i="3"/>
  <c r="O126" i="3"/>
  <c r="J126" i="3"/>
  <c r="L126" i="3"/>
  <c r="M126" i="3"/>
  <c r="N126" i="3"/>
  <c r="G126" i="3"/>
  <c r="K126" i="3"/>
  <c r="H126" i="3"/>
  <c r="G118" i="3"/>
  <c r="M118" i="3"/>
  <c r="J118" i="3"/>
  <c r="N118" i="3"/>
  <c r="O118" i="3"/>
  <c r="K118" i="3"/>
  <c r="L118" i="3"/>
  <c r="H118" i="3"/>
  <c r="F118" i="3"/>
  <c r="E118" i="3"/>
  <c r="I118" i="3"/>
  <c r="F94" i="6"/>
  <c r="F94" i="2"/>
  <c r="C94" i="6"/>
  <c r="L94" i="6" s="1"/>
  <c r="C94" i="2"/>
  <c r="N86" i="4"/>
  <c r="F86" i="2"/>
  <c r="F86" i="6"/>
  <c r="M78" i="4"/>
  <c r="M70" i="2"/>
  <c r="Q70" i="4" s="1"/>
  <c r="H70" i="4"/>
  <c r="H62" i="4"/>
  <c r="M62" i="2"/>
  <c r="Q62" i="4" s="1"/>
  <c r="D62" i="6"/>
  <c r="M62" i="6" s="1"/>
  <c r="O54" i="4"/>
  <c r="C54" i="6"/>
  <c r="L54" i="6" s="1"/>
  <c r="D46" i="6"/>
  <c r="M46" i="6" s="1"/>
  <c r="K46" i="4"/>
  <c r="N36" i="4"/>
  <c r="V36" i="2"/>
  <c r="AA36" i="4" s="1"/>
  <c r="J20" i="5"/>
  <c r="M125" i="3"/>
  <c r="G125" i="3"/>
  <c r="E125" i="3"/>
  <c r="O125" i="3"/>
  <c r="I125" i="3"/>
  <c r="F125" i="3"/>
  <c r="H125" i="3"/>
  <c r="N125" i="3"/>
  <c r="L125" i="3"/>
  <c r="J125" i="3"/>
  <c r="K125" i="3"/>
  <c r="M93" i="2"/>
  <c r="Q93" i="4" s="1"/>
  <c r="H93" i="4"/>
  <c r="D85" i="2"/>
  <c r="I69" i="6"/>
  <c r="G69" i="2"/>
  <c r="G69" i="6"/>
  <c r="N53" i="5"/>
  <c r="J53" i="4"/>
  <c r="D53" i="6"/>
  <c r="M53" i="6" s="1"/>
  <c r="K53" i="6"/>
  <c r="I45" i="4"/>
  <c r="G37" i="6"/>
  <c r="H37" i="4"/>
  <c r="M37" i="2"/>
  <c r="Q37" i="4" s="1"/>
  <c r="I29" i="4"/>
  <c r="K29" i="4"/>
  <c r="I29" i="7"/>
  <c r="D21" i="2"/>
  <c r="G21" i="7"/>
  <c r="E21" i="2"/>
  <c r="K21" i="6"/>
  <c r="I13" i="5"/>
  <c r="I13" i="6"/>
  <c r="D13" i="2"/>
  <c r="H13" i="4" s="1"/>
  <c r="P13" i="6"/>
  <c r="G13" i="2"/>
  <c r="C108" i="4"/>
  <c r="F92" i="2"/>
  <c r="F92" i="6"/>
  <c r="G92" i="7"/>
  <c r="C92" i="5"/>
  <c r="L92" i="5" s="1"/>
  <c r="O84" i="3"/>
  <c r="E84" i="3"/>
  <c r="X84" i="6" s="1"/>
  <c r="I84" i="3"/>
  <c r="Q84" i="7" s="1"/>
  <c r="J84" i="3"/>
  <c r="R84" i="7" s="1"/>
  <c r="K84" i="3"/>
  <c r="G84" i="3"/>
  <c r="O84" i="7" s="1"/>
  <c r="H84" i="3"/>
  <c r="P84" i="7" s="1"/>
  <c r="M84" i="3"/>
  <c r="U84" i="2" s="1"/>
  <c r="Z84" i="4" s="1"/>
  <c r="N84" i="3"/>
  <c r="V84" i="7" s="1"/>
  <c r="F84" i="3"/>
  <c r="N84" i="7" s="1"/>
  <c r="L84" i="3"/>
  <c r="T84" i="2" s="1"/>
  <c r="F76" i="6"/>
  <c r="N76" i="6" s="1"/>
  <c r="F76" i="2"/>
  <c r="C76" i="5"/>
  <c r="L76" i="5" s="1"/>
  <c r="E76" i="5"/>
  <c r="N76" i="5"/>
  <c r="F68" i="2"/>
  <c r="F68" i="6"/>
  <c r="C68" i="7"/>
  <c r="L68" i="7" s="1"/>
  <c r="K60" i="4"/>
  <c r="Q60" i="2"/>
  <c r="V60" i="4" s="1"/>
  <c r="J60" i="4"/>
  <c r="K52" i="2"/>
  <c r="C52" i="2"/>
  <c r="F44" i="5"/>
  <c r="N44" i="5" s="1"/>
  <c r="K44" i="5"/>
  <c r="D12" i="7"/>
  <c r="J12" i="4"/>
  <c r="O99" i="3"/>
  <c r="E99" i="3"/>
  <c r="K99" i="3"/>
  <c r="J99" i="3"/>
  <c r="N99" i="3"/>
  <c r="I99" i="3"/>
  <c r="G99" i="3"/>
  <c r="L99" i="3"/>
  <c r="M99" i="3"/>
  <c r="H99" i="3"/>
  <c r="F99" i="3"/>
  <c r="D91" i="7"/>
  <c r="M91" i="7" s="1"/>
  <c r="E91" i="6"/>
  <c r="J91" i="2"/>
  <c r="N91" i="4" s="1"/>
  <c r="D91" i="5"/>
  <c r="M91" i="5" s="1"/>
  <c r="F83" i="7"/>
  <c r="H83" i="3"/>
  <c r="P83" i="5" s="1"/>
  <c r="G83" i="3"/>
  <c r="O83" i="7" s="1"/>
  <c r="E83" i="3"/>
  <c r="X83" i="2" s="1"/>
  <c r="R83" i="4" s="1"/>
  <c r="K83" i="3"/>
  <c r="O83" i="3"/>
  <c r="F83" i="3"/>
  <c r="N83" i="5" s="1"/>
  <c r="L83" i="3"/>
  <c r="T83" i="2" s="1"/>
  <c r="N83" i="3"/>
  <c r="V83" i="2" s="1"/>
  <c r="AA83" i="4" s="1"/>
  <c r="J83" i="3"/>
  <c r="I83" i="3"/>
  <c r="Q83" i="5" s="1"/>
  <c r="M83" i="3"/>
  <c r="U83" i="5" s="1"/>
  <c r="D83" i="2"/>
  <c r="C75" i="2"/>
  <c r="C75" i="6"/>
  <c r="L75" i="6" s="1"/>
  <c r="I75" i="6"/>
  <c r="W75" i="6" s="1"/>
  <c r="D75" i="6"/>
  <c r="M75" i="6" s="1"/>
  <c r="F75" i="7"/>
  <c r="M67" i="2"/>
  <c r="Q67" i="4" s="1"/>
  <c r="H67" i="4"/>
  <c r="C67" i="6"/>
  <c r="L67" i="6" s="1"/>
  <c r="C67" i="2"/>
  <c r="I67" i="6"/>
  <c r="I59" i="6"/>
  <c r="C59" i="6"/>
  <c r="L59" i="6" s="1"/>
  <c r="I59" i="7"/>
  <c r="F51" i="6"/>
  <c r="O51" i="7"/>
  <c r="P51" i="7"/>
  <c r="F43" i="3"/>
  <c r="H43" i="3"/>
  <c r="L43" i="3"/>
  <c r="T43" i="2" s="1"/>
  <c r="K43" i="3"/>
  <c r="I43" i="3"/>
  <c r="Q43" i="7" s="1"/>
  <c r="AC43" i="3"/>
  <c r="O43" i="3"/>
  <c r="W43" i="5" s="1"/>
  <c r="G43" i="3"/>
  <c r="J43" i="3"/>
  <c r="R43" i="6" s="1"/>
  <c r="M43" i="3"/>
  <c r="U43" i="2" s="1"/>
  <c r="Z43" i="4" s="1"/>
  <c r="N43" i="3"/>
  <c r="E43" i="3"/>
  <c r="D43" i="7"/>
  <c r="M43" i="7" s="1"/>
  <c r="J43" i="7"/>
  <c r="D43" i="5"/>
  <c r="M43" i="5" s="1"/>
  <c r="G43" i="2"/>
  <c r="D43" i="2"/>
  <c r="I35" i="5"/>
  <c r="I35" i="7"/>
  <c r="C27" i="2"/>
  <c r="F27" i="6"/>
  <c r="K27" i="2"/>
  <c r="O27" i="4" s="1"/>
  <c r="F27" i="7"/>
  <c r="F19" i="5"/>
  <c r="G19" i="2"/>
  <c r="J19" i="3"/>
  <c r="M19" i="3"/>
  <c r="I19" i="3"/>
  <c r="Q19" i="5" s="1"/>
  <c r="H19" i="3"/>
  <c r="P19" i="5" s="1"/>
  <c r="E19" i="3"/>
  <c r="X19" i="2" s="1"/>
  <c r="R19" i="4" s="1"/>
  <c r="L19" i="3"/>
  <c r="G19" i="3"/>
  <c r="O19" i="7" s="1"/>
  <c r="N19" i="3"/>
  <c r="V19" i="7" s="1"/>
  <c r="F19" i="3"/>
  <c r="O19" i="3"/>
  <c r="K19" i="3"/>
  <c r="M19" i="4"/>
  <c r="F11" i="2"/>
  <c r="D11" i="5"/>
  <c r="D90" i="6"/>
  <c r="M90" i="6" s="1"/>
  <c r="G90" i="3"/>
  <c r="O90" i="7" s="1"/>
  <c r="L90" i="3"/>
  <c r="T90" i="6" s="1"/>
  <c r="E90" i="3"/>
  <c r="X90" i="6" s="1"/>
  <c r="J90" i="3"/>
  <c r="R90" i="7" s="1"/>
  <c r="I90" i="3"/>
  <c r="Q90" i="7" s="1"/>
  <c r="H90" i="3"/>
  <c r="P90" i="7" s="1"/>
  <c r="N90" i="3"/>
  <c r="O90" i="3"/>
  <c r="W90" i="6" s="1"/>
  <c r="M90" i="3"/>
  <c r="U90" i="6" s="1"/>
  <c r="F90" i="3"/>
  <c r="N90" i="7" s="1"/>
  <c r="E90" i="7"/>
  <c r="G90" i="5"/>
  <c r="I74" i="4"/>
  <c r="G74" i="7"/>
  <c r="J66" i="7"/>
  <c r="V66" i="7" s="1"/>
  <c r="K66" i="7"/>
  <c r="I58" i="7"/>
  <c r="D58" i="6"/>
  <c r="M58" i="6" s="1"/>
  <c r="J58" i="6"/>
  <c r="I58" i="2"/>
  <c r="U42" i="7"/>
  <c r="G42" i="6"/>
  <c r="J42" i="6"/>
  <c r="V42" i="6" s="1"/>
  <c r="I42" i="6"/>
  <c r="D42" i="2"/>
  <c r="K42" i="6"/>
  <c r="I26" i="5"/>
  <c r="C26" i="5"/>
  <c r="L26" i="5" s="1"/>
  <c r="G18" i="7"/>
  <c r="K18" i="6"/>
  <c r="F18" i="6"/>
  <c r="C18" i="2"/>
  <c r="C18" i="5"/>
  <c r="L18" i="5" s="1"/>
  <c r="E18" i="5"/>
  <c r="G40" i="2"/>
  <c r="D40" i="6"/>
  <c r="M40" i="6" s="1"/>
  <c r="E16" i="6"/>
  <c r="F87" i="6"/>
  <c r="F87" i="2"/>
  <c r="D87" i="2"/>
  <c r="I87" i="7"/>
  <c r="J87" i="5"/>
  <c r="E87" i="7"/>
  <c r="I71" i="2"/>
  <c r="I39" i="2"/>
  <c r="J39" i="4"/>
  <c r="M39" i="2"/>
  <c r="Q39" i="4" s="1"/>
  <c r="H39" i="4"/>
  <c r="O39" i="4"/>
  <c r="I39" i="5"/>
  <c r="E15" i="7"/>
  <c r="J30" i="6"/>
  <c r="F30" i="6"/>
  <c r="C30" i="6"/>
  <c r="L30" i="6" s="1"/>
  <c r="J30" i="7"/>
  <c r="J30" i="5"/>
  <c r="V30" i="5" s="1"/>
  <c r="F28" i="7"/>
  <c r="M28" i="2"/>
  <c r="Q28" i="4" s="1"/>
  <c r="H28" i="4"/>
  <c r="F28" i="2"/>
  <c r="J28" i="5"/>
  <c r="C82" i="5"/>
  <c r="L82" i="5" s="1"/>
  <c r="D82" i="6"/>
  <c r="M82" i="6" s="1"/>
  <c r="J82" i="5"/>
  <c r="E82" i="7"/>
  <c r="J50" i="5"/>
  <c r="D50" i="7"/>
  <c r="M50" i="7" s="1"/>
  <c r="O34" i="4"/>
  <c r="G34" i="5"/>
  <c r="F10" i="6"/>
  <c r="D10" i="6"/>
  <c r="D10" i="7"/>
  <c r="E10" i="2"/>
  <c r="K32" i="7"/>
  <c r="D32" i="6"/>
  <c r="M32" i="6" s="1"/>
  <c r="J32" i="7"/>
  <c r="I32" i="3"/>
  <c r="Q32" i="7" s="1"/>
  <c r="J32" i="3"/>
  <c r="R32" i="6" s="1"/>
  <c r="AC32" i="3"/>
  <c r="G32" i="3"/>
  <c r="O32" i="3"/>
  <c r="W32" i="5" s="1"/>
  <c r="L32" i="3"/>
  <c r="K32" i="3"/>
  <c r="N32" i="3"/>
  <c r="V32" i="7" s="1"/>
  <c r="M32" i="3"/>
  <c r="E32" i="3"/>
  <c r="X32" i="5" s="1"/>
  <c r="H32" i="3"/>
  <c r="P32" i="7" s="1"/>
  <c r="F32" i="3"/>
  <c r="N32" i="7" s="1"/>
  <c r="H24" i="4"/>
  <c r="M24" i="2"/>
  <c r="Q24" i="4" s="1"/>
  <c r="D24" i="6"/>
  <c r="M24" i="6" s="1"/>
  <c r="G8" i="5"/>
  <c r="K8" i="5"/>
  <c r="K8" i="6"/>
  <c r="G89" i="7"/>
  <c r="M89" i="4"/>
  <c r="J89" i="2"/>
  <c r="E89" i="5"/>
  <c r="K89" i="5"/>
  <c r="M81" i="2"/>
  <c r="Q81" i="4" s="1"/>
  <c r="H81" i="4"/>
  <c r="I81" i="6"/>
  <c r="J81" i="5"/>
  <c r="C73" i="2"/>
  <c r="C73" i="6"/>
  <c r="L73" i="6" s="1"/>
  <c r="F73" i="7"/>
  <c r="G73" i="2"/>
  <c r="G73" i="6"/>
  <c r="I73" i="4"/>
  <c r="E65" i="6"/>
  <c r="D65" i="6"/>
  <c r="M65" i="6" s="1"/>
  <c r="C65" i="6"/>
  <c r="L65" i="6" s="1"/>
  <c r="C57" i="6"/>
  <c r="L57" i="6" s="1"/>
  <c r="K57" i="5"/>
  <c r="G57" i="6"/>
  <c r="K49" i="2"/>
  <c r="H49" i="4"/>
  <c r="M49" i="2"/>
  <c r="Q49" i="4" s="1"/>
  <c r="G49" i="7"/>
  <c r="E49" i="6"/>
  <c r="G49" i="2"/>
  <c r="K49" i="4" s="1"/>
  <c r="F41" i="6"/>
  <c r="E41" i="6"/>
  <c r="K41" i="5"/>
  <c r="G41" i="5"/>
  <c r="I33" i="6"/>
  <c r="F33" i="7"/>
  <c r="C33" i="2"/>
  <c r="K25" i="7"/>
  <c r="I25" i="5"/>
  <c r="F17" i="6"/>
  <c r="I17" i="6"/>
  <c r="I17" i="7"/>
  <c r="F17" i="5"/>
  <c r="D17" i="5"/>
  <c r="F9" i="2"/>
  <c r="D9" i="5"/>
  <c r="M9" i="5" s="1"/>
  <c r="E9" i="7"/>
  <c r="F88" i="5"/>
  <c r="D88" i="6"/>
  <c r="M88" i="6" s="1"/>
  <c r="D88" i="5"/>
  <c r="M88" i="5" s="1"/>
  <c r="D88" i="7"/>
  <c r="M88" i="7" s="1"/>
  <c r="K80" i="6"/>
  <c r="D80" i="2"/>
  <c r="K80" i="7"/>
  <c r="I72" i="5"/>
  <c r="K72" i="2"/>
  <c r="J72" i="5"/>
  <c r="C64" i="2"/>
  <c r="F64" i="5"/>
  <c r="F64" i="2"/>
  <c r="E64" i="7"/>
  <c r="F64" i="7"/>
  <c r="C56" i="5"/>
  <c r="L56" i="5" s="1"/>
  <c r="G56" i="7"/>
  <c r="F56" i="2"/>
  <c r="J56" i="7"/>
  <c r="M48" i="2"/>
  <c r="Q48" i="4" s="1"/>
  <c r="H48" i="4"/>
  <c r="R48" i="2"/>
  <c r="W48" i="4" s="1"/>
  <c r="K48" i="4"/>
  <c r="I48" i="6"/>
  <c r="K48" i="5"/>
  <c r="D95" i="6"/>
  <c r="M95" i="6" s="1"/>
  <c r="K95" i="2"/>
  <c r="M55" i="2"/>
  <c r="Q55" i="4" s="1"/>
  <c r="H55" i="4"/>
  <c r="C55" i="6"/>
  <c r="L55" i="6" s="1"/>
  <c r="J55" i="5"/>
  <c r="I31" i="5"/>
  <c r="D31" i="5"/>
  <c r="M31" i="5" s="1"/>
  <c r="G38" i="7"/>
  <c r="G38" i="2"/>
  <c r="J38" i="7"/>
  <c r="M38" i="4"/>
  <c r="O14" i="3"/>
  <c r="L14" i="3"/>
  <c r="T14" i="2" s="1"/>
  <c r="G14" i="3"/>
  <c r="O14" i="6" s="1"/>
  <c r="M14" i="3"/>
  <c r="U14" i="2" s="1"/>
  <c r="Z14" i="4" s="1"/>
  <c r="F14" i="3"/>
  <c r="N14" i="2" s="1"/>
  <c r="S14" i="4" s="1"/>
  <c r="J14" i="3"/>
  <c r="R14" i="6" s="1"/>
  <c r="H14" i="3"/>
  <c r="E14" i="3"/>
  <c r="I14" i="3"/>
  <c r="Q14" i="6" s="1"/>
  <c r="K14" i="3"/>
  <c r="N14" i="3"/>
  <c r="V14" i="2" s="1"/>
  <c r="AA14" i="4" s="1"/>
  <c r="G14" i="5"/>
  <c r="L99" i="2" l="1"/>
  <c r="P99" i="4" s="1"/>
  <c r="G99" i="4"/>
  <c r="W78" i="5"/>
  <c r="V55" i="5"/>
  <c r="N28" i="6"/>
  <c r="T69" i="7"/>
  <c r="W61" i="7"/>
  <c r="V49" i="2"/>
  <c r="AA49" i="4" s="1"/>
  <c r="V45" i="6"/>
  <c r="X69" i="5"/>
  <c r="N39" i="6"/>
  <c r="T11" i="7"/>
  <c r="O13" i="6"/>
  <c r="R45" i="7"/>
  <c r="W30" i="6"/>
  <c r="W71" i="6"/>
  <c r="W70" i="7"/>
  <c r="P23" i="2"/>
  <c r="U23" i="4" s="1"/>
  <c r="V44" i="7"/>
  <c r="R66" i="7"/>
  <c r="O43" i="5"/>
  <c r="N85" i="5"/>
  <c r="W31" i="6"/>
  <c r="N34" i="6"/>
  <c r="U42" i="5"/>
  <c r="O64" i="2"/>
  <c r="T64" i="4" s="1"/>
  <c r="Q23" i="6"/>
  <c r="U24" i="2"/>
  <c r="Z24" i="4" s="1"/>
  <c r="W10" i="7"/>
  <c r="W93" i="7"/>
  <c r="O62" i="6"/>
  <c r="W25" i="5"/>
  <c r="T55" i="7"/>
  <c r="P69" i="5"/>
  <c r="R69" i="5"/>
  <c r="T21" i="6"/>
  <c r="V17" i="5"/>
  <c r="U59" i="6"/>
  <c r="V89" i="5"/>
  <c r="O69" i="5"/>
  <c r="P27" i="2"/>
  <c r="U27" i="4" s="1"/>
  <c r="T60" i="7"/>
  <c r="W87" i="7"/>
  <c r="T21" i="7"/>
  <c r="Q62" i="7"/>
  <c r="X28" i="5"/>
  <c r="W26" i="7"/>
  <c r="X36" i="6"/>
  <c r="W47" i="5"/>
  <c r="N92" i="7"/>
  <c r="L98" i="2"/>
  <c r="P98" i="4" s="1"/>
  <c r="G98" i="4"/>
  <c r="W35" i="5"/>
  <c r="P43" i="5"/>
  <c r="W59" i="6"/>
  <c r="N26" i="7"/>
  <c r="W17" i="7"/>
  <c r="V72" i="5"/>
  <c r="N10" i="6"/>
  <c r="U74" i="7"/>
  <c r="N12" i="5"/>
  <c r="N10" i="2"/>
  <c r="S10" i="4" s="1"/>
  <c r="N11" i="5"/>
  <c r="V78" i="5"/>
  <c r="W48" i="6"/>
  <c r="U11" i="7"/>
  <c r="X91" i="6"/>
  <c r="T78" i="7"/>
  <c r="W48" i="7"/>
  <c r="T88" i="5"/>
  <c r="N42" i="6"/>
  <c r="T75" i="2"/>
  <c r="W55" i="6"/>
  <c r="W21" i="5"/>
  <c r="W45" i="6"/>
  <c r="W9" i="7"/>
  <c r="W34" i="5"/>
  <c r="X47" i="7"/>
  <c r="X71" i="5"/>
  <c r="W22" i="7"/>
  <c r="X26" i="6"/>
  <c r="X49" i="6"/>
  <c r="T32" i="2"/>
  <c r="X16" i="6"/>
  <c r="Q29" i="2"/>
  <c r="V29" i="4" s="1"/>
  <c r="W74" i="5"/>
  <c r="Q36" i="7"/>
  <c r="X71" i="6"/>
  <c r="V18" i="6"/>
  <c r="T64" i="2"/>
  <c r="P65" i="7"/>
  <c r="W10" i="5"/>
  <c r="N60" i="6"/>
  <c r="N23" i="6"/>
  <c r="P14" i="2"/>
  <c r="U14" i="4" s="1"/>
  <c r="T42" i="7"/>
  <c r="N60" i="2"/>
  <c r="S60" i="4" s="1"/>
  <c r="V62" i="7"/>
  <c r="Q33" i="5"/>
  <c r="O36" i="7"/>
  <c r="W65" i="7"/>
  <c r="T24" i="2"/>
  <c r="P50" i="7"/>
  <c r="T74" i="5"/>
  <c r="U85" i="2"/>
  <c r="Z85" i="4" s="1"/>
  <c r="U49" i="7"/>
  <c r="O64" i="7"/>
  <c r="X76" i="6"/>
  <c r="T39" i="2"/>
  <c r="T35" i="6"/>
  <c r="V43" i="5"/>
  <c r="U63" i="7"/>
  <c r="X80" i="2"/>
  <c r="R80" i="4" s="1"/>
  <c r="U24" i="6"/>
  <c r="U67" i="6"/>
  <c r="V60" i="2"/>
  <c r="AA60" i="4" s="1"/>
  <c r="P40" i="7"/>
  <c r="X26" i="7"/>
  <c r="V42" i="7"/>
  <c r="W86" i="6"/>
  <c r="U77" i="6"/>
  <c r="W8" i="7"/>
  <c r="W54" i="5"/>
  <c r="U29" i="5"/>
  <c r="T64" i="7"/>
  <c r="W61" i="5"/>
  <c r="Q92" i="5"/>
  <c r="W25" i="6"/>
  <c r="M97" i="2"/>
  <c r="Q97" i="4" s="1"/>
  <c r="H97" i="4"/>
  <c r="G97" i="4"/>
  <c r="L97" i="2"/>
  <c r="P97" i="4" s="1"/>
  <c r="U74" i="5"/>
  <c r="N26" i="2"/>
  <c r="S26" i="4" s="1"/>
  <c r="Q91" i="7"/>
  <c r="T49" i="7"/>
  <c r="U82" i="7"/>
  <c r="N65" i="5"/>
  <c r="X27" i="7"/>
  <c r="V51" i="7"/>
  <c r="X94" i="7"/>
  <c r="T10" i="7"/>
  <c r="N66" i="6"/>
  <c r="Q85" i="5"/>
  <c r="X79" i="7"/>
  <c r="U75" i="5"/>
  <c r="Q27" i="2"/>
  <c r="V27" i="4" s="1"/>
  <c r="T16" i="2"/>
  <c r="X79" i="2"/>
  <c r="R79" i="4" s="1"/>
  <c r="R31" i="5"/>
  <c r="W26" i="5"/>
  <c r="U19" i="2"/>
  <c r="Z19" i="4" s="1"/>
  <c r="T9" i="7"/>
  <c r="Q42" i="5"/>
  <c r="T42" i="5"/>
  <c r="AC42" i="5" s="1"/>
  <c r="U35" i="7"/>
  <c r="V49" i="5"/>
  <c r="W16" i="2"/>
  <c r="AB16" i="4" s="1"/>
  <c r="N42" i="7"/>
  <c r="N59" i="2"/>
  <c r="S59" i="4" s="1"/>
  <c r="T78" i="5"/>
  <c r="V9" i="6"/>
  <c r="V25" i="7"/>
  <c r="R50" i="6"/>
  <c r="T26" i="7"/>
  <c r="Q44" i="2"/>
  <c r="V44" i="4" s="1"/>
  <c r="N9" i="5"/>
  <c r="X41" i="6"/>
  <c r="T87" i="5"/>
  <c r="N23" i="2"/>
  <c r="S23" i="4" s="1"/>
  <c r="T23" i="6"/>
  <c r="Q79" i="5"/>
  <c r="W31" i="5"/>
  <c r="X9" i="7"/>
  <c r="N75" i="7"/>
  <c r="N60" i="5"/>
  <c r="V17" i="2"/>
  <c r="AA17" i="4" s="1"/>
  <c r="O33" i="5"/>
  <c r="X50" i="5"/>
  <c r="N40" i="6"/>
  <c r="U75" i="2"/>
  <c r="Z75" i="4" s="1"/>
  <c r="T44" i="7"/>
  <c r="N78" i="6"/>
  <c r="N9" i="7"/>
  <c r="N75" i="6"/>
  <c r="V9" i="5"/>
  <c r="X10" i="7"/>
  <c r="T28" i="2"/>
  <c r="O40" i="7"/>
  <c r="X66" i="6"/>
  <c r="U66" i="5"/>
  <c r="R91" i="5"/>
  <c r="V44" i="5"/>
  <c r="X29" i="6"/>
  <c r="T85" i="2"/>
  <c r="Y85" i="4" s="1"/>
  <c r="O72" i="7"/>
  <c r="W16" i="6"/>
  <c r="X55" i="2"/>
  <c r="R55" i="4" s="1"/>
  <c r="O75" i="5"/>
  <c r="W23" i="5"/>
  <c r="R79" i="5"/>
  <c r="V74" i="5"/>
  <c r="U29" i="7"/>
  <c r="X30" i="6"/>
  <c r="O91" i="7"/>
  <c r="P10" i="7"/>
  <c r="V53" i="5"/>
  <c r="X25" i="5"/>
  <c r="T74" i="7"/>
  <c r="V92" i="7"/>
  <c r="R13" i="6"/>
  <c r="X61" i="5"/>
  <c r="U68" i="6"/>
  <c r="T82" i="7"/>
  <c r="X46" i="7"/>
  <c r="N41" i="6"/>
  <c r="O23" i="7"/>
  <c r="V92" i="5"/>
  <c r="Q42" i="2"/>
  <c r="V42" i="4" s="1"/>
  <c r="V66" i="6"/>
  <c r="N21" i="6"/>
  <c r="W22" i="2"/>
  <c r="AB22" i="4" s="1"/>
  <c r="N71" i="7"/>
  <c r="T19" i="2"/>
  <c r="W67" i="6"/>
  <c r="O60" i="2"/>
  <c r="T60" i="4" s="1"/>
  <c r="R46" i="2"/>
  <c r="W46" i="4" s="1"/>
  <c r="P23" i="7"/>
  <c r="X17" i="7"/>
  <c r="T49" i="6"/>
  <c r="V38" i="6"/>
  <c r="N62" i="5"/>
  <c r="W88" i="6"/>
  <c r="V49" i="7"/>
  <c r="X24" i="6"/>
  <c r="V24" i="6"/>
  <c r="W71" i="7"/>
  <c r="V27" i="5"/>
  <c r="X85" i="2"/>
  <c r="R85" i="4" s="1"/>
  <c r="Q78" i="5"/>
  <c r="U64" i="7"/>
  <c r="V53" i="6"/>
  <c r="V77" i="7"/>
  <c r="X60" i="5"/>
  <c r="N22" i="5"/>
  <c r="W89" i="2"/>
  <c r="AB89" i="4" s="1"/>
  <c r="V76" i="6"/>
  <c r="V81" i="5"/>
  <c r="X76" i="2"/>
  <c r="R76" i="4" s="1"/>
  <c r="X16" i="7"/>
  <c r="X94" i="6"/>
  <c r="E6" i="7"/>
  <c r="V25" i="6"/>
  <c r="V56" i="7"/>
  <c r="N27" i="6"/>
  <c r="W50" i="5"/>
  <c r="N30" i="7"/>
  <c r="W91" i="2"/>
  <c r="AB91" i="4" s="1"/>
  <c r="O62" i="5"/>
  <c r="V91" i="7"/>
  <c r="V56" i="6"/>
  <c r="U64" i="2"/>
  <c r="Z64" i="4" s="1"/>
  <c r="W18" i="2"/>
  <c r="AB18" i="4" s="1"/>
  <c r="V50" i="5"/>
  <c r="W13" i="6"/>
  <c r="V13" i="5"/>
  <c r="W60" i="5"/>
  <c r="V39" i="7"/>
  <c r="U26" i="7"/>
  <c r="V56" i="5"/>
  <c r="V13" i="6"/>
  <c r="O86" i="7"/>
  <c r="W50" i="6"/>
  <c r="W38" i="2"/>
  <c r="AB38" i="4" s="1"/>
  <c r="V87" i="5"/>
  <c r="V58" i="6"/>
  <c r="W50" i="2"/>
  <c r="AB50" i="4" s="1"/>
  <c r="V39" i="6"/>
  <c r="Q17" i="7"/>
  <c r="O62" i="7"/>
  <c r="U20" i="5"/>
  <c r="W95" i="5"/>
  <c r="V25" i="5"/>
  <c r="W91" i="6"/>
  <c r="V94" i="6"/>
  <c r="V72" i="7"/>
  <c r="X49" i="5"/>
  <c r="W13" i="7"/>
  <c r="X87" i="7"/>
  <c r="W13" i="5"/>
  <c r="X92" i="7"/>
  <c r="T20" i="5"/>
  <c r="W95" i="7"/>
  <c r="T57" i="7"/>
  <c r="W65" i="6"/>
  <c r="V65" i="6"/>
  <c r="W38" i="5"/>
  <c r="N27" i="7"/>
  <c r="T47" i="7"/>
  <c r="R28" i="2"/>
  <c r="W28" i="4" s="1"/>
  <c r="U85" i="7"/>
  <c r="W53" i="7"/>
  <c r="X49" i="2"/>
  <c r="R49" i="4" s="1"/>
  <c r="U20" i="7"/>
  <c r="W15" i="5"/>
  <c r="W8" i="6"/>
  <c r="X95" i="5"/>
  <c r="X72" i="5"/>
  <c r="X23" i="6"/>
  <c r="Q31" i="5"/>
  <c r="P29" i="2"/>
  <c r="U29" i="4" s="1"/>
  <c r="P55" i="5"/>
  <c r="P26" i="7"/>
  <c r="X70" i="6"/>
  <c r="X88" i="6"/>
  <c r="X44" i="6"/>
  <c r="X18" i="5"/>
  <c r="N50" i="5"/>
  <c r="N50" i="7"/>
  <c r="X59" i="5"/>
  <c r="P41" i="2"/>
  <c r="U41" i="4" s="1"/>
  <c r="R81" i="5"/>
  <c r="X77" i="7"/>
  <c r="R17" i="5"/>
  <c r="X77" i="6"/>
  <c r="O48" i="2"/>
  <c r="T48" i="4" s="1"/>
  <c r="W40" i="5"/>
  <c r="V43" i="7"/>
  <c r="V38" i="2"/>
  <c r="AA38" i="4" s="1"/>
  <c r="W8" i="5"/>
  <c r="W90" i="5"/>
  <c r="W92" i="5"/>
  <c r="T75" i="5"/>
  <c r="V60" i="6"/>
  <c r="T63" i="7"/>
  <c r="N67" i="5"/>
  <c r="T63" i="2"/>
  <c r="V47" i="7"/>
  <c r="V22" i="6"/>
  <c r="U13" i="7"/>
  <c r="V32" i="2"/>
  <c r="AA32" i="4" s="1"/>
  <c r="U37" i="5"/>
  <c r="W92" i="7"/>
  <c r="V94" i="5"/>
  <c r="V62" i="5"/>
  <c r="W10" i="6"/>
  <c r="V10" i="6"/>
  <c r="O81" i="5"/>
  <c r="V8" i="6"/>
  <c r="U67" i="5"/>
  <c r="P23" i="6"/>
  <c r="Q64" i="7"/>
  <c r="T77" i="6"/>
  <c r="U94" i="2"/>
  <c r="Z94" i="4" s="1"/>
  <c r="W15" i="7"/>
  <c r="V77" i="6"/>
  <c r="W7" i="5"/>
  <c r="W56" i="7"/>
  <c r="V84" i="6"/>
  <c r="V61" i="7"/>
  <c r="T93" i="5"/>
  <c r="W7" i="6"/>
  <c r="W69" i="5"/>
  <c r="T76" i="7"/>
  <c r="V51" i="6"/>
  <c r="N64" i="7"/>
  <c r="X64" i="7"/>
  <c r="N92" i="6"/>
  <c r="Q61" i="7"/>
  <c r="Q26" i="5"/>
  <c r="AA26" i="5" s="1"/>
  <c r="X85" i="6"/>
  <c r="P61" i="2"/>
  <c r="U61" i="4" s="1"/>
  <c r="N62" i="7"/>
  <c r="P61" i="7"/>
  <c r="O41" i="2"/>
  <c r="T41" i="4" s="1"/>
  <c r="N91" i="6"/>
  <c r="P37" i="5"/>
  <c r="X85" i="7"/>
  <c r="X62" i="7"/>
  <c r="N64" i="5"/>
  <c r="P54" i="7"/>
  <c r="Q78" i="7"/>
  <c r="Q61" i="2"/>
  <c r="V61" i="4" s="1"/>
  <c r="X64" i="6"/>
  <c r="O55" i="5"/>
  <c r="X26" i="5"/>
  <c r="N25" i="7"/>
  <c r="X7" i="7"/>
  <c r="N25" i="5"/>
  <c r="AA25" i="5" s="1"/>
  <c r="P44" i="2"/>
  <c r="U44" i="4" s="1"/>
  <c r="P79" i="5"/>
  <c r="N18" i="6"/>
  <c r="N49" i="7"/>
  <c r="X33" i="7"/>
  <c r="Q28" i="2"/>
  <c r="V28" i="4" s="1"/>
  <c r="P29" i="5"/>
  <c r="N49" i="2"/>
  <c r="S49" i="4" s="1"/>
  <c r="N65" i="7"/>
  <c r="X21" i="5"/>
  <c r="R37" i="2"/>
  <c r="W37" i="4" s="1"/>
  <c r="R15" i="7"/>
  <c r="R47" i="2"/>
  <c r="W47" i="4" s="1"/>
  <c r="R23" i="7"/>
  <c r="R51" i="7"/>
  <c r="R33" i="7"/>
  <c r="Q37" i="5"/>
  <c r="P34" i="2"/>
  <c r="U34" i="4" s="1"/>
  <c r="N59" i="6"/>
  <c r="X28" i="6"/>
  <c r="N40" i="2"/>
  <c r="S40" i="4" s="1"/>
  <c r="X10" i="6"/>
  <c r="Q27" i="7"/>
  <c r="Q48" i="2"/>
  <c r="V48" i="4" s="1"/>
  <c r="Q24" i="2"/>
  <c r="V24" i="4" s="1"/>
  <c r="Q41" i="2"/>
  <c r="V41" i="4" s="1"/>
  <c r="P66" i="7"/>
  <c r="P47" i="7"/>
  <c r="P57" i="7"/>
  <c r="P48" i="2"/>
  <c r="U48" i="4" s="1"/>
  <c r="P20" i="7"/>
  <c r="P27" i="7"/>
  <c r="N73" i="7"/>
  <c r="N73" i="6"/>
  <c r="AA84" i="7"/>
  <c r="N20" i="5"/>
  <c r="O61" i="2"/>
  <c r="T61" i="4" s="1"/>
  <c r="N70" i="6"/>
  <c r="N10" i="5"/>
  <c r="N83" i="7"/>
  <c r="AA83" i="7" s="1"/>
  <c r="N12" i="2"/>
  <c r="S12" i="4" s="1"/>
  <c r="X36" i="7"/>
  <c r="X63" i="2"/>
  <c r="R63" i="4" s="1"/>
  <c r="X18" i="2"/>
  <c r="R18" i="4" s="1"/>
  <c r="X36" i="5"/>
  <c r="N95" i="5"/>
  <c r="N16" i="6"/>
  <c r="N71" i="6"/>
  <c r="N48" i="7"/>
  <c r="N51" i="5"/>
  <c r="X22" i="7"/>
  <c r="N70" i="7"/>
  <c r="N57" i="5"/>
  <c r="N57" i="2"/>
  <c r="S57" i="4" s="1"/>
  <c r="N51" i="2"/>
  <c r="S51" i="4" s="1"/>
  <c r="X13" i="5"/>
  <c r="X22" i="6"/>
  <c r="N51" i="6"/>
  <c r="X13" i="7"/>
  <c r="N82" i="5"/>
  <c r="N70" i="5"/>
  <c r="X66" i="2"/>
  <c r="R66" i="4" s="1"/>
  <c r="X47" i="5"/>
  <c r="X58" i="5"/>
  <c r="X69" i="7"/>
  <c r="X75" i="6"/>
  <c r="AA21" i="5"/>
  <c r="X8" i="5"/>
  <c r="X8" i="6"/>
  <c r="X66" i="7"/>
  <c r="X64" i="5"/>
  <c r="U46" i="7"/>
  <c r="N17" i="6"/>
  <c r="W81" i="6"/>
  <c r="X15" i="7"/>
  <c r="X74" i="5"/>
  <c r="X43" i="5"/>
  <c r="X43" i="2"/>
  <c r="R43" i="4" s="1"/>
  <c r="N86" i="6"/>
  <c r="V14" i="5"/>
  <c r="Q8" i="5"/>
  <c r="O37" i="2"/>
  <c r="T37" i="4" s="1"/>
  <c r="T54" i="5"/>
  <c r="T54" i="7"/>
  <c r="V54" i="2"/>
  <c r="AA54" i="4" s="1"/>
  <c r="X31" i="2"/>
  <c r="R31" i="4" s="1"/>
  <c r="V32" i="5"/>
  <c r="W36" i="2"/>
  <c r="AB36" i="4" s="1"/>
  <c r="N63" i="7"/>
  <c r="W38" i="6"/>
  <c r="AC38" i="6" s="1"/>
  <c r="N88" i="6"/>
  <c r="W24" i="5"/>
  <c r="O28" i="5"/>
  <c r="O28" i="7"/>
  <c r="N18" i="5"/>
  <c r="N18" i="2"/>
  <c r="S18" i="4" s="1"/>
  <c r="T78" i="6"/>
  <c r="O83" i="5"/>
  <c r="T55" i="6"/>
  <c r="W73" i="5"/>
  <c r="U75" i="6"/>
  <c r="W39" i="6"/>
  <c r="V13" i="2"/>
  <c r="AA13" i="4" s="1"/>
  <c r="V13" i="7"/>
  <c r="W7" i="7"/>
  <c r="V8" i="7"/>
  <c r="Q32" i="6"/>
  <c r="W44" i="7"/>
  <c r="R43" i="7"/>
  <c r="Q52" i="7"/>
  <c r="X54" i="7"/>
  <c r="V43" i="2"/>
  <c r="AA43" i="4" s="1"/>
  <c r="N84" i="5"/>
  <c r="U63" i="2"/>
  <c r="Z63" i="4" s="1"/>
  <c r="V28" i="7"/>
  <c r="T29" i="2"/>
  <c r="T37" i="5"/>
  <c r="T37" i="6"/>
  <c r="X69" i="6"/>
  <c r="Q93" i="5"/>
  <c r="W93" i="6"/>
  <c r="U36" i="5"/>
  <c r="Q95" i="5"/>
  <c r="Q95" i="7"/>
  <c r="U72" i="6"/>
  <c r="AC72" i="6" s="1"/>
  <c r="O51" i="2"/>
  <c r="T51" i="4" s="1"/>
  <c r="O51" i="5"/>
  <c r="X83" i="6"/>
  <c r="W44" i="6"/>
  <c r="T56" i="2"/>
  <c r="Y56" i="4" s="1"/>
  <c r="X19" i="5"/>
  <c r="V27" i="6"/>
  <c r="N75" i="5"/>
  <c r="W56" i="5"/>
  <c r="V32" i="6"/>
  <c r="N16" i="5"/>
  <c r="AA16" i="5" s="1"/>
  <c r="W43" i="6"/>
  <c r="AA60" i="7"/>
  <c r="Q13" i="5"/>
  <c r="W62" i="7"/>
  <c r="X46" i="5"/>
  <c r="AA78" i="7"/>
  <c r="N17" i="7"/>
  <c r="U82" i="6"/>
  <c r="T68" i="6"/>
  <c r="T68" i="7"/>
  <c r="U21" i="7"/>
  <c r="T23" i="5"/>
  <c r="V63" i="7"/>
  <c r="Q50" i="6"/>
  <c r="N77" i="7"/>
  <c r="AA77" i="7" s="1"/>
  <c r="W54" i="6"/>
  <c r="AC95" i="6"/>
  <c r="V41" i="7"/>
  <c r="V41" i="6"/>
  <c r="W42" i="7"/>
  <c r="AC42" i="7" s="1"/>
  <c r="V67" i="6"/>
  <c r="N61" i="7"/>
  <c r="U56" i="2"/>
  <c r="Z56" i="4" s="1"/>
  <c r="X27" i="6"/>
  <c r="R51" i="5"/>
  <c r="U23" i="6"/>
  <c r="P64" i="5"/>
  <c r="P64" i="7"/>
  <c r="V26" i="7"/>
  <c r="V75" i="7"/>
  <c r="Q48" i="5"/>
  <c r="U30" i="6"/>
  <c r="W12" i="7"/>
  <c r="P22" i="5"/>
  <c r="AA22" i="5" s="1"/>
  <c r="P22" i="7"/>
  <c r="R7" i="2"/>
  <c r="W7" i="4" s="1"/>
  <c r="O82" i="5"/>
  <c r="O82" i="7"/>
  <c r="N94" i="7"/>
  <c r="N68" i="6"/>
  <c r="R8" i="5"/>
  <c r="R32" i="7"/>
  <c r="O46" i="5"/>
  <c r="O46" i="2"/>
  <c r="T46" i="4" s="1"/>
  <c r="T33" i="7"/>
  <c r="N29" i="5"/>
  <c r="W54" i="2"/>
  <c r="AB54" i="4" s="1"/>
  <c r="V63" i="5"/>
  <c r="V40" i="2"/>
  <c r="AA40" i="4" s="1"/>
  <c r="V40" i="7"/>
  <c r="R58" i="7"/>
  <c r="X74" i="6"/>
  <c r="W52" i="2"/>
  <c r="AB52" i="4" s="1"/>
  <c r="V36" i="6"/>
  <c r="W78" i="6"/>
  <c r="W78" i="2"/>
  <c r="AB78" i="4" s="1"/>
  <c r="X25" i="6"/>
  <c r="U27" i="2"/>
  <c r="Z27" i="4" s="1"/>
  <c r="R15" i="5"/>
  <c r="W62" i="5"/>
  <c r="V10" i="5"/>
  <c r="N59" i="5"/>
  <c r="X44" i="2"/>
  <c r="R44" i="4" s="1"/>
  <c r="X44" i="7"/>
  <c r="P76" i="7"/>
  <c r="N13" i="7"/>
  <c r="T94" i="5"/>
  <c r="AC94" i="5" s="1"/>
  <c r="T94" i="2"/>
  <c r="N17" i="5"/>
  <c r="N33" i="7"/>
  <c r="T80" i="5"/>
  <c r="P8" i="5"/>
  <c r="V34" i="5"/>
  <c r="X74" i="7"/>
  <c r="U33" i="7"/>
  <c r="AC60" i="6"/>
  <c r="T93" i="7"/>
  <c r="X78" i="7"/>
  <c r="O95" i="7"/>
  <c r="W52" i="6"/>
  <c r="N55" i="7"/>
  <c r="N55" i="5"/>
  <c r="N87" i="7"/>
  <c r="V58" i="5"/>
  <c r="N61" i="5"/>
  <c r="W91" i="7"/>
  <c r="X84" i="5"/>
  <c r="X21" i="7"/>
  <c r="V77" i="2"/>
  <c r="AA77" i="4" s="1"/>
  <c r="V79" i="5"/>
  <c r="T25" i="2"/>
  <c r="U25" i="7"/>
  <c r="R42" i="7"/>
  <c r="R42" i="2"/>
  <c r="W42" i="4" s="1"/>
  <c r="P42" i="6"/>
  <c r="P27" i="6"/>
  <c r="N43" i="5"/>
  <c r="R76" i="7"/>
  <c r="O76" i="7"/>
  <c r="W83" i="7"/>
  <c r="W83" i="2"/>
  <c r="AB83" i="4" s="1"/>
  <c r="U80" i="5"/>
  <c r="P33" i="5"/>
  <c r="V37" i="7"/>
  <c r="W54" i="7"/>
  <c r="X41" i="5"/>
  <c r="X84" i="7"/>
  <c r="W85" i="6"/>
  <c r="V23" i="2"/>
  <c r="AA23" i="4" s="1"/>
  <c r="N14" i="6"/>
  <c r="N86" i="7"/>
  <c r="AA86" i="7" s="1"/>
  <c r="V23" i="6"/>
  <c r="W72" i="7"/>
  <c r="X25" i="2"/>
  <c r="R25" i="4" s="1"/>
  <c r="O27" i="2"/>
  <c r="T27" i="4" s="1"/>
  <c r="O27" i="7"/>
  <c r="R43" i="5"/>
  <c r="W52" i="7"/>
  <c r="N77" i="6"/>
  <c r="X56" i="6"/>
  <c r="W80" i="7"/>
  <c r="R16" i="2"/>
  <c r="W16" i="4" s="1"/>
  <c r="X66" i="5"/>
  <c r="Q19" i="7"/>
  <c r="U67" i="2"/>
  <c r="Z67" i="4" s="1"/>
  <c r="P88" i="7"/>
  <c r="O17" i="5"/>
  <c r="O17" i="7"/>
  <c r="R73" i="5"/>
  <c r="AA73" i="5" s="1"/>
  <c r="W40" i="7"/>
  <c r="N13" i="5"/>
  <c r="N45" i="6"/>
  <c r="X32" i="7"/>
  <c r="Q47" i="6"/>
  <c r="Q47" i="7"/>
  <c r="U76" i="5"/>
  <c r="U76" i="7"/>
  <c r="N14" i="5"/>
  <c r="V30" i="6"/>
  <c r="N87" i="6"/>
  <c r="N94" i="6"/>
  <c r="W81" i="7"/>
  <c r="V82" i="5"/>
  <c r="N15" i="5"/>
  <c r="U19" i="5"/>
  <c r="N84" i="6"/>
  <c r="W63" i="2"/>
  <c r="AB63" i="4" s="1"/>
  <c r="W63" i="5"/>
  <c r="N24" i="5"/>
  <c r="V15" i="6"/>
  <c r="W90" i="7"/>
  <c r="R29" i="6"/>
  <c r="R29" i="2"/>
  <c r="W29" i="4" s="1"/>
  <c r="U9" i="2"/>
  <c r="Z9" i="4" s="1"/>
  <c r="U9" i="7"/>
  <c r="X61" i="6"/>
  <c r="X61" i="2"/>
  <c r="R61" i="4" s="1"/>
  <c r="W47" i="2"/>
  <c r="AB47" i="4" s="1"/>
  <c r="Q57" i="2"/>
  <c r="V57" i="4" s="1"/>
  <c r="W40" i="6"/>
  <c r="AA26" i="7"/>
  <c r="O45" i="6"/>
  <c r="U88" i="7"/>
  <c r="U88" i="5"/>
  <c r="Q11" i="2"/>
  <c r="V11" i="4" s="1"/>
  <c r="T44" i="2"/>
  <c r="N62" i="6"/>
  <c r="L96" i="2"/>
  <c r="P96" i="4" s="1"/>
  <c r="G96" i="4"/>
  <c r="G6" i="7"/>
  <c r="M96" i="2"/>
  <c r="Q96" i="4" s="1"/>
  <c r="H96" i="4"/>
  <c r="C128" i="4"/>
  <c r="X48" i="5"/>
  <c r="P34" i="6"/>
  <c r="W74" i="6"/>
  <c r="X93" i="7"/>
  <c r="N47" i="7"/>
  <c r="W76" i="6"/>
  <c r="Q69" i="5"/>
  <c r="R85" i="5"/>
  <c r="W36" i="6"/>
  <c r="X62" i="5"/>
  <c r="W94" i="6"/>
  <c r="V63" i="6"/>
  <c r="W22" i="6"/>
  <c r="X75" i="7"/>
  <c r="W53" i="5"/>
  <c r="AC53" i="5" s="1"/>
  <c r="V70" i="7"/>
  <c r="N88" i="7"/>
  <c r="X17" i="6"/>
  <c r="X57" i="6"/>
  <c r="T27" i="2"/>
  <c r="N76" i="7"/>
  <c r="N45" i="7"/>
  <c r="V45" i="5"/>
  <c r="V22" i="7"/>
  <c r="T50" i="6"/>
  <c r="AA81" i="5"/>
  <c r="Y81" i="4"/>
  <c r="F6" i="6"/>
  <c r="O94" i="5"/>
  <c r="Q94" i="5"/>
  <c r="C63" i="3"/>
  <c r="L63" i="6" s="1"/>
  <c r="D63" i="3"/>
  <c r="M63" i="5" s="1"/>
  <c r="R33" i="2"/>
  <c r="W33" i="4" s="1"/>
  <c r="K33" i="4"/>
  <c r="P33" i="2"/>
  <c r="U33" i="4" s="1"/>
  <c r="O33" i="2"/>
  <c r="T33" i="4" s="1"/>
  <c r="O57" i="5"/>
  <c r="P57" i="5"/>
  <c r="R57" i="5"/>
  <c r="Q57" i="5"/>
  <c r="T73" i="7"/>
  <c r="U73" i="7"/>
  <c r="T89" i="7"/>
  <c r="P24" i="5"/>
  <c r="P24" i="2"/>
  <c r="U24" i="4" s="1"/>
  <c r="W32" i="7"/>
  <c r="J34" i="4"/>
  <c r="N34" i="2"/>
  <c r="S34" i="4" s="1"/>
  <c r="V58" i="7"/>
  <c r="O66" i="7"/>
  <c r="O66" i="2"/>
  <c r="T66" i="4" s="1"/>
  <c r="V19" i="5"/>
  <c r="U51" i="6"/>
  <c r="T51" i="6"/>
  <c r="Q59" i="5"/>
  <c r="Q59" i="6"/>
  <c r="R59" i="7"/>
  <c r="O59" i="7"/>
  <c r="Q59" i="7"/>
  <c r="P59" i="7"/>
  <c r="X91" i="7"/>
  <c r="X91" i="2"/>
  <c r="R91" i="4" s="1"/>
  <c r="V52" i="7"/>
  <c r="Q68" i="7"/>
  <c r="R68" i="7"/>
  <c r="O68" i="7"/>
  <c r="N124" i="7"/>
  <c r="N124" i="2"/>
  <c r="N124" i="5"/>
  <c r="N124" i="6"/>
  <c r="W29" i="7"/>
  <c r="W37" i="7"/>
  <c r="W37" i="5"/>
  <c r="V93" i="6"/>
  <c r="O46" i="7"/>
  <c r="T86" i="6"/>
  <c r="U86" i="6"/>
  <c r="N110" i="5"/>
  <c r="N110" i="6"/>
  <c r="N110" i="2"/>
  <c r="N110" i="7"/>
  <c r="U110" i="2"/>
  <c r="U110" i="5"/>
  <c r="U110" i="7"/>
  <c r="U110" i="6"/>
  <c r="Z110" i="4" s="1"/>
  <c r="O104" i="6"/>
  <c r="T104" i="4" s="1"/>
  <c r="O104" i="5"/>
  <c r="O104" i="7"/>
  <c r="O104" i="2"/>
  <c r="X48" i="7"/>
  <c r="J80" i="4"/>
  <c r="N80" i="2"/>
  <c r="S80" i="4" s="1"/>
  <c r="U96" i="7"/>
  <c r="U96" i="2"/>
  <c r="U96" i="5"/>
  <c r="U96" i="6"/>
  <c r="S9" i="7"/>
  <c r="AB9" i="7" s="1"/>
  <c r="S9" i="6"/>
  <c r="AB9" i="6" s="1"/>
  <c r="S9" i="2"/>
  <c r="S9" i="5"/>
  <c r="AB9" i="5" s="1"/>
  <c r="Q9" i="2"/>
  <c r="V9" i="4" s="1"/>
  <c r="R49" i="5"/>
  <c r="Q49" i="5"/>
  <c r="P49" i="5"/>
  <c r="O49" i="5"/>
  <c r="T65" i="5"/>
  <c r="U65" i="5"/>
  <c r="T97" i="2"/>
  <c r="T97" i="6"/>
  <c r="T97" i="5"/>
  <c r="T97" i="7"/>
  <c r="S97" i="2"/>
  <c r="AB97" i="2" s="1"/>
  <c r="S97" i="7"/>
  <c r="AB97" i="7" s="1"/>
  <c r="S97" i="5"/>
  <c r="AB97" i="5" s="1"/>
  <c r="S97" i="6"/>
  <c r="Q105" i="6"/>
  <c r="V105" i="4" s="1"/>
  <c r="Q105" i="7"/>
  <c r="Q105" i="2"/>
  <c r="Q105" i="5"/>
  <c r="R113" i="5"/>
  <c r="R113" i="6"/>
  <c r="W113" i="4" s="1"/>
  <c r="R113" i="7"/>
  <c r="R113" i="2"/>
  <c r="Q8" i="7"/>
  <c r="P8" i="7"/>
  <c r="R8" i="7"/>
  <c r="O8" i="7"/>
  <c r="O34" i="6"/>
  <c r="Q34" i="6"/>
  <c r="R34" i="6"/>
  <c r="X122" i="6"/>
  <c r="R122" i="4" s="1"/>
  <c r="X122" i="2"/>
  <c r="X122" i="7"/>
  <c r="X122" i="5"/>
  <c r="R122" i="5"/>
  <c r="R122" i="6"/>
  <c r="W122" i="4" s="1"/>
  <c r="R122" i="7"/>
  <c r="R122" i="2"/>
  <c r="N39" i="4"/>
  <c r="V39" i="2"/>
  <c r="AA39" i="4" s="1"/>
  <c r="R87" i="2"/>
  <c r="W87" i="4" s="1"/>
  <c r="P87" i="2"/>
  <c r="U87" i="4" s="1"/>
  <c r="O87" i="2"/>
  <c r="T87" i="4" s="1"/>
  <c r="K87" i="4"/>
  <c r="Q87" i="2"/>
  <c r="V87" i="4" s="1"/>
  <c r="T16" i="7"/>
  <c r="U16" i="7"/>
  <c r="N58" i="5"/>
  <c r="T66" i="5"/>
  <c r="W19" i="5"/>
  <c r="M75" i="4"/>
  <c r="W75" i="2"/>
  <c r="AB75" i="4" s="1"/>
  <c r="U107" i="2"/>
  <c r="U107" i="7"/>
  <c r="U107" i="5"/>
  <c r="U107" i="6"/>
  <c r="Z107" i="4" s="1"/>
  <c r="R107" i="2"/>
  <c r="R107" i="5"/>
  <c r="R107" i="7"/>
  <c r="R107" i="6"/>
  <c r="W107" i="4" s="1"/>
  <c r="X12" i="7"/>
  <c r="Q52" i="5"/>
  <c r="H92" i="4"/>
  <c r="M92" i="2"/>
  <c r="Q92" i="4" s="1"/>
  <c r="U108" i="6"/>
  <c r="Z108" i="4" s="1"/>
  <c r="U108" i="7"/>
  <c r="U108" i="5"/>
  <c r="U108" i="2"/>
  <c r="R108" i="5"/>
  <c r="R108" i="2"/>
  <c r="R108" i="6"/>
  <c r="W108" i="4" s="1"/>
  <c r="R108" i="7"/>
  <c r="O21" i="4"/>
  <c r="T21" i="2"/>
  <c r="U21" i="2"/>
  <c r="Z21" i="4" s="1"/>
  <c r="N37" i="5"/>
  <c r="N69" i="7"/>
  <c r="O77" i="5"/>
  <c r="Q77" i="5"/>
  <c r="R77" i="5"/>
  <c r="P77" i="5"/>
  <c r="X101" i="6"/>
  <c r="R101" i="4" s="1"/>
  <c r="X101" i="5"/>
  <c r="X101" i="7"/>
  <c r="X101" i="2"/>
  <c r="R101" i="2"/>
  <c r="R101" i="6"/>
  <c r="W101" i="4" s="1"/>
  <c r="R101" i="5"/>
  <c r="R101" i="7"/>
  <c r="O109" i="6"/>
  <c r="T109" i="4" s="1"/>
  <c r="O109" i="7"/>
  <c r="O109" i="5"/>
  <c r="O109" i="2"/>
  <c r="N47" i="5"/>
  <c r="N47" i="6"/>
  <c r="U47" i="2"/>
  <c r="Z47" i="4" s="1"/>
  <c r="J63" i="4"/>
  <c r="N63" i="2"/>
  <c r="S63" i="4" s="1"/>
  <c r="T112" i="7"/>
  <c r="T112" i="2"/>
  <c r="T112" i="6"/>
  <c r="T112" i="5"/>
  <c r="W31" i="7"/>
  <c r="U55" i="6"/>
  <c r="U55" i="2"/>
  <c r="Z55" i="4" s="1"/>
  <c r="U55" i="5"/>
  <c r="O48" i="7"/>
  <c r="AA48" i="7" s="1"/>
  <c r="AC56" i="5"/>
  <c r="X80" i="7"/>
  <c r="AA9" i="6"/>
  <c r="X41" i="7"/>
  <c r="U32" i="5"/>
  <c r="T32" i="5"/>
  <c r="Q10" i="7"/>
  <c r="U34" i="7"/>
  <c r="T34" i="7"/>
  <c r="U82" i="5"/>
  <c r="T82" i="5"/>
  <c r="T98" i="5"/>
  <c r="T98" i="7"/>
  <c r="T98" i="2"/>
  <c r="T98" i="6"/>
  <c r="W28" i="5"/>
  <c r="N39" i="7"/>
  <c r="N39" i="5"/>
  <c r="P39" i="6"/>
  <c r="P39" i="2"/>
  <c r="U39" i="4" s="1"/>
  <c r="T87" i="7"/>
  <c r="U87" i="7"/>
  <c r="O16" i="7"/>
  <c r="R16" i="7"/>
  <c r="Q16" i="7"/>
  <c r="X18" i="6"/>
  <c r="T58" i="5"/>
  <c r="U58" i="5"/>
  <c r="P51" i="5"/>
  <c r="O115" i="2"/>
  <c r="O115" i="7"/>
  <c r="O115" i="5"/>
  <c r="O115" i="6"/>
  <c r="T115" i="4" s="1"/>
  <c r="P115" i="5"/>
  <c r="P115" i="2"/>
  <c r="P115" i="6"/>
  <c r="U115" i="4" s="1"/>
  <c r="P115" i="7"/>
  <c r="O123" i="7"/>
  <c r="O123" i="2"/>
  <c r="O123" i="5"/>
  <c r="O123" i="6"/>
  <c r="T123" i="4" s="1"/>
  <c r="T12" i="7"/>
  <c r="P52" i="6"/>
  <c r="Q52" i="6"/>
  <c r="R52" i="6"/>
  <c r="O52" i="6"/>
  <c r="N68" i="5"/>
  <c r="X84" i="2"/>
  <c r="R84" i="4" s="1"/>
  <c r="I84" i="4"/>
  <c r="Q116" i="2"/>
  <c r="Q116" i="5"/>
  <c r="Q116" i="6"/>
  <c r="V116" i="4" s="1"/>
  <c r="Q116" i="7"/>
  <c r="V116" i="5"/>
  <c r="V116" i="6"/>
  <c r="AA116" i="4" s="1"/>
  <c r="V116" i="7"/>
  <c r="V116" i="2"/>
  <c r="U77" i="5"/>
  <c r="U85" i="5"/>
  <c r="T85" i="5"/>
  <c r="N117" i="7"/>
  <c r="N117" i="2"/>
  <c r="N117" i="6"/>
  <c r="N117" i="5"/>
  <c r="R117" i="6"/>
  <c r="W117" i="4" s="1"/>
  <c r="R117" i="2"/>
  <c r="R117" i="5"/>
  <c r="R117" i="7"/>
  <c r="V62" i="2"/>
  <c r="AA62" i="4" s="1"/>
  <c r="X86" i="6"/>
  <c r="X86" i="7"/>
  <c r="R86" i="7"/>
  <c r="U102" i="6"/>
  <c r="Z102" i="4" s="1"/>
  <c r="U102" i="2"/>
  <c r="U102" i="5"/>
  <c r="U102" i="7"/>
  <c r="X102" i="6"/>
  <c r="R102" i="4" s="1"/>
  <c r="X102" i="2"/>
  <c r="X102" i="5"/>
  <c r="X102" i="7"/>
  <c r="H79" i="4"/>
  <c r="M79" i="2"/>
  <c r="Q79" i="4" s="1"/>
  <c r="O103" i="7"/>
  <c r="O103" i="2"/>
  <c r="O103" i="6"/>
  <c r="T103" i="4" s="1"/>
  <c r="O103" i="5"/>
  <c r="S119" i="2"/>
  <c r="AB119" i="2" s="1"/>
  <c r="S119" i="5"/>
  <c r="AB119" i="5" s="1"/>
  <c r="S119" i="6"/>
  <c r="S119" i="7"/>
  <c r="AB119" i="7" s="1"/>
  <c r="N119" i="2"/>
  <c r="N119" i="6"/>
  <c r="N119" i="5"/>
  <c r="N119" i="7"/>
  <c r="U128" i="6"/>
  <c r="Z128" i="4" s="1"/>
  <c r="U128" i="5"/>
  <c r="U128" i="2"/>
  <c r="U128" i="7"/>
  <c r="P7" i="7"/>
  <c r="R7" i="7"/>
  <c r="Q7" i="7"/>
  <c r="O7" i="7"/>
  <c r="N31" i="6"/>
  <c r="U48" i="2"/>
  <c r="Z48" i="4" s="1"/>
  <c r="O48" i="4"/>
  <c r="T48" i="2"/>
  <c r="O56" i="7"/>
  <c r="N57" i="6"/>
  <c r="P89" i="2"/>
  <c r="U89" i="4" s="1"/>
  <c r="Q89" i="2"/>
  <c r="V89" i="4" s="1"/>
  <c r="K89" i="4"/>
  <c r="O89" i="2"/>
  <c r="T89" i="4" s="1"/>
  <c r="R89" i="2"/>
  <c r="W89" i="4" s="1"/>
  <c r="O34" i="7"/>
  <c r="R82" i="7"/>
  <c r="N30" i="5"/>
  <c r="P16" i="7"/>
  <c r="S16" i="7"/>
  <c r="AB16" i="7" s="1"/>
  <c r="S16" i="2"/>
  <c r="S16" i="5"/>
  <c r="AB16" i="5" s="1"/>
  <c r="S16" i="6"/>
  <c r="AB16" i="6" s="1"/>
  <c r="P19" i="7"/>
  <c r="V51" i="5"/>
  <c r="P83" i="7"/>
  <c r="T52" i="6"/>
  <c r="S60" i="2"/>
  <c r="S60" i="7"/>
  <c r="AB60" i="7" s="1"/>
  <c r="S60" i="6"/>
  <c r="AB60" i="6" s="1"/>
  <c r="S60" i="5"/>
  <c r="AB60" i="5" s="1"/>
  <c r="G76" i="4"/>
  <c r="L76" i="2"/>
  <c r="N92" i="5"/>
  <c r="V21" i="5"/>
  <c r="Q29" i="6"/>
  <c r="P29" i="6"/>
  <c r="P45" i="6"/>
  <c r="U53" i="7"/>
  <c r="V20" i="7"/>
  <c r="V70" i="2"/>
  <c r="AA70" i="4" s="1"/>
  <c r="V70" i="5"/>
  <c r="O78" i="5"/>
  <c r="P78" i="5"/>
  <c r="R78" i="5"/>
  <c r="U86" i="7"/>
  <c r="T86" i="7"/>
  <c r="T47" i="5"/>
  <c r="U47" i="5"/>
  <c r="P22" i="4"/>
  <c r="R31" i="7"/>
  <c r="U80" i="2"/>
  <c r="Z80" i="4" s="1"/>
  <c r="Q88" i="7"/>
  <c r="W17" i="6"/>
  <c r="O65" i="7"/>
  <c r="AA65" i="7" s="1"/>
  <c r="R65" i="7"/>
  <c r="Q65" i="7"/>
  <c r="X81" i="7"/>
  <c r="U8" i="7"/>
  <c r="R24" i="7"/>
  <c r="X32" i="2"/>
  <c r="R32" i="4" s="1"/>
  <c r="V50" i="7"/>
  <c r="I82" i="4"/>
  <c r="X82" i="2"/>
  <c r="R82" i="4" s="1"/>
  <c r="U114" i="7"/>
  <c r="U114" i="5"/>
  <c r="U114" i="2"/>
  <c r="U114" i="6"/>
  <c r="Z114" i="4" s="1"/>
  <c r="J15" i="4"/>
  <c r="N15" i="2"/>
  <c r="S15" i="4" s="1"/>
  <c r="U71" i="5"/>
  <c r="N87" i="5"/>
  <c r="AA87" i="5" s="1"/>
  <c r="N40" i="5"/>
  <c r="Q66" i="5"/>
  <c r="N90" i="6"/>
  <c r="V19" i="2"/>
  <c r="AA19" i="4" s="1"/>
  <c r="V12" i="7"/>
  <c r="R44" i="6"/>
  <c r="X60" i="6"/>
  <c r="T92" i="6"/>
  <c r="U92" i="6"/>
  <c r="R29" i="7"/>
  <c r="P23" i="4"/>
  <c r="N120" i="7"/>
  <c r="N120" i="5"/>
  <c r="N120" i="2"/>
  <c r="N120" i="6"/>
  <c r="N56" i="2"/>
  <c r="S56" i="4" s="1"/>
  <c r="J56" i="4"/>
  <c r="R49" i="7"/>
  <c r="P49" i="7"/>
  <c r="O49" i="7"/>
  <c r="AA49" i="7" s="1"/>
  <c r="Q49" i="7"/>
  <c r="O26" i="6"/>
  <c r="Q26" i="6"/>
  <c r="P26" i="6"/>
  <c r="R26" i="6"/>
  <c r="Q75" i="7"/>
  <c r="R75" i="7"/>
  <c r="O75" i="7"/>
  <c r="AA75" i="7" s="1"/>
  <c r="P75" i="7"/>
  <c r="N54" i="7"/>
  <c r="N54" i="6"/>
  <c r="Q127" i="7"/>
  <c r="Q127" i="6"/>
  <c r="V127" i="4" s="1"/>
  <c r="Q127" i="2"/>
  <c r="Q127" i="5"/>
  <c r="T9" i="6"/>
  <c r="U9" i="6"/>
  <c r="Q81" i="6"/>
  <c r="O81" i="6"/>
  <c r="P81" i="6"/>
  <c r="R81" i="6"/>
  <c r="N31" i="2"/>
  <c r="S31" i="4" s="1"/>
  <c r="J31" i="4"/>
  <c r="O51" i="4"/>
  <c r="T51" i="2"/>
  <c r="S37" i="6"/>
  <c r="AB37" i="6" s="1"/>
  <c r="S37" i="5"/>
  <c r="AB37" i="5" s="1"/>
  <c r="S37" i="7"/>
  <c r="AB37" i="7" s="1"/>
  <c r="S37" i="2"/>
  <c r="U104" i="2"/>
  <c r="U104" i="6"/>
  <c r="Z104" i="4" s="1"/>
  <c r="U104" i="5"/>
  <c r="U104" i="7"/>
  <c r="P97" i="7"/>
  <c r="P97" i="2"/>
  <c r="P97" i="6"/>
  <c r="P97" i="5"/>
  <c r="O122" i="6"/>
  <c r="T122" i="4" s="1"/>
  <c r="O122" i="2"/>
  <c r="O122" i="7"/>
  <c r="O122" i="5"/>
  <c r="M26" i="2"/>
  <c r="Q26" i="4" s="1"/>
  <c r="H26" i="4"/>
  <c r="P58" i="6"/>
  <c r="R58" i="6"/>
  <c r="O58" i="6"/>
  <c r="Q58" i="6"/>
  <c r="W11" i="6"/>
  <c r="W70" i="2"/>
  <c r="AB70" i="4" s="1"/>
  <c r="M70" i="4"/>
  <c r="O25" i="7"/>
  <c r="AA25" i="7" s="1"/>
  <c r="R25" i="7"/>
  <c r="P25" i="7"/>
  <c r="Q25" i="7"/>
  <c r="T18" i="7"/>
  <c r="U18" i="7"/>
  <c r="T90" i="5"/>
  <c r="U90" i="5"/>
  <c r="U103" i="2"/>
  <c r="U103" i="7"/>
  <c r="U103" i="5"/>
  <c r="U103" i="6"/>
  <c r="Z103" i="4" s="1"/>
  <c r="P7" i="6"/>
  <c r="P7" i="2"/>
  <c r="U7" i="4" s="1"/>
  <c r="S106" i="5"/>
  <c r="AB106" i="5" s="1"/>
  <c r="S106" i="6"/>
  <c r="S106" i="7"/>
  <c r="AB106" i="7" s="1"/>
  <c r="S106" i="2"/>
  <c r="AB106" i="2" s="1"/>
  <c r="P40" i="4"/>
  <c r="S13" i="5"/>
  <c r="AB13" i="5" s="1"/>
  <c r="S13" i="6"/>
  <c r="AB13" i="6" s="1"/>
  <c r="S13" i="7"/>
  <c r="AB13" i="7" s="1"/>
  <c r="S13" i="2"/>
  <c r="T36" i="2"/>
  <c r="O36" i="4"/>
  <c r="U36" i="2"/>
  <c r="Z36" i="4" s="1"/>
  <c r="V79" i="2"/>
  <c r="AA79" i="4" s="1"/>
  <c r="N79" i="4"/>
  <c r="O72" i="5"/>
  <c r="Y25" i="4"/>
  <c r="N81" i="7"/>
  <c r="Q10" i="2"/>
  <c r="V10" i="4" s="1"/>
  <c r="P10" i="2"/>
  <c r="U10" i="4" s="1"/>
  <c r="R10" i="2"/>
  <c r="W10" i="4" s="1"/>
  <c r="O10" i="2"/>
  <c r="T10" i="4" s="1"/>
  <c r="K10" i="4"/>
  <c r="S42" i="6"/>
  <c r="AB42" i="6" s="1"/>
  <c r="S42" i="5"/>
  <c r="AB42" i="5" s="1"/>
  <c r="S42" i="7"/>
  <c r="AB42" i="7" s="1"/>
  <c r="S42" i="2"/>
  <c r="N35" i="6"/>
  <c r="N35" i="5"/>
  <c r="P59" i="5"/>
  <c r="R59" i="5"/>
  <c r="O59" i="5"/>
  <c r="W79" i="5"/>
  <c r="W79" i="7"/>
  <c r="N99" i="2"/>
  <c r="N99" i="6"/>
  <c r="N99" i="7"/>
  <c r="N99" i="5"/>
  <c r="S125" i="2"/>
  <c r="AB125" i="2" s="1"/>
  <c r="S125" i="7"/>
  <c r="AB125" i="7" s="1"/>
  <c r="S125" i="5"/>
  <c r="AB125" i="5" s="1"/>
  <c r="S125" i="6"/>
  <c r="I28" i="4"/>
  <c r="X28" i="2"/>
  <c r="R28" i="4" s="1"/>
  <c r="P16" i="6"/>
  <c r="O16" i="6"/>
  <c r="Q16" i="6"/>
  <c r="R16" i="6"/>
  <c r="U100" i="6"/>
  <c r="Z100" i="4" s="1"/>
  <c r="U100" i="2"/>
  <c r="U100" i="5"/>
  <c r="U100" i="7"/>
  <c r="N127" i="2"/>
  <c r="N127" i="7"/>
  <c r="N127" i="6"/>
  <c r="N127" i="5"/>
  <c r="R121" i="5"/>
  <c r="R121" i="6"/>
  <c r="W121" i="4" s="1"/>
  <c r="R121" i="7"/>
  <c r="R121" i="2"/>
  <c r="O71" i="2"/>
  <c r="T71" i="4" s="1"/>
  <c r="P71" i="2"/>
  <c r="U71" i="4" s="1"/>
  <c r="R71" i="2"/>
  <c r="W71" i="4" s="1"/>
  <c r="K71" i="4"/>
  <c r="Q71" i="2"/>
  <c r="V71" i="4" s="1"/>
  <c r="S67" i="7"/>
  <c r="AB67" i="7" s="1"/>
  <c r="S67" i="2"/>
  <c r="S67" i="6"/>
  <c r="AB67" i="6" s="1"/>
  <c r="S67" i="5"/>
  <c r="AB67" i="5" s="1"/>
  <c r="V84" i="2"/>
  <c r="AA84" i="4" s="1"/>
  <c r="P61" i="4"/>
  <c r="Q93" i="2"/>
  <c r="V93" i="4" s="1"/>
  <c r="K93" i="4"/>
  <c r="P93" i="2"/>
  <c r="U93" i="4" s="1"/>
  <c r="O93" i="2"/>
  <c r="T93" i="4" s="1"/>
  <c r="R93" i="2"/>
  <c r="W93" i="4" s="1"/>
  <c r="S14" i="7"/>
  <c r="AB14" i="7" s="1"/>
  <c r="S14" i="2"/>
  <c r="S14" i="6"/>
  <c r="AB14" i="6" s="1"/>
  <c r="S14" i="5"/>
  <c r="AB14" i="5" s="1"/>
  <c r="Y14" i="4"/>
  <c r="AA56" i="5"/>
  <c r="O41" i="5"/>
  <c r="P41" i="5"/>
  <c r="R41" i="5"/>
  <c r="Q41" i="5"/>
  <c r="P73" i="2"/>
  <c r="U73" i="4" s="1"/>
  <c r="Q73" i="2"/>
  <c r="V73" i="4" s="1"/>
  <c r="K73" i="4"/>
  <c r="R73" i="2"/>
  <c r="W73" i="4" s="1"/>
  <c r="O73" i="2"/>
  <c r="T73" i="4" s="1"/>
  <c r="T89" i="5"/>
  <c r="U89" i="5"/>
  <c r="T8" i="6"/>
  <c r="U8" i="6"/>
  <c r="Q18" i="7"/>
  <c r="P18" i="7"/>
  <c r="R18" i="7"/>
  <c r="S19" i="2"/>
  <c r="S19" i="6"/>
  <c r="AB19" i="6" s="1"/>
  <c r="S19" i="5"/>
  <c r="AB19" i="5" s="1"/>
  <c r="S19" i="7"/>
  <c r="AB19" i="7" s="1"/>
  <c r="L27" i="2"/>
  <c r="G27" i="4"/>
  <c r="V59" i="5"/>
  <c r="R83" i="7"/>
  <c r="R83" i="5"/>
  <c r="P99" i="2"/>
  <c r="P99" i="5"/>
  <c r="P99" i="7"/>
  <c r="P99" i="6"/>
  <c r="X99" i="7"/>
  <c r="X99" i="6"/>
  <c r="X99" i="2"/>
  <c r="X99" i="5"/>
  <c r="Q13" i="6"/>
  <c r="I21" i="4"/>
  <c r="X21" i="2"/>
  <c r="R21" i="4" s="1"/>
  <c r="O45" i="7"/>
  <c r="R125" i="2"/>
  <c r="R125" i="7"/>
  <c r="R125" i="5"/>
  <c r="R125" i="6"/>
  <c r="W125" i="4" s="1"/>
  <c r="O125" i="2"/>
  <c r="O125" i="7"/>
  <c r="O125" i="6"/>
  <c r="T125" i="4" s="1"/>
  <c r="O125" i="5"/>
  <c r="P118" i="5"/>
  <c r="P118" i="7"/>
  <c r="P118" i="6"/>
  <c r="U118" i="4" s="1"/>
  <c r="P118" i="2"/>
  <c r="P126" i="6"/>
  <c r="U126" i="4" s="1"/>
  <c r="P126" i="5"/>
  <c r="P126" i="2"/>
  <c r="P126" i="7"/>
  <c r="X126" i="6"/>
  <c r="R126" i="4" s="1"/>
  <c r="X126" i="5"/>
  <c r="X126" i="7"/>
  <c r="X126" i="2"/>
  <c r="X55" i="7"/>
  <c r="O80" i="7"/>
  <c r="AA80" i="7" s="1"/>
  <c r="O80" i="5"/>
  <c r="R9" i="7"/>
  <c r="P9" i="7"/>
  <c r="O9" i="7"/>
  <c r="AA9" i="7" s="1"/>
  <c r="Q9" i="7"/>
  <c r="X24" i="7"/>
  <c r="Y34" i="4"/>
  <c r="N28" i="4"/>
  <c r="V28" i="2"/>
  <c r="AA28" i="4" s="1"/>
  <c r="T15" i="6"/>
  <c r="U15" i="6"/>
  <c r="U58" i="6"/>
  <c r="U58" i="2"/>
  <c r="Z58" i="4" s="1"/>
  <c r="T11" i="6"/>
  <c r="U11" i="6"/>
  <c r="P51" i="4"/>
  <c r="V100" i="5"/>
  <c r="V100" i="6"/>
  <c r="AA100" i="4" s="1"/>
  <c r="V100" i="7"/>
  <c r="V100" i="2"/>
  <c r="W100" i="5"/>
  <c r="W100" i="6"/>
  <c r="AB100" i="4" s="1"/>
  <c r="W100" i="2"/>
  <c r="W100" i="7"/>
  <c r="M21" i="4"/>
  <c r="W21" i="2"/>
  <c r="AB21" i="4" s="1"/>
  <c r="L69" i="2"/>
  <c r="G69" i="4"/>
  <c r="P85" i="2"/>
  <c r="U85" i="4" s="1"/>
  <c r="O85" i="2"/>
  <c r="T85" i="4" s="1"/>
  <c r="K85" i="4"/>
  <c r="R85" i="2"/>
  <c r="W85" i="4" s="1"/>
  <c r="Q85" i="2"/>
  <c r="V85" i="4" s="1"/>
  <c r="N20" i="7"/>
  <c r="AA20" i="7" s="1"/>
  <c r="Y20" i="4"/>
  <c r="P20" i="4"/>
  <c r="P54" i="2"/>
  <c r="U54" i="4" s="1"/>
  <c r="Q14" i="7"/>
  <c r="P14" i="7"/>
  <c r="O14" i="7"/>
  <c r="R14" i="7"/>
  <c r="V33" i="2"/>
  <c r="AA33" i="4" s="1"/>
  <c r="V24" i="5"/>
  <c r="W28" i="7"/>
  <c r="P30" i="4"/>
  <c r="Q15" i="7"/>
  <c r="P15" i="5"/>
  <c r="P15" i="2"/>
  <c r="U15" i="4" s="1"/>
  <c r="V26" i="2"/>
  <c r="AA26" i="4" s="1"/>
  <c r="N26" i="4"/>
  <c r="S11" i="2"/>
  <c r="S11" i="7"/>
  <c r="AB11" i="7" s="1"/>
  <c r="S11" i="5"/>
  <c r="AB11" i="5" s="1"/>
  <c r="S11" i="6"/>
  <c r="AB11" i="6" s="1"/>
  <c r="W43" i="2"/>
  <c r="AB43" i="4" s="1"/>
  <c r="N67" i="7"/>
  <c r="N67" i="6"/>
  <c r="P44" i="4"/>
  <c r="X68" i="7"/>
  <c r="P68" i="7"/>
  <c r="P68" i="5"/>
  <c r="P93" i="6"/>
  <c r="Q93" i="6"/>
  <c r="R93" i="6"/>
  <c r="O93" i="6"/>
  <c r="T20" i="7"/>
  <c r="X46" i="2"/>
  <c r="R46" i="4" s="1"/>
  <c r="P62" i="7"/>
  <c r="U78" i="5"/>
  <c r="AC78" i="5" s="1"/>
  <c r="Y63" i="4"/>
  <c r="R48" i="6"/>
  <c r="O48" i="6"/>
  <c r="P48" i="6"/>
  <c r="Q48" i="6"/>
  <c r="N88" i="2"/>
  <c r="S88" i="4" s="1"/>
  <c r="J88" i="4"/>
  <c r="Q28" i="6"/>
  <c r="R28" i="6"/>
  <c r="P28" i="6"/>
  <c r="O28" i="6"/>
  <c r="T30" i="5"/>
  <c r="U30" i="5"/>
  <c r="S111" i="5"/>
  <c r="AB111" i="5" s="1"/>
  <c r="S111" i="2"/>
  <c r="AB111" i="2" s="1"/>
  <c r="S111" i="7"/>
  <c r="AB111" i="7" s="1"/>
  <c r="S111" i="6"/>
  <c r="V18" i="2"/>
  <c r="AA18" i="4" s="1"/>
  <c r="AC74" i="5"/>
  <c r="M51" i="4"/>
  <c r="W51" i="2"/>
  <c r="AB51" i="4" s="1"/>
  <c r="V91" i="2"/>
  <c r="AA91" i="4" s="1"/>
  <c r="V91" i="5"/>
  <c r="V52" i="6"/>
  <c r="X68" i="5"/>
  <c r="V124" i="2"/>
  <c r="V124" i="6"/>
  <c r="AA124" i="4" s="1"/>
  <c r="V124" i="7"/>
  <c r="V124" i="5"/>
  <c r="O29" i="6"/>
  <c r="O29" i="7"/>
  <c r="AA29" i="7" s="1"/>
  <c r="O29" i="2"/>
  <c r="T29" i="4" s="1"/>
  <c r="N29" i="2"/>
  <c r="S29" i="4" s="1"/>
  <c r="P46" i="7"/>
  <c r="U78" i="6"/>
  <c r="V86" i="5"/>
  <c r="O110" i="6"/>
  <c r="T110" i="4" s="1"/>
  <c r="O110" i="5"/>
  <c r="O110" i="7"/>
  <c r="O110" i="2"/>
  <c r="W110" i="5"/>
  <c r="W110" i="2"/>
  <c r="W110" i="6"/>
  <c r="AB110" i="4" s="1"/>
  <c r="W110" i="7"/>
  <c r="O47" i="4"/>
  <c r="T47" i="2"/>
  <c r="P63" i="2"/>
  <c r="U63" i="4" s="1"/>
  <c r="Q22" i="6"/>
  <c r="R22" i="6"/>
  <c r="P22" i="6"/>
  <c r="O22" i="6"/>
  <c r="N104" i="7"/>
  <c r="N104" i="5"/>
  <c r="N104" i="2"/>
  <c r="N104" i="6"/>
  <c r="S104" i="6"/>
  <c r="S104" i="7"/>
  <c r="AB104" i="7" s="1"/>
  <c r="S104" i="5"/>
  <c r="AB104" i="5" s="1"/>
  <c r="S104" i="2"/>
  <c r="AB104" i="2" s="1"/>
  <c r="R95" i="7"/>
  <c r="R88" i="7"/>
  <c r="O88" i="7"/>
  <c r="AA88" i="7" s="1"/>
  <c r="P96" i="2"/>
  <c r="P96" i="7"/>
  <c r="P96" i="5"/>
  <c r="P96" i="6"/>
  <c r="O49" i="2"/>
  <c r="T49" i="4" s="1"/>
  <c r="N81" i="4"/>
  <c r="V81" i="2"/>
  <c r="AA81" i="4" s="1"/>
  <c r="U97" i="2"/>
  <c r="U97" i="5"/>
  <c r="U97" i="7"/>
  <c r="U97" i="6"/>
  <c r="N105" i="6"/>
  <c r="N105" i="5"/>
  <c r="N105" i="2"/>
  <c r="N105" i="7"/>
  <c r="V105" i="2"/>
  <c r="V105" i="5"/>
  <c r="V105" i="7"/>
  <c r="V105" i="6"/>
  <c r="AA105" i="4" s="1"/>
  <c r="N113" i="6"/>
  <c r="N113" i="7"/>
  <c r="N113" i="2"/>
  <c r="N113" i="5"/>
  <c r="H8" i="4"/>
  <c r="M8" i="2"/>
  <c r="Q8" i="4" s="1"/>
  <c r="J32" i="4"/>
  <c r="N32" i="2"/>
  <c r="S32" i="4" s="1"/>
  <c r="U50" i="5"/>
  <c r="T50" i="5"/>
  <c r="N122" i="5"/>
  <c r="N122" i="7"/>
  <c r="N122" i="2"/>
  <c r="N122" i="6"/>
  <c r="Q122" i="7"/>
  <c r="Q122" i="2"/>
  <c r="Q122" i="5"/>
  <c r="Q122" i="6"/>
  <c r="V122" i="4" s="1"/>
  <c r="T39" i="7"/>
  <c r="U39" i="7"/>
  <c r="Q87" i="6"/>
  <c r="P87" i="6"/>
  <c r="R87" i="6"/>
  <c r="O87" i="6"/>
  <c r="X40" i="5"/>
  <c r="X58" i="6"/>
  <c r="U74" i="6"/>
  <c r="T74" i="6"/>
  <c r="V11" i="5"/>
  <c r="Q35" i="5"/>
  <c r="P35" i="5"/>
  <c r="R35" i="5"/>
  <c r="O35" i="5"/>
  <c r="T43" i="7"/>
  <c r="U43" i="7"/>
  <c r="Q51" i="2"/>
  <c r="V51" i="4" s="1"/>
  <c r="Q51" i="5"/>
  <c r="U83" i="7"/>
  <c r="T83" i="7"/>
  <c r="N107" i="5"/>
  <c r="N107" i="6"/>
  <c r="N107" i="2"/>
  <c r="N107" i="7"/>
  <c r="W107" i="7"/>
  <c r="W107" i="2"/>
  <c r="W107" i="6"/>
  <c r="AB107" i="4" s="1"/>
  <c r="W107" i="5"/>
  <c r="O68" i="6"/>
  <c r="Q68" i="6"/>
  <c r="R68" i="6"/>
  <c r="P68" i="6"/>
  <c r="P92" i="5"/>
  <c r="V108" i="6"/>
  <c r="AA108" i="4" s="1"/>
  <c r="V108" i="5"/>
  <c r="V108" i="7"/>
  <c r="V108" i="2"/>
  <c r="T13" i="5"/>
  <c r="U13" i="5"/>
  <c r="W37" i="6"/>
  <c r="S61" i="5"/>
  <c r="AB61" i="5" s="1"/>
  <c r="S61" i="2"/>
  <c r="S61" i="7"/>
  <c r="AB61" i="7" s="1"/>
  <c r="S61" i="6"/>
  <c r="AB61" i="6" s="1"/>
  <c r="V69" i="6"/>
  <c r="P101" i="5"/>
  <c r="P101" i="6"/>
  <c r="U101" i="4" s="1"/>
  <c r="P101" i="2"/>
  <c r="P101" i="7"/>
  <c r="Q101" i="5"/>
  <c r="Q101" i="2"/>
  <c r="Q101" i="6"/>
  <c r="V101" i="4" s="1"/>
  <c r="Q101" i="7"/>
  <c r="T109" i="2"/>
  <c r="T109" i="7"/>
  <c r="T109" i="5"/>
  <c r="T109" i="6"/>
  <c r="W46" i="2"/>
  <c r="AB46" i="4" s="1"/>
  <c r="M46" i="4"/>
  <c r="P14" i="6"/>
  <c r="N95" i="6"/>
  <c r="V65" i="5"/>
  <c r="V65" i="2"/>
  <c r="AA65" i="4" s="1"/>
  <c r="M89" i="2"/>
  <c r="Q89" i="4" s="1"/>
  <c r="H89" i="4"/>
  <c r="P58" i="2"/>
  <c r="U58" i="4" s="1"/>
  <c r="V74" i="2"/>
  <c r="AA74" i="4" s="1"/>
  <c r="N74" i="4"/>
  <c r="X11" i="7"/>
  <c r="M27" i="4"/>
  <c r="W27" i="2"/>
  <c r="AB27" i="4" s="1"/>
  <c r="X67" i="2"/>
  <c r="R67" i="4" s="1"/>
  <c r="I67" i="4"/>
  <c r="W75" i="5"/>
  <c r="W75" i="7"/>
  <c r="AC75" i="7" s="1"/>
  <c r="O83" i="4"/>
  <c r="U83" i="2"/>
  <c r="Z83" i="4" s="1"/>
  <c r="R115" i="5"/>
  <c r="R115" i="7"/>
  <c r="R115" i="6"/>
  <c r="W115" i="4" s="1"/>
  <c r="R115" i="2"/>
  <c r="T115" i="6"/>
  <c r="T115" i="2"/>
  <c r="T115" i="5"/>
  <c r="T115" i="7"/>
  <c r="X123" i="2"/>
  <c r="X123" i="5"/>
  <c r="X123" i="6"/>
  <c r="R123" i="4" s="1"/>
  <c r="X123" i="7"/>
  <c r="U12" i="7"/>
  <c r="U76" i="2"/>
  <c r="Z76" i="4" s="1"/>
  <c r="O76" i="4"/>
  <c r="T76" i="2"/>
  <c r="W84" i="7"/>
  <c r="P116" i="5"/>
  <c r="P116" i="2"/>
  <c r="P116" i="6"/>
  <c r="U116" i="4" s="1"/>
  <c r="P116" i="7"/>
  <c r="O53" i="4"/>
  <c r="U53" i="2"/>
  <c r="Z53" i="4" s="1"/>
  <c r="T53" i="2"/>
  <c r="N93" i="6"/>
  <c r="AA93" i="6" s="1"/>
  <c r="V117" i="6"/>
  <c r="AA117" i="4" s="1"/>
  <c r="V117" i="7"/>
  <c r="V117" i="2"/>
  <c r="V117" i="5"/>
  <c r="W117" i="5"/>
  <c r="W117" i="7"/>
  <c r="W117" i="2"/>
  <c r="W117" i="6"/>
  <c r="AB117" i="4" s="1"/>
  <c r="U46" i="2"/>
  <c r="Z46" i="4" s="1"/>
  <c r="O46" i="4"/>
  <c r="T46" i="2"/>
  <c r="T62" i="7"/>
  <c r="U62" i="7"/>
  <c r="O102" i="6"/>
  <c r="T102" i="4" s="1"/>
  <c r="O102" i="5"/>
  <c r="O102" i="7"/>
  <c r="O102" i="2"/>
  <c r="S102" i="2"/>
  <c r="AB102" i="2" s="1"/>
  <c r="S102" i="5"/>
  <c r="AB102" i="5" s="1"/>
  <c r="S102" i="7"/>
  <c r="AB102" i="7" s="1"/>
  <c r="S102" i="6"/>
  <c r="N103" i="2"/>
  <c r="N103" i="7"/>
  <c r="N103" i="6"/>
  <c r="N103" i="5"/>
  <c r="T119" i="6"/>
  <c r="T119" i="2"/>
  <c r="T119" i="5"/>
  <c r="T119" i="7"/>
  <c r="P119" i="6"/>
  <c r="U119" i="4" s="1"/>
  <c r="P119" i="5"/>
  <c r="P119" i="2"/>
  <c r="P119" i="7"/>
  <c r="P128" i="7"/>
  <c r="P128" i="2"/>
  <c r="P128" i="6"/>
  <c r="U128" i="4" s="1"/>
  <c r="P128" i="5"/>
  <c r="V7" i="2"/>
  <c r="AA7" i="4" s="1"/>
  <c r="V7" i="7"/>
  <c r="Y7" i="4"/>
  <c r="T55" i="2"/>
  <c r="V48" i="7"/>
  <c r="R64" i="2"/>
  <c r="W64" i="4" s="1"/>
  <c r="R64" i="7"/>
  <c r="R64" i="5"/>
  <c r="AA64" i="5" s="1"/>
  <c r="X80" i="5"/>
  <c r="K25" i="4"/>
  <c r="P25" i="2"/>
  <c r="U25" i="4" s="1"/>
  <c r="Q25" i="2"/>
  <c r="V25" i="4" s="1"/>
  <c r="O25" i="2"/>
  <c r="T25" i="4" s="1"/>
  <c r="R25" i="2"/>
  <c r="W25" i="4" s="1"/>
  <c r="T73" i="2"/>
  <c r="O73" i="4"/>
  <c r="U73" i="2"/>
  <c r="Z73" i="4" s="1"/>
  <c r="W81" i="2"/>
  <c r="AB81" i="4" s="1"/>
  <c r="L8" i="2"/>
  <c r="G8" i="4"/>
  <c r="N24" i="6"/>
  <c r="Q82" i="7"/>
  <c r="R106" i="2"/>
  <c r="R106" i="6"/>
  <c r="W106" i="4" s="1"/>
  <c r="R106" i="5"/>
  <c r="R106" i="7"/>
  <c r="U28" i="7"/>
  <c r="X39" i="5"/>
  <c r="X16" i="2"/>
  <c r="R16" i="4" s="1"/>
  <c r="X16" i="5"/>
  <c r="P26" i="2"/>
  <c r="U26" i="4" s="1"/>
  <c r="O19" i="5"/>
  <c r="N35" i="2"/>
  <c r="S35" i="4" s="1"/>
  <c r="T51" i="5"/>
  <c r="T67" i="2"/>
  <c r="Q83" i="7"/>
  <c r="X52" i="7"/>
  <c r="U52" i="6"/>
  <c r="P60" i="5"/>
  <c r="U68" i="2"/>
  <c r="Z68" i="4" s="1"/>
  <c r="O68" i="4"/>
  <c r="T68" i="2"/>
  <c r="T46" i="6"/>
  <c r="U46" i="6"/>
  <c r="P70" i="7"/>
  <c r="O70" i="7"/>
  <c r="Q70" i="7"/>
  <c r="R70" i="7"/>
  <c r="T94" i="7"/>
  <c r="U94" i="7"/>
  <c r="M47" i="2"/>
  <c r="Q47" i="4" s="1"/>
  <c r="H47" i="4"/>
  <c r="N72" i="4"/>
  <c r="V72" i="2"/>
  <c r="AA72" i="4" s="1"/>
  <c r="T80" i="2"/>
  <c r="R41" i="7"/>
  <c r="Q89" i="5"/>
  <c r="O89" i="5"/>
  <c r="R89" i="5"/>
  <c r="P89" i="5"/>
  <c r="X8" i="2"/>
  <c r="R8" i="4" s="1"/>
  <c r="P24" i="7"/>
  <c r="X30" i="2"/>
  <c r="R30" i="4" s="1"/>
  <c r="X30" i="5"/>
  <c r="J71" i="4"/>
  <c r="N71" i="2"/>
  <c r="S71" i="4" s="1"/>
  <c r="S87" i="7"/>
  <c r="AB87" i="7" s="1"/>
  <c r="S87" i="6"/>
  <c r="AB87" i="6" s="1"/>
  <c r="S87" i="2"/>
  <c r="S87" i="5"/>
  <c r="AB87" i="5" s="1"/>
  <c r="R40" i="5"/>
  <c r="Q40" i="5"/>
  <c r="P40" i="5"/>
  <c r="O40" i="5"/>
  <c r="O66" i="5"/>
  <c r="R75" i="5"/>
  <c r="P75" i="5"/>
  <c r="Q75" i="5"/>
  <c r="T12" i="5"/>
  <c r="U12" i="5"/>
  <c r="R44" i="7"/>
  <c r="X60" i="7"/>
  <c r="X92" i="5"/>
  <c r="P85" i="5"/>
  <c r="O85" i="5"/>
  <c r="T93" i="6"/>
  <c r="AC93" i="6" s="1"/>
  <c r="P62" i="6"/>
  <c r="Q62" i="6"/>
  <c r="R62" i="6"/>
  <c r="S94" i="6"/>
  <c r="AB94" i="6" s="1"/>
  <c r="S94" i="2"/>
  <c r="S94" i="5"/>
  <c r="AB94" i="5" s="1"/>
  <c r="S94" i="7"/>
  <c r="AB94" i="7" s="1"/>
  <c r="U47" i="6"/>
  <c r="V22" i="2"/>
  <c r="AA22" i="4" s="1"/>
  <c r="F6" i="2"/>
  <c r="K38" i="4"/>
  <c r="P38" i="2"/>
  <c r="U38" i="4" s="1"/>
  <c r="Q38" i="2"/>
  <c r="V38" i="4" s="1"/>
  <c r="R38" i="2"/>
  <c r="W38" i="4" s="1"/>
  <c r="O38" i="2"/>
  <c r="T38" i="4" s="1"/>
  <c r="O32" i="6"/>
  <c r="O32" i="7"/>
  <c r="N28" i="2"/>
  <c r="S28" i="4" s="1"/>
  <c r="J28" i="4"/>
  <c r="U118" i="6"/>
  <c r="Z118" i="4" s="1"/>
  <c r="U118" i="2"/>
  <c r="U118" i="7"/>
  <c r="U118" i="5"/>
  <c r="N73" i="2"/>
  <c r="S73" i="4" s="1"/>
  <c r="J73" i="4"/>
  <c r="Q12" i="7"/>
  <c r="Q12" i="2"/>
  <c r="V12" i="4" s="1"/>
  <c r="U121" i="6"/>
  <c r="Z121" i="4" s="1"/>
  <c r="U121" i="5"/>
  <c r="U121" i="2"/>
  <c r="U121" i="7"/>
  <c r="P71" i="6"/>
  <c r="Q71" i="6"/>
  <c r="R71" i="6"/>
  <c r="O71" i="6"/>
  <c r="S68" i="6"/>
  <c r="AB68" i="6" s="1"/>
  <c r="S68" i="5"/>
  <c r="AB68" i="5" s="1"/>
  <c r="S68" i="2"/>
  <c r="S68" i="7"/>
  <c r="AB68" i="7" s="1"/>
  <c r="M73" i="4"/>
  <c r="W73" i="2"/>
  <c r="AB73" i="4" s="1"/>
  <c r="P124" i="6"/>
  <c r="U124" i="4" s="1"/>
  <c r="P124" i="7"/>
  <c r="P124" i="5"/>
  <c r="P124" i="2"/>
  <c r="V29" i="6"/>
  <c r="V29" i="5"/>
  <c r="V29" i="7"/>
  <c r="V69" i="2"/>
  <c r="AA69" i="4" s="1"/>
  <c r="V69" i="7"/>
  <c r="S41" i="7"/>
  <c r="AB41" i="7" s="1"/>
  <c r="S41" i="6"/>
  <c r="AB41" i="6" s="1"/>
  <c r="S41" i="5"/>
  <c r="AB41" i="5" s="1"/>
  <c r="S41" i="2"/>
  <c r="V122" i="2"/>
  <c r="V122" i="6"/>
  <c r="AA122" i="4" s="1"/>
  <c r="V122" i="7"/>
  <c r="V122" i="5"/>
  <c r="R109" i="6"/>
  <c r="W109" i="4" s="1"/>
  <c r="R109" i="2"/>
  <c r="R109" i="7"/>
  <c r="R109" i="5"/>
  <c r="P46" i="4"/>
  <c r="K56" i="4"/>
  <c r="R56" i="2"/>
  <c r="W56" i="4" s="1"/>
  <c r="O56" i="2"/>
  <c r="T56" i="4" s="1"/>
  <c r="P56" i="2"/>
  <c r="U56" i="4" s="1"/>
  <c r="Q56" i="2"/>
  <c r="V56" i="4" s="1"/>
  <c r="R27" i="2"/>
  <c r="W27" i="4" s="1"/>
  <c r="R27" i="6"/>
  <c r="R27" i="7"/>
  <c r="K54" i="4"/>
  <c r="R54" i="2"/>
  <c r="W54" i="4" s="1"/>
  <c r="Q54" i="2"/>
  <c r="V54" i="4" s="1"/>
  <c r="P102" i="7"/>
  <c r="P102" i="6"/>
  <c r="U102" i="4" s="1"/>
  <c r="P102" i="5"/>
  <c r="P102" i="2"/>
  <c r="V128" i="5"/>
  <c r="V128" i="6"/>
  <c r="AA128" i="4" s="1"/>
  <c r="V128" i="2"/>
  <c r="V128" i="7"/>
  <c r="G57" i="4"/>
  <c r="L57" i="2"/>
  <c r="X24" i="2"/>
  <c r="R24" i="4" s="1"/>
  <c r="V16" i="6"/>
  <c r="V16" i="5"/>
  <c r="V16" i="2"/>
  <c r="AA16" i="4" s="1"/>
  <c r="R35" i="2"/>
  <c r="W35" i="4" s="1"/>
  <c r="Q35" i="2"/>
  <c r="V35" i="4" s="1"/>
  <c r="K35" i="4"/>
  <c r="O35" i="2"/>
  <c r="T35" i="4" s="1"/>
  <c r="P35" i="2"/>
  <c r="U35" i="4" s="1"/>
  <c r="T38" i="5"/>
  <c r="U38" i="5"/>
  <c r="V41" i="2"/>
  <c r="AA41" i="4" s="1"/>
  <c r="N41" i="4"/>
  <c r="W114" i="6"/>
  <c r="AB114" i="4" s="1"/>
  <c r="W114" i="5"/>
  <c r="W114" i="7"/>
  <c r="W114" i="2"/>
  <c r="O40" i="4"/>
  <c r="T40" i="2"/>
  <c r="S44" i="5"/>
  <c r="AB44" i="5" s="1"/>
  <c r="S44" i="6"/>
  <c r="AB44" i="6" s="1"/>
  <c r="S44" i="7"/>
  <c r="AB44" i="7" s="1"/>
  <c r="S44" i="2"/>
  <c r="T120" i="5"/>
  <c r="T120" i="7"/>
  <c r="T120" i="2"/>
  <c r="T120" i="6"/>
  <c r="U72" i="2"/>
  <c r="Z72" i="4" s="1"/>
  <c r="T72" i="2"/>
  <c r="O72" i="4"/>
  <c r="AA57" i="7"/>
  <c r="M39" i="4"/>
  <c r="W39" i="2"/>
  <c r="AB39" i="4" s="1"/>
  <c r="K13" i="4"/>
  <c r="O13" i="2"/>
  <c r="T13" i="4" s="1"/>
  <c r="P13" i="2"/>
  <c r="U13" i="4" s="1"/>
  <c r="Q13" i="2"/>
  <c r="V13" i="4" s="1"/>
  <c r="R13" i="2"/>
  <c r="W13" i="4" s="1"/>
  <c r="O118" i="5"/>
  <c r="O118" i="2"/>
  <c r="O118" i="7"/>
  <c r="O118" i="6"/>
  <c r="T118" i="4" s="1"/>
  <c r="S52" i="5"/>
  <c r="AB52" i="5" s="1"/>
  <c r="S52" i="7"/>
  <c r="AB52" i="7" s="1"/>
  <c r="S52" i="6"/>
  <c r="AB52" i="6" s="1"/>
  <c r="S52" i="2"/>
  <c r="O85" i="6"/>
  <c r="P85" i="6"/>
  <c r="Q85" i="6"/>
  <c r="R85" i="6"/>
  <c r="U54" i="2"/>
  <c r="Z54" i="4" s="1"/>
  <c r="U54" i="5"/>
  <c r="W33" i="6"/>
  <c r="W33" i="5"/>
  <c r="N81" i="6"/>
  <c r="U41" i="5"/>
  <c r="T41" i="5"/>
  <c r="U49" i="2"/>
  <c r="Z49" i="4" s="1"/>
  <c r="T49" i="2"/>
  <c r="O49" i="4"/>
  <c r="U32" i="2"/>
  <c r="Z32" i="4" s="1"/>
  <c r="U32" i="6"/>
  <c r="R34" i="5"/>
  <c r="Q34" i="5"/>
  <c r="P34" i="5"/>
  <c r="O34" i="5"/>
  <c r="Y39" i="4"/>
  <c r="V90" i="2"/>
  <c r="AA90" i="4" s="1"/>
  <c r="V90" i="7"/>
  <c r="V90" i="5"/>
  <c r="W11" i="7"/>
  <c r="W19" i="6"/>
  <c r="W19" i="2"/>
  <c r="AB19" i="4" s="1"/>
  <c r="N35" i="7"/>
  <c r="U99" i="7"/>
  <c r="U99" i="5"/>
  <c r="U99" i="6"/>
  <c r="U99" i="2"/>
  <c r="W99" i="2"/>
  <c r="W99" i="7"/>
  <c r="W99" i="5"/>
  <c r="W99" i="6"/>
  <c r="AB99" i="4" s="1"/>
  <c r="L52" i="2"/>
  <c r="G52" i="4"/>
  <c r="Q21" i="7"/>
  <c r="O21" i="7"/>
  <c r="R21" i="7"/>
  <c r="P21" i="7"/>
  <c r="X29" i="2"/>
  <c r="R29" i="4" s="1"/>
  <c r="U77" i="7"/>
  <c r="G94" i="4"/>
  <c r="L94" i="2"/>
  <c r="T118" i="6"/>
  <c r="T118" i="2"/>
  <c r="T118" i="7"/>
  <c r="T118" i="5"/>
  <c r="S126" i="5"/>
  <c r="AB126" i="5" s="1"/>
  <c r="S126" i="7"/>
  <c r="AB126" i="7" s="1"/>
  <c r="S126" i="2"/>
  <c r="AB126" i="2" s="1"/>
  <c r="S126" i="6"/>
  <c r="N126" i="2"/>
  <c r="N126" i="6"/>
  <c r="N126" i="5"/>
  <c r="N126" i="7"/>
  <c r="O38" i="4"/>
  <c r="U38" i="2"/>
  <c r="Z38" i="4" s="1"/>
  <c r="T38" i="2"/>
  <c r="AC55" i="6"/>
  <c r="S80" i="7"/>
  <c r="AB80" i="7" s="1"/>
  <c r="S80" i="2"/>
  <c r="S80" i="5"/>
  <c r="AB80" i="5" s="1"/>
  <c r="S80" i="6"/>
  <c r="AB80" i="6" s="1"/>
  <c r="V73" i="6"/>
  <c r="V73" i="5"/>
  <c r="V81" i="7"/>
  <c r="V81" i="6"/>
  <c r="T8" i="2"/>
  <c r="T8" i="7"/>
  <c r="V34" i="6"/>
  <c r="S82" i="7"/>
  <c r="AB82" i="7" s="1"/>
  <c r="S82" i="6"/>
  <c r="AB82" i="6" s="1"/>
  <c r="S82" i="5"/>
  <c r="AB82" i="5" s="1"/>
  <c r="S82" i="2"/>
  <c r="W82" i="2"/>
  <c r="AB82" i="4" s="1"/>
  <c r="W82" i="6"/>
  <c r="T15" i="7"/>
  <c r="P42" i="4"/>
  <c r="O58" i="2"/>
  <c r="T58" i="4" s="1"/>
  <c r="O58" i="7"/>
  <c r="U11" i="5"/>
  <c r="T11" i="5"/>
  <c r="O43" i="7"/>
  <c r="M59" i="2"/>
  <c r="Q59" i="4" s="1"/>
  <c r="H59" i="4"/>
  <c r="W83" i="5"/>
  <c r="Q100" i="5"/>
  <c r="Q100" i="2"/>
  <c r="Q100" i="6"/>
  <c r="V100" i="4" s="1"/>
  <c r="Q100" i="7"/>
  <c r="X100" i="2"/>
  <c r="X100" i="7"/>
  <c r="X100" i="6"/>
  <c r="R100" i="4" s="1"/>
  <c r="X100" i="5"/>
  <c r="O53" i="6"/>
  <c r="P53" i="6"/>
  <c r="R53" i="6"/>
  <c r="Q53" i="6"/>
  <c r="X20" i="6"/>
  <c r="S31" i="6"/>
  <c r="AB31" i="6" s="1"/>
  <c r="S31" i="2"/>
  <c r="S31" i="5"/>
  <c r="AB31" i="5" s="1"/>
  <c r="S31" i="7"/>
  <c r="AB31" i="7" s="1"/>
  <c r="R127" i="6"/>
  <c r="W127" i="4" s="1"/>
  <c r="R127" i="7"/>
  <c r="R127" i="5"/>
  <c r="R127" i="2"/>
  <c r="V48" i="5"/>
  <c r="P88" i="5"/>
  <c r="S33" i="6"/>
  <c r="AB33" i="6" s="1"/>
  <c r="S33" i="5"/>
  <c r="AB33" i="5" s="1"/>
  <c r="S33" i="2"/>
  <c r="S33" i="7"/>
  <c r="AB33" i="7" s="1"/>
  <c r="T81" i="6"/>
  <c r="U81" i="6"/>
  <c r="S121" i="7"/>
  <c r="AB121" i="7" s="1"/>
  <c r="S121" i="5"/>
  <c r="AB121" i="5" s="1"/>
  <c r="S121" i="6"/>
  <c r="S121" i="2"/>
  <c r="AB121" i="2" s="1"/>
  <c r="V24" i="7"/>
  <c r="X15" i="5"/>
  <c r="C15" i="3"/>
  <c r="D15" i="3"/>
  <c r="Y11" i="4"/>
  <c r="AC11" i="2"/>
  <c r="AG11" i="4" s="1"/>
  <c r="O91" i="4"/>
  <c r="T91" i="2"/>
  <c r="Y78" i="4"/>
  <c r="X41" i="2"/>
  <c r="R41" i="4" s="1"/>
  <c r="I41" i="4"/>
  <c r="O57" i="4"/>
  <c r="U57" i="2"/>
  <c r="Z57" i="4" s="1"/>
  <c r="Y24" i="4"/>
  <c r="U34" i="5"/>
  <c r="Y28" i="4"/>
  <c r="X39" i="2"/>
  <c r="R39" i="4" s="1"/>
  <c r="I39" i="4"/>
  <c r="L87" i="2"/>
  <c r="G87" i="4"/>
  <c r="T111" i="5"/>
  <c r="T111" i="2"/>
  <c r="T111" i="6"/>
  <c r="T111" i="7"/>
  <c r="U40" i="2"/>
  <c r="Z40" i="4" s="1"/>
  <c r="W66" i="5"/>
  <c r="W66" i="2"/>
  <c r="AB66" i="4" s="1"/>
  <c r="R11" i="7"/>
  <c r="Q60" i="5"/>
  <c r="R60" i="5"/>
  <c r="R124" i="2"/>
  <c r="R124" i="5"/>
  <c r="R124" i="6"/>
  <c r="W124" i="4" s="1"/>
  <c r="R124" i="7"/>
  <c r="Q92" i="2"/>
  <c r="V92" i="4" s="1"/>
  <c r="P92" i="2"/>
  <c r="U92" i="4" s="1"/>
  <c r="K92" i="4"/>
  <c r="R92" i="2"/>
  <c r="W92" i="4" s="1"/>
  <c r="O92" i="2"/>
  <c r="T92" i="4" s="1"/>
  <c r="O86" i="6"/>
  <c r="Q86" i="6"/>
  <c r="R86" i="6"/>
  <c r="P86" i="6"/>
  <c r="Q110" i="7"/>
  <c r="Q110" i="5"/>
  <c r="Q110" i="2"/>
  <c r="Q110" i="6"/>
  <c r="V110" i="4" s="1"/>
  <c r="V110" i="6"/>
  <c r="AA110" i="4" s="1"/>
  <c r="V110" i="2"/>
  <c r="V110" i="5"/>
  <c r="V110" i="7"/>
  <c r="R63" i="6"/>
  <c r="P63" i="6"/>
  <c r="Q63" i="6"/>
  <c r="O63" i="6"/>
  <c r="O63" i="2"/>
  <c r="T63" i="4" s="1"/>
  <c r="Q104" i="5"/>
  <c r="Q104" i="2"/>
  <c r="Q104" i="6"/>
  <c r="V104" i="4" s="1"/>
  <c r="Q104" i="7"/>
  <c r="R104" i="5"/>
  <c r="R104" i="7"/>
  <c r="R104" i="6"/>
  <c r="W104" i="4" s="1"/>
  <c r="R104" i="2"/>
  <c r="N38" i="6"/>
  <c r="AA38" i="6" s="1"/>
  <c r="X55" i="5"/>
  <c r="W48" i="5"/>
  <c r="N72" i="7"/>
  <c r="N72" i="5"/>
  <c r="V96" i="6"/>
  <c r="V96" i="5"/>
  <c r="V96" i="7"/>
  <c r="V96" i="2"/>
  <c r="P9" i="2"/>
  <c r="U9" i="4" s="1"/>
  <c r="T33" i="2"/>
  <c r="U33" i="2"/>
  <c r="Z33" i="4" s="1"/>
  <c r="O33" i="4"/>
  <c r="Y41" i="4"/>
  <c r="N41" i="5"/>
  <c r="N41" i="2"/>
  <c r="S41" i="4" s="1"/>
  <c r="S49" i="7"/>
  <c r="AB49" i="7" s="1"/>
  <c r="S49" i="5"/>
  <c r="AB49" i="5" s="1"/>
  <c r="S49" i="2"/>
  <c r="S49" i="6"/>
  <c r="AB49" i="6" s="1"/>
  <c r="X89" i="7"/>
  <c r="O97" i="5"/>
  <c r="O97" i="7"/>
  <c r="O97" i="2"/>
  <c r="O97" i="6"/>
  <c r="S105" i="7"/>
  <c r="AB105" i="7" s="1"/>
  <c r="S105" i="2"/>
  <c r="AB105" i="2" s="1"/>
  <c r="S105" i="6"/>
  <c r="S105" i="5"/>
  <c r="AB105" i="5" s="1"/>
  <c r="R105" i="5"/>
  <c r="R105" i="6"/>
  <c r="W105" i="4" s="1"/>
  <c r="R105" i="2"/>
  <c r="R105" i="7"/>
  <c r="U113" i="5"/>
  <c r="U113" i="6"/>
  <c r="Z113" i="4" s="1"/>
  <c r="U113" i="2"/>
  <c r="U113" i="7"/>
  <c r="N32" i="6"/>
  <c r="S122" i="2"/>
  <c r="AB122" i="2" s="1"/>
  <c r="S122" i="7"/>
  <c r="AB122" i="7" s="1"/>
  <c r="S122" i="6"/>
  <c r="S122" i="5"/>
  <c r="AB122" i="5" s="1"/>
  <c r="W28" i="2"/>
  <c r="AB28" i="4" s="1"/>
  <c r="M28" i="4"/>
  <c r="X40" i="6"/>
  <c r="W58" i="5"/>
  <c r="N74" i="2"/>
  <c r="S74" i="4" s="1"/>
  <c r="J74" i="4"/>
  <c r="V11" i="6"/>
  <c r="W19" i="7"/>
  <c r="L35" i="2"/>
  <c r="G35" i="4"/>
  <c r="S51" i="6"/>
  <c r="AB51" i="6" s="1"/>
  <c r="S51" i="7"/>
  <c r="AB51" i="7" s="1"/>
  <c r="S51" i="2"/>
  <c r="S51" i="5"/>
  <c r="AB51" i="5" s="1"/>
  <c r="V59" i="6"/>
  <c r="Q107" i="2"/>
  <c r="Q107" i="6"/>
  <c r="V107" i="4" s="1"/>
  <c r="Q107" i="7"/>
  <c r="Q107" i="5"/>
  <c r="N52" i="7"/>
  <c r="R68" i="2"/>
  <c r="W68" i="4" s="1"/>
  <c r="O68" i="2"/>
  <c r="T68" i="4" s="1"/>
  <c r="Q68" i="2"/>
  <c r="V68" i="4" s="1"/>
  <c r="K68" i="4"/>
  <c r="P68" i="2"/>
  <c r="U68" i="4" s="1"/>
  <c r="Q92" i="7"/>
  <c r="AC92" i="5"/>
  <c r="W108" i="2"/>
  <c r="W108" i="7"/>
  <c r="W108" i="6"/>
  <c r="AB108" i="4" s="1"/>
  <c r="W108" i="5"/>
  <c r="T13" i="6"/>
  <c r="U13" i="6"/>
  <c r="M29" i="4"/>
  <c r="W29" i="2"/>
  <c r="AB29" i="4" s="1"/>
  <c r="P45" i="5"/>
  <c r="Q45" i="5"/>
  <c r="O45" i="5"/>
  <c r="R45" i="5"/>
  <c r="R112" i="7"/>
  <c r="R112" i="5"/>
  <c r="R112" i="6"/>
  <c r="W112" i="4" s="1"/>
  <c r="R112" i="2"/>
  <c r="U7" i="5"/>
  <c r="T7" i="5"/>
  <c r="N55" i="4"/>
  <c r="V55" i="2"/>
  <c r="AA55" i="4" s="1"/>
  <c r="Q55" i="2"/>
  <c r="V55" i="4" s="1"/>
  <c r="Q55" i="5"/>
  <c r="J95" i="4"/>
  <c r="N95" i="2"/>
  <c r="S95" i="4" s="1"/>
  <c r="Y64" i="4"/>
  <c r="V80" i="7"/>
  <c r="P9" i="4"/>
  <c r="O25" i="4"/>
  <c r="U25" i="2"/>
  <c r="Z25" i="4" s="1"/>
  <c r="W49" i="5"/>
  <c r="S57" i="6"/>
  <c r="AB57" i="6" s="1"/>
  <c r="S57" i="7"/>
  <c r="AB57" i="7" s="1"/>
  <c r="S57" i="5"/>
  <c r="AB57" i="5" s="1"/>
  <c r="S57" i="2"/>
  <c r="X57" i="2"/>
  <c r="R57" i="4" s="1"/>
  <c r="G81" i="4"/>
  <c r="L81" i="2"/>
  <c r="V89" i="6"/>
  <c r="S10" i="2"/>
  <c r="S10" i="6"/>
  <c r="AB10" i="6" s="1"/>
  <c r="S10" i="5"/>
  <c r="AB10" i="5" s="1"/>
  <c r="S10" i="7"/>
  <c r="AB10" i="7" s="1"/>
  <c r="W34" i="6"/>
  <c r="R98" i="2"/>
  <c r="R98" i="7"/>
  <c r="R98" i="5"/>
  <c r="R98" i="6"/>
  <c r="T28" i="6"/>
  <c r="AC28" i="6" s="1"/>
  <c r="N15" i="7"/>
  <c r="S39" i="5"/>
  <c r="AB39" i="5" s="1"/>
  <c r="S39" i="6"/>
  <c r="AB39" i="6" s="1"/>
  <c r="S39" i="7"/>
  <c r="AB39" i="7" s="1"/>
  <c r="S39" i="2"/>
  <c r="M87" i="4"/>
  <c r="W87" i="2"/>
  <c r="AB87" i="4" s="1"/>
  <c r="H18" i="4"/>
  <c r="M18" i="2"/>
  <c r="Q18" i="4" s="1"/>
  <c r="O58" i="5"/>
  <c r="R58" i="2"/>
  <c r="W58" i="4" s="1"/>
  <c r="M35" i="4"/>
  <c r="W35" i="2"/>
  <c r="AB35" i="4" s="1"/>
  <c r="X51" i="2"/>
  <c r="R51" i="4" s="1"/>
  <c r="I51" i="4"/>
  <c r="S75" i="5"/>
  <c r="AB75" i="5" s="1"/>
  <c r="S75" i="2"/>
  <c r="S75" i="6"/>
  <c r="AB75" i="6" s="1"/>
  <c r="S75" i="7"/>
  <c r="AB75" i="7" s="1"/>
  <c r="W83" i="6"/>
  <c r="N115" i="5"/>
  <c r="N115" i="7"/>
  <c r="N115" i="2"/>
  <c r="N115" i="6"/>
  <c r="W115" i="2"/>
  <c r="W115" i="5"/>
  <c r="W115" i="6"/>
  <c r="AB115" i="4" s="1"/>
  <c r="W115" i="7"/>
  <c r="T123" i="2"/>
  <c r="T123" i="6"/>
  <c r="T123" i="5"/>
  <c r="T123" i="7"/>
  <c r="R76" i="5"/>
  <c r="O76" i="5"/>
  <c r="P76" i="5"/>
  <c r="P84" i="2"/>
  <c r="U84" i="4" s="1"/>
  <c r="O84" i="2"/>
  <c r="T84" i="4" s="1"/>
  <c r="Q84" i="2"/>
  <c r="V84" i="4" s="1"/>
  <c r="K84" i="4"/>
  <c r="R84" i="2"/>
  <c r="W84" i="4" s="1"/>
  <c r="U116" i="7"/>
  <c r="U116" i="5"/>
  <c r="U116" i="2"/>
  <c r="U116" i="6"/>
  <c r="Z116" i="4" s="1"/>
  <c r="T29" i="5"/>
  <c r="X37" i="7"/>
  <c r="V53" i="7"/>
  <c r="S53" i="6"/>
  <c r="AB53" i="6" s="1"/>
  <c r="S53" i="7"/>
  <c r="AB53" i="7" s="1"/>
  <c r="S53" i="5"/>
  <c r="AB53" i="5" s="1"/>
  <c r="S53" i="2"/>
  <c r="J77" i="4"/>
  <c r="N77" i="2"/>
  <c r="S77" i="4" s="1"/>
  <c r="J93" i="4"/>
  <c r="N93" i="2"/>
  <c r="S93" i="4" s="1"/>
  <c r="T117" i="7"/>
  <c r="T117" i="2"/>
  <c r="T117" i="6"/>
  <c r="T117" i="5"/>
  <c r="X20" i="7"/>
  <c r="X46" i="6"/>
  <c r="J70" i="4"/>
  <c r="N70" i="2"/>
  <c r="S70" i="4" s="1"/>
  <c r="U86" i="2"/>
  <c r="Z86" i="4" s="1"/>
  <c r="U86" i="5"/>
  <c r="Q102" i="7"/>
  <c r="Q102" i="5"/>
  <c r="Q102" i="6"/>
  <c r="V102" i="4" s="1"/>
  <c r="Q102" i="2"/>
  <c r="R102" i="5"/>
  <c r="R102" i="6"/>
  <c r="W102" i="4" s="1"/>
  <c r="R102" i="2"/>
  <c r="R102" i="7"/>
  <c r="Q14" i="2"/>
  <c r="V14" i="4" s="1"/>
  <c r="K14" i="4"/>
  <c r="O14" i="2"/>
  <c r="T14" i="4" s="1"/>
  <c r="R14" i="2"/>
  <c r="W14" i="4" s="1"/>
  <c r="X31" i="6"/>
  <c r="Q55" i="7"/>
  <c r="R55" i="7"/>
  <c r="O55" i="7"/>
  <c r="AA55" i="7" s="1"/>
  <c r="P55" i="7"/>
  <c r="W9" i="5"/>
  <c r="W25" i="2"/>
  <c r="AB25" i="4" s="1"/>
  <c r="M25" i="4"/>
  <c r="W57" i="2"/>
  <c r="AB57" i="4" s="1"/>
  <c r="V73" i="7"/>
  <c r="J8" i="4"/>
  <c r="N8" i="2"/>
  <c r="S8" i="4" s="1"/>
  <c r="V34" i="7"/>
  <c r="W82" i="7"/>
  <c r="W106" i="7"/>
  <c r="W106" i="6"/>
  <c r="AB106" i="4" s="1"/>
  <c r="W106" i="5"/>
  <c r="W106" i="2"/>
  <c r="R28" i="7"/>
  <c r="Y16" i="4"/>
  <c r="N74" i="5"/>
  <c r="N27" i="2"/>
  <c r="S27" i="4" s="1"/>
  <c r="P12" i="5"/>
  <c r="Q12" i="5"/>
  <c r="R12" i="5"/>
  <c r="O12" i="5"/>
  <c r="V52" i="2"/>
  <c r="AA52" i="4" s="1"/>
  <c r="S21" i="5"/>
  <c r="AB21" i="5" s="1"/>
  <c r="S21" i="7"/>
  <c r="AB21" i="7" s="1"/>
  <c r="S21" i="6"/>
  <c r="AB21" i="6" s="1"/>
  <c r="S21" i="2"/>
  <c r="X37" i="5"/>
  <c r="S45" i="2"/>
  <c r="S45" i="5"/>
  <c r="AB45" i="5" s="1"/>
  <c r="S45" i="7"/>
  <c r="AB45" i="7" s="1"/>
  <c r="S45" i="6"/>
  <c r="AB45" i="6" s="1"/>
  <c r="W61" i="6"/>
  <c r="AC77" i="6"/>
  <c r="I54" i="4"/>
  <c r="X54" i="2"/>
  <c r="R54" i="4" s="1"/>
  <c r="L70" i="2"/>
  <c r="G70" i="4"/>
  <c r="N78" i="5"/>
  <c r="Q94" i="6"/>
  <c r="P94" i="6"/>
  <c r="R94" i="6"/>
  <c r="O94" i="6"/>
  <c r="V47" i="5"/>
  <c r="P72" i="6"/>
  <c r="Q72" i="6"/>
  <c r="O72" i="6"/>
  <c r="R72" i="6"/>
  <c r="M9" i="2"/>
  <c r="Q9" i="4" s="1"/>
  <c r="H9" i="4"/>
  <c r="V33" i="5"/>
  <c r="P49" i="4"/>
  <c r="R50" i="2"/>
  <c r="W50" i="4" s="1"/>
  <c r="P114" i="6"/>
  <c r="U114" i="4" s="1"/>
  <c r="P114" i="5"/>
  <c r="P114" i="7"/>
  <c r="P114" i="2"/>
  <c r="T114" i="5"/>
  <c r="T114" i="6"/>
  <c r="T114" i="2"/>
  <c r="T114" i="7"/>
  <c r="O30" i="2"/>
  <c r="T30" i="4" s="1"/>
  <c r="W30" i="5"/>
  <c r="W30" i="2"/>
  <c r="AB30" i="4" s="1"/>
  <c r="T71" i="5"/>
  <c r="X87" i="5"/>
  <c r="T16" i="6"/>
  <c r="O42" i="6"/>
  <c r="O42" i="7"/>
  <c r="AA42" i="7" s="1"/>
  <c r="O42" i="5"/>
  <c r="R66" i="5"/>
  <c r="J19" i="4"/>
  <c r="N19" i="2"/>
  <c r="S19" i="4" s="1"/>
  <c r="T43" i="5"/>
  <c r="O44" i="4"/>
  <c r="U44" i="2"/>
  <c r="Z44" i="4" s="1"/>
  <c r="P60" i="7"/>
  <c r="T29" i="6"/>
  <c r="R69" i="7"/>
  <c r="P69" i="7"/>
  <c r="Q69" i="7"/>
  <c r="O69" i="7"/>
  <c r="AA69" i="7" s="1"/>
  <c r="V85" i="5"/>
  <c r="V93" i="5"/>
  <c r="N46" i="2"/>
  <c r="S46" i="4" s="1"/>
  <c r="X86" i="2"/>
  <c r="R86" i="4" s="1"/>
  <c r="R94" i="5"/>
  <c r="H63" i="4"/>
  <c r="J22" i="4"/>
  <c r="N22" i="2"/>
  <c r="S22" i="4" s="1"/>
  <c r="Q56" i="7"/>
  <c r="P56" i="7"/>
  <c r="R56" i="7"/>
  <c r="O37" i="6"/>
  <c r="R37" i="6"/>
  <c r="Q37" i="6"/>
  <c r="N118" i="2"/>
  <c r="N118" i="7"/>
  <c r="N118" i="6"/>
  <c r="N118" i="5"/>
  <c r="X55" i="6"/>
  <c r="S73" i="2"/>
  <c r="S73" i="7"/>
  <c r="AB73" i="7" s="1"/>
  <c r="S73" i="6"/>
  <c r="AB73" i="6" s="1"/>
  <c r="S73" i="5"/>
  <c r="AB73" i="5" s="1"/>
  <c r="U15" i="5"/>
  <c r="T15" i="5"/>
  <c r="X12" i="5"/>
  <c r="C12" i="3"/>
  <c r="D12" i="3"/>
  <c r="M12" i="2" s="1"/>
  <c r="Q12" i="4" s="1"/>
  <c r="T100" i="5"/>
  <c r="T100" i="6"/>
  <c r="T100" i="2"/>
  <c r="T100" i="7"/>
  <c r="O20" i="6"/>
  <c r="O20" i="2"/>
  <c r="T20" i="4" s="1"/>
  <c r="U70" i="6"/>
  <c r="T70" i="6"/>
  <c r="N23" i="5"/>
  <c r="W14" i="2"/>
  <c r="AB14" i="4" s="1"/>
  <c r="W14" i="7"/>
  <c r="T8" i="5"/>
  <c r="U8" i="5"/>
  <c r="C14" i="3"/>
  <c r="L14" i="2" s="1"/>
  <c r="D14" i="3"/>
  <c r="P31" i="5"/>
  <c r="M80" i="2"/>
  <c r="Q80" i="4" s="1"/>
  <c r="H80" i="4"/>
  <c r="K40" i="4"/>
  <c r="R40" i="2"/>
  <c r="W40" i="4" s="1"/>
  <c r="O40" i="2"/>
  <c r="T40" i="4" s="1"/>
  <c r="P40" i="2"/>
  <c r="U40" i="4" s="1"/>
  <c r="M58" i="4"/>
  <c r="W58" i="2"/>
  <c r="AB58" i="4" s="1"/>
  <c r="Q66" i="7"/>
  <c r="AC74" i="7"/>
  <c r="N19" i="7"/>
  <c r="R19" i="5"/>
  <c r="R19" i="7"/>
  <c r="Q43" i="5"/>
  <c r="Q43" i="6"/>
  <c r="Y83" i="4"/>
  <c r="T83" i="5"/>
  <c r="T99" i="6"/>
  <c r="T99" i="5"/>
  <c r="T99" i="7"/>
  <c r="T99" i="2"/>
  <c r="O52" i="4"/>
  <c r="T52" i="2"/>
  <c r="U52" i="2"/>
  <c r="Z52" i="4" s="1"/>
  <c r="N76" i="2"/>
  <c r="S76" i="4" s="1"/>
  <c r="J76" i="4"/>
  <c r="H21" i="4"/>
  <c r="M21" i="2"/>
  <c r="Q21" i="4" s="1"/>
  <c r="V125" i="7"/>
  <c r="V125" i="2"/>
  <c r="V125" i="6"/>
  <c r="AA125" i="4" s="1"/>
  <c r="V125" i="5"/>
  <c r="U78" i="7"/>
  <c r="S118" i="7"/>
  <c r="AB118" i="7" s="1"/>
  <c r="S118" i="2"/>
  <c r="AB118" i="2" s="1"/>
  <c r="S118" i="6"/>
  <c r="S118" i="5"/>
  <c r="AB118" i="5" s="1"/>
  <c r="O126" i="7"/>
  <c r="O126" i="2"/>
  <c r="O126" i="5"/>
  <c r="O126" i="6"/>
  <c r="T126" i="4" s="1"/>
  <c r="Q126" i="5"/>
  <c r="Q126" i="2"/>
  <c r="Q126" i="7"/>
  <c r="Q126" i="6"/>
  <c r="V126" i="4" s="1"/>
  <c r="X47" i="2"/>
  <c r="R47" i="4" s="1"/>
  <c r="I47" i="4"/>
  <c r="W14" i="6"/>
  <c r="P95" i="6"/>
  <c r="Q95" i="6"/>
  <c r="R95" i="6"/>
  <c r="O95" i="6"/>
  <c r="G72" i="4"/>
  <c r="L72" i="2"/>
  <c r="Q33" i="6"/>
  <c r="P33" i="6"/>
  <c r="R33" i="6"/>
  <c r="O33" i="6"/>
  <c r="V89" i="7"/>
  <c r="S34" i="5"/>
  <c r="AB34" i="5" s="1"/>
  <c r="S34" i="6"/>
  <c r="AB34" i="6" s="1"/>
  <c r="S34" i="2"/>
  <c r="S34" i="7"/>
  <c r="AB34" i="7" s="1"/>
  <c r="U15" i="7"/>
  <c r="Y18" i="4"/>
  <c r="P43" i="7"/>
  <c r="O52" i="7"/>
  <c r="P60" i="4"/>
  <c r="U84" i="5"/>
  <c r="R100" i="5"/>
  <c r="R100" i="6"/>
  <c r="W100" i="4" s="1"/>
  <c r="R100" i="2"/>
  <c r="R100" i="7"/>
  <c r="AA53" i="5"/>
  <c r="S20" i="2"/>
  <c r="S20" i="6"/>
  <c r="AB20" i="6" s="1"/>
  <c r="S20" i="7"/>
  <c r="AB20" i="7" s="1"/>
  <c r="S20" i="5"/>
  <c r="AB20" i="5" s="1"/>
  <c r="R20" i="6"/>
  <c r="R20" i="2"/>
  <c r="W20" i="4" s="1"/>
  <c r="O79" i="6"/>
  <c r="Q79" i="6"/>
  <c r="P79" i="6"/>
  <c r="R79" i="6"/>
  <c r="U14" i="7"/>
  <c r="N31" i="7"/>
  <c r="S127" i="5"/>
  <c r="AB127" i="5" s="1"/>
  <c r="S127" i="2"/>
  <c r="AB127" i="2" s="1"/>
  <c r="S127" i="7"/>
  <c r="AB127" i="7" s="1"/>
  <c r="S127" i="6"/>
  <c r="L80" i="2"/>
  <c r="G80" i="4"/>
  <c r="P17" i="5"/>
  <c r="N121" i="7"/>
  <c r="N121" i="2"/>
  <c r="N121" i="5"/>
  <c r="N121" i="6"/>
  <c r="Q121" i="7"/>
  <c r="Q121" i="2"/>
  <c r="Q121" i="5"/>
  <c r="Q121" i="6"/>
  <c r="V121" i="4" s="1"/>
  <c r="P10" i="6"/>
  <c r="P50" i="4"/>
  <c r="Y30" i="4"/>
  <c r="AC71" i="6"/>
  <c r="V26" i="6"/>
  <c r="R90" i="6"/>
  <c r="O90" i="6"/>
  <c r="Q90" i="6"/>
  <c r="P90" i="6"/>
  <c r="AC59" i="6"/>
  <c r="N75" i="2"/>
  <c r="S75" i="4" s="1"/>
  <c r="J75" i="4"/>
  <c r="V68" i="7"/>
  <c r="V68" i="6"/>
  <c r="AC68" i="6" s="1"/>
  <c r="N84" i="2"/>
  <c r="S84" i="4" s="1"/>
  <c r="J84" i="4"/>
  <c r="AC21" i="7"/>
  <c r="P20" i="5"/>
  <c r="V54" i="6"/>
  <c r="Q63" i="5"/>
  <c r="Q63" i="7"/>
  <c r="X38" i="2"/>
  <c r="R38" i="4" s="1"/>
  <c r="X38" i="5"/>
  <c r="M95" i="2"/>
  <c r="Q95" i="4" s="1"/>
  <c r="H95" i="4"/>
  <c r="P64" i="6"/>
  <c r="Q64" i="6"/>
  <c r="O64" i="6"/>
  <c r="R64" i="6"/>
  <c r="Q80" i="2"/>
  <c r="V80" i="4" s="1"/>
  <c r="K80" i="4"/>
  <c r="P80" i="2"/>
  <c r="U80" i="4" s="1"/>
  <c r="R80" i="2"/>
  <c r="W80" i="4" s="1"/>
  <c r="O80" i="2"/>
  <c r="T80" i="4" s="1"/>
  <c r="J25" i="4"/>
  <c r="N25" i="2"/>
  <c r="S25" i="4" s="1"/>
  <c r="M41" i="2"/>
  <c r="Q41" i="4" s="1"/>
  <c r="H41" i="4"/>
  <c r="N57" i="4"/>
  <c r="V57" i="2"/>
  <c r="AA57" i="4" s="1"/>
  <c r="U89" i="7"/>
  <c r="S24" i="7"/>
  <c r="AB24" i="7" s="1"/>
  <c r="S24" i="2"/>
  <c r="S24" i="5"/>
  <c r="AB24" i="5" s="1"/>
  <c r="S24" i="6"/>
  <c r="AB24" i="6" s="1"/>
  <c r="U10" i="7"/>
  <c r="T34" i="5"/>
  <c r="U28" i="2"/>
  <c r="Z28" i="4" s="1"/>
  <c r="P28" i="5"/>
  <c r="P28" i="7"/>
  <c r="I87" i="4"/>
  <c r="X87" i="2"/>
  <c r="R87" i="4" s="1"/>
  <c r="Q111" i="7"/>
  <c r="Q111" i="6"/>
  <c r="V111" i="4" s="1"/>
  <c r="Q111" i="5"/>
  <c r="Q111" i="2"/>
  <c r="U40" i="5"/>
  <c r="T40" i="5"/>
  <c r="W18" i="6"/>
  <c r="W18" i="7"/>
  <c r="O11" i="7"/>
  <c r="O43" i="6"/>
  <c r="V59" i="2"/>
  <c r="AA59" i="4" s="1"/>
  <c r="T83" i="6"/>
  <c r="U83" i="6"/>
  <c r="T37" i="7"/>
  <c r="T85" i="6"/>
  <c r="S93" i="5"/>
  <c r="AB93" i="5" s="1"/>
  <c r="S93" i="7"/>
  <c r="AB93" i="7" s="1"/>
  <c r="S93" i="6"/>
  <c r="AB93" i="6" s="1"/>
  <c r="S93" i="2"/>
  <c r="N36" i="5"/>
  <c r="P86" i="2"/>
  <c r="U86" i="4" s="1"/>
  <c r="Q86" i="2"/>
  <c r="V86" i="4" s="1"/>
  <c r="R86" i="2"/>
  <c r="W86" i="4" s="1"/>
  <c r="K86" i="4"/>
  <c r="O86" i="2"/>
  <c r="T86" i="4" s="1"/>
  <c r="S110" i="2"/>
  <c r="AB110" i="2" s="1"/>
  <c r="S110" i="7"/>
  <c r="AB110" i="7" s="1"/>
  <c r="S110" i="6"/>
  <c r="S110" i="5"/>
  <c r="AB110" i="5" s="1"/>
  <c r="X63" i="5"/>
  <c r="W104" i="5"/>
  <c r="W104" i="2"/>
  <c r="W104" i="6"/>
  <c r="AB104" i="4" s="1"/>
  <c r="W104" i="7"/>
  <c r="X104" i="2"/>
  <c r="X104" i="7"/>
  <c r="X104" i="5"/>
  <c r="X104" i="6"/>
  <c r="R104" i="4" s="1"/>
  <c r="X38" i="7"/>
  <c r="S72" i="2"/>
  <c r="S72" i="6"/>
  <c r="AB72" i="6" s="1"/>
  <c r="S72" i="5"/>
  <c r="AB72" i="5" s="1"/>
  <c r="S72" i="7"/>
  <c r="AB72" i="7" s="1"/>
  <c r="T96" i="7"/>
  <c r="T96" i="2"/>
  <c r="T96" i="5"/>
  <c r="T96" i="6"/>
  <c r="R96" i="5"/>
  <c r="R96" i="7"/>
  <c r="R96" i="2"/>
  <c r="R96" i="6"/>
  <c r="O9" i="2"/>
  <c r="T9" i="4" s="1"/>
  <c r="X33" i="6"/>
  <c r="P49" i="2"/>
  <c r="U49" i="4" s="1"/>
  <c r="O65" i="6"/>
  <c r="Q65" i="6"/>
  <c r="P65" i="6"/>
  <c r="R65" i="6"/>
  <c r="N97" i="7"/>
  <c r="N97" i="2"/>
  <c r="N97" i="6"/>
  <c r="N97" i="5"/>
  <c r="X105" i="7"/>
  <c r="X105" i="6"/>
  <c r="R105" i="4" s="1"/>
  <c r="X105" i="5"/>
  <c r="X105" i="2"/>
  <c r="T105" i="7"/>
  <c r="T105" i="5"/>
  <c r="T105" i="6"/>
  <c r="T105" i="2"/>
  <c r="P113" i="2"/>
  <c r="P113" i="6"/>
  <c r="U113" i="4" s="1"/>
  <c r="P113" i="7"/>
  <c r="P113" i="5"/>
  <c r="W24" i="2"/>
  <c r="AB24" i="4" s="1"/>
  <c r="M24" i="4"/>
  <c r="W32" i="2"/>
  <c r="AB32" i="4" s="1"/>
  <c r="M32" i="4"/>
  <c r="U50" i="7"/>
  <c r="T50" i="7"/>
  <c r="W122" i="6"/>
  <c r="AB122" i="4" s="1"/>
  <c r="W122" i="5"/>
  <c r="W122" i="7"/>
  <c r="W122" i="2"/>
  <c r="O87" i="7"/>
  <c r="P87" i="7"/>
  <c r="R87" i="7"/>
  <c r="M42" i="4"/>
  <c r="W42" i="2"/>
  <c r="AB42" i="4" s="1"/>
  <c r="N74" i="6"/>
  <c r="O11" i="6"/>
  <c r="P11" i="6"/>
  <c r="R11" i="6"/>
  <c r="Q11" i="6"/>
  <c r="V19" i="6"/>
  <c r="T35" i="2"/>
  <c r="U35" i="2"/>
  <c r="Z35" i="4" s="1"/>
  <c r="O35" i="4"/>
  <c r="O59" i="4"/>
  <c r="U59" i="2"/>
  <c r="Z59" i="4" s="1"/>
  <c r="T59" i="2"/>
  <c r="M91" i="2"/>
  <c r="Q91" i="4" s="1"/>
  <c r="H91" i="4"/>
  <c r="V107" i="7"/>
  <c r="V107" i="5"/>
  <c r="V107" i="2"/>
  <c r="V107" i="6"/>
  <c r="AA107" i="4" s="1"/>
  <c r="V12" i="5"/>
  <c r="O92" i="5"/>
  <c r="P108" i="5"/>
  <c r="P108" i="7"/>
  <c r="P108" i="6"/>
  <c r="U108" i="4" s="1"/>
  <c r="P108" i="2"/>
  <c r="R61" i="5"/>
  <c r="R61" i="2"/>
  <c r="W61" i="4" s="1"/>
  <c r="T69" i="5"/>
  <c r="U69" i="5"/>
  <c r="X85" i="5"/>
  <c r="N101" i="5"/>
  <c r="N101" i="2"/>
  <c r="N101" i="7"/>
  <c r="N101" i="6"/>
  <c r="N109" i="6"/>
  <c r="N109" i="5"/>
  <c r="N109" i="2"/>
  <c r="N109" i="7"/>
  <c r="S109" i="6"/>
  <c r="S109" i="7"/>
  <c r="AB109" i="7" s="1"/>
  <c r="S109" i="5"/>
  <c r="AB109" i="5" s="1"/>
  <c r="S109" i="2"/>
  <c r="AB109" i="2" s="1"/>
  <c r="V47" i="6"/>
  <c r="AC47" i="6" s="1"/>
  <c r="Q112" i="6"/>
  <c r="V112" i="4" s="1"/>
  <c r="Q112" i="2"/>
  <c r="Q112" i="7"/>
  <c r="Q112" i="5"/>
  <c r="S112" i="2"/>
  <c r="AB112" i="2" s="1"/>
  <c r="S112" i="5"/>
  <c r="AB112" i="5" s="1"/>
  <c r="S112" i="7"/>
  <c r="AB112" i="7" s="1"/>
  <c r="S112" i="6"/>
  <c r="U7" i="6"/>
  <c r="T7" i="6"/>
  <c r="M80" i="4"/>
  <c r="W80" i="2"/>
  <c r="AB80" i="4" s="1"/>
  <c r="V33" i="6"/>
  <c r="V57" i="6"/>
  <c r="Y10" i="4"/>
  <c r="AC10" i="2"/>
  <c r="AG10" i="4" s="1"/>
  <c r="N98" i="6"/>
  <c r="N98" i="2"/>
  <c r="N98" i="5"/>
  <c r="N98" i="7"/>
  <c r="O98" i="7"/>
  <c r="O98" i="5"/>
  <c r="O98" i="6"/>
  <c r="O98" i="2"/>
  <c r="V15" i="7"/>
  <c r="X71" i="2"/>
  <c r="R71" i="4" s="1"/>
  <c r="I71" i="4"/>
  <c r="I40" i="4"/>
  <c r="X40" i="2"/>
  <c r="R40" i="4" s="1"/>
  <c r="Q58" i="2"/>
  <c r="V58" i="4" s="1"/>
  <c r="P74" i="2"/>
  <c r="U74" i="4" s="1"/>
  <c r="Q74" i="2"/>
  <c r="V74" i="4" s="1"/>
  <c r="R74" i="2"/>
  <c r="W74" i="4" s="1"/>
  <c r="K74" i="4"/>
  <c r="O74" i="2"/>
  <c r="T74" i="4" s="1"/>
  <c r="X11" i="6"/>
  <c r="V115" i="6"/>
  <c r="AA115" i="4" s="1"/>
  <c r="V115" i="5"/>
  <c r="V115" i="2"/>
  <c r="V115" i="7"/>
  <c r="N123" i="7"/>
  <c r="N123" i="2"/>
  <c r="N123" i="6"/>
  <c r="N123" i="5"/>
  <c r="R123" i="7"/>
  <c r="R123" i="2"/>
  <c r="R123" i="6"/>
  <c r="W123" i="4" s="1"/>
  <c r="R123" i="5"/>
  <c r="M44" i="4"/>
  <c r="W44" i="2"/>
  <c r="AB44" i="4" s="1"/>
  <c r="Q84" i="6"/>
  <c r="O84" i="6"/>
  <c r="R84" i="6"/>
  <c r="P84" i="6"/>
  <c r="S116" i="7"/>
  <c r="AB116" i="7" s="1"/>
  <c r="S116" i="6"/>
  <c r="S116" i="5"/>
  <c r="AB116" i="5" s="1"/>
  <c r="S116" i="2"/>
  <c r="AB116" i="2" s="1"/>
  <c r="M77" i="4"/>
  <c r="W77" i="2"/>
  <c r="AB77" i="4" s="1"/>
  <c r="O117" i="2"/>
  <c r="O117" i="7"/>
  <c r="O117" i="6"/>
  <c r="T117" i="4" s="1"/>
  <c r="O117" i="5"/>
  <c r="W20" i="6"/>
  <c r="R103" i="6"/>
  <c r="W103" i="4" s="1"/>
  <c r="R103" i="2"/>
  <c r="R103" i="5"/>
  <c r="R103" i="7"/>
  <c r="X119" i="5"/>
  <c r="X119" i="6"/>
  <c r="R119" i="4" s="1"/>
  <c r="X119" i="2"/>
  <c r="X119" i="7"/>
  <c r="T22" i="2"/>
  <c r="O22" i="4"/>
  <c r="U22" i="2"/>
  <c r="Z22" i="4" s="1"/>
  <c r="S128" i="7"/>
  <c r="AB128" i="7" s="1"/>
  <c r="S128" i="5"/>
  <c r="AB128" i="5" s="1"/>
  <c r="S128" i="6"/>
  <c r="S128" i="2"/>
  <c r="AB128" i="2" s="1"/>
  <c r="O128" i="7"/>
  <c r="O128" i="2"/>
  <c r="O128" i="5"/>
  <c r="O128" i="6"/>
  <c r="T128" i="4" s="1"/>
  <c r="N56" i="6"/>
  <c r="N56" i="7"/>
  <c r="AA56" i="7" s="1"/>
  <c r="U64" i="6"/>
  <c r="P80" i="5"/>
  <c r="W41" i="5"/>
  <c r="W57" i="7"/>
  <c r="U89" i="6"/>
  <c r="V50" i="2"/>
  <c r="AA50" i="4" s="1"/>
  <c r="N50" i="4"/>
  <c r="Y26" i="4"/>
  <c r="N11" i="6"/>
  <c r="P59" i="4"/>
  <c r="V83" i="7"/>
  <c r="V68" i="5"/>
  <c r="T84" i="6"/>
  <c r="U84" i="6"/>
  <c r="R13" i="5"/>
  <c r="O13" i="5"/>
  <c r="P13" i="5"/>
  <c r="Y77" i="4"/>
  <c r="T77" i="5"/>
  <c r="AC77" i="5" s="1"/>
  <c r="T77" i="7"/>
  <c r="L85" i="2"/>
  <c r="G85" i="4"/>
  <c r="M36" i="2"/>
  <c r="Q36" i="4" s="1"/>
  <c r="H36" i="4"/>
  <c r="O94" i="2"/>
  <c r="T94" i="4" s="1"/>
  <c r="R94" i="2"/>
  <c r="W94" i="4" s="1"/>
  <c r="P94" i="2"/>
  <c r="U94" i="4" s="1"/>
  <c r="K94" i="4"/>
  <c r="Q94" i="2"/>
  <c r="V94" i="4" s="1"/>
  <c r="O23" i="2"/>
  <c r="T23" i="4" s="1"/>
  <c r="R23" i="2"/>
  <c r="W23" i="4" s="1"/>
  <c r="K23" i="4"/>
  <c r="P47" i="6"/>
  <c r="O47" i="6"/>
  <c r="AA47" i="6" s="1"/>
  <c r="R47" i="6"/>
  <c r="X14" i="5"/>
  <c r="I48" i="4"/>
  <c r="X48" i="2"/>
  <c r="R48" i="4" s="1"/>
  <c r="X80" i="6"/>
  <c r="W88" i="2"/>
  <c r="AB88" i="4" s="1"/>
  <c r="W88" i="5"/>
  <c r="W88" i="7"/>
  <c r="N33" i="6"/>
  <c r="X65" i="7"/>
  <c r="G89" i="4"/>
  <c r="L89" i="2"/>
  <c r="T32" i="6"/>
  <c r="Q114" i="2"/>
  <c r="Q114" i="5"/>
  <c r="Q114" i="7"/>
  <c r="Q114" i="6"/>
  <c r="V114" i="4" s="1"/>
  <c r="X114" i="5"/>
  <c r="X114" i="6"/>
  <c r="R114" i="4" s="1"/>
  <c r="X114" i="7"/>
  <c r="X114" i="2"/>
  <c r="R30" i="2"/>
  <c r="W30" i="4" s="1"/>
  <c r="Q30" i="2"/>
  <c r="V30" i="4" s="1"/>
  <c r="N71" i="4"/>
  <c r="V71" i="2"/>
  <c r="AA71" i="4" s="1"/>
  <c r="S71" i="2"/>
  <c r="S71" i="7"/>
  <c r="AB71" i="7" s="1"/>
  <c r="S71" i="6"/>
  <c r="AB71" i="6" s="1"/>
  <c r="S71" i="5"/>
  <c r="AB71" i="5" s="1"/>
  <c r="V18" i="7"/>
  <c r="W42" i="6"/>
  <c r="Y42" i="4"/>
  <c r="X58" i="2"/>
  <c r="R58" i="4" s="1"/>
  <c r="P11" i="2"/>
  <c r="U11" i="4" s="1"/>
  <c r="U43" i="5"/>
  <c r="W59" i="5"/>
  <c r="X76" i="5"/>
  <c r="U29" i="6"/>
  <c r="N69" i="2"/>
  <c r="S69" i="4" s="1"/>
  <c r="J69" i="4"/>
  <c r="N85" i="6"/>
  <c r="O93" i="5"/>
  <c r="P93" i="5"/>
  <c r="R93" i="5"/>
  <c r="R36" i="6"/>
  <c r="V70" i="6"/>
  <c r="U79" i="6"/>
  <c r="U79" i="2"/>
  <c r="Z79" i="4" s="1"/>
  <c r="R120" i="2"/>
  <c r="R120" i="7"/>
  <c r="R120" i="6"/>
  <c r="W120" i="4" s="1"/>
  <c r="R120" i="5"/>
  <c r="U120" i="7"/>
  <c r="U120" i="2"/>
  <c r="U120" i="5"/>
  <c r="U120" i="6"/>
  <c r="Z120" i="4" s="1"/>
  <c r="M6" i="2"/>
  <c r="Q6" i="4" s="1"/>
  <c r="H6" i="4"/>
  <c r="W125" i="5"/>
  <c r="W125" i="7"/>
  <c r="W125" i="6"/>
  <c r="AB125" i="4" s="1"/>
  <c r="W125" i="2"/>
  <c r="R126" i="7"/>
  <c r="R126" i="5"/>
  <c r="R126" i="6"/>
  <c r="W126" i="4" s="1"/>
  <c r="R126" i="2"/>
  <c r="R88" i="6"/>
  <c r="P88" i="6"/>
  <c r="O88" i="6"/>
  <c r="Q88" i="6"/>
  <c r="X81" i="6"/>
  <c r="X81" i="2"/>
  <c r="R81" i="4" s="1"/>
  <c r="N34" i="4"/>
  <c r="V34" i="2"/>
  <c r="AA34" i="4" s="1"/>
  <c r="Q20" i="6"/>
  <c r="Q20" i="7"/>
  <c r="Y15" i="4"/>
  <c r="AC15" i="2"/>
  <c r="AG15" i="4" s="1"/>
  <c r="O88" i="4"/>
  <c r="U88" i="2"/>
  <c r="Z88" i="4" s="1"/>
  <c r="T88" i="2"/>
  <c r="O32" i="5"/>
  <c r="R32" i="5"/>
  <c r="Q32" i="5"/>
  <c r="P32" i="5"/>
  <c r="U111" i="2"/>
  <c r="U111" i="7"/>
  <c r="U111" i="6"/>
  <c r="Z111" i="4" s="1"/>
  <c r="U111" i="5"/>
  <c r="S18" i="5"/>
  <c r="AB18" i="5" s="1"/>
  <c r="S18" i="2"/>
  <c r="S18" i="7"/>
  <c r="AB18" i="7" s="1"/>
  <c r="S18" i="6"/>
  <c r="AB18" i="6" s="1"/>
  <c r="AA59" i="7"/>
  <c r="U95" i="5"/>
  <c r="T95" i="5"/>
  <c r="Q97" i="2"/>
  <c r="Q97" i="5"/>
  <c r="Q97" i="6"/>
  <c r="Q97" i="7"/>
  <c r="X113" i="5"/>
  <c r="X113" i="7"/>
  <c r="X113" i="6"/>
  <c r="R113" i="4" s="1"/>
  <c r="X113" i="2"/>
  <c r="O66" i="6"/>
  <c r="P66" i="6"/>
  <c r="R66" i="6"/>
  <c r="Q66" i="6"/>
  <c r="S107" i="5"/>
  <c r="AB107" i="5" s="1"/>
  <c r="S107" i="7"/>
  <c r="AB107" i="7" s="1"/>
  <c r="S107" i="2"/>
  <c r="AB107" i="2" s="1"/>
  <c r="S107" i="6"/>
  <c r="U101" i="6"/>
  <c r="Z101" i="4" s="1"/>
  <c r="U101" i="5"/>
  <c r="U101" i="2"/>
  <c r="U101" i="7"/>
  <c r="R36" i="5"/>
  <c r="Q36" i="5"/>
  <c r="G78" i="4"/>
  <c r="L78" i="2"/>
  <c r="I9" i="4"/>
  <c r="X9" i="2"/>
  <c r="R9" i="4" s="1"/>
  <c r="R57" i="7"/>
  <c r="R57" i="2"/>
  <c r="W57" i="4" s="1"/>
  <c r="U24" i="7"/>
  <c r="T24" i="7"/>
  <c r="U98" i="2"/>
  <c r="U98" i="7"/>
  <c r="U98" i="5"/>
  <c r="U98" i="6"/>
  <c r="T66" i="2"/>
  <c r="O66" i="4"/>
  <c r="U66" i="2"/>
  <c r="Z66" i="4" s="1"/>
  <c r="X103" i="6"/>
  <c r="R103" i="4" s="1"/>
  <c r="X103" i="5"/>
  <c r="X103" i="2"/>
  <c r="X103" i="7"/>
  <c r="U7" i="2"/>
  <c r="Z7" i="4" s="1"/>
  <c r="U7" i="7"/>
  <c r="T72" i="5"/>
  <c r="U72" i="5"/>
  <c r="T17" i="7"/>
  <c r="U17" i="7"/>
  <c r="O65" i="4"/>
  <c r="T65" i="2"/>
  <c r="R67" i="5"/>
  <c r="P67" i="5"/>
  <c r="O67" i="5"/>
  <c r="Q67" i="5"/>
  <c r="O30" i="7"/>
  <c r="AA30" i="7" s="1"/>
  <c r="P30" i="7"/>
  <c r="R30" i="7"/>
  <c r="Q30" i="7"/>
  <c r="O92" i="4"/>
  <c r="T92" i="2"/>
  <c r="U92" i="2"/>
  <c r="Z92" i="4" s="1"/>
  <c r="N20" i="4"/>
  <c r="V20" i="2"/>
  <c r="AA20" i="4" s="1"/>
  <c r="V86" i="6"/>
  <c r="T79" i="6"/>
  <c r="T79" i="2"/>
  <c r="W84" i="2"/>
  <c r="AB84" i="4" s="1"/>
  <c r="W84" i="5"/>
  <c r="P69" i="2"/>
  <c r="U69" i="4" s="1"/>
  <c r="O69" i="2"/>
  <c r="T69" i="4" s="1"/>
  <c r="R69" i="2"/>
  <c r="W69" i="4" s="1"/>
  <c r="K69" i="4"/>
  <c r="Q69" i="2"/>
  <c r="V69" i="4" s="1"/>
  <c r="W126" i="6"/>
  <c r="AB126" i="4" s="1"/>
  <c r="W126" i="2"/>
  <c r="W126" i="5"/>
  <c r="W126" i="7"/>
  <c r="O31" i="4"/>
  <c r="T31" i="2"/>
  <c r="U31" i="2"/>
  <c r="Z31" i="4" s="1"/>
  <c r="Q88" i="2"/>
  <c r="V88" i="4" s="1"/>
  <c r="P88" i="2"/>
  <c r="U88" i="4" s="1"/>
  <c r="K88" i="4"/>
  <c r="O88" i="2"/>
  <c r="T88" i="4" s="1"/>
  <c r="R88" i="2"/>
  <c r="W88" i="4" s="1"/>
  <c r="P25" i="4"/>
  <c r="AA40" i="7"/>
  <c r="AC52" i="7"/>
  <c r="P37" i="4"/>
  <c r="V127" i="7"/>
  <c r="V127" i="2"/>
  <c r="V127" i="5"/>
  <c r="V127" i="6"/>
  <c r="AA127" i="4" s="1"/>
  <c r="O95" i="4"/>
  <c r="U95" i="2"/>
  <c r="Z95" i="4" s="1"/>
  <c r="T95" i="2"/>
  <c r="U80" i="7"/>
  <c r="T80" i="7"/>
  <c r="T25" i="7"/>
  <c r="T57" i="5"/>
  <c r="U57" i="5"/>
  <c r="X65" i="6"/>
  <c r="L73" i="2"/>
  <c r="G73" i="4"/>
  <c r="S32" i="2"/>
  <c r="S32" i="6"/>
  <c r="AB32" i="6" s="1"/>
  <c r="S32" i="5"/>
  <c r="AB32" i="5" s="1"/>
  <c r="S32" i="7"/>
  <c r="AB32" i="7" s="1"/>
  <c r="T42" i="6"/>
  <c r="U42" i="6"/>
  <c r="P90" i="5"/>
  <c r="Q90" i="5"/>
  <c r="R90" i="5"/>
  <c r="O90" i="5"/>
  <c r="J11" i="4"/>
  <c r="N11" i="2"/>
  <c r="S11" i="4" s="1"/>
  <c r="R19" i="2"/>
  <c r="W19" i="4" s="1"/>
  <c r="P19" i="2"/>
  <c r="U19" i="4" s="1"/>
  <c r="K19" i="4"/>
  <c r="Q19" i="2"/>
  <c r="V19" i="4" s="1"/>
  <c r="O19" i="2"/>
  <c r="T19" i="4" s="1"/>
  <c r="X43" i="6"/>
  <c r="X43" i="7"/>
  <c r="S43" i="2"/>
  <c r="S43" i="6"/>
  <c r="AB43" i="6" s="1"/>
  <c r="S43" i="5"/>
  <c r="AB43" i="5" s="1"/>
  <c r="S43" i="7"/>
  <c r="AB43" i="7" s="1"/>
  <c r="AA51" i="7"/>
  <c r="O99" i="2"/>
  <c r="O99" i="6"/>
  <c r="T99" i="4" s="1"/>
  <c r="O99" i="5"/>
  <c r="O99" i="7"/>
  <c r="AA68" i="7"/>
  <c r="S84" i="7"/>
  <c r="AB84" i="7" s="1"/>
  <c r="S84" i="2"/>
  <c r="S84" i="5"/>
  <c r="AB84" i="5" s="1"/>
  <c r="S84" i="6"/>
  <c r="AB84" i="6" s="1"/>
  <c r="P92" i="7"/>
  <c r="O92" i="7"/>
  <c r="AA92" i="7" s="1"/>
  <c r="R92" i="7"/>
  <c r="X29" i="5"/>
  <c r="Q45" i="7"/>
  <c r="M85" i="2"/>
  <c r="Q85" i="4" s="1"/>
  <c r="H85" i="4"/>
  <c r="P125" i="5"/>
  <c r="P125" i="7"/>
  <c r="P125" i="6"/>
  <c r="U125" i="4" s="1"/>
  <c r="P125" i="2"/>
  <c r="J94" i="4"/>
  <c r="N94" i="2"/>
  <c r="S94" i="4" s="1"/>
  <c r="W118" i="5"/>
  <c r="W118" i="7"/>
  <c r="W118" i="6"/>
  <c r="AB118" i="4" s="1"/>
  <c r="W118" i="2"/>
  <c r="V126" i="6"/>
  <c r="AA126" i="4" s="1"/>
  <c r="V126" i="5"/>
  <c r="V126" i="7"/>
  <c r="V126" i="2"/>
  <c r="W14" i="5"/>
  <c r="AC65" i="6"/>
  <c r="O8" i="5"/>
  <c r="O8" i="6"/>
  <c r="AA8" i="6" s="1"/>
  <c r="X24" i="5"/>
  <c r="W32" i="6"/>
  <c r="N82" i="6"/>
  <c r="T58" i="6"/>
  <c r="AC58" i="6" s="1"/>
  <c r="T58" i="7"/>
  <c r="N44" i="4"/>
  <c r="V44" i="2"/>
  <c r="AA44" i="4" s="1"/>
  <c r="T84" i="5"/>
  <c r="N100" i="6"/>
  <c r="N100" i="2"/>
  <c r="N100" i="7"/>
  <c r="N100" i="5"/>
  <c r="T85" i="7"/>
  <c r="P20" i="6"/>
  <c r="P79" i="2"/>
  <c r="U79" i="4" s="1"/>
  <c r="O79" i="2"/>
  <c r="T79" i="4" s="1"/>
  <c r="Q79" i="2"/>
  <c r="V79" i="4" s="1"/>
  <c r="K79" i="4"/>
  <c r="R79" i="2"/>
  <c r="W79" i="4" s="1"/>
  <c r="T14" i="7"/>
  <c r="O31" i="7"/>
  <c r="O31" i="5"/>
  <c r="P127" i="5"/>
  <c r="P127" i="6"/>
  <c r="U127" i="4" s="1"/>
  <c r="P127" i="7"/>
  <c r="P127" i="2"/>
  <c r="X121" i="5"/>
  <c r="X121" i="6"/>
  <c r="R121" i="4" s="1"/>
  <c r="X121" i="2"/>
  <c r="X121" i="7"/>
  <c r="O121" i="7"/>
  <c r="O121" i="5"/>
  <c r="O121" i="6"/>
  <c r="T121" i="4" s="1"/>
  <c r="O121" i="2"/>
  <c r="T24" i="6"/>
  <c r="AC24" i="6" s="1"/>
  <c r="T10" i="5"/>
  <c r="U10" i="5"/>
  <c r="V82" i="7"/>
  <c r="R90" i="2"/>
  <c r="W90" i="4" s="1"/>
  <c r="K90" i="4"/>
  <c r="Q90" i="2"/>
  <c r="V90" i="4" s="1"/>
  <c r="O90" i="2"/>
  <c r="T90" i="4" s="1"/>
  <c r="P90" i="2"/>
  <c r="U90" i="4" s="1"/>
  <c r="N91" i="2"/>
  <c r="S91" i="4" s="1"/>
  <c r="J91" i="4"/>
  <c r="W68" i="2"/>
  <c r="AB68" i="4" s="1"/>
  <c r="Q20" i="5"/>
  <c r="P36" i="4"/>
  <c r="R46" i="5"/>
  <c r="U95" i="7"/>
  <c r="T95" i="7"/>
  <c r="Q80" i="6"/>
  <c r="P80" i="6"/>
  <c r="R80" i="6"/>
  <c r="O80" i="6"/>
  <c r="K9" i="4"/>
  <c r="R9" i="2"/>
  <c r="W9" i="4" s="1"/>
  <c r="T41" i="7"/>
  <c r="U41" i="7"/>
  <c r="W89" i="6"/>
  <c r="W89" i="5"/>
  <c r="O24" i="6"/>
  <c r="R24" i="6"/>
  <c r="P24" i="6"/>
  <c r="Q24" i="6"/>
  <c r="G10" i="4"/>
  <c r="L82" i="2"/>
  <c r="G82" i="4"/>
  <c r="V111" i="2"/>
  <c r="V111" i="5"/>
  <c r="V111" i="7"/>
  <c r="V111" i="6"/>
  <c r="AA111" i="4" s="1"/>
  <c r="P111" i="6"/>
  <c r="U111" i="4" s="1"/>
  <c r="P111" i="2"/>
  <c r="P111" i="7"/>
  <c r="P111" i="5"/>
  <c r="U18" i="5"/>
  <c r="U18" i="2"/>
  <c r="Z18" i="4" s="1"/>
  <c r="V66" i="5"/>
  <c r="V66" i="2"/>
  <c r="AA66" i="4" s="1"/>
  <c r="P43" i="6"/>
  <c r="AA91" i="7"/>
  <c r="U52" i="5"/>
  <c r="T52" i="5"/>
  <c r="I60" i="4"/>
  <c r="X60" i="2"/>
  <c r="R60" i="4" s="1"/>
  <c r="Q124" i="2"/>
  <c r="Q124" i="5"/>
  <c r="Q124" i="7"/>
  <c r="Q124" i="6"/>
  <c r="V124" i="4" s="1"/>
  <c r="U124" i="2"/>
  <c r="U124" i="5"/>
  <c r="U124" i="7"/>
  <c r="U124" i="6"/>
  <c r="Z124" i="4" s="1"/>
  <c r="X13" i="2"/>
  <c r="R13" i="4" s="1"/>
  <c r="I13" i="4"/>
  <c r="U45" i="6"/>
  <c r="T45" i="6"/>
  <c r="Q53" i="7"/>
  <c r="O53" i="7"/>
  <c r="AA53" i="7" s="1"/>
  <c r="P53" i="7"/>
  <c r="R53" i="7"/>
  <c r="U85" i="6"/>
  <c r="S36" i="6"/>
  <c r="AB36" i="6" s="1"/>
  <c r="S36" i="5"/>
  <c r="AB36" i="5" s="1"/>
  <c r="S36" i="2"/>
  <c r="S36" i="7"/>
  <c r="AB36" i="7" s="1"/>
  <c r="P36" i="5"/>
  <c r="P36" i="6"/>
  <c r="V54" i="5"/>
  <c r="P110" i="5"/>
  <c r="P110" i="7"/>
  <c r="P110" i="6"/>
  <c r="U110" i="4" s="1"/>
  <c r="P110" i="2"/>
  <c r="O63" i="7"/>
  <c r="P104" i="2"/>
  <c r="P104" i="5"/>
  <c r="P104" i="7"/>
  <c r="P104" i="6"/>
  <c r="U104" i="4" s="1"/>
  <c r="Q31" i="6"/>
  <c r="O31" i="6"/>
  <c r="R31" i="6"/>
  <c r="P31" i="6"/>
  <c r="P56" i="6"/>
  <c r="R56" i="6"/>
  <c r="O56" i="6"/>
  <c r="Q56" i="6"/>
  <c r="X72" i="6"/>
  <c r="X72" i="2"/>
  <c r="R72" i="4" s="1"/>
  <c r="N80" i="4"/>
  <c r="V80" i="2"/>
  <c r="AA80" i="4" s="1"/>
  <c r="S96" i="6"/>
  <c r="S96" i="2"/>
  <c r="AB96" i="2" s="1"/>
  <c r="S96" i="7"/>
  <c r="AB96" i="7" s="1"/>
  <c r="S96" i="5"/>
  <c r="AB96" i="5" s="1"/>
  <c r="W96" i="2"/>
  <c r="W96" i="5"/>
  <c r="W96" i="7"/>
  <c r="W96" i="6"/>
  <c r="Y9" i="4"/>
  <c r="X33" i="2"/>
  <c r="R33" i="4" s="1"/>
  <c r="Q49" i="2"/>
  <c r="V49" i="4" s="1"/>
  <c r="X73" i="5"/>
  <c r="R97" i="2"/>
  <c r="R97" i="6"/>
  <c r="R97" i="7"/>
  <c r="R97" i="5"/>
  <c r="W105" i="7"/>
  <c r="W105" i="6"/>
  <c r="AB105" i="4" s="1"/>
  <c r="W105" i="2"/>
  <c r="W105" i="5"/>
  <c r="Q113" i="2"/>
  <c r="Q113" i="5"/>
  <c r="Q113" i="6"/>
  <c r="V113" i="4" s="1"/>
  <c r="Q113" i="7"/>
  <c r="S113" i="5"/>
  <c r="AB113" i="5" s="1"/>
  <c r="S113" i="2"/>
  <c r="AB113" i="2" s="1"/>
  <c r="S113" i="7"/>
  <c r="AB113" i="7" s="1"/>
  <c r="S113" i="6"/>
  <c r="G24" i="4"/>
  <c r="L24" i="2"/>
  <c r="X82" i="5"/>
  <c r="P122" i="2"/>
  <c r="P122" i="6"/>
  <c r="U122" i="4" s="1"/>
  <c r="P122" i="5"/>
  <c r="P122" i="7"/>
  <c r="P71" i="5"/>
  <c r="Q71" i="5"/>
  <c r="R71" i="5"/>
  <c r="O71" i="5"/>
  <c r="V26" i="5"/>
  <c r="Y42" i="7"/>
  <c r="W66" i="6"/>
  <c r="AC66" i="6" s="1"/>
  <c r="M74" i="4"/>
  <c r="W74" i="2"/>
  <c r="AB74" i="4" s="1"/>
  <c r="Q27" i="5"/>
  <c r="R27" i="5"/>
  <c r="O27" i="5"/>
  <c r="P27" i="5"/>
  <c r="T35" i="5"/>
  <c r="U35" i="5"/>
  <c r="X67" i="5"/>
  <c r="W29" i="5"/>
  <c r="R45" i="6"/>
  <c r="Q45" i="6"/>
  <c r="U69" i="6"/>
  <c r="T69" i="6"/>
  <c r="V85" i="7"/>
  <c r="T101" i="5"/>
  <c r="T101" i="2"/>
  <c r="T101" i="6"/>
  <c r="T101" i="7"/>
  <c r="X109" i="7"/>
  <c r="X109" i="6"/>
  <c r="R109" i="4" s="1"/>
  <c r="X109" i="5"/>
  <c r="X109" i="2"/>
  <c r="Q109" i="7"/>
  <c r="Q109" i="5"/>
  <c r="Q109" i="2"/>
  <c r="Q109" i="6"/>
  <c r="V109" i="4" s="1"/>
  <c r="Q20" i="2"/>
  <c r="V20" i="4" s="1"/>
  <c r="Q78" i="2"/>
  <c r="V78" i="4" s="1"/>
  <c r="K78" i="4"/>
  <c r="P78" i="2"/>
  <c r="U78" i="4" s="1"/>
  <c r="R78" i="2"/>
  <c r="W78" i="4" s="1"/>
  <c r="O78" i="2"/>
  <c r="T78" i="4" s="1"/>
  <c r="O47" i="7"/>
  <c r="AA47" i="7" s="1"/>
  <c r="O47" i="2"/>
  <c r="T47" i="4" s="1"/>
  <c r="Q47" i="5"/>
  <c r="O47" i="5"/>
  <c r="P47" i="5"/>
  <c r="R47" i="5"/>
  <c r="X112" i="2"/>
  <c r="X112" i="6"/>
  <c r="R112" i="4" s="1"/>
  <c r="X112" i="7"/>
  <c r="X112" i="5"/>
  <c r="U112" i="5"/>
  <c r="U112" i="7"/>
  <c r="U112" i="6"/>
  <c r="Z112" i="4" s="1"/>
  <c r="U112" i="2"/>
  <c r="X14" i="7"/>
  <c r="V95" i="5"/>
  <c r="L56" i="2"/>
  <c r="G56" i="4"/>
  <c r="AA65" i="5"/>
  <c r="P81" i="7"/>
  <c r="Q8" i="2"/>
  <c r="V8" i="4" s="1"/>
  <c r="K8" i="4"/>
  <c r="P8" i="2"/>
  <c r="U8" i="4" s="1"/>
  <c r="O8" i="2"/>
  <c r="T8" i="4" s="1"/>
  <c r="R8" i="2"/>
  <c r="W8" i="4" s="1"/>
  <c r="R10" i="5"/>
  <c r="Q10" i="5"/>
  <c r="P10" i="5"/>
  <c r="O10" i="5"/>
  <c r="C10" i="3"/>
  <c r="L10" i="5" s="1"/>
  <c r="D10" i="3"/>
  <c r="M10" i="7" s="1"/>
  <c r="X10" i="5"/>
  <c r="Q50" i="5"/>
  <c r="R50" i="5"/>
  <c r="P50" i="5"/>
  <c r="O50" i="5"/>
  <c r="X98" i="7"/>
  <c r="X98" i="6"/>
  <c r="R98" i="4" s="1"/>
  <c r="X98" i="5"/>
  <c r="X98" i="2"/>
  <c r="T39" i="6"/>
  <c r="L71" i="2"/>
  <c r="G71" i="4"/>
  <c r="R40" i="7"/>
  <c r="Q40" i="7"/>
  <c r="Q58" i="5"/>
  <c r="Q74" i="6"/>
  <c r="P74" i="6"/>
  <c r="O74" i="6"/>
  <c r="R74" i="6"/>
  <c r="T19" i="7"/>
  <c r="U19" i="7"/>
  <c r="T86" i="2"/>
  <c r="T86" i="5"/>
  <c r="N102" i="5"/>
  <c r="N102" i="2"/>
  <c r="N102" i="7"/>
  <c r="N102" i="6"/>
  <c r="V23" i="5"/>
  <c r="X23" i="2"/>
  <c r="R23" i="4" s="1"/>
  <c r="X23" i="7"/>
  <c r="X23" i="5"/>
  <c r="T79" i="5"/>
  <c r="U79" i="5"/>
  <c r="W103" i="5"/>
  <c r="W103" i="6"/>
  <c r="AB103" i="4" s="1"/>
  <c r="W103" i="2"/>
  <c r="W103" i="7"/>
  <c r="R119" i="5"/>
  <c r="R119" i="2"/>
  <c r="R119" i="6"/>
  <c r="W119" i="4" s="1"/>
  <c r="R119" i="7"/>
  <c r="X128" i="5"/>
  <c r="X128" i="2"/>
  <c r="X128" i="7"/>
  <c r="X128" i="6"/>
  <c r="R128" i="4" s="1"/>
  <c r="T128" i="5"/>
  <c r="T128" i="7"/>
  <c r="T128" i="6"/>
  <c r="T128" i="2"/>
  <c r="X7" i="6"/>
  <c r="X7" i="5"/>
  <c r="X7" i="2"/>
  <c r="R7" i="4" s="1"/>
  <c r="Q31" i="2"/>
  <c r="V31" i="4" s="1"/>
  <c r="M95" i="4"/>
  <c r="W95" i="2"/>
  <c r="AB95" i="4" s="1"/>
  <c r="Q80" i="5"/>
  <c r="T89" i="6"/>
  <c r="P82" i="6"/>
  <c r="R82" i="6"/>
  <c r="Q82" i="6"/>
  <c r="O82" i="6"/>
  <c r="O106" i="7"/>
  <c r="O106" i="5"/>
  <c r="O106" i="2"/>
  <c r="O106" i="6"/>
  <c r="T106" i="4" s="1"/>
  <c r="Q28" i="7"/>
  <c r="L39" i="2"/>
  <c r="G39" i="4"/>
  <c r="P16" i="4"/>
  <c r="R26" i="2"/>
  <c r="W26" i="4" s="1"/>
  <c r="R26" i="7"/>
  <c r="O26" i="2"/>
  <c r="T26" i="4" s="1"/>
  <c r="T58" i="2"/>
  <c r="L74" i="2"/>
  <c r="G74" i="4"/>
  <c r="V11" i="7"/>
  <c r="AC11" i="7" s="1"/>
  <c r="W27" i="7"/>
  <c r="G43" i="4"/>
  <c r="L43" i="2"/>
  <c r="O75" i="2"/>
  <c r="T75" i="4" s="1"/>
  <c r="P75" i="2"/>
  <c r="U75" i="4" s="1"/>
  <c r="R75" i="2"/>
  <c r="W75" i="4" s="1"/>
  <c r="K75" i="4"/>
  <c r="Q75" i="2"/>
  <c r="V75" i="4" s="1"/>
  <c r="R12" i="6"/>
  <c r="O12" i="6"/>
  <c r="P12" i="6"/>
  <c r="Q12" i="6"/>
  <c r="R52" i="2"/>
  <c r="W52" i="4" s="1"/>
  <c r="R60" i="2"/>
  <c r="W60" i="4" s="1"/>
  <c r="R60" i="7"/>
  <c r="O60" i="5"/>
  <c r="AC21" i="5"/>
  <c r="V37" i="6"/>
  <c r="AC37" i="6" s="1"/>
  <c r="O45" i="2"/>
  <c r="T45" i="4" s="1"/>
  <c r="Q61" i="6"/>
  <c r="R61" i="6"/>
  <c r="O61" i="6"/>
  <c r="P61" i="6"/>
  <c r="U77" i="2"/>
  <c r="Z77" i="4" s="1"/>
  <c r="S77" i="5"/>
  <c r="AB77" i="5" s="1"/>
  <c r="S77" i="7"/>
  <c r="AB77" i="7" s="1"/>
  <c r="S77" i="2"/>
  <c r="S77" i="6"/>
  <c r="AB77" i="6" s="1"/>
  <c r="X93" i="5"/>
  <c r="N36" i="7"/>
  <c r="AA36" i="7" s="1"/>
  <c r="V14" i="7"/>
  <c r="X95" i="7"/>
  <c r="N48" i="5"/>
  <c r="R41" i="6"/>
  <c r="O41" i="6"/>
  <c r="Q41" i="6"/>
  <c r="P41" i="6"/>
  <c r="V49" i="6"/>
  <c r="N89" i="6"/>
  <c r="N34" i="7"/>
  <c r="O50" i="7"/>
  <c r="O50" i="6"/>
  <c r="V114" i="5"/>
  <c r="V114" i="2"/>
  <c r="V114" i="7"/>
  <c r="V114" i="6"/>
  <c r="AA114" i="4" s="1"/>
  <c r="U28" i="5"/>
  <c r="S30" i="5"/>
  <c r="AB30" i="5" s="1"/>
  <c r="S30" i="2"/>
  <c r="S30" i="6"/>
  <c r="AB30" i="6" s="1"/>
  <c r="S30" i="7"/>
  <c r="AB30" i="7" s="1"/>
  <c r="P18" i="6"/>
  <c r="R18" i="6"/>
  <c r="O18" i="6"/>
  <c r="Q18" i="6"/>
  <c r="O35" i="7"/>
  <c r="AA35" i="7" s="1"/>
  <c r="P35" i="7"/>
  <c r="R35" i="7"/>
  <c r="Q35" i="7"/>
  <c r="U44" i="7"/>
  <c r="AC44" i="7" s="1"/>
  <c r="U44" i="6"/>
  <c r="AC44" i="6" s="1"/>
  <c r="P44" i="6"/>
  <c r="H52" i="4"/>
  <c r="M52" i="2"/>
  <c r="Q52" i="4" s="1"/>
  <c r="W60" i="2"/>
  <c r="AB60" i="4" s="1"/>
  <c r="M60" i="4"/>
  <c r="W37" i="2"/>
  <c r="AB37" i="4" s="1"/>
  <c r="G53" i="4"/>
  <c r="L53" i="2"/>
  <c r="N69" i="6"/>
  <c r="Q86" i="5"/>
  <c r="O86" i="5"/>
  <c r="R86" i="5"/>
  <c r="P86" i="5"/>
  <c r="T22" i="5"/>
  <c r="T22" i="6"/>
  <c r="U22" i="5"/>
  <c r="U22" i="6"/>
  <c r="S120" i="2"/>
  <c r="AB120" i="2" s="1"/>
  <c r="S120" i="7"/>
  <c r="AB120" i="7" s="1"/>
  <c r="S120" i="5"/>
  <c r="AB120" i="5" s="1"/>
  <c r="S120" i="6"/>
  <c r="W120" i="7"/>
  <c r="W120" i="5"/>
  <c r="W120" i="6"/>
  <c r="AB120" i="4" s="1"/>
  <c r="W120" i="2"/>
  <c r="Q38" i="7"/>
  <c r="O38" i="7"/>
  <c r="R38" i="7"/>
  <c r="P38" i="7"/>
  <c r="R73" i="6"/>
  <c r="O73" i="6"/>
  <c r="P73" i="6"/>
  <c r="Q73" i="6"/>
  <c r="K43" i="4"/>
  <c r="O43" i="2"/>
  <c r="T43" i="4" s="1"/>
  <c r="Q43" i="2"/>
  <c r="V43" i="4" s="1"/>
  <c r="P43" i="2"/>
  <c r="U43" i="4" s="1"/>
  <c r="S99" i="5"/>
  <c r="AB99" i="5" s="1"/>
  <c r="S99" i="7"/>
  <c r="AB99" i="7" s="1"/>
  <c r="S99" i="6"/>
  <c r="S99" i="2"/>
  <c r="AB99" i="2" s="1"/>
  <c r="X125" i="6"/>
  <c r="R125" i="4" s="1"/>
  <c r="X125" i="7"/>
  <c r="X125" i="5"/>
  <c r="X125" i="2"/>
  <c r="S12" i="7"/>
  <c r="AB12" i="7" s="1"/>
  <c r="S12" i="5"/>
  <c r="AB12" i="5" s="1"/>
  <c r="S12" i="6"/>
  <c r="AB12" i="6" s="1"/>
  <c r="S12" i="2"/>
  <c r="AA29" i="5"/>
  <c r="S46" i="5"/>
  <c r="AB46" i="5" s="1"/>
  <c r="S46" i="6"/>
  <c r="AB46" i="6" s="1"/>
  <c r="S46" i="2"/>
  <c r="S46" i="7"/>
  <c r="AB46" i="7" s="1"/>
  <c r="U54" i="7"/>
  <c r="L33" i="2"/>
  <c r="G33" i="4"/>
  <c r="X73" i="7"/>
  <c r="Y32" i="4"/>
  <c r="U32" i="7"/>
  <c r="T32" i="7"/>
  <c r="M87" i="2"/>
  <c r="Q87" i="4" s="1"/>
  <c r="H87" i="4"/>
  <c r="M42" i="2"/>
  <c r="Q42" i="4" s="1"/>
  <c r="H42" i="4"/>
  <c r="X90" i="7"/>
  <c r="N19" i="5"/>
  <c r="Y43" i="4"/>
  <c r="X51" i="6"/>
  <c r="G67" i="4"/>
  <c r="L67" i="2"/>
  <c r="G75" i="4"/>
  <c r="L75" i="2"/>
  <c r="Q99" i="2"/>
  <c r="Q99" i="6"/>
  <c r="V99" i="4" s="1"/>
  <c r="Q99" i="5"/>
  <c r="Q99" i="7"/>
  <c r="V84" i="5"/>
  <c r="N125" i="2"/>
  <c r="N125" i="5"/>
  <c r="N125" i="6"/>
  <c r="N125" i="7"/>
  <c r="Y54" i="4"/>
  <c r="AC54" i="2"/>
  <c r="AG54" i="4" s="1"/>
  <c r="J72" i="4"/>
  <c r="N72" i="2"/>
  <c r="S72" i="4" s="1"/>
  <c r="AC88" i="5"/>
  <c r="U25" i="6"/>
  <c r="U49" i="6"/>
  <c r="Q34" i="2"/>
  <c r="V34" i="4" s="1"/>
  <c r="U19" i="6"/>
  <c r="T19" i="6"/>
  <c r="Y12" i="4"/>
  <c r="AC12" i="2"/>
  <c r="AG12" i="4" s="1"/>
  <c r="R52" i="7"/>
  <c r="O60" i="4"/>
  <c r="U60" i="2"/>
  <c r="Z60" i="4" s="1"/>
  <c r="S100" i="2"/>
  <c r="AB100" i="2" s="1"/>
  <c r="S100" i="5"/>
  <c r="AB100" i="5" s="1"/>
  <c r="S100" i="6"/>
  <c r="S100" i="7"/>
  <c r="AB100" i="7" s="1"/>
  <c r="W20" i="7"/>
  <c r="W20" i="2"/>
  <c r="AB20" i="4" s="1"/>
  <c r="V20" i="5"/>
  <c r="AC20" i="5" s="1"/>
  <c r="S54" i="7"/>
  <c r="AB54" i="7" s="1"/>
  <c r="S54" i="6"/>
  <c r="AB54" i="6" s="1"/>
  <c r="S54" i="5"/>
  <c r="AB54" i="5" s="1"/>
  <c r="S54" i="2"/>
  <c r="N78" i="2"/>
  <c r="S78" i="4" s="1"/>
  <c r="J78" i="4"/>
  <c r="G63" i="4"/>
  <c r="M79" i="4"/>
  <c r="W79" i="2"/>
  <c r="AB79" i="4" s="1"/>
  <c r="Q55" i="6"/>
  <c r="R55" i="6"/>
  <c r="P55" i="6"/>
  <c r="O55" i="6"/>
  <c r="W127" i="2"/>
  <c r="W127" i="5"/>
  <c r="W127" i="6"/>
  <c r="AB127" i="4" s="1"/>
  <c r="W127" i="7"/>
  <c r="V80" i="5"/>
  <c r="W121" i="2"/>
  <c r="W121" i="7"/>
  <c r="W121" i="6"/>
  <c r="AB121" i="4" s="1"/>
  <c r="W121" i="5"/>
  <c r="V121" i="2"/>
  <c r="V121" i="7"/>
  <c r="V121" i="5"/>
  <c r="V121" i="6"/>
  <c r="AA121" i="4" s="1"/>
  <c r="P32" i="4"/>
  <c r="T10" i="6"/>
  <c r="U10" i="6"/>
  <c r="S15" i="5"/>
  <c r="AB15" i="5" s="1"/>
  <c r="S15" i="2"/>
  <c r="S15" i="7"/>
  <c r="AB15" i="7" s="1"/>
  <c r="S15" i="6"/>
  <c r="AB15" i="6" s="1"/>
  <c r="U40" i="7"/>
  <c r="T40" i="7"/>
  <c r="X11" i="2"/>
  <c r="R11" i="4" s="1"/>
  <c r="C11" i="3"/>
  <c r="D11" i="3"/>
  <c r="AA27" i="7"/>
  <c r="Q13" i="7"/>
  <c r="V29" i="2"/>
  <c r="AA29" i="4" s="1"/>
  <c r="U69" i="7"/>
  <c r="R20" i="5"/>
  <c r="P46" i="5"/>
  <c r="T14" i="5"/>
  <c r="U14" i="5"/>
  <c r="N38" i="2"/>
  <c r="S38" i="4" s="1"/>
  <c r="N38" i="7"/>
  <c r="L95" i="2"/>
  <c r="G95" i="4"/>
  <c r="T41" i="6"/>
  <c r="U41" i="6"/>
  <c r="M65" i="4"/>
  <c r="W65" i="2"/>
  <c r="AB65" i="4" s="1"/>
  <c r="T24" i="5"/>
  <c r="U24" i="5"/>
  <c r="Q50" i="2"/>
  <c r="V50" i="4" s="1"/>
  <c r="P50" i="2"/>
  <c r="U50" i="4" s="1"/>
  <c r="K50" i="4"/>
  <c r="O50" i="2"/>
  <c r="T50" i="4" s="1"/>
  <c r="U82" i="2"/>
  <c r="Z82" i="4" s="1"/>
  <c r="O82" i="4"/>
  <c r="T82" i="2"/>
  <c r="R15" i="6"/>
  <c r="Q15" i="6"/>
  <c r="P15" i="6"/>
  <c r="O15" i="6"/>
  <c r="U71" i="2"/>
  <c r="Z71" i="4" s="1"/>
  <c r="T71" i="2"/>
  <c r="O71" i="4"/>
  <c r="R111" i="7"/>
  <c r="R111" i="2"/>
  <c r="R111" i="6"/>
  <c r="W111" i="4" s="1"/>
  <c r="R111" i="5"/>
  <c r="N111" i="5"/>
  <c r="N111" i="7"/>
  <c r="N111" i="6"/>
  <c r="N111" i="2"/>
  <c r="O18" i="7"/>
  <c r="O18" i="5"/>
  <c r="AA18" i="5" s="1"/>
  <c r="J58" i="4"/>
  <c r="N58" i="2"/>
  <c r="S58" i="4" s="1"/>
  <c r="X59" i="6"/>
  <c r="X59" i="7"/>
  <c r="X67" i="7"/>
  <c r="Q83" i="6"/>
  <c r="R83" i="6"/>
  <c r="O83" i="6"/>
  <c r="P83" i="6"/>
  <c r="U91" i="2"/>
  <c r="Z91" i="4" s="1"/>
  <c r="X52" i="6"/>
  <c r="T124" i="2"/>
  <c r="T124" i="6"/>
  <c r="T124" i="5"/>
  <c r="T124" i="7"/>
  <c r="X124" i="6"/>
  <c r="R124" i="4" s="1"/>
  <c r="X124" i="7"/>
  <c r="X124" i="2"/>
  <c r="X124" i="5"/>
  <c r="P29" i="4"/>
  <c r="P37" i="6"/>
  <c r="N61" i="4"/>
  <c r="V61" i="2"/>
  <c r="AA61" i="4" s="1"/>
  <c r="X20" i="2"/>
  <c r="R20" i="4" s="1"/>
  <c r="I20" i="4"/>
  <c r="T36" i="5"/>
  <c r="T36" i="6"/>
  <c r="X54" i="6"/>
  <c r="P70" i="5"/>
  <c r="Q70" i="5"/>
  <c r="O70" i="5"/>
  <c r="R70" i="5"/>
  <c r="M94" i="2"/>
  <c r="Q94" i="4" s="1"/>
  <c r="H94" i="4"/>
  <c r="T110" i="5"/>
  <c r="T110" i="6"/>
  <c r="T110" i="7"/>
  <c r="T110" i="2"/>
  <c r="AA23" i="6"/>
  <c r="T104" i="2"/>
  <c r="T104" i="5"/>
  <c r="T104" i="7"/>
  <c r="T104" i="6"/>
  <c r="X31" i="5"/>
  <c r="M56" i="4"/>
  <c r="W56" i="2"/>
  <c r="AB56" i="4" s="1"/>
  <c r="W72" i="5"/>
  <c r="X96" i="6"/>
  <c r="X96" i="2"/>
  <c r="X96" i="7"/>
  <c r="X96" i="5"/>
  <c r="O96" i="2"/>
  <c r="O96" i="7"/>
  <c r="O96" i="6"/>
  <c r="O96" i="5"/>
  <c r="V9" i="2"/>
  <c r="AA9" i="4" s="1"/>
  <c r="V9" i="7"/>
  <c r="AC9" i="7" s="1"/>
  <c r="H25" i="4"/>
  <c r="M25" i="2"/>
  <c r="Q25" i="4" s="1"/>
  <c r="N89" i="7"/>
  <c r="W97" i="5"/>
  <c r="W97" i="7"/>
  <c r="W97" i="2"/>
  <c r="W97" i="6"/>
  <c r="P105" i="6"/>
  <c r="U105" i="4" s="1"/>
  <c r="P105" i="7"/>
  <c r="P105" i="2"/>
  <c r="P105" i="5"/>
  <c r="W113" i="2"/>
  <c r="W113" i="6"/>
  <c r="AB113" i="4" s="1"/>
  <c r="W113" i="7"/>
  <c r="W113" i="5"/>
  <c r="O113" i="6"/>
  <c r="T113" i="4" s="1"/>
  <c r="O113" i="2"/>
  <c r="O113" i="7"/>
  <c r="O113" i="5"/>
  <c r="J24" i="4"/>
  <c r="N24" i="2"/>
  <c r="S24" i="4" s="1"/>
  <c r="W82" i="5"/>
  <c r="AC82" i="5" s="1"/>
  <c r="U122" i="6"/>
  <c r="Z122" i="4" s="1"/>
  <c r="U122" i="5"/>
  <c r="U122" i="7"/>
  <c r="U122" i="2"/>
  <c r="W66" i="7"/>
  <c r="M90" i="4"/>
  <c r="W90" i="2"/>
  <c r="AB90" i="4" s="1"/>
  <c r="O91" i="2"/>
  <c r="T91" i="4" s="1"/>
  <c r="K91" i="4"/>
  <c r="P91" i="2"/>
  <c r="U91" i="4" s="1"/>
  <c r="R91" i="2"/>
  <c r="W91" i="4" s="1"/>
  <c r="Q91" i="2"/>
  <c r="V91" i="4" s="1"/>
  <c r="T107" i="6"/>
  <c r="T107" i="5"/>
  <c r="T107" i="2"/>
  <c r="AC107" i="2" s="1"/>
  <c r="T107" i="7"/>
  <c r="X12" i="6"/>
  <c r="X52" i="2"/>
  <c r="R52" i="4" s="1"/>
  <c r="I52" i="4"/>
  <c r="U76" i="6"/>
  <c r="M92" i="4"/>
  <c r="W92" i="2"/>
  <c r="AB92" i="4" s="1"/>
  <c r="T108" i="6"/>
  <c r="T108" i="5"/>
  <c r="T108" i="7"/>
  <c r="AC108" i="7" s="1"/>
  <c r="T108" i="2"/>
  <c r="O37" i="7"/>
  <c r="R37" i="7"/>
  <c r="P37" i="7"/>
  <c r="Q37" i="7"/>
  <c r="T36" i="7"/>
  <c r="U36" i="7"/>
  <c r="N46" i="6"/>
  <c r="R78" i="6"/>
  <c r="O78" i="6"/>
  <c r="Q78" i="6"/>
  <c r="P78" i="6"/>
  <c r="H22" i="4"/>
  <c r="M22" i="2"/>
  <c r="Q22" i="4" s="1"/>
  <c r="W112" i="2"/>
  <c r="W112" i="5"/>
  <c r="W112" i="7"/>
  <c r="W112" i="6"/>
  <c r="AB112" i="4" s="1"/>
  <c r="P112" i="2"/>
  <c r="P112" i="7"/>
  <c r="P112" i="5"/>
  <c r="P112" i="6"/>
  <c r="U112" i="4" s="1"/>
  <c r="X38" i="6"/>
  <c r="W55" i="2"/>
  <c r="AB55" i="4" s="1"/>
  <c r="M55" i="4"/>
  <c r="AA64" i="7"/>
  <c r="U88" i="6"/>
  <c r="T88" i="6"/>
  <c r="V57" i="7"/>
  <c r="O57" i="2"/>
  <c r="T57" i="4" s="1"/>
  <c r="X73" i="6"/>
  <c r="Q81" i="7"/>
  <c r="O10" i="7"/>
  <c r="P98" i="5"/>
  <c r="P98" i="6"/>
  <c r="P98" i="2"/>
  <c r="P98" i="7"/>
  <c r="W98" i="7"/>
  <c r="W98" i="5"/>
  <c r="W98" i="6"/>
  <c r="W98" i="2"/>
  <c r="O39" i="7"/>
  <c r="Q39" i="7"/>
  <c r="P39" i="7"/>
  <c r="R39" i="7"/>
  <c r="U39" i="6"/>
  <c r="U39" i="2"/>
  <c r="Z39" i="4" s="1"/>
  <c r="U26" i="6"/>
  <c r="T26" i="6"/>
  <c r="P58" i="5"/>
  <c r="Q59" i="2"/>
  <c r="V59" i="4" s="1"/>
  <c r="R59" i="2"/>
  <c r="W59" i="4" s="1"/>
  <c r="O59" i="2"/>
  <c r="T59" i="4" s="1"/>
  <c r="K59" i="4"/>
  <c r="N75" i="4"/>
  <c r="V75" i="2"/>
  <c r="AA75" i="4" s="1"/>
  <c r="Q115" i="2"/>
  <c r="Q115" i="6"/>
  <c r="V115" i="4" s="1"/>
  <c r="Q115" i="5"/>
  <c r="Q115" i="7"/>
  <c r="U123" i="5"/>
  <c r="U123" i="7"/>
  <c r="U123" i="2"/>
  <c r="U123" i="6"/>
  <c r="Z123" i="4" s="1"/>
  <c r="S123" i="2"/>
  <c r="AB123" i="2" s="1"/>
  <c r="S123" i="5"/>
  <c r="AB123" i="5" s="1"/>
  <c r="S123" i="7"/>
  <c r="AB123" i="7" s="1"/>
  <c r="S123" i="6"/>
  <c r="P44" i="5"/>
  <c r="O44" i="5"/>
  <c r="Q44" i="5"/>
  <c r="R44" i="5"/>
  <c r="U68" i="5"/>
  <c r="T68" i="5"/>
  <c r="R76" i="6"/>
  <c r="O76" i="6"/>
  <c r="Q76" i="6"/>
  <c r="P76" i="6"/>
  <c r="X92" i="6"/>
  <c r="T116" i="6"/>
  <c r="T116" i="7"/>
  <c r="T116" i="2"/>
  <c r="T116" i="5"/>
  <c r="V21" i="2"/>
  <c r="AA21" i="4" s="1"/>
  <c r="N21" i="4"/>
  <c r="O29" i="4"/>
  <c r="U29" i="2"/>
  <c r="Z29" i="4" s="1"/>
  <c r="U45" i="7"/>
  <c r="T45" i="7"/>
  <c r="N53" i="6"/>
  <c r="Q77" i="2"/>
  <c r="V77" i="4" s="1"/>
  <c r="K77" i="4"/>
  <c r="R77" i="2"/>
  <c r="W77" i="4" s="1"/>
  <c r="P77" i="2"/>
  <c r="U77" i="4" s="1"/>
  <c r="O77" i="2"/>
  <c r="T77" i="4" s="1"/>
  <c r="L93" i="2"/>
  <c r="G93" i="4"/>
  <c r="U117" i="6"/>
  <c r="Z117" i="4" s="1"/>
  <c r="U117" i="7"/>
  <c r="U117" i="5"/>
  <c r="U117" i="2"/>
  <c r="X36" i="2"/>
  <c r="R36" i="4" s="1"/>
  <c r="I36" i="4"/>
  <c r="G54" i="4"/>
  <c r="L54" i="2"/>
  <c r="Q62" i="2"/>
  <c r="V62" i="4" s="1"/>
  <c r="R62" i="2"/>
  <c r="W62" i="4" s="1"/>
  <c r="K62" i="4"/>
  <c r="O62" i="2"/>
  <c r="T62" i="4" s="1"/>
  <c r="P62" i="2"/>
  <c r="U62" i="4" s="1"/>
  <c r="X78" i="6"/>
  <c r="W86" i="5"/>
  <c r="W86" i="7"/>
  <c r="R94" i="7"/>
  <c r="P94" i="7"/>
  <c r="V102" i="5"/>
  <c r="V102" i="2"/>
  <c r="V102" i="7"/>
  <c r="V102" i="6"/>
  <c r="AA102" i="4" s="1"/>
  <c r="T23" i="7"/>
  <c r="U23" i="7"/>
  <c r="L79" i="2"/>
  <c r="G79" i="4"/>
  <c r="N7" i="7"/>
  <c r="N7" i="6"/>
  <c r="T38" i="7"/>
  <c r="U38" i="7"/>
  <c r="P31" i="2"/>
  <c r="U31" i="4" s="1"/>
  <c r="V64" i="6"/>
  <c r="V64" i="5"/>
  <c r="AC64" i="5" s="1"/>
  <c r="V64" i="2"/>
  <c r="AA64" i="4" s="1"/>
  <c r="I88" i="4"/>
  <c r="X88" i="2"/>
  <c r="R88" i="4" s="1"/>
  <c r="N49" i="6"/>
  <c r="AA49" i="6" s="1"/>
  <c r="U57" i="6"/>
  <c r="V24" i="2"/>
  <c r="AA24" i="4" s="1"/>
  <c r="T50" i="2"/>
  <c r="P106" i="5"/>
  <c r="P106" i="6"/>
  <c r="U106" i="4" s="1"/>
  <c r="P106" i="7"/>
  <c r="P106" i="2"/>
  <c r="X106" i="2"/>
  <c r="X106" i="6"/>
  <c r="R106" i="4" s="1"/>
  <c r="X106" i="5"/>
  <c r="X106" i="7"/>
  <c r="O30" i="5"/>
  <c r="R30" i="5"/>
  <c r="P30" i="5"/>
  <c r="Q30" i="5"/>
  <c r="X39" i="7"/>
  <c r="N19" i="6"/>
  <c r="O52" i="2"/>
  <c r="T52" i="4" s="1"/>
  <c r="T60" i="2"/>
  <c r="U60" i="7"/>
  <c r="G84" i="4"/>
  <c r="L84" i="2"/>
  <c r="T13" i="2"/>
  <c r="T13" i="7"/>
  <c r="AC13" i="7" s="1"/>
  <c r="D13" i="3"/>
  <c r="M13" i="5" s="1"/>
  <c r="C13" i="3"/>
  <c r="V21" i="6"/>
  <c r="X45" i="6"/>
  <c r="X45" i="2"/>
  <c r="R45" i="4" s="1"/>
  <c r="W45" i="2"/>
  <c r="AB45" i="4" s="1"/>
  <c r="W45" i="5"/>
  <c r="P45" i="2"/>
  <c r="U45" i="4" s="1"/>
  <c r="V86" i="7"/>
  <c r="X63" i="6"/>
  <c r="M31" i="2"/>
  <c r="Q31" i="4" s="1"/>
  <c r="H31" i="4"/>
  <c r="W64" i="7"/>
  <c r="AC64" i="7" s="1"/>
  <c r="V88" i="7"/>
  <c r="W17" i="5"/>
  <c r="W41" i="2"/>
  <c r="AB41" i="4" s="1"/>
  <c r="M41" i="4"/>
  <c r="W49" i="7"/>
  <c r="AC49" i="7" s="1"/>
  <c r="R24" i="2"/>
  <c r="W24" i="4" s="1"/>
  <c r="P32" i="6"/>
  <c r="S50" i="7"/>
  <c r="AB50" i="7" s="1"/>
  <c r="S50" i="6"/>
  <c r="AB50" i="6" s="1"/>
  <c r="S50" i="5"/>
  <c r="AB50" i="5" s="1"/>
  <c r="S50" i="2"/>
  <c r="R114" i="2"/>
  <c r="R114" i="5"/>
  <c r="R114" i="6"/>
  <c r="W114" i="4" s="1"/>
  <c r="R114" i="7"/>
  <c r="T28" i="5"/>
  <c r="U87" i="6"/>
  <c r="T87" i="6"/>
  <c r="N66" i="5"/>
  <c r="Y74" i="4"/>
  <c r="O27" i="6"/>
  <c r="I35" i="4"/>
  <c r="X35" i="2"/>
  <c r="R35" i="4" s="1"/>
  <c r="W51" i="7"/>
  <c r="V91" i="6"/>
  <c r="AC91" i="6" s="1"/>
  <c r="O44" i="6"/>
  <c r="O44" i="7"/>
  <c r="Y44" i="4"/>
  <c r="P21" i="6"/>
  <c r="Q21" i="6"/>
  <c r="O21" i="6"/>
  <c r="R21" i="6"/>
  <c r="U36" i="6"/>
  <c r="X54" i="5"/>
  <c r="W23" i="6"/>
  <c r="AC23" i="6" s="1"/>
  <c r="U79" i="7"/>
  <c r="T79" i="7"/>
  <c r="O79" i="7"/>
  <c r="AA79" i="7" s="1"/>
  <c r="O79" i="5"/>
  <c r="X22" i="2"/>
  <c r="R22" i="4" s="1"/>
  <c r="X22" i="5"/>
  <c r="Q7" i="2"/>
  <c r="V7" i="4" s="1"/>
  <c r="Q69" i="6"/>
  <c r="O69" i="6"/>
  <c r="R69" i="6"/>
  <c r="P69" i="6"/>
  <c r="X118" i="5"/>
  <c r="X118" i="7"/>
  <c r="X118" i="6"/>
  <c r="R118" i="4" s="1"/>
  <c r="X118" i="2"/>
  <c r="S8" i="2"/>
  <c r="S8" i="5"/>
  <c r="AB8" i="5" s="1"/>
  <c r="S8" i="7"/>
  <c r="AB8" i="7" s="1"/>
  <c r="S8" i="6"/>
  <c r="AB8" i="6" s="1"/>
  <c r="Q46" i="2"/>
  <c r="V46" i="4" s="1"/>
  <c r="Q46" i="7"/>
  <c r="T127" i="2"/>
  <c r="T127" i="7"/>
  <c r="T127" i="6"/>
  <c r="T127" i="5"/>
  <c r="P41" i="4"/>
  <c r="W17" i="2"/>
  <c r="AB17" i="4" s="1"/>
  <c r="M17" i="4"/>
  <c r="S28" i="7"/>
  <c r="AB28" i="7" s="1"/>
  <c r="S28" i="2"/>
  <c r="S28" i="5"/>
  <c r="AB28" i="5" s="1"/>
  <c r="S28" i="6"/>
  <c r="AB28" i="6" s="1"/>
  <c r="O53" i="2"/>
  <c r="T53" i="4" s="1"/>
  <c r="Q53" i="2"/>
  <c r="V53" i="4" s="1"/>
  <c r="R53" i="2"/>
  <c r="W53" i="4" s="1"/>
  <c r="P53" i="2"/>
  <c r="U53" i="4" s="1"/>
  <c r="K53" i="4"/>
  <c r="R70" i="6"/>
  <c r="P70" i="6"/>
  <c r="Q70" i="6"/>
  <c r="O70" i="6"/>
  <c r="O105" i="7"/>
  <c r="O105" i="6"/>
  <c r="T105" i="4" s="1"/>
  <c r="O105" i="5"/>
  <c r="O105" i="2"/>
  <c r="L34" i="2"/>
  <c r="G34" i="4"/>
  <c r="AA90" i="7"/>
  <c r="O107" i="5"/>
  <c r="O107" i="7"/>
  <c r="O107" i="6"/>
  <c r="T107" i="4" s="1"/>
  <c r="O107" i="2"/>
  <c r="W53" i="2"/>
  <c r="AB53" i="4" s="1"/>
  <c r="M53" i="4"/>
  <c r="N112" i="2"/>
  <c r="N112" i="6"/>
  <c r="N112" i="5"/>
  <c r="N112" i="7"/>
  <c r="S86" i="6"/>
  <c r="AB86" i="6" s="1"/>
  <c r="S86" i="5"/>
  <c r="AB86" i="5" s="1"/>
  <c r="S86" i="2"/>
  <c r="S86" i="7"/>
  <c r="AB86" i="7" s="1"/>
  <c r="Q119" i="5"/>
  <c r="Q119" i="2"/>
  <c r="Q119" i="7"/>
  <c r="Q119" i="6"/>
  <c r="V119" i="4" s="1"/>
  <c r="Q106" i="5"/>
  <c r="Q106" i="6"/>
  <c r="V106" i="4" s="1"/>
  <c r="Q106" i="7"/>
  <c r="Q106" i="2"/>
  <c r="U92" i="7"/>
  <c r="T92" i="7"/>
  <c r="AA45" i="7"/>
  <c r="S17" i="6"/>
  <c r="AB17" i="6" s="1"/>
  <c r="S17" i="5"/>
  <c r="AB17" i="5" s="1"/>
  <c r="S17" i="2"/>
  <c r="S17" i="7"/>
  <c r="AB17" i="7" s="1"/>
  <c r="U16" i="5"/>
  <c r="T16" i="5"/>
  <c r="T43" i="6"/>
  <c r="U43" i="6"/>
  <c r="L83" i="2"/>
  <c r="G83" i="4"/>
  <c r="Q14" i="5"/>
  <c r="R14" i="5"/>
  <c r="O14" i="5"/>
  <c r="P14" i="5"/>
  <c r="G64" i="4"/>
  <c r="L64" i="2"/>
  <c r="AA33" i="7"/>
  <c r="X57" i="7"/>
  <c r="P89" i="7"/>
  <c r="O89" i="7"/>
  <c r="R89" i="7"/>
  <c r="Q89" i="7"/>
  <c r="I10" i="4"/>
  <c r="X10" i="2"/>
  <c r="R10" i="4" s="1"/>
  <c r="N30" i="6"/>
  <c r="N87" i="2"/>
  <c r="S87" i="4" s="1"/>
  <c r="J87" i="4"/>
  <c r="L18" i="2"/>
  <c r="G18" i="4"/>
  <c r="W58" i="7"/>
  <c r="Q74" i="7"/>
  <c r="P74" i="7"/>
  <c r="R74" i="7"/>
  <c r="O74" i="7"/>
  <c r="AA74" i="7" s="1"/>
  <c r="Y19" i="4"/>
  <c r="AC19" i="2"/>
  <c r="AG19" i="4" s="1"/>
  <c r="AA67" i="6"/>
  <c r="M83" i="2"/>
  <c r="Q83" i="4" s="1"/>
  <c r="H83" i="4"/>
  <c r="S83" i="6"/>
  <c r="AB83" i="6" s="1"/>
  <c r="S83" i="7"/>
  <c r="AB83" i="7" s="1"/>
  <c r="S83" i="5"/>
  <c r="AB83" i="5" s="1"/>
  <c r="S83" i="2"/>
  <c r="V99" i="5"/>
  <c r="V99" i="2"/>
  <c r="V99" i="6"/>
  <c r="AA99" i="4" s="1"/>
  <c r="V99" i="7"/>
  <c r="J68" i="4"/>
  <c r="N68" i="2"/>
  <c r="S68" i="4" s="1"/>
  <c r="Y84" i="4"/>
  <c r="J92" i="4"/>
  <c r="N92" i="2"/>
  <c r="S92" i="4" s="1"/>
  <c r="U53" i="6"/>
  <c r="T53" i="6"/>
  <c r="Q125" i="6"/>
  <c r="V125" i="4" s="1"/>
  <c r="Q125" i="2"/>
  <c r="Q125" i="5"/>
  <c r="Q125" i="7"/>
  <c r="N86" i="2"/>
  <c r="S86" i="4" s="1"/>
  <c r="J86" i="4"/>
  <c r="Q118" i="2"/>
  <c r="Q118" i="7"/>
  <c r="Q118" i="5"/>
  <c r="Q118" i="6"/>
  <c r="V118" i="4" s="1"/>
  <c r="R118" i="7"/>
  <c r="R118" i="6"/>
  <c r="W118" i="4" s="1"/>
  <c r="R118" i="5"/>
  <c r="R118" i="2"/>
  <c r="T126" i="5"/>
  <c r="T126" i="2"/>
  <c r="T126" i="6"/>
  <c r="T126" i="7"/>
  <c r="N23" i="7"/>
  <c r="V14" i="6"/>
  <c r="T31" i="5"/>
  <c r="U31" i="5"/>
  <c r="R80" i="7"/>
  <c r="R80" i="5"/>
  <c r="T25" i="6"/>
  <c r="V8" i="5"/>
  <c r="V82" i="2"/>
  <c r="AA82" i="4" s="1"/>
  <c r="Q39" i="5"/>
  <c r="O39" i="5"/>
  <c r="R39" i="5"/>
  <c r="P39" i="5"/>
  <c r="H51" i="4"/>
  <c r="M51" i="2"/>
  <c r="Q51" i="4" s="1"/>
  <c r="P52" i="5"/>
  <c r="AA52" i="5" s="1"/>
  <c r="P52" i="2"/>
  <c r="U52" i="4" s="1"/>
  <c r="O100" i="2"/>
  <c r="O100" i="5"/>
  <c r="O100" i="6"/>
  <c r="T100" i="4" s="1"/>
  <c r="O100" i="7"/>
  <c r="R20" i="7"/>
  <c r="Q54" i="7"/>
  <c r="Q54" i="5"/>
  <c r="AC62" i="5"/>
  <c r="N63" i="6"/>
  <c r="T31" i="7"/>
  <c r="U31" i="7"/>
  <c r="X127" i="5"/>
  <c r="X127" i="6"/>
  <c r="R127" i="4" s="1"/>
  <c r="X127" i="2"/>
  <c r="X127" i="7"/>
  <c r="U127" i="2"/>
  <c r="U127" i="5"/>
  <c r="U127" i="7"/>
  <c r="U127" i="6"/>
  <c r="Z127" i="4" s="1"/>
  <c r="L88" i="2"/>
  <c r="G88" i="4"/>
  <c r="T9" i="5"/>
  <c r="U9" i="5"/>
  <c r="P81" i="2"/>
  <c r="U81" i="4" s="1"/>
  <c r="R81" i="2"/>
  <c r="W81" i="4" s="1"/>
  <c r="K81" i="4"/>
  <c r="Q81" i="2"/>
  <c r="V81" i="4" s="1"/>
  <c r="O81" i="2"/>
  <c r="T81" i="4" s="1"/>
  <c r="P121" i="7"/>
  <c r="P121" i="6"/>
  <c r="U121" i="4" s="1"/>
  <c r="P121" i="2"/>
  <c r="P121" i="5"/>
  <c r="N34" i="5"/>
  <c r="T82" i="6"/>
  <c r="W15" i="6"/>
  <c r="O15" i="5"/>
  <c r="O15" i="2"/>
  <c r="T15" i="4" s="1"/>
  <c r="U40" i="6"/>
  <c r="N11" i="7"/>
  <c r="T19" i="5"/>
  <c r="AC19" i="5" s="1"/>
  <c r="V67" i="2"/>
  <c r="AA67" i="4" s="1"/>
  <c r="V67" i="5"/>
  <c r="N83" i="6"/>
  <c r="W12" i="5"/>
  <c r="N93" i="5"/>
  <c r="O20" i="5"/>
  <c r="T46" i="7"/>
  <c r="U23" i="5"/>
  <c r="AC63" i="5"/>
  <c r="T14" i="6"/>
  <c r="U14" i="6"/>
  <c r="V31" i="7"/>
  <c r="T56" i="7"/>
  <c r="U56" i="7"/>
  <c r="T17" i="2"/>
  <c r="U17" i="2"/>
  <c r="Z17" i="4" s="1"/>
  <c r="O17" i="4"/>
  <c r="Q25" i="6"/>
  <c r="R25" i="6"/>
  <c r="P25" i="6"/>
  <c r="O25" i="6"/>
  <c r="S89" i="2"/>
  <c r="S89" i="7"/>
  <c r="AB89" i="7" s="1"/>
  <c r="S89" i="5"/>
  <c r="AB89" i="5" s="1"/>
  <c r="S89" i="6"/>
  <c r="AB89" i="6" s="1"/>
  <c r="X89" i="5"/>
  <c r="O24" i="5"/>
  <c r="O24" i="2"/>
  <c r="T24" i="4" s="1"/>
  <c r="W24" i="7"/>
  <c r="AA82" i="7"/>
  <c r="X15" i="6"/>
  <c r="W111" i="2"/>
  <c r="W111" i="5"/>
  <c r="W111" i="7"/>
  <c r="W111" i="6"/>
  <c r="AB111" i="4" s="1"/>
  <c r="X111" i="5"/>
  <c r="X111" i="6"/>
  <c r="R111" i="4" s="1"/>
  <c r="X111" i="2"/>
  <c r="X111" i="7"/>
  <c r="Q40" i="2"/>
  <c r="V40" i="4" s="1"/>
  <c r="AC26" i="7"/>
  <c r="N90" i="5"/>
  <c r="P19" i="4"/>
  <c r="T27" i="7"/>
  <c r="U27" i="7"/>
  <c r="P59" i="2"/>
  <c r="U59" i="4" s="1"/>
  <c r="P59" i="6"/>
  <c r="W67" i="7"/>
  <c r="K83" i="4"/>
  <c r="Q83" i="2"/>
  <c r="V83" i="4" s="1"/>
  <c r="O83" i="2"/>
  <c r="T83" i="4" s="1"/>
  <c r="R83" i="2"/>
  <c r="W83" i="4" s="1"/>
  <c r="P83" i="2"/>
  <c r="U83" i="4" s="1"/>
  <c r="N91" i="5"/>
  <c r="I68" i="4"/>
  <c r="X68" i="2"/>
  <c r="R68" i="4" s="1"/>
  <c r="S124" i="2"/>
  <c r="AB124" i="2" s="1"/>
  <c r="S124" i="5"/>
  <c r="AB124" i="5" s="1"/>
  <c r="S124" i="7"/>
  <c r="AB124" i="7" s="1"/>
  <c r="S124" i="6"/>
  <c r="Y29" i="4"/>
  <c r="H61" i="4"/>
  <c r="M61" i="2"/>
  <c r="Q61" i="4" s="1"/>
  <c r="Y69" i="4"/>
  <c r="W85" i="5"/>
  <c r="W93" i="2"/>
  <c r="AB93" i="4" s="1"/>
  <c r="N20" i="6"/>
  <c r="O36" i="5"/>
  <c r="W36" i="5"/>
  <c r="U54" i="6"/>
  <c r="T54" i="6"/>
  <c r="O70" i="2"/>
  <c r="T70" i="4" s="1"/>
  <c r="R70" i="2"/>
  <c r="W70" i="4" s="1"/>
  <c r="Q70" i="2"/>
  <c r="V70" i="4" s="1"/>
  <c r="P70" i="2"/>
  <c r="U70" i="4" s="1"/>
  <c r="K70" i="4"/>
  <c r="S78" i="2"/>
  <c r="S78" i="7"/>
  <c r="AB78" i="7" s="1"/>
  <c r="S78" i="6"/>
  <c r="AB78" i="6" s="1"/>
  <c r="S78" i="5"/>
  <c r="AB78" i="5" s="1"/>
  <c r="R110" i="2"/>
  <c r="R110" i="5"/>
  <c r="R110" i="6"/>
  <c r="W110" i="4" s="1"/>
  <c r="R110" i="7"/>
  <c r="P63" i="7"/>
  <c r="P31" i="4"/>
  <c r="S95" i="5"/>
  <c r="AB95" i="5" s="1"/>
  <c r="S95" i="2"/>
  <c r="S95" i="6"/>
  <c r="AB95" i="6" s="1"/>
  <c r="S95" i="7"/>
  <c r="AB95" i="7" s="1"/>
  <c r="M72" i="4"/>
  <c r="W72" i="2"/>
  <c r="AB72" i="4" s="1"/>
  <c r="N96" i="7"/>
  <c r="N96" i="2"/>
  <c r="N96" i="6"/>
  <c r="N96" i="5"/>
  <c r="W11" i="5"/>
  <c r="U51" i="2"/>
  <c r="Z51" i="4" s="1"/>
  <c r="X51" i="5"/>
  <c r="O91" i="6"/>
  <c r="Q91" i="6"/>
  <c r="P91" i="6"/>
  <c r="R91" i="6"/>
  <c r="P107" i="7"/>
  <c r="P107" i="6"/>
  <c r="U107" i="4" s="1"/>
  <c r="P107" i="2"/>
  <c r="P107" i="5"/>
  <c r="M60" i="2"/>
  <c r="Q60" i="4" s="1"/>
  <c r="H60" i="4"/>
  <c r="U84" i="7"/>
  <c r="T84" i="7"/>
  <c r="S108" i="2"/>
  <c r="AB108" i="2" s="1"/>
  <c r="S108" i="6"/>
  <c r="S108" i="5"/>
  <c r="AB108" i="5" s="1"/>
  <c r="S108" i="7"/>
  <c r="AB108" i="7" s="1"/>
  <c r="Q108" i="7"/>
  <c r="Q108" i="6"/>
  <c r="V108" i="4" s="1"/>
  <c r="Q108" i="2"/>
  <c r="Q108" i="5"/>
  <c r="V101" i="5"/>
  <c r="V101" i="2"/>
  <c r="V101" i="6"/>
  <c r="AA101" i="4" s="1"/>
  <c r="V101" i="7"/>
  <c r="U109" i="5"/>
  <c r="U109" i="7"/>
  <c r="U109" i="2"/>
  <c r="U109" i="6"/>
  <c r="Z109" i="4" s="1"/>
  <c r="T20" i="6"/>
  <c r="U20" i="6"/>
  <c r="T94" i="6"/>
  <c r="U94" i="6"/>
  <c r="N63" i="5"/>
  <c r="T72" i="7"/>
  <c r="AC72" i="7" s="1"/>
  <c r="W33" i="7"/>
  <c r="AC33" i="7" s="1"/>
  <c r="T57" i="2"/>
  <c r="S65" i="2"/>
  <c r="S65" i="6"/>
  <c r="AB65" i="6" s="1"/>
  <c r="S65" i="5"/>
  <c r="AB65" i="5" s="1"/>
  <c r="S65" i="7"/>
  <c r="AB65" i="7" s="1"/>
  <c r="X90" i="5"/>
  <c r="R51" i="6"/>
  <c r="O51" i="6"/>
  <c r="P51" i="6"/>
  <c r="Q51" i="6"/>
  <c r="X75" i="5"/>
  <c r="X75" i="2"/>
  <c r="R75" i="4" s="1"/>
  <c r="T91" i="5"/>
  <c r="U91" i="5"/>
  <c r="X115" i="5"/>
  <c r="X115" i="7"/>
  <c r="X115" i="2"/>
  <c r="X115" i="6"/>
  <c r="R115" i="4" s="1"/>
  <c r="V123" i="2"/>
  <c r="V123" i="5"/>
  <c r="V123" i="7"/>
  <c r="V123" i="6"/>
  <c r="AA123" i="4" s="1"/>
  <c r="M68" i="2"/>
  <c r="Q68" i="4" s="1"/>
  <c r="H68" i="4"/>
  <c r="W116" i="5"/>
  <c r="W116" i="7"/>
  <c r="W116" i="2"/>
  <c r="W116" i="6"/>
  <c r="AB116" i="4" s="1"/>
  <c r="R116" i="6"/>
  <c r="W116" i="4" s="1"/>
  <c r="R116" i="2"/>
  <c r="R116" i="7"/>
  <c r="R116" i="5"/>
  <c r="J21" i="4"/>
  <c r="N21" i="2"/>
  <c r="S21" i="4" s="1"/>
  <c r="X37" i="6"/>
  <c r="T45" i="5"/>
  <c r="U45" i="5"/>
  <c r="Y53" i="5"/>
  <c r="W85" i="7"/>
  <c r="X117" i="5"/>
  <c r="X117" i="7"/>
  <c r="X117" i="6"/>
  <c r="R117" i="4" s="1"/>
  <c r="X117" i="2"/>
  <c r="N54" i="2"/>
  <c r="S54" i="4" s="1"/>
  <c r="J54" i="4"/>
  <c r="P103" i="5"/>
  <c r="P103" i="7"/>
  <c r="P103" i="6"/>
  <c r="U103" i="4" s="1"/>
  <c r="P103" i="2"/>
  <c r="V103" i="5"/>
  <c r="V103" i="7"/>
  <c r="V103" i="6"/>
  <c r="AA103" i="4" s="1"/>
  <c r="V103" i="2"/>
  <c r="V119" i="6"/>
  <c r="AA119" i="4" s="1"/>
  <c r="V119" i="5"/>
  <c r="V119" i="2"/>
  <c r="V119" i="7"/>
  <c r="R128" i="2"/>
  <c r="R128" i="6"/>
  <c r="W128" i="4" s="1"/>
  <c r="R128" i="7"/>
  <c r="R128" i="5"/>
  <c r="X95" i="6"/>
  <c r="X56" i="5"/>
  <c r="S64" i="6"/>
  <c r="AB64" i="6" s="1"/>
  <c r="S64" i="7"/>
  <c r="AB64" i="7" s="1"/>
  <c r="S64" i="2"/>
  <c r="S64" i="5"/>
  <c r="AB64" i="5" s="1"/>
  <c r="R72" i="7"/>
  <c r="Q72" i="7"/>
  <c r="P72" i="7"/>
  <c r="T81" i="7"/>
  <c r="U81" i="7"/>
  <c r="R34" i="7"/>
  <c r="V106" i="7"/>
  <c r="V106" i="6"/>
  <c r="AA106" i="4" s="1"/>
  <c r="V106" i="5"/>
  <c r="V106" i="2"/>
  <c r="T106" i="5"/>
  <c r="T106" i="6"/>
  <c r="T106" i="7"/>
  <c r="T106" i="2"/>
  <c r="Q15" i="2"/>
  <c r="V15" i="4" s="1"/>
  <c r="N58" i="7"/>
  <c r="J67" i="4"/>
  <c r="N67" i="2"/>
  <c r="S67" i="4" s="1"/>
  <c r="O62" i="4"/>
  <c r="T62" i="2"/>
  <c r="U62" i="2"/>
  <c r="Z62" i="4" s="1"/>
  <c r="X70" i="7"/>
  <c r="AC70" i="5"/>
  <c r="Y94" i="4"/>
  <c r="W63" i="6"/>
  <c r="T7" i="7"/>
  <c r="AC7" i="7" s="1"/>
  <c r="X14" i="2"/>
  <c r="R14" i="4" s="1"/>
  <c r="V31" i="5"/>
  <c r="P95" i="5"/>
  <c r="P48" i="5"/>
  <c r="AA64" i="6"/>
  <c r="N88" i="4"/>
  <c r="V88" i="2"/>
  <c r="AA88" i="4" s="1"/>
  <c r="H17" i="4"/>
  <c r="V41" i="5"/>
  <c r="I89" i="4"/>
  <c r="X89" i="2"/>
  <c r="R89" i="4" s="1"/>
  <c r="P30" i="2"/>
  <c r="U30" i="4" s="1"/>
  <c r="AA71" i="7"/>
  <c r="Q87" i="7"/>
  <c r="O90" i="4"/>
  <c r="T90" i="2"/>
  <c r="U90" i="2"/>
  <c r="Z90" i="4" s="1"/>
  <c r="Q27" i="6"/>
  <c r="W35" i="7"/>
  <c r="AC35" i="7" s="1"/>
  <c r="W35" i="6"/>
  <c r="U51" i="7"/>
  <c r="V76" i="5"/>
  <c r="AC76" i="5" s="1"/>
  <c r="X77" i="5"/>
  <c r="V93" i="2"/>
  <c r="AA93" i="4" s="1"/>
  <c r="X20" i="5"/>
  <c r="R54" i="5"/>
  <c r="X79" i="6"/>
  <c r="O7" i="2"/>
  <c r="T7" i="4" s="1"/>
  <c r="O120" i="5"/>
  <c r="O120" i="7"/>
  <c r="O120" i="2"/>
  <c r="O120" i="6"/>
  <c r="T120" i="4" s="1"/>
  <c r="K6" i="4"/>
  <c r="V7" i="5"/>
  <c r="C6" i="6"/>
  <c r="L6" i="6" s="1"/>
  <c r="V7" i="6"/>
  <c r="D6" i="6"/>
  <c r="M6" i="6" s="1"/>
  <c r="P7" i="4"/>
  <c r="V35" i="6"/>
  <c r="U67" i="7"/>
  <c r="T67" i="7"/>
  <c r="Q91" i="5"/>
  <c r="O91" i="5"/>
  <c r="T12" i="6"/>
  <c r="U12" i="6"/>
  <c r="W68" i="7"/>
  <c r="Y68" i="7" s="1"/>
  <c r="Q76" i="5"/>
  <c r="H45" i="4"/>
  <c r="M45" i="2"/>
  <c r="Q45" i="4" s="1"/>
  <c r="N85" i="2"/>
  <c r="S85" i="4" s="1"/>
  <c r="J85" i="4"/>
  <c r="V46" i="2"/>
  <c r="AA46" i="4" s="1"/>
  <c r="N46" i="4"/>
  <c r="Q94" i="7"/>
  <c r="S79" i="6"/>
  <c r="AB79" i="6" s="1"/>
  <c r="S79" i="7"/>
  <c r="AB79" i="7" s="1"/>
  <c r="S79" i="5"/>
  <c r="AB79" i="5" s="1"/>
  <c r="S79" i="2"/>
  <c r="S22" i="6"/>
  <c r="AB22" i="6" s="1"/>
  <c r="S22" i="5"/>
  <c r="AB22" i="5" s="1"/>
  <c r="S22" i="7"/>
  <c r="AB22" i="7" s="1"/>
  <c r="S22" i="2"/>
  <c r="P120" i="6"/>
  <c r="U120" i="4" s="1"/>
  <c r="P120" i="5"/>
  <c r="P120" i="7"/>
  <c r="P120" i="2"/>
  <c r="V38" i="7"/>
  <c r="U48" i="5"/>
  <c r="T48" i="5"/>
  <c r="J64" i="4"/>
  <c r="N64" i="2"/>
  <c r="S64" i="4" s="1"/>
  <c r="T80" i="6"/>
  <c r="U80" i="6"/>
  <c r="J9" i="4"/>
  <c r="N9" i="2"/>
  <c r="S9" i="4" s="1"/>
  <c r="P57" i="6"/>
  <c r="O57" i="6"/>
  <c r="R57" i="6"/>
  <c r="Q57" i="6"/>
  <c r="N89" i="4"/>
  <c r="V89" i="2"/>
  <c r="AA89" i="4" s="1"/>
  <c r="X82" i="7"/>
  <c r="N28" i="7"/>
  <c r="M71" i="4"/>
  <c r="W71" i="2"/>
  <c r="AB71" i="4" s="1"/>
  <c r="T18" i="6"/>
  <c r="U18" i="6"/>
  <c r="R42" i="6"/>
  <c r="Q42" i="6"/>
  <c r="T66" i="7"/>
  <c r="U66" i="7"/>
  <c r="H43" i="4"/>
  <c r="M43" i="2"/>
  <c r="Q43" i="4" s="1"/>
  <c r="R43" i="2"/>
  <c r="W43" i="4" s="1"/>
  <c r="N43" i="7"/>
  <c r="W59" i="7"/>
  <c r="AC59" i="7" s="1"/>
  <c r="X83" i="7"/>
  <c r="R99" i="6"/>
  <c r="W99" i="4" s="1"/>
  <c r="R99" i="2"/>
  <c r="R99" i="5"/>
  <c r="R99" i="7"/>
  <c r="T44" i="5"/>
  <c r="U44" i="5"/>
  <c r="O61" i="7"/>
  <c r="AA61" i="7" s="1"/>
  <c r="T125" i="6"/>
  <c r="T125" i="5"/>
  <c r="T125" i="2"/>
  <c r="T125" i="7"/>
  <c r="U125" i="6"/>
  <c r="Z125" i="4" s="1"/>
  <c r="U125" i="7"/>
  <c r="U125" i="5"/>
  <c r="U125" i="2"/>
  <c r="V118" i="6"/>
  <c r="AA118" i="4" s="1"/>
  <c r="V118" i="5"/>
  <c r="V118" i="7"/>
  <c r="V118" i="2"/>
  <c r="U126" i="2"/>
  <c r="U126" i="5"/>
  <c r="U126" i="7"/>
  <c r="U126" i="6"/>
  <c r="Z126" i="4" s="1"/>
  <c r="N14" i="7"/>
  <c r="P38" i="5"/>
  <c r="O38" i="5"/>
  <c r="R38" i="5"/>
  <c r="Q38" i="5"/>
  <c r="K95" i="4"/>
  <c r="Q95" i="2"/>
  <c r="V95" i="4" s="1"/>
  <c r="R95" i="2"/>
  <c r="W95" i="4" s="1"/>
  <c r="P95" i="2"/>
  <c r="O95" i="2"/>
  <c r="T95" i="4" s="1"/>
  <c r="P48" i="4"/>
  <c r="AA48" i="2"/>
  <c r="AE48" i="4" s="1"/>
  <c r="W64" i="6"/>
  <c r="N72" i="6"/>
  <c r="W80" i="5"/>
  <c r="U17" i="5"/>
  <c r="T17" i="5"/>
  <c r="T65" i="7"/>
  <c r="U65" i="7"/>
  <c r="S81" i="6"/>
  <c r="AB81" i="6" s="1"/>
  <c r="S81" i="5"/>
  <c r="AB81" i="5" s="1"/>
  <c r="S81" i="7"/>
  <c r="AB81" i="7" s="1"/>
  <c r="S81" i="2"/>
  <c r="N8" i="5"/>
  <c r="N24" i="7"/>
  <c r="X34" i="5"/>
  <c r="N82" i="2"/>
  <c r="S82" i="4" s="1"/>
  <c r="J82" i="4"/>
  <c r="O40" i="6"/>
  <c r="P40" i="6"/>
  <c r="R40" i="6"/>
  <c r="Q40" i="6"/>
  <c r="S58" i="6"/>
  <c r="AB58" i="6" s="1"/>
  <c r="S58" i="5"/>
  <c r="AB58" i="5" s="1"/>
  <c r="S58" i="2"/>
  <c r="S58" i="7"/>
  <c r="AB58" i="7" s="1"/>
  <c r="I90" i="4"/>
  <c r="X90" i="2"/>
  <c r="R90" i="4" s="1"/>
  <c r="X19" i="6"/>
  <c r="Y75" i="4"/>
  <c r="N52" i="6"/>
  <c r="AA52" i="6" s="1"/>
  <c r="L68" i="2"/>
  <c r="G68" i="4"/>
  <c r="P100" i="5"/>
  <c r="P100" i="2"/>
  <c r="P100" i="7"/>
  <c r="P100" i="6"/>
  <c r="U100" i="4" s="1"/>
  <c r="U61" i="5"/>
  <c r="T61" i="5"/>
  <c r="L77" i="2"/>
  <c r="G77" i="4"/>
  <c r="I93" i="4"/>
  <c r="X93" i="2"/>
  <c r="R93" i="4" s="1"/>
  <c r="W46" i="6"/>
  <c r="V46" i="5"/>
  <c r="O54" i="2"/>
  <c r="T54" i="4" s="1"/>
  <c r="I62" i="4"/>
  <c r="X62" i="2"/>
  <c r="R62" i="4" s="1"/>
  <c r="N78" i="4"/>
  <c r="V78" i="2"/>
  <c r="AA78" i="4" s="1"/>
  <c r="AC31" i="6"/>
  <c r="P55" i="4"/>
  <c r="O127" i="6"/>
  <c r="T127" i="4" s="1"/>
  <c r="O127" i="7"/>
  <c r="O127" i="5"/>
  <c r="O127" i="2"/>
  <c r="X9" i="5"/>
  <c r="Q33" i="2"/>
  <c r="V33" i="4" s="1"/>
  <c r="J81" i="4"/>
  <c r="N81" i="2"/>
  <c r="S81" i="4" s="1"/>
  <c r="T121" i="5"/>
  <c r="T121" i="7"/>
  <c r="T121" i="6"/>
  <c r="T121" i="2"/>
  <c r="N8" i="7"/>
  <c r="X34" i="6"/>
  <c r="P28" i="4"/>
  <c r="AA28" i="2"/>
  <c r="AE28" i="4" s="1"/>
  <c r="X19" i="7"/>
  <c r="N43" i="6"/>
  <c r="AA43" i="6" s="1"/>
  <c r="J83" i="4"/>
  <c r="N83" i="2"/>
  <c r="S83" i="4" s="1"/>
  <c r="W12" i="6"/>
  <c r="N37" i="2"/>
  <c r="S37" i="4" s="1"/>
  <c r="J37" i="4"/>
  <c r="W77" i="7"/>
  <c r="W46" i="5"/>
  <c r="S38" i="5"/>
  <c r="AB38" i="5" s="1"/>
  <c r="S38" i="7"/>
  <c r="AB38" i="7" s="1"/>
  <c r="S38" i="2"/>
  <c r="S38" i="6"/>
  <c r="AB38" i="6" s="1"/>
  <c r="V48" i="6"/>
  <c r="AC48" i="6" s="1"/>
  <c r="M64" i="4"/>
  <c r="W64" i="2"/>
  <c r="AB64" i="4" s="1"/>
  <c r="K17" i="4"/>
  <c r="Q17" i="2"/>
  <c r="V17" i="4" s="1"/>
  <c r="O17" i="2"/>
  <c r="T17" i="4" s="1"/>
  <c r="P17" i="2"/>
  <c r="U17" i="4" s="1"/>
  <c r="R17" i="2"/>
  <c r="W17" i="4" s="1"/>
  <c r="J33" i="4"/>
  <c r="N33" i="2"/>
  <c r="S33" i="4" s="1"/>
  <c r="M49" i="4"/>
  <c r="W49" i="2"/>
  <c r="AB49" i="4" s="1"/>
  <c r="M57" i="2"/>
  <c r="Q57" i="4" s="1"/>
  <c r="H57" i="4"/>
  <c r="W73" i="6"/>
  <c r="O89" i="4"/>
  <c r="T89" i="2"/>
  <c r="U89" i="2"/>
  <c r="Z89" i="4" s="1"/>
  <c r="N32" i="5"/>
  <c r="T34" i="6"/>
  <c r="U34" i="6"/>
  <c r="V28" i="5"/>
  <c r="V15" i="5"/>
  <c r="V87" i="7"/>
  <c r="O111" i="6"/>
  <c r="T111" i="4" s="1"/>
  <c r="O111" i="5"/>
  <c r="O111" i="7"/>
  <c r="O111" i="2"/>
  <c r="K16" i="4"/>
  <c r="Q16" i="2"/>
  <c r="V16" i="4" s="1"/>
  <c r="O16" i="2"/>
  <c r="T16" i="4" s="1"/>
  <c r="P16" i="2"/>
  <c r="U16" i="4" s="1"/>
  <c r="R18" i="2"/>
  <c r="W18" i="4" s="1"/>
  <c r="K18" i="4"/>
  <c r="P18" i="2"/>
  <c r="U18" i="4" s="1"/>
  <c r="Q18" i="2"/>
  <c r="V18" i="4" s="1"/>
  <c r="O18" i="2"/>
  <c r="T18" i="4" s="1"/>
  <c r="T26" i="5"/>
  <c r="U26" i="5"/>
  <c r="G90" i="4"/>
  <c r="L90" i="2"/>
  <c r="T27" i="5"/>
  <c r="U27" i="5"/>
  <c r="O67" i="2"/>
  <c r="T67" i="4" s="1"/>
  <c r="K67" i="4"/>
  <c r="R67" i="2"/>
  <c r="W67" i="4" s="1"/>
  <c r="P67" i="2"/>
  <c r="U67" i="4" s="1"/>
  <c r="Q67" i="2"/>
  <c r="V67" i="4" s="1"/>
  <c r="X83" i="5"/>
  <c r="X91" i="5"/>
  <c r="P91" i="5"/>
  <c r="P60" i="6"/>
  <c r="Q60" i="6"/>
  <c r="R60" i="6"/>
  <c r="O60" i="6"/>
  <c r="V76" i="7"/>
  <c r="AC76" i="7" s="1"/>
  <c r="W124" i="2"/>
  <c r="W124" i="7"/>
  <c r="W124" i="6"/>
  <c r="AB124" i="4" s="1"/>
  <c r="W124" i="5"/>
  <c r="O124" i="7"/>
  <c r="O124" i="2"/>
  <c r="O124" i="5"/>
  <c r="O124" i="6"/>
  <c r="T124" i="4" s="1"/>
  <c r="Q92" i="6"/>
  <c r="R92" i="6"/>
  <c r="O92" i="6"/>
  <c r="P92" i="6"/>
  <c r="U37" i="7"/>
  <c r="O37" i="4"/>
  <c r="U37" i="2"/>
  <c r="Z37" i="4" s="1"/>
  <c r="T37" i="2"/>
  <c r="W69" i="6"/>
  <c r="S85" i="6"/>
  <c r="AB85" i="6" s="1"/>
  <c r="S85" i="7"/>
  <c r="AB85" i="7" s="1"/>
  <c r="S85" i="5"/>
  <c r="AB85" i="5" s="1"/>
  <c r="S85" i="2"/>
  <c r="U93" i="5"/>
  <c r="O93" i="4"/>
  <c r="U93" i="2"/>
  <c r="Z93" i="4" s="1"/>
  <c r="T93" i="2"/>
  <c r="T70" i="2"/>
  <c r="U70" i="2"/>
  <c r="Z70" i="4" s="1"/>
  <c r="O70" i="4"/>
  <c r="N94" i="4"/>
  <c r="V94" i="2"/>
  <c r="AA94" i="4" s="1"/>
  <c r="X110" i="7"/>
  <c r="X110" i="5"/>
  <c r="X110" i="6"/>
  <c r="R110" i="4" s="1"/>
  <c r="X110" i="2"/>
  <c r="V104" i="6"/>
  <c r="AA104" i="4" s="1"/>
  <c r="V104" i="7"/>
  <c r="V104" i="2"/>
  <c r="V104" i="5"/>
  <c r="T48" i="7"/>
  <c r="U48" i="7"/>
  <c r="N80" i="6"/>
  <c r="Q96" i="5"/>
  <c r="Q96" i="2"/>
  <c r="Q96" i="7"/>
  <c r="Q96" i="6"/>
  <c r="O9" i="5"/>
  <c r="Q9" i="5"/>
  <c r="R9" i="5"/>
  <c r="P9" i="5"/>
  <c r="W41" i="7"/>
  <c r="R49" i="2"/>
  <c r="W49" i="4" s="1"/>
  <c r="W57" i="6"/>
  <c r="M73" i="2"/>
  <c r="Q73" i="4" s="1"/>
  <c r="H73" i="4"/>
  <c r="V97" i="6"/>
  <c r="V97" i="5"/>
  <c r="V97" i="7"/>
  <c r="V97" i="2"/>
  <c r="X97" i="5"/>
  <c r="X97" i="6"/>
  <c r="X97" i="7"/>
  <c r="X97" i="2"/>
  <c r="U105" i="2"/>
  <c r="U105" i="5"/>
  <c r="U105" i="7"/>
  <c r="U105" i="6"/>
  <c r="Z105" i="4" s="1"/>
  <c r="T113" i="7"/>
  <c r="T113" i="5"/>
  <c r="T113" i="2"/>
  <c r="T113" i="6"/>
  <c r="V113" i="6"/>
  <c r="AA113" i="4" s="1"/>
  <c r="V113" i="2"/>
  <c r="V113" i="7"/>
  <c r="V113" i="5"/>
  <c r="V82" i="6"/>
  <c r="T122" i="5"/>
  <c r="T122" i="2"/>
  <c r="T122" i="7"/>
  <c r="T122" i="6"/>
  <c r="I15" i="4"/>
  <c r="X15" i="2"/>
  <c r="R15" i="4" s="1"/>
  <c r="M26" i="4"/>
  <c r="W26" i="2"/>
  <c r="AB26" i="4" s="1"/>
  <c r="N42" i="4"/>
  <c r="V42" i="2"/>
  <c r="AA42" i="4" s="1"/>
  <c r="AA66" i="7"/>
  <c r="W27" i="6"/>
  <c r="AC27" i="6" s="1"/>
  <c r="J43" i="4"/>
  <c r="N43" i="2"/>
  <c r="S43" i="4" s="1"/>
  <c r="W51" i="5"/>
  <c r="Q67" i="7"/>
  <c r="R67" i="7"/>
  <c r="P67" i="7"/>
  <c r="O67" i="7"/>
  <c r="X107" i="7"/>
  <c r="X107" i="5"/>
  <c r="X107" i="2"/>
  <c r="X107" i="6"/>
  <c r="R107" i="4" s="1"/>
  <c r="V12" i="6"/>
  <c r="Q76" i="7"/>
  <c r="S92" i="5"/>
  <c r="AB92" i="5" s="1"/>
  <c r="S92" i="7"/>
  <c r="AB92" i="7" s="1"/>
  <c r="S92" i="6"/>
  <c r="AB92" i="6" s="1"/>
  <c r="S92" i="2"/>
  <c r="N108" i="5"/>
  <c r="N108" i="7"/>
  <c r="N108" i="6"/>
  <c r="N108" i="2"/>
  <c r="X29" i="7"/>
  <c r="X45" i="7"/>
  <c r="X53" i="5"/>
  <c r="N61" i="2"/>
  <c r="S61" i="4" s="1"/>
  <c r="AA69" i="5"/>
  <c r="W101" i="2"/>
  <c r="W101" i="5"/>
  <c r="W101" i="7"/>
  <c r="W101" i="6"/>
  <c r="AB101" i="4" s="1"/>
  <c r="S101" i="5"/>
  <c r="AB101" i="5" s="1"/>
  <c r="S101" i="7"/>
  <c r="AB101" i="7" s="1"/>
  <c r="S101" i="2"/>
  <c r="AB101" i="2" s="1"/>
  <c r="S101" i="6"/>
  <c r="V109" i="5"/>
  <c r="V109" i="7"/>
  <c r="V109" i="2"/>
  <c r="V109" i="6"/>
  <c r="AA109" i="4" s="1"/>
  <c r="R36" i="2"/>
  <c r="W36" i="4" s="1"/>
  <c r="K36" i="4"/>
  <c r="Q36" i="2"/>
  <c r="V36" i="4" s="1"/>
  <c r="P36" i="2"/>
  <c r="U36" i="4" s="1"/>
  <c r="O36" i="2"/>
  <c r="T36" i="4" s="1"/>
  <c r="U70" i="7"/>
  <c r="T70" i="7"/>
  <c r="V78" i="7"/>
  <c r="M94" i="4"/>
  <c r="W94" i="2"/>
  <c r="AB94" i="4" s="1"/>
  <c r="S47" i="6"/>
  <c r="AB47" i="6" s="1"/>
  <c r="S47" i="2"/>
  <c r="S47" i="7"/>
  <c r="AB47" i="7" s="1"/>
  <c r="S47" i="5"/>
  <c r="AB47" i="5" s="1"/>
  <c r="N63" i="4"/>
  <c r="V63" i="2"/>
  <c r="AA63" i="4" s="1"/>
  <c r="AA7" i="6"/>
  <c r="O112" i="5"/>
  <c r="O112" i="6"/>
  <c r="T112" i="4" s="1"/>
  <c r="O112" i="2"/>
  <c r="O112" i="7"/>
  <c r="O7" i="5"/>
  <c r="P7" i="5"/>
  <c r="R7" i="5"/>
  <c r="Q7" i="5"/>
  <c r="V55" i="7"/>
  <c r="AC55" i="7" s="1"/>
  <c r="V95" i="7"/>
  <c r="N80" i="5"/>
  <c r="AA41" i="7"/>
  <c r="R65" i="2"/>
  <c r="W65" i="4" s="1"/>
  <c r="K65" i="4"/>
  <c r="P65" i="2"/>
  <c r="U65" i="4" s="1"/>
  <c r="O65" i="2"/>
  <c r="T65" i="4" s="1"/>
  <c r="Q65" i="2"/>
  <c r="V65" i="4" s="1"/>
  <c r="U65" i="2"/>
  <c r="Z65" i="4" s="1"/>
  <c r="AA81" i="7"/>
  <c r="Q98" i="6"/>
  <c r="V98" i="4" s="1"/>
  <c r="Q98" i="5"/>
  <c r="Q98" i="7"/>
  <c r="Q98" i="2"/>
  <c r="M30" i="2"/>
  <c r="Q30" i="4" s="1"/>
  <c r="H30" i="4"/>
  <c r="W39" i="5"/>
  <c r="AC39" i="5" s="1"/>
  <c r="R39" i="6"/>
  <c r="U71" i="7"/>
  <c r="T71" i="7"/>
  <c r="V16" i="7"/>
  <c r="T18" i="5"/>
  <c r="L58" i="2"/>
  <c r="G58" i="4"/>
  <c r="V90" i="6"/>
  <c r="W43" i="7"/>
  <c r="AC43" i="7" s="1"/>
  <c r="U59" i="5"/>
  <c r="T59" i="5"/>
  <c r="T75" i="6"/>
  <c r="G91" i="4"/>
  <c r="L91" i="2"/>
  <c r="U115" i="6"/>
  <c r="Z115" i="4" s="1"/>
  <c r="U115" i="7"/>
  <c r="U115" i="2"/>
  <c r="U115" i="5"/>
  <c r="Q123" i="7"/>
  <c r="Q123" i="6"/>
  <c r="V123" i="4" s="1"/>
  <c r="Q123" i="5"/>
  <c r="Q123" i="2"/>
  <c r="W123" i="5"/>
  <c r="W123" i="6"/>
  <c r="AB123" i="4" s="1"/>
  <c r="W123" i="2"/>
  <c r="W123" i="7"/>
  <c r="J44" i="4"/>
  <c r="N44" i="2"/>
  <c r="S44" i="4" s="1"/>
  <c r="W68" i="5"/>
  <c r="O76" i="2"/>
  <c r="T76" i="4" s="1"/>
  <c r="Q76" i="2"/>
  <c r="V76" i="4" s="1"/>
  <c r="P76" i="2"/>
  <c r="U76" i="4" s="1"/>
  <c r="R76" i="2"/>
  <c r="W76" i="4" s="1"/>
  <c r="K76" i="4"/>
  <c r="V92" i="6"/>
  <c r="O116" i="7"/>
  <c r="O116" i="5"/>
  <c r="O116" i="2"/>
  <c r="O116" i="6"/>
  <c r="T116" i="4" s="1"/>
  <c r="L21" i="2"/>
  <c r="G21" i="4"/>
  <c r="T53" i="7"/>
  <c r="AC53" i="7" s="1"/>
  <c r="V69" i="5"/>
  <c r="P77" i="6"/>
  <c r="Q77" i="6"/>
  <c r="O77" i="6"/>
  <c r="R77" i="6"/>
  <c r="O93" i="7"/>
  <c r="AA93" i="7" s="1"/>
  <c r="P93" i="7"/>
  <c r="Q93" i="7"/>
  <c r="R93" i="7"/>
  <c r="P117" i="5"/>
  <c r="P117" i="7"/>
  <c r="P117" i="2"/>
  <c r="P117" i="6"/>
  <c r="U117" i="4" s="1"/>
  <c r="J36" i="4"/>
  <c r="N36" i="2"/>
  <c r="S36" i="4" s="1"/>
  <c r="V54" i="7"/>
  <c r="W62" i="2"/>
  <c r="AB62" i="4" s="1"/>
  <c r="P86" i="7"/>
  <c r="T102" i="7"/>
  <c r="T102" i="2"/>
  <c r="T102" i="5"/>
  <c r="T102" i="6"/>
  <c r="T23" i="2"/>
  <c r="O23" i="4"/>
  <c r="U23" i="2"/>
  <c r="Z23" i="4" s="1"/>
  <c r="S23" i="5"/>
  <c r="AB23" i="5" s="1"/>
  <c r="S23" i="7"/>
  <c r="AB23" i="7" s="1"/>
  <c r="S23" i="6"/>
  <c r="AB23" i="6" s="1"/>
  <c r="S23" i="2"/>
  <c r="G47" i="4"/>
  <c r="L47" i="2"/>
  <c r="T103" i="5"/>
  <c r="T103" i="6"/>
  <c r="T103" i="2"/>
  <c r="T103" i="7"/>
  <c r="O119" i="2"/>
  <c r="O119" i="5"/>
  <c r="O119" i="6"/>
  <c r="T119" i="4" s="1"/>
  <c r="O119" i="7"/>
  <c r="W119" i="2"/>
  <c r="W119" i="7"/>
  <c r="W119" i="5"/>
  <c r="W119" i="6"/>
  <c r="AB119" i="4" s="1"/>
  <c r="N128" i="6"/>
  <c r="N128" i="5"/>
  <c r="N128" i="7"/>
  <c r="N128" i="2"/>
  <c r="W128" i="2"/>
  <c r="W128" i="7"/>
  <c r="W128" i="6"/>
  <c r="AB128" i="4" s="1"/>
  <c r="W128" i="5"/>
  <c r="N7" i="5"/>
  <c r="S7" i="6"/>
  <c r="AB7" i="6" s="1"/>
  <c r="S7" i="7"/>
  <c r="AB7" i="7" s="1"/>
  <c r="S7" i="2"/>
  <c r="S7" i="5"/>
  <c r="AB7" i="5" s="1"/>
  <c r="N95" i="7"/>
  <c r="X56" i="2"/>
  <c r="R56" i="4" s="1"/>
  <c r="I56" i="4"/>
  <c r="O17" i="6"/>
  <c r="P17" i="6"/>
  <c r="R17" i="6"/>
  <c r="Q17" i="6"/>
  <c r="M33" i="2"/>
  <c r="Q33" i="4" s="1"/>
  <c r="H33" i="4"/>
  <c r="U49" i="5"/>
  <c r="T49" i="5"/>
  <c r="T73" i="5"/>
  <c r="U73" i="5"/>
  <c r="V10" i="7"/>
  <c r="N50" i="6"/>
  <c r="P82" i="7"/>
  <c r="N106" i="2"/>
  <c r="N106" i="5"/>
  <c r="N106" i="6"/>
  <c r="N106" i="7"/>
  <c r="V87" i="2"/>
  <c r="AA87" i="4" s="1"/>
  <c r="N87" i="4"/>
  <c r="U16" i="2"/>
  <c r="Z16" i="4" s="1"/>
  <c r="N26" i="6"/>
  <c r="X42" i="5"/>
  <c r="T90" i="7"/>
  <c r="U90" i="7"/>
  <c r="O19" i="6"/>
  <c r="R19" i="6"/>
  <c r="P19" i="6"/>
  <c r="Q19" i="6"/>
  <c r="V43" i="6"/>
  <c r="O75" i="6"/>
  <c r="Q75" i="6"/>
  <c r="R75" i="6"/>
  <c r="P75" i="6"/>
  <c r="J52" i="4"/>
  <c r="N52" i="2"/>
  <c r="S52" i="4" s="1"/>
  <c r="W84" i="6"/>
  <c r="N29" i="6"/>
  <c r="Y45" i="4"/>
  <c r="N45" i="2"/>
  <c r="S45" i="4" s="1"/>
  <c r="J45" i="4"/>
  <c r="U93" i="7"/>
  <c r="AC93" i="7" s="1"/>
  <c r="N54" i="5"/>
  <c r="W70" i="6"/>
  <c r="W63" i="7"/>
  <c r="AC63" i="7" s="1"/>
  <c r="O22" i="2"/>
  <c r="T22" i="4" s="1"/>
  <c r="X14" i="6"/>
  <c r="N48" i="6"/>
  <c r="AA48" i="6" s="1"/>
  <c r="P72" i="2"/>
  <c r="U72" i="4" s="1"/>
  <c r="Q72" i="2"/>
  <c r="V72" i="4" s="1"/>
  <c r="O72" i="2"/>
  <c r="T72" i="4" s="1"/>
  <c r="K72" i="4"/>
  <c r="R72" i="2"/>
  <c r="W72" i="4" s="1"/>
  <c r="S88" i="2"/>
  <c r="S88" i="5"/>
  <c r="AB88" i="5" s="1"/>
  <c r="S88" i="6"/>
  <c r="AB88" i="6" s="1"/>
  <c r="S88" i="7"/>
  <c r="AB88" i="7" s="1"/>
  <c r="X88" i="5"/>
  <c r="X17" i="2"/>
  <c r="R17" i="4" s="1"/>
  <c r="C17" i="3"/>
  <c r="L17" i="5" s="1"/>
  <c r="D17" i="3"/>
  <c r="M17" i="5" s="1"/>
  <c r="S25" i="6"/>
  <c r="AB25" i="6" s="1"/>
  <c r="S25" i="7"/>
  <c r="AB25" i="7" s="1"/>
  <c r="S25" i="2"/>
  <c r="S25" i="5"/>
  <c r="AB25" i="5" s="1"/>
  <c r="U33" i="5"/>
  <c r="T33" i="5"/>
  <c r="R73" i="7"/>
  <c r="O73" i="7"/>
  <c r="AA73" i="7" s="1"/>
  <c r="P73" i="7"/>
  <c r="Q73" i="7"/>
  <c r="J89" i="4"/>
  <c r="N89" i="2"/>
  <c r="S89" i="4" s="1"/>
  <c r="Q24" i="7"/>
  <c r="M50" i="2"/>
  <c r="Q50" i="4" s="1"/>
  <c r="H50" i="4"/>
  <c r="U50" i="6"/>
  <c r="AC50" i="6" s="1"/>
  <c r="N114" i="7"/>
  <c r="N114" i="5"/>
  <c r="N114" i="2"/>
  <c r="N114" i="6"/>
  <c r="X28" i="7"/>
  <c r="T30" i="6"/>
  <c r="AC30" i="6" s="1"/>
  <c r="V30" i="7"/>
  <c r="U87" i="5"/>
  <c r="Y87" i="5" s="1"/>
  <c r="Y87" i="4"/>
  <c r="U16" i="6"/>
  <c r="AA18" i="7"/>
  <c r="G26" i="4"/>
  <c r="L26" i="2"/>
  <c r="P66" i="5"/>
  <c r="J90" i="4"/>
  <c r="N90" i="2"/>
  <c r="S90" i="4" s="1"/>
  <c r="S35" i="2"/>
  <c r="S35" i="5"/>
  <c r="AB35" i="5" s="1"/>
  <c r="S35" i="6"/>
  <c r="AB35" i="6" s="1"/>
  <c r="S35" i="7"/>
  <c r="AB35" i="7" s="1"/>
  <c r="T67" i="6"/>
  <c r="AC67" i="6" s="1"/>
  <c r="V83" i="5"/>
  <c r="T91" i="7"/>
  <c r="U91" i="7"/>
  <c r="N44" i="7"/>
  <c r="T76" i="6"/>
  <c r="N13" i="2"/>
  <c r="S13" i="4" s="1"/>
  <c r="J13" i="4"/>
  <c r="G45" i="4"/>
  <c r="L45" i="2"/>
  <c r="O61" i="4"/>
  <c r="T61" i="2"/>
  <c r="U61" i="2"/>
  <c r="Z61" i="4" s="1"/>
  <c r="W69" i="7"/>
  <c r="AC69" i="7" s="1"/>
  <c r="N85" i="4"/>
  <c r="V85" i="2"/>
  <c r="AA85" i="4" s="1"/>
  <c r="V46" i="7"/>
  <c r="O54" i="5"/>
  <c r="O94" i="7"/>
  <c r="AA94" i="7" s="1"/>
  <c r="Q23" i="5"/>
  <c r="R23" i="5"/>
  <c r="P23" i="5"/>
  <c r="O23" i="5"/>
  <c r="V79" i="7"/>
  <c r="X120" i="2"/>
  <c r="X120" i="5"/>
  <c r="X120" i="7"/>
  <c r="X120" i="6"/>
  <c r="R120" i="4" s="1"/>
  <c r="G6" i="4"/>
  <c r="L6" i="2"/>
  <c r="C5" i="9"/>
  <c r="I5" i="9" s="1"/>
  <c r="D52" i="9"/>
  <c r="D78" i="9"/>
  <c r="E71" i="9"/>
  <c r="C17" i="9"/>
  <c r="I17" i="9" s="1"/>
  <c r="D65" i="9"/>
  <c r="D21" i="9"/>
  <c r="D12" i="9"/>
  <c r="D7" i="9"/>
  <c r="E50" i="9"/>
  <c r="D87" i="9"/>
  <c r="E42" i="9"/>
  <c r="E87" i="9"/>
  <c r="C53" i="9"/>
  <c r="D67" i="9"/>
  <c r="D26" i="9"/>
  <c r="E47" i="9"/>
  <c r="C46" i="9"/>
  <c r="D91" i="9"/>
  <c r="E88" i="9"/>
  <c r="D29" i="9"/>
  <c r="D61" i="9"/>
  <c r="C76" i="9"/>
  <c r="I76" i="9" s="1"/>
  <c r="E10" i="9"/>
  <c r="C55" i="9"/>
  <c r="E92" i="9"/>
  <c r="D79" i="9"/>
  <c r="E48" i="9"/>
  <c r="C33" i="9"/>
  <c r="D23" i="9"/>
  <c r="E3" i="9"/>
  <c r="E14" i="9"/>
  <c r="E19" i="9"/>
  <c r="D39" i="9"/>
  <c r="E60" i="9"/>
  <c r="D45" i="9"/>
  <c r="D16" i="9"/>
  <c r="M6" i="3"/>
  <c r="U6" i="2" s="1"/>
  <c r="Z6" i="4" s="1"/>
  <c r="C90" i="9"/>
  <c r="E75" i="9"/>
  <c r="E11" i="9"/>
  <c r="H6" i="3"/>
  <c r="P6" i="7" s="1"/>
  <c r="E24" i="9"/>
  <c r="D82" i="9"/>
  <c r="E74" i="9"/>
  <c r="D66" i="9"/>
  <c r="C8" i="9"/>
  <c r="I8" i="9" s="1"/>
  <c r="C67" i="9"/>
  <c r="D19" i="9"/>
  <c r="E17" i="9"/>
  <c r="C25" i="9"/>
  <c r="E41" i="9"/>
  <c r="D95" i="9"/>
  <c r="C92" i="9"/>
  <c r="C6" i="9"/>
  <c r="I6" i="9" s="1"/>
  <c r="E20" i="9"/>
  <c r="D18" i="9"/>
  <c r="E40" i="9"/>
  <c r="E22" i="9"/>
  <c r="E68" i="9"/>
  <c r="F6" i="3"/>
  <c r="N6" i="5" s="1"/>
  <c r="D20" i="9"/>
  <c r="E27" i="9"/>
  <c r="D14" i="9"/>
  <c r="D92" i="9"/>
  <c r="C63" i="9"/>
  <c r="E38" i="9"/>
  <c r="C74" i="9"/>
  <c r="E82" i="9"/>
  <c r="D54" i="9"/>
  <c r="C3" i="9"/>
  <c r="I3" i="9" s="1"/>
  <c r="E21" i="9"/>
  <c r="E77" i="9"/>
  <c r="C52" i="9"/>
  <c r="E4" i="9"/>
  <c r="D42" i="9"/>
  <c r="D64" i="9"/>
  <c r="C81" i="9"/>
  <c r="D27" i="9"/>
  <c r="C38" i="9"/>
  <c r="E29" i="9"/>
  <c r="E66" i="9"/>
  <c r="E70" i="9"/>
  <c r="E55" i="9"/>
  <c r="C85" i="9"/>
  <c r="D90" i="9"/>
  <c r="E33" i="9"/>
  <c r="E93" i="9"/>
  <c r="D53" i="9"/>
  <c r="D6" i="9"/>
  <c r="E76" i="9"/>
  <c r="C42" i="9"/>
  <c r="I42" i="9" s="1"/>
  <c r="C10" i="9"/>
  <c r="E34" i="9"/>
  <c r="C31" i="9"/>
  <c r="E35" i="9"/>
  <c r="D86" i="9"/>
  <c r="E62" i="9"/>
  <c r="C24" i="9"/>
  <c r="I24" i="9" s="1"/>
  <c r="C13" i="9"/>
  <c r="D69" i="9"/>
  <c r="D25" i="9"/>
  <c r="C75" i="9"/>
  <c r="D51" i="9"/>
  <c r="C12" i="9"/>
  <c r="C37" i="9"/>
  <c r="I37" i="9" s="1"/>
  <c r="C56" i="9"/>
  <c r="I56" i="9" s="1"/>
  <c r="E6" i="9"/>
  <c r="E80" i="9"/>
  <c r="D8" i="9"/>
  <c r="D50" i="9"/>
  <c r="E45" i="9"/>
  <c r="E90" i="9"/>
  <c r="C47" i="9"/>
  <c r="D17" i="9"/>
  <c r="D56" i="9"/>
  <c r="D49" i="9"/>
  <c r="D44" i="9"/>
  <c r="E89" i="9"/>
  <c r="C36" i="9"/>
  <c r="I36" i="9" s="1"/>
  <c r="D72" i="9"/>
  <c r="D94" i="9"/>
  <c r="C82" i="9"/>
  <c r="C39" i="9"/>
  <c r="C64" i="9"/>
  <c r="I64" i="9" s="1"/>
  <c r="E83" i="9"/>
  <c r="C27" i="9"/>
  <c r="I27" i="9" s="1"/>
  <c r="D76" i="9"/>
  <c r="C68" i="9"/>
  <c r="D46" i="9"/>
  <c r="C48" i="9"/>
  <c r="I48" i="9" s="1"/>
  <c r="C61" i="9"/>
  <c r="E44" i="9"/>
  <c r="E28" i="9"/>
  <c r="E78" i="9"/>
  <c r="E95" i="9"/>
  <c r="D73" i="9"/>
  <c r="C49" i="9"/>
  <c r="D48" i="9"/>
  <c r="C41" i="9"/>
  <c r="C4" i="9"/>
  <c r="I4" i="9" s="1"/>
  <c r="C45" i="9"/>
  <c r="I45" i="9" s="1"/>
  <c r="C95" i="9"/>
  <c r="E16" i="9"/>
  <c r="D31" i="9"/>
  <c r="E8" i="9"/>
  <c r="E63" i="9"/>
  <c r="D59" i="9"/>
  <c r="C7" i="9"/>
  <c r="I7" i="9" s="1"/>
  <c r="E94" i="9"/>
  <c r="D4" i="9"/>
  <c r="E12" i="9"/>
  <c r="D40" i="9"/>
  <c r="C11" i="9"/>
  <c r="D68" i="9"/>
  <c r="D3" i="9"/>
  <c r="D28" i="9"/>
  <c r="C79" i="9"/>
  <c r="E13" i="9"/>
  <c r="E59" i="9"/>
  <c r="C54" i="9"/>
  <c r="D89" i="9"/>
  <c r="E56" i="9"/>
  <c r="E73" i="9"/>
  <c r="E30" i="9"/>
  <c r="D32" i="9"/>
  <c r="D55" i="9"/>
  <c r="E84" i="9"/>
  <c r="C28" i="9"/>
  <c r="C80" i="9"/>
  <c r="E26" i="9"/>
  <c r="D37" i="9"/>
  <c r="E57" i="9"/>
  <c r="E23" i="9"/>
  <c r="D47" i="9"/>
  <c r="E46" i="9"/>
  <c r="O6" i="3"/>
  <c r="W6" i="2" s="1"/>
  <c r="AB6" i="4" s="1"/>
  <c r="D84" i="9"/>
  <c r="E32" i="9"/>
  <c r="D80" i="9"/>
  <c r="E53" i="9"/>
  <c r="C71" i="9"/>
  <c r="I71" i="9" s="1"/>
  <c r="C29" i="9"/>
  <c r="C60" i="9"/>
  <c r="I60" i="9" s="1"/>
  <c r="D34" i="9"/>
  <c r="D13" i="9"/>
  <c r="E52" i="9"/>
  <c r="C15" i="9"/>
  <c r="D38" i="9"/>
  <c r="E5" i="9"/>
  <c r="E69" i="9"/>
  <c r="C35" i="9"/>
  <c r="D83" i="9"/>
  <c r="E81" i="9"/>
  <c r="C34" i="9"/>
  <c r="C21" i="9"/>
  <c r="C18" i="9"/>
  <c r="D60" i="9"/>
  <c r="E18" i="9"/>
  <c r="C20" i="9"/>
  <c r="E86" i="9"/>
  <c r="D30" i="9"/>
  <c r="D63" i="9"/>
  <c r="C91" i="9"/>
  <c r="D11" i="9"/>
  <c r="E65" i="9"/>
  <c r="C78" i="9"/>
  <c r="D33" i="9"/>
  <c r="D88" i="9"/>
  <c r="E6" i="3"/>
  <c r="X6" i="7" s="1"/>
  <c r="N6" i="3"/>
  <c r="V6" i="2" s="1"/>
  <c r="AA6" i="4" s="1"/>
  <c r="C57" i="9"/>
  <c r="E85" i="9"/>
  <c r="D35" i="9"/>
  <c r="E79" i="9"/>
  <c r="E7" i="9"/>
  <c r="D70" i="9"/>
  <c r="D75" i="9"/>
  <c r="C86" i="9"/>
  <c r="E54" i="9"/>
  <c r="D85" i="9"/>
  <c r="G6" i="3"/>
  <c r="O6" i="7" s="1"/>
  <c r="C22" i="9"/>
  <c r="I22" i="9" s="1"/>
  <c r="E67" i="9"/>
  <c r="D24" i="9"/>
  <c r="E37" i="9"/>
  <c r="C84" i="9"/>
  <c r="E61" i="9"/>
  <c r="D62" i="9"/>
  <c r="D5" i="9"/>
  <c r="E39" i="9"/>
  <c r="C14" i="9"/>
  <c r="I14" i="9" s="1"/>
  <c r="D74" i="9"/>
  <c r="C50" i="9"/>
  <c r="C83" i="9"/>
  <c r="I83" i="9" s="1"/>
  <c r="D43" i="9"/>
  <c r="E15" i="9"/>
  <c r="D93" i="9"/>
  <c r="C59" i="9"/>
  <c r="E58" i="9"/>
  <c r="D41" i="9"/>
  <c r="J6" i="3"/>
  <c r="R6" i="2" s="1"/>
  <c r="W6" i="4" s="1"/>
  <c r="C40" i="9"/>
  <c r="I40" i="9" s="1"/>
  <c r="D71" i="9"/>
  <c r="E49" i="9"/>
  <c r="E31" i="9"/>
  <c r="D77" i="9"/>
  <c r="E91" i="9"/>
  <c r="D36" i="9"/>
  <c r="E64" i="9"/>
  <c r="C70" i="9"/>
  <c r="I70" i="9" s="1"/>
  <c r="D10" i="9"/>
  <c r="E36" i="9"/>
  <c r="C89" i="9"/>
  <c r="D22" i="9"/>
  <c r="C19" i="9"/>
  <c r="I19" i="9" s="1"/>
  <c r="C44" i="9"/>
  <c r="E25" i="9"/>
  <c r="C88" i="9"/>
  <c r="D81" i="9"/>
  <c r="C23" i="9"/>
  <c r="L6" i="3"/>
  <c r="T6" i="2" s="1"/>
  <c r="C77" i="9"/>
  <c r="D58" i="9"/>
  <c r="E51" i="9"/>
  <c r="I6" i="3"/>
  <c r="Q6" i="7" s="1"/>
  <c r="C87" i="9"/>
  <c r="I87" i="9" s="1"/>
  <c r="C16" i="9"/>
  <c r="I16" i="9" s="1"/>
  <c r="C26" i="9"/>
  <c r="E43" i="9"/>
  <c r="K6" i="3"/>
  <c r="D15" i="9"/>
  <c r="E72" i="9"/>
  <c r="D57" i="9"/>
  <c r="G6" i="6"/>
  <c r="E6" i="5"/>
  <c r="J6" i="6"/>
  <c r="J6" i="5"/>
  <c r="N22" i="7"/>
  <c r="R92" i="5"/>
  <c r="X108" i="7"/>
  <c r="X108" i="2"/>
  <c r="X108" i="5"/>
  <c r="X108" i="6"/>
  <c r="R108" i="4" s="1"/>
  <c r="O108" i="5"/>
  <c r="O108" i="7"/>
  <c r="O108" i="6"/>
  <c r="T108" i="4" s="1"/>
  <c r="O108" i="2"/>
  <c r="O21" i="2"/>
  <c r="T21" i="4" s="1"/>
  <c r="K21" i="4"/>
  <c r="Q21" i="2"/>
  <c r="V21" i="4" s="1"/>
  <c r="P21" i="2"/>
  <c r="U21" i="4" s="1"/>
  <c r="R21" i="2"/>
  <c r="W21" i="4" s="1"/>
  <c r="N37" i="7"/>
  <c r="AA37" i="7" s="1"/>
  <c r="V61" i="6"/>
  <c r="AC61" i="6" s="1"/>
  <c r="R85" i="7"/>
  <c r="P85" i="7"/>
  <c r="O85" i="7"/>
  <c r="AA85" i="7" s="1"/>
  <c r="Q85" i="7"/>
  <c r="O101" i="5"/>
  <c r="O101" i="2"/>
  <c r="O101" i="6"/>
  <c r="T101" i="4" s="1"/>
  <c r="O101" i="7"/>
  <c r="P109" i="7"/>
  <c r="P109" i="6"/>
  <c r="U109" i="4" s="1"/>
  <c r="P109" i="2"/>
  <c r="P109" i="5"/>
  <c r="W109" i="2"/>
  <c r="W109" i="7"/>
  <c r="W109" i="6"/>
  <c r="AB109" i="4" s="1"/>
  <c r="W109" i="5"/>
  <c r="R46" i="6"/>
  <c r="Q46" i="6"/>
  <c r="O46" i="6"/>
  <c r="P46" i="6"/>
  <c r="I78" i="4"/>
  <c r="X78" i="2"/>
  <c r="R78" i="4" s="1"/>
  <c r="J79" i="4"/>
  <c r="N79" i="2"/>
  <c r="S79" i="4" s="1"/>
  <c r="V112" i="2"/>
  <c r="V112" i="5"/>
  <c r="V112" i="7"/>
  <c r="V112" i="6"/>
  <c r="AA112" i="4" s="1"/>
  <c r="M14" i="6"/>
  <c r="N55" i="6"/>
  <c r="AA55" i="6" s="1"/>
  <c r="N95" i="4"/>
  <c r="V95" i="2"/>
  <c r="AA95" i="4" s="1"/>
  <c r="U56" i="6"/>
  <c r="T56" i="6"/>
  <c r="Y49" i="6"/>
  <c r="N65" i="6"/>
  <c r="AA65" i="6" s="1"/>
  <c r="X32" i="6"/>
  <c r="M34" i="4"/>
  <c r="W34" i="2"/>
  <c r="AB34" i="4" s="1"/>
  <c r="V98" i="2"/>
  <c r="V98" i="5"/>
  <c r="V98" i="7"/>
  <c r="V98" i="6"/>
  <c r="Q39" i="6"/>
  <c r="O39" i="6"/>
  <c r="V40" i="6"/>
  <c r="N42" i="5"/>
  <c r="AA42" i="5" s="1"/>
  <c r="R11" i="5"/>
  <c r="P11" i="5"/>
  <c r="O11" i="5"/>
  <c r="Q11" i="5"/>
  <c r="V27" i="7"/>
  <c r="Y27" i="4"/>
  <c r="AC27" i="2"/>
  <c r="AG27" i="4" s="1"/>
  <c r="X35" i="7"/>
  <c r="W67" i="5"/>
  <c r="V75" i="5"/>
  <c r="AC75" i="5" s="1"/>
  <c r="R91" i="7"/>
  <c r="P91" i="7"/>
  <c r="S115" i="2"/>
  <c r="AB115" i="2" s="1"/>
  <c r="S115" i="6"/>
  <c r="S115" i="7"/>
  <c r="AB115" i="7" s="1"/>
  <c r="S115" i="5"/>
  <c r="AB115" i="5" s="1"/>
  <c r="P123" i="2"/>
  <c r="P123" i="6"/>
  <c r="U123" i="4" s="1"/>
  <c r="P123" i="5"/>
  <c r="P123" i="7"/>
  <c r="N12" i="6"/>
  <c r="N68" i="4"/>
  <c r="V68" i="2"/>
  <c r="AA68" i="4" s="1"/>
  <c r="P84" i="5"/>
  <c r="Q84" i="5"/>
  <c r="R84" i="5"/>
  <c r="O84" i="5"/>
  <c r="N116" i="2"/>
  <c r="N116" i="6"/>
  <c r="N116" i="7"/>
  <c r="N116" i="5"/>
  <c r="X116" i="5"/>
  <c r="X116" i="7"/>
  <c r="X116" i="2"/>
  <c r="X116" i="6"/>
  <c r="R116" i="4" s="1"/>
  <c r="V37" i="5"/>
  <c r="AC37" i="5" s="1"/>
  <c r="U61" i="7"/>
  <c r="T61" i="7"/>
  <c r="I69" i="4"/>
  <c r="X69" i="2"/>
  <c r="R69" i="4" s="1"/>
  <c r="Q117" i="2"/>
  <c r="Q117" i="7"/>
  <c r="Q117" i="6"/>
  <c r="V117" i="4" s="1"/>
  <c r="Q117" i="5"/>
  <c r="S117" i="6"/>
  <c r="S117" i="5"/>
  <c r="AB117" i="5" s="1"/>
  <c r="S117" i="2"/>
  <c r="AB117" i="2" s="1"/>
  <c r="S117" i="7"/>
  <c r="AB117" i="7" s="1"/>
  <c r="N46" i="5"/>
  <c r="X70" i="2"/>
  <c r="R70" i="4" s="1"/>
  <c r="I70" i="4"/>
  <c r="Q86" i="7"/>
  <c r="W102" i="2"/>
  <c r="W102" i="7"/>
  <c r="W102" i="5"/>
  <c r="W102" i="6"/>
  <c r="AB102" i="4" s="1"/>
  <c r="Q23" i="2"/>
  <c r="V23" i="4" s="1"/>
  <c r="W47" i="7"/>
  <c r="AC47" i="7" s="1"/>
  <c r="S103" i="7"/>
  <c r="AB103" i="7" s="1"/>
  <c r="S103" i="6"/>
  <c r="S103" i="2"/>
  <c r="AB103" i="2" s="1"/>
  <c r="S103" i="5"/>
  <c r="AB103" i="5" s="1"/>
  <c r="Q103" i="2"/>
  <c r="Q103" i="5"/>
  <c r="Q103" i="6"/>
  <c r="V103" i="4" s="1"/>
  <c r="Q103" i="7"/>
  <c r="U119" i="6"/>
  <c r="Z119" i="4" s="1"/>
  <c r="U119" i="5"/>
  <c r="U119" i="2"/>
  <c r="U119" i="7"/>
  <c r="Q128" i="6"/>
  <c r="V128" i="4" s="1"/>
  <c r="Q128" i="7"/>
  <c r="Q128" i="5"/>
  <c r="Q128" i="2"/>
  <c r="N31" i="4"/>
  <c r="V31" i="2"/>
  <c r="AA31" i="4" s="1"/>
  <c r="S56" i="5"/>
  <c r="AB56" i="5" s="1"/>
  <c r="S56" i="7"/>
  <c r="AB56" i="7" s="1"/>
  <c r="S56" i="6"/>
  <c r="AB56" i="6" s="1"/>
  <c r="S56" i="2"/>
  <c r="T64" i="6"/>
  <c r="W9" i="6"/>
  <c r="X65" i="2"/>
  <c r="R65" i="4" s="1"/>
  <c r="I65" i="4"/>
  <c r="T81" i="5"/>
  <c r="U81" i="5"/>
  <c r="O89" i="6"/>
  <c r="P89" i="6"/>
  <c r="R89" i="6"/>
  <c r="Q89" i="6"/>
  <c r="K82" i="4"/>
  <c r="O82" i="2"/>
  <c r="T82" i="4" s="1"/>
  <c r="Q82" i="2"/>
  <c r="V82" i="4" s="1"/>
  <c r="R82" i="2"/>
  <c r="W82" i="4" s="1"/>
  <c r="P82" i="2"/>
  <c r="U82" i="4" s="1"/>
  <c r="U106" i="7"/>
  <c r="U106" i="5"/>
  <c r="U106" i="6"/>
  <c r="Z106" i="4" s="1"/>
  <c r="U106" i="2"/>
  <c r="AC30" i="7"/>
  <c r="S26" i="2"/>
  <c r="S26" i="6"/>
  <c r="AB26" i="6" s="1"/>
  <c r="S26" i="5"/>
  <c r="AB26" i="5" s="1"/>
  <c r="S26" i="7"/>
  <c r="AB26" i="7" s="1"/>
  <c r="Q26" i="2"/>
  <c r="V26" i="4" s="1"/>
  <c r="V75" i="6"/>
  <c r="V83" i="6"/>
  <c r="P12" i="7"/>
  <c r="O12" i="7"/>
  <c r="R12" i="7"/>
  <c r="T60" i="5"/>
  <c r="U60" i="5"/>
  <c r="W60" i="7"/>
  <c r="G92" i="4"/>
  <c r="L92" i="2"/>
  <c r="U21" i="6"/>
  <c r="AC21" i="6" s="1"/>
  <c r="N21" i="7"/>
  <c r="AA37" i="5"/>
  <c r="V45" i="7"/>
  <c r="X53" i="6"/>
  <c r="L62" i="2"/>
  <c r="G62" i="4"/>
  <c r="AA70" i="7"/>
  <c r="G86" i="4"/>
  <c r="L86" i="2"/>
  <c r="J47" i="4"/>
  <c r="N47" i="2"/>
  <c r="S47" i="4" s="1"/>
  <c r="T22" i="7"/>
  <c r="U22" i="7"/>
  <c r="P38" i="4"/>
  <c r="W55" i="5"/>
  <c r="AC55" i="5" s="1"/>
  <c r="N88" i="5"/>
  <c r="V17" i="6"/>
  <c r="AC17" i="6" s="1"/>
  <c r="U25" i="5"/>
  <c r="T25" i="5"/>
  <c r="P65" i="4"/>
  <c r="Q32" i="2"/>
  <c r="V32" i="4" s="1"/>
  <c r="K32" i="4"/>
  <c r="O32" i="2"/>
  <c r="T32" i="4" s="1"/>
  <c r="P32" i="2"/>
  <c r="U32" i="4" s="1"/>
  <c r="R32" i="2"/>
  <c r="W32" i="4" s="1"/>
  <c r="I34" i="4"/>
  <c r="X34" i="2"/>
  <c r="R34" i="4" s="1"/>
  <c r="O114" i="2"/>
  <c r="O114" i="7"/>
  <c r="O114" i="6"/>
  <c r="T114" i="4" s="1"/>
  <c r="O114" i="5"/>
  <c r="S114" i="7"/>
  <c r="AB114" i="7" s="1"/>
  <c r="S114" i="5"/>
  <c r="AB114" i="5" s="1"/>
  <c r="S114" i="6"/>
  <c r="S114" i="2"/>
  <c r="AB114" i="2" s="1"/>
  <c r="V71" i="5"/>
  <c r="W87" i="6"/>
  <c r="N16" i="7"/>
  <c r="AA16" i="7" s="1"/>
  <c r="P66" i="4"/>
  <c r="AA66" i="2"/>
  <c r="AE66" i="4" s="1"/>
  <c r="S74" i="5"/>
  <c r="AB74" i="5" s="1"/>
  <c r="S74" i="2"/>
  <c r="S74" i="7"/>
  <c r="AB74" i="7" s="1"/>
  <c r="S74" i="6"/>
  <c r="AB74" i="6" s="1"/>
  <c r="Q44" i="6"/>
  <c r="Y44" i="6" s="1"/>
  <c r="S76" i="5"/>
  <c r="AB76" i="5" s="1"/>
  <c r="S76" i="6"/>
  <c r="AB76" i="6" s="1"/>
  <c r="S76" i="2"/>
  <c r="S76" i="7"/>
  <c r="AB76" i="7" s="1"/>
  <c r="X53" i="2"/>
  <c r="R53" i="4" s="1"/>
  <c r="AA77" i="5"/>
  <c r="P54" i="6"/>
  <c r="Q54" i="6"/>
  <c r="O54" i="6"/>
  <c r="R54" i="6"/>
  <c r="T62" i="6"/>
  <c r="U62" i="6"/>
  <c r="X94" i="5"/>
  <c r="P94" i="5"/>
  <c r="AA94" i="5" s="1"/>
  <c r="T63" i="6"/>
  <c r="U63" i="6"/>
  <c r="W79" i="6"/>
  <c r="AC79" i="6" s="1"/>
  <c r="V120" i="6"/>
  <c r="AA120" i="4" s="1"/>
  <c r="V120" i="2"/>
  <c r="V120" i="5"/>
  <c r="V120" i="7"/>
  <c r="Q120" i="6"/>
  <c r="V120" i="4" s="1"/>
  <c r="Q120" i="5"/>
  <c r="Q120" i="7"/>
  <c r="Q120" i="2"/>
  <c r="K6" i="6"/>
  <c r="K6" i="5"/>
  <c r="I6" i="5"/>
  <c r="I6" i="6"/>
  <c r="J7" i="4"/>
  <c r="N7" i="2"/>
  <c r="S7" i="4" s="1"/>
  <c r="E6" i="2"/>
  <c r="I6" i="4" s="1"/>
  <c r="R99" i="4" l="1"/>
  <c r="Y45" i="7"/>
  <c r="Z99" i="4"/>
  <c r="U99" i="4"/>
  <c r="I86" i="9"/>
  <c r="AC88" i="6"/>
  <c r="V97" i="4"/>
  <c r="AA98" i="4"/>
  <c r="AA62" i="5"/>
  <c r="AA89" i="5"/>
  <c r="AC43" i="2"/>
  <c r="AG43" i="4" s="1"/>
  <c r="T98" i="4"/>
  <c r="AC100" i="2"/>
  <c r="Z97" i="4"/>
  <c r="U98" i="4"/>
  <c r="I15" i="9"/>
  <c r="AC108" i="2"/>
  <c r="AC25" i="7"/>
  <c r="Z98" i="4"/>
  <c r="AA59" i="6"/>
  <c r="AC86" i="5"/>
  <c r="AB97" i="4"/>
  <c r="AC29" i="7"/>
  <c r="AC82" i="7"/>
  <c r="AA28" i="5"/>
  <c r="AA43" i="5"/>
  <c r="AA33" i="5"/>
  <c r="AC45" i="2"/>
  <c r="AG45" i="4" s="1"/>
  <c r="T97" i="4"/>
  <c r="U97" i="4"/>
  <c r="AB98" i="4"/>
  <c r="W98" i="4"/>
  <c r="AA97" i="4"/>
  <c r="AC122" i="7"/>
  <c r="AC93" i="5"/>
  <c r="AA55" i="2"/>
  <c r="AE55" i="4" s="1"/>
  <c r="AA20" i="5"/>
  <c r="AC74" i="2"/>
  <c r="AG74" i="4" s="1"/>
  <c r="AA62" i="7"/>
  <c r="I50" i="9"/>
  <c r="AC18" i="5"/>
  <c r="AA29" i="2"/>
  <c r="AE29" i="4" s="1"/>
  <c r="W97" i="4"/>
  <c r="Y21" i="7"/>
  <c r="L14" i="6"/>
  <c r="AA14" i="6" s="1"/>
  <c r="AC28" i="7"/>
  <c r="AC32" i="2"/>
  <c r="AG32" i="4" s="1"/>
  <c r="R97" i="4"/>
  <c r="AC57" i="7"/>
  <c r="I57" i="9"/>
  <c r="AA76" i="7"/>
  <c r="AC107" i="5"/>
  <c r="I26" i="9"/>
  <c r="AC110" i="5"/>
  <c r="AC10" i="5"/>
  <c r="Y82" i="7"/>
  <c r="I12" i="9"/>
  <c r="I88" i="9"/>
  <c r="I34" i="9"/>
  <c r="I46" i="9"/>
  <c r="I39" i="9"/>
  <c r="I85" i="9"/>
  <c r="I90" i="9"/>
  <c r="J90" i="9" s="1"/>
  <c r="AA58" i="6"/>
  <c r="AA86" i="6"/>
  <c r="AC35" i="6"/>
  <c r="AA41" i="2"/>
  <c r="AE41" i="4" s="1"/>
  <c r="AC108" i="5"/>
  <c r="AC17" i="7"/>
  <c r="AC103" i="5"/>
  <c r="AA93" i="5"/>
  <c r="AC25" i="6"/>
  <c r="Y85" i="5"/>
  <c r="M12" i="5"/>
  <c r="AA34" i="6"/>
  <c r="Y46" i="5"/>
  <c r="V6" i="5"/>
  <c r="I21" i="9"/>
  <c r="J21" i="9" s="1"/>
  <c r="Y33" i="5"/>
  <c r="AC121" i="7"/>
  <c r="AC51" i="7"/>
  <c r="AC33" i="6"/>
  <c r="AC100" i="5"/>
  <c r="AC127" i="7"/>
  <c r="Y18" i="7"/>
  <c r="AC69" i="2"/>
  <c r="AG69" i="4" s="1"/>
  <c r="I28" i="9"/>
  <c r="AC103" i="7"/>
  <c r="AC122" i="2"/>
  <c r="AC54" i="6"/>
  <c r="AA85" i="5"/>
  <c r="AC74" i="6"/>
  <c r="Y41" i="2"/>
  <c r="M12" i="7"/>
  <c r="T96" i="4"/>
  <c r="AA22" i="6"/>
  <c r="AC23" i="5"/>
  <c r="Y28" i="2"/>
  <c r="AC110" i="2"/>
  <c r="AC45" i="6"/>
  <c r="AA28" i="6"/>
  <c r="AC113" i="2"/>
  <c r="U6" i="7"/>
  <c r="AC90" i="7"/>
  <c r="AC103" i="2"/>
  <c r="AC84" i="2"/>
  <c r="AG84" i="4" s="1"/>
  <c r="AC110" i="7"/>
  <c r="AA37" i="6"/>
  <c r="AC79" i="5"/>
  <c r="Y37" i="5"/>
  <c r="F37" i="4" s="1"/>
  <c r="I53" i="9"/>
  <c r="J53" i="9" s="1"/>
  <c r="AA57" i="5"/>
  <c r="T6" i="7"/>
  <c r="E9" i="9"/>
  <c r="W6" i="6"/>
  <c r="AC60" i="5"/>
  <c r="AC40" i="5"/>
  <c r="Y68" i="6"/>
  <c r="D68" i="4" s="1"/>
  <c r="AC100" i="7"/>
  <c r="W6" i="5"/>
  <c r="AC48" i="5"/>
  <c r="AA55" i="5"/>
  <c r="I41" i="9"/>
  <c r="I61" i="9"/>
  <c r="AC46" i="5"/>
  <c r="AC121" i="5"/>
  <c r="AC92" i="7"/>
  <c r="AC107" i="7"/>
  <c r="AC35" i="5"/>
  <c r="AC80" i="7"/>
  <c r="AC34" i="5"/>
  <c r="AC83" i="2"/>
  <c r="AG83" i="4" s="1"/>
  <c r="AC8" i="7"/>
  <c r="AA81" i="6"/>
  <c r="AC61" i="5"/>
  <c r="AC16" i="5"/>
  <c r="AA83" i="5"/>
  <c r="AA71" i="6"/>
  <c r="AA60" i="5"/>
  <c r="M63" i="7"/>
  <c r="AA61" i="5"/>
  <c r="I92" i="9"/>
  <c r="J92" i="9" s="1"/>
  <c r="Y88" i="7"/>
  <c r="I89" i="9"/>
  <c r="I20" i="9"/>
  <c r="I35" i="9"/>
  <c r="J35" i="9" s="1"/>
  <c r="I54" i="9"/>
  <c r="I68" i="9"/>
  <c r="AA44" i="7"/>
  <c r="AA19" i="2"/>
  <c r="AE19" i="4" s="1"/>
  <c r="M63" i="2"/>
  <c r="Q63" i="4" s="1"/>
  <c r="AA82" i="5"/>
  <c r="I63" i="9"/>
  <c r="I25" i="9"/>
  <c r="AA24" i="5"/>
  <c r="AA90" i="5"/>
  <c r="AA38" i="2"/>
  <c r="AE38" i="4" s="1"/>
  <c r="Y93" i="6"/>
  <c r="D93" i="4" s="1"/>
  <c r="I95" i="9"/>
  <c r="J95" i="9" s="1"/>
  <c r="Y77" i="5"/>
  <c r="AA65" i="2"/>
  <c r="AE65" i="4" s="1"/>
  <c r="M63" i="6"/>
  <c r="Y72" i="6"/>
  <c r="Y19" i="2"/>
  <c r="I44" i="9"/>
  <c r="J44" i="9" s="1"/>
  <c r="I80" i="9"/>
  <c r="I10" i="9"/>
  <c r="J10" i="9" s="1"/>
  <c r="I49" i="9"/>
  <c r="I13" i="9"/>
  <c r="I23" i="9"/>
  <c r="J23" i="9" s="1"/>
  <c r="I84" i="9"/>
  <c r="J84" i="9" s="1"/>
  <c r="I47" i="9"/>
  <c r="I52" i="9"/>
  <c r="J52" i="9" s="1"/>
  <c r="I33" i="9"/>
  <c r="J33" i="9" s="1"/>
  <c r="I81" i="9"/>
  <c r="Y35" i="7"/>
  <c r="I18" i="9"/>
  <c r="I38" i="9"/>
  <c r="J38" i="9" s="1"/>
  <c r="I67" i="9"/>
  <c r="J67" i="9" s="1"/>
  <c r="Y43" i="7"/>
  <c r="V96" i="4"/>
  <c r="W96" i="4"/>
  <c r="Y83" i="6"/>
  <c r="AA68" i="6"/>
  <c r="AA95" i="6"/>
  <c r="AA84" i="5"/>
  <c r="Y73" i="6"/>
  <c r="D73" i="4" s="1"/>
  <c r="Y54" i="6"/>
  <c r="J86" i="9"/>
  <c r="AA78" i="6"/>
  <c r="AA44" i="5"/>
  <c r="AA88" i="6"/>
  <c r="AA90" i="6"/>
  <c r="AA94" i="6"/>
  <c r="Y71" i="6"/>
  <c r="D71" i="4" s="1"/>
  <c r="AA71" i="5"/>
  <c r="J19" i="9"/>
  <c r="AA73" i="6"/>
  <c r="Y52" i="5"/>
  <c r="Y76" i="7"/>
  <c r="Y95" i="7"/>
  <c r="Y95" i="5"/>
  <c r="F95" i="4" s="1"/>
  <c r="U96" i="4"/>
  <c r="AA58" i="7"/>
  <c r="AA59" i="5"/>
  <c r="AA60" i="6"/>
  <c r="Y38" i="2"/>
  <c r="AA31" i="2"/>
  <c r="AE31" i="4" s="1"/>
  <c r="Y45" i="6"/>
  <c r="D45" i="4" s="1"/>
  <c r="L14" i="5"/>
  <c r="AA87" i="6"/>
  <c r="Y44" i="7"/>
  <c r="L63" i="2"/>
  <c r="L63" i="5"/>
  <c r="AA32" i="6"/>
  <c r="L63" i="7"/>
  <c r="Y88" i="5"/>
  <c r="F88" i="4" s="1"/>
  <c r="L14" i="7"/>
  <c r="Y75" i="6"/>
  <c r="AA70" i="5"/>
  <c r="AC10" i="6"/>
  <c r="AA41" i="6"/>
  <c r="Y26" i="7"/>
  <c r="Y31" i="6"/>
  <c r="D31" i="4" s="1"/>
  <c r="L10" i="2"/>
  <c r="Y41" i="7"/>
  <c r="AA75" i="6"/>
  <c r="Y58" i="7"/>
  <c r="Y92" i="5"/>
  <c r="AA96" i="4"/>
  <c r="AC81" i="6"/>
  <c r="Z96" i="4"/>
  <c r="I77" i="9"/>
  <c r="J39" i="9"/>
  <c r="AA23" i="5"/>
  <c r="Y43" i="6"/>
  <c r="Y92" i="6"/>
  <c r="D92" i="4" s="1"/>
  <c r="Y38" i="5"/>
  <c r="F38" i="4" s="1"/>
  <c r="Y57" i="6"/>
  <c r="D57" i="4" s="1"/>
  <c r="AC91" i="5"/>
  <c r="AC67" i="5"/>
  <c r="AA19" i="6"/>
  <c r="Y76" i="6"/>
  <c r="D76" i="4" s="1"/>
  <c r="AC41" i="6"/>
  <c r="AC128" i="5"/>
  <c r="Y50" i="5"/>
  <c r="F50" i="4" s="1"/>
  <c r="Y71" i="5"/>
  <c r="F71" i="4" s="1"/>
  <c r="AC69" i="5"/>
  <c r="AC10" i="7"/>
  <c r="AC78" i="7"/>
  <c r="AA76" i="5"/>
  <c r="Y60" i="5"/>
  <c r="F60" i="4" s="1"/>
  <c r="AC54" i="5"/>
  <c r="AC78" i="6"/>
  <c r="AA68" i="5"/>
  <c r="AC62" i="6"/>
  <c r="Y50" i="6"/>
  <c r="Y81" i="7"/>
  <c r="AC70" i="7"/>
  <c r="AC27" i="5"/>
  <c r="Y24" i="7"/>
  <c r="AC12" i="6"/>
  <c r="X6" i="6"/>
  <c r="Y30" i="6"/>
  <c r="D30" i="4" s="1"/>
  <c r="AC127" i="2"/>
  <c r="AA27" i="6"/>
  <c r="AC57" i="6"/>
  <c r="AA31" i="7"/>
  <c r="AC16" i="2"/>
  <c r="AG16" i="4" s="1"/>
  <c r="Y76" i="5"/>
  <c r="F76" i="4" s="1"/>
  <c r="Y72" i="7"/>
  <c r="Y32" i="7"/>
  <c r="AA62" i="6"/>
  <c r="AA35" i="5"/>
  <c r="AC25" i="5"/>
  <c r="V6" i="7"/>
  <c r="D9" i="9"/>
  <c r="I59" i="9"/>
  <c r="J59" i="9" s="1"/>
  <c r="J56" i="9"/>
  <c r="AA9" i="5"/>
  <c r="Y53" i="7"/>
  <c r="AA92" i="6"/>
  <c r="Y8" i="5"/>
  <c r="F8" i="4" s="1"/>
  <c r="AA50" i="6"/>
  <c r="Y53" i="6"/>
  <c r="AA58" i="5"/>
  <c r="Y86" i="5"/>
  <c r="F86" i="4" s="1"/>
  <c r="Y34" i="7"/>
  <c r="AA82" i="6"/>
  <c r="AA84" i="6"/>
  <c r="AA36" i="5"/>
  <c r="Y78" i="5"/>
  <c r="AC73" i="6"/>
  <c r="AC62" i="7"/>
  <c r="Y57" i="5"/>
  <c r="F57" i="4" s="1"/>
  <c r="Y39" i="5"/>
  <c r="F39" i="4" s="1"/>
  <c r="AC36" i="6"/>
  <c r="Y38" i="7"/>
  <c r="AA57" i="6"/>
  <c r="Y18" i="6"/>
  <c r="D18" i="4" s="1"/>
  <c r="AA89" i="6"/>
  <c r="Y36" i="6"/>
  <c r="D36" i="4" s="1"/>
  <c r="AC85" i="2"/>
  <c r="AG85" i="4" s="1"/>
  <c r="AA60" i="2"/>
  <c r="AE60" i="4" s="1"/>
  <c r="AA92" i="5"/>
  <c r="Y83" i="7"/>
  <c r="AC87" i="2"/>
  <c r="AG87" i="4" s="1"/>
  <c r="AC102" i="2"/>
  <c r="AA77" i="6"/>
  <c r="Y60" i="6"/>
  <c r="D60" i="4" s="1"/>
  <c r="AA83" i="6"/>
  <c r="AC40" i="6"/>
  <c r="AA70" i="6"/>
  <c r="AA44" i="6"/>
  <c r="Y39" i="7"/>
  <c r="Y46" i="6"/>
  <c r="D46" i="4" s="1"/>
  <c r="R96" i="4"/>
  <c r="AC104" i="5"/>
  <c r="AC36" i="5"/>
  <c r="AC24" i="5"/>
  <c r="AA30" i="6"/>
  <c r="AA69" i="6"/>
  <c r="AA18" i="6"/>
  <c r="Y61" i="6"/>
  <c r="D61" i="4" s="1"/>
  <c r="Y74" i="6"/>
  <c r="D74" i="4" s="1"/>
  <c r="AC39" i="6"/>
  <c r="Y24" i="6"/>
  <c r="D24" i="4" s="1"/>
  <c r="Y85" i="6"/>
  <c r="Y43" i="5"/>
  <c r="F43" i="4" s="1"/>
  <c r="Y56" i="7"/>
  <c r="Y60" i="7"/>
  <c r="AA24" i="6"/>
  <c r="AA16" i="6"/>
  <c r="V6" i="6"/>
  <c r="J27" i="9"/>
  <c r="AC26" i="5"/>
  <c r="AC44" i="5"/>
  <c r="AC18" i="6"/>
  <c r="AC80" i="6"/>
  <c r="Y51" i="6"/>
  <c r="D51" i="4" s="1"/>
  <c r="AC84" i="7"/>
  <c r="Y25" i="6"/>
  <c r="D25" i="4" s="1"/>
  <c r="Y94" i="7"/>
  <c r="Y21" i="6"/>
  <c r="D21" i="4" s="1"/>
  <c r="AC60" i="7"/>
  <c r="Y36" i="7"/>
  <c r="AC49" i="6"/>
  <c r="Y41" i="6"/>
  <c r="D41" i="4" s="1"/>
  <c r="AA61" i="6"/>
  <c r="AA74" i="6"/>
  <c r="AA27" i="5"/>
  <c r="AC87" i="5"/>
  <c r="AB96" i="4"/>
  <c r="Y31" i="5"/>
  <c r="F31" i="4" s="1"/>
  <c r="Y8" i="6"/>
  <c r="D8" i="4" s="1"/>
  <c r="AC57" i="5"/>
  <c r="Y28" i="5"/>
  <c r="F28" i="4" s="1"/>
  <c r="Y79" i="6"/>
  <c r="D79" i="4" s="1"/>
  <c r="AA52" i="7"/>
  <c r="Y20" i="6"/>
  <c r="D20" i="4" s="1"/>
  <c r="AC15" i="5"/>
  <c r="Y42" i="6"/>
  <c r="D42" i="4" s="1"/>
  <c r="Y87" i="6"/>
  <c r="D87" i="4" s="1"/>
  <c r="AC8" i="6"/>
  <c r="Y16" i="6"/>
  <c r="D16" i="4" s="1"/>
  <c r="Y86" i="7"/>
  <c r="AC75" i="6"/>
  <c r="Y7" i="6"/>
  <c r="D7" i="4" s="1"/>
  <c r="O6" i="2"/>
  <c r="T6" i="4" s="1"/>
  <c r="AC32" i="7"/>
  <c r="AC54" i="7"/>
  <c r="Y41" i="5"/>
  <c r="F41" i="4" s="1"/>
  <c r="AA17" i="5"/>
  <c r="Y17" i="5"/>
  <c r="D75" i="4"/>
  <c r="F92" i="4"/>
  <c r="F33" i="4"/>
  <c r="D43" i="4"/>
  <c r="D50" i="4"/>
  <c r="F78" i="4"/>
  <c r="D54" i="4"/>
  <c r="D72" i="4"/>
  <c r="D44" i="4"/>
  <c r="F46" i="4"/>
  <c r="F87" i="4"/>
  <c r="X108" i="4"/>
  <c r="AB108" i="6"/>
  <c r="AF108" i="4" s="1"/>
  <c r="AA112" i="7"/>
  <c r="Y112" i="7"/>
  <c r="X123" i="4"/>
  <c r="AB123" i="6"/>
  <c r="AF123" i="4" s="1"/>
  <c r="AC124" i="2"/>
  <c r="Y88" i="4"/>
  <c r="AC88" i="2"/>
  <c r="AG88" i="4" s="1"/>
  <c r="X56" i="4"/>
  <c r="AB56" i="2"/>
  <c r="AF56" i="4" s="1"/>
  <c r="D49" i="4"/>
  <c r="X6" i="5"/>
  <c r="T10" i="9"/>
  <c r="O10" i="9"/>
  <c r="Y10" i="9"/>
  <c r="T71" i="9"/>
  <c r="O71" i="9"/>
  <c r="Y71" i="9"/>
  <c r="J71" i="9"/>
  <c r="T5" i="9"/>
  <c r="O5" i="9"/>
  <c r="J5" i="9"/>
  <c r="Y5" i="9"/>
  <c r="O35" i="9"/>
  <c r="Y35" i="9"/>
  <c r="T35" i="9"/>
  <c r="T60" i="9"/>
  <c r="O60" i="9"/>
  <c r="J60" i="9"/>
  <c r="Y60" i="9"/>
  <c r="T55" i="9"/>
  <c r="O55" i="9"/>
  <c r="Y55" i="9"/>
  <c r="J4" i="9"/>
  <c r="Y4" i="9"/>
  <c r="O4" i="9"/>
  <c r="T4" i="9"/>
  <c r="T86" i="9"/>
  <c r="O86" i="9"/>
  <c r="Y86" i="9"/>
  <c r="Y53" i="9"/>
  <c r="O53" i="9"/>
  <c r="T53" i="9"/>
  <c r="Y92" i="9"/>
  <c r="T92" i="9"/>
  <c r="O92" i="9"/>
  <c r="O29" i="9"/>
  <c r="Y29" i="9"/>
  <c r="T29" i="9"/>
  <c r="AC61" i="2"/>
  <c r="AG61" i="4" s="1"/>
  <c r="Y61" i="4"/>
  <c r="X35" i="4"/>
  <c r="AB35" i="2"/>
  <c r="AF35" i="4" s="1"/>
  <c r="Y114" i="2"/>
  <c r="AA114" i="2"/>
  <c r="AB25" i="2"/>
  <c r="AF25" i="4" s="1"/>
  <c r="X25" i="4"/>
  <c r="AB92" i="2"/>
  <c r="AF92" i="4" s="1"/>
  <c r="X92" i="4"/>
  <c r="AC113" i="7"/>
  <c r="Y19" i="6"/>
  <c r="AA8" i="7"/>
  <c r="Y8" i="7"/>
  <c r="X58" i="4"/>
  <c r="AB58" i="2"/>
  <c r="AF58" i="4" s="1"/>
  <c r="AC125" i="7"/>
  <c r="AB22" i="2"/>
  <c r="AF22" i="4" s="1"/>
  <c r="X22" i="4"/>
  <c r="AC106" i="7"/>
  <c r="Y73" i="7"/>
  <c r="AA25" i="6"/>
  <c r="AB78" i="2"/>
  <c r="AF78" i="4" s="1"/>
  <c r="X78" i="4"/>
  <c r="AC68" i="7"/>
  <c r="AC126" i="5"/>
  <c r="Y112" i="6"/>
  <c r="AA112" i="6"/>
  <c r="AE112" i="4" s="1"/>
  <c r="S112" i="4"/>
  <c r="AB8" i="2"/>
  <c r="AF8" i="4" s="1"/>
  <c r="X8" i="4"/>
  <c r="Y61" i="7"/>
  <c r="AC38" i="7"/>
  <c r="AC116" i="2"/>
  <c r="AC68" i="5"/>
  <c r="AA8" i="5"/>
  <c r="Y64" i="7"/>
  <c r="AC76" i="6"/>
  <c r="AA111" i="5"/>
  <c r="Y111" i="5"/>
  <c r="M11" i="2"/>
  <c r="Q11" i="4" s="1"/>
  <c r="M11" i="6"/>
  <c r="X15" i="4"/>
  <c r="AB15" i="2"/>
  <c r="AF15" i="4" s="1"/>
  <c r="AB54" i="2"/>
  <c r="AF54" i="4" s="1"/>
  <c r="X54" i="4"/>
  <c r="AB100" i="6"/>
  <c r="AF100" i="4" s="1"/>
  <c r="X100" i="4"/>
  <c r="AC19" i="6"/>
  <c r="AC22" i="5"/>
  <c r="AB77" i="2"/>
  <c r="AF77" i="4" s="1"/>
  <c r="X77" i="4"/>
  <c r="Y58" i="4"/>
  <c r="AC58" i="2"/>
  <c r="AG58" i="4" s="1"/>
  <c r="AA39" i="2"/>
  <c r="AE39" i="4" s="1"/>
  <c r="P39" i="4"/>
  <c r="Y39" i="2"/>
  <c r="AC19" i="7"/>
  <c r="M10" i="6"/>
  <c r="M10" i="2"/>
  <c r="Q10" i="4" s="1"/>
  <c r="M10" i="5"/>
  <c r="Y10" i="5" s="1"/>
  <c r="Y101" i="4"/>
  <c r="AC101" i="6"/>
  <c r="AG101" i="4" s="1"/>
  <c r="P24" i="4"/>
  <c r="Y24" i="2"/>
  <c r="AA24" i="2"/>
  <c r="AE24" i="4" s="1"/>
  <c r="AC52" i="5"/>
  <c r="Y25" i="7"/>
  <c r="AA39" i="7"/>
  <c r="M13" i="7"/>
  <c r="Y89" i="5"/>
  <c r="Y25" i="2"/>
  <c r="Y94" i="5"/>
  <c r="Y33" i="6"/>
  <c r="AA33" i="6"/>
  <c r="Y85" i="2"/>
  <c r="AA85" i="2"/>
  <c r="AE85" i="4" s="1"/>
  <c r="P85" i="4"/>
  <c r="Y37" i="6"/>
  <c r="AC26" i="2"/>
  <c r="AG26" i="4" s="1"/>
  <c r="AB128" i="6"/>
  <c r="AF128" i="4" s="1"/>
  <c r="X128" i="4"/>
  <c r="S123" i="4"/>
  <c r="Y123" i="6"/>
  <c r="AA123" i="6"/>
  <c r="AE123" i="4" s="1"/>
  <c r="AA98" i="7"/>
  <c r="S101" i="4"/>
  <c r="AA101" i="6"/>
  <c r="AE101" i="4" s="1"/>
  <c r="Y101" i="6"/>
  <c r="AC50" i="7"/>
  <c r="AC37" i="7"/>
  <c r="Y50" i="2"/>
  <c r="AA121" i="5"/>
  <c r="Y121" i="5"/>
  <c r="AA118" i="2"/>
  <c r="Y118" i="2"/>
  <c r="N6" i="7"/>
  <c r="AA36" i="6"/>
  <c r="AC29" i="6"/>
  <c r="AA85" i="6"/>
  <c r="AC117" i="2"/>
  <c r="AB75" i="2"/>
  <c r="AF75" i="4" s="1"/>
  <c r="X75" i="4"/>
  <c r="AA46" i="6"/>
  <c r="AA42" i="6"/>
  <c r="AC33" i="2"/>
  <c r="AG33" i="4" s="1"/>
  <c r="Y33" i="4"/>
  <c r="AC111" i="7"/>
  <c r="AC28" i="2"/>
  <c r="AG28" i="4" s="1"/>
  <c r="AB82" i="2"/>
  <c r="AF82" i="4" s="1"/>
  <c r="X82" i="4"/>
  <c r="AA126" i="7"/>
  <c r="Y126" i="7"/>
  <c r="AC118" i="5"/>
  <c r="AC120" i="2"/>
  <c r="AC119" i="5"/>
  <c r="AC109" i="5"/>
  <c r="Y107" i="7"/>
  <c r="AA107" i="7"/>
  <c r="AA122" i="2"/>
  <c r="Y122" i="2"/>
  <c r="AB104" i="6"/>
  <c r="AF104" i="4" s="1"/>
  <c r="X104" i="4"/>
  <c r="Y35" i="5"/>
  <c r="Y47" i="7"/>
  <c r="AA67" i="7"/>
  <c r="Y67" i="7"/>
  <c r="Y20" i="2"/>
  <c r="Y51" i="2"/>
  <c r="AC14" i="2"/>
  <c r="AG14" i="4" s="1"/>
  <c r="X67" i="4"/>
  <c r="AB67" i="2"/>
  <c r="AF67" i="4" s="1"/>
  <c r="AA99" i="7"/>
  <c r="Y99" i="7"/>
  <c r="AA23" i="2"/>
  <c r="AE23" i="4" s="1"/>
  <c r="AC92" i="6"/>
  <c r="Y16" i="5"/>
  <c r="AC47" i="5"/>
  <c r="AA34" i="7"/>
  <c r="Y119" i="6"/>
  <c r="S119" i="4"/>
  <c r="AA119" i="6"/>
  <c r="AE119" i="4" s="1"/>
  <c r="AC85" i="5"/>
  <c r="AC98" i="7"/>
  <c r="AC66" i="5"/>
  <c r="AC97" i="6"/>
  <c r="Y97" i="4"/>
  <c r="Y124" i="6"/>
  <c r="AA124" i="6"/>
  <c r="AE124" i="4" s="1"/>
  <c r="S124" i="4"/>
  <c r="AA72" i="7"/>
  <c r="AC81" i="2"/>
  <c r="AG81" i="4" s="1"/>
  <c r="Y9" i="5"/>
  <c r="AA31" i="5"/>
  <c r="D83" i="4"/>
  <c r="AC126" i="6"/>
  <c r="AG126" i="4" s="1"/>
  <c r="Y126" i="4"/>
  <c r="AA125" i="2"/>
  <c r="Y125" i="2"/>
  <c r="Y65" i="4"/>
  <c r="AC65" i="2"/>
  <c r="AG65" i="4" s="1"/>
  <c r="T6" i="6"/>
  <c r="U6" i="6"/>
  <c r="X114" i="4"/>
  <c r="AB114" i="6"/>
  <c r="AF114" i="4" s="1"/>
  <c r="P62" i="4"/>
  <c r="AA62" i="2"/>
  <c r="AE62" i="4" s="1"/>
  <c r="T85" i="9"/>
  <c r="Y85" i="9"/>
  <c r="J85" i="9"/>
  <c r="O85" i="9"/>
  <c r="T11" i="9"/>
  <c r="O11" i="9"/>
  <c r="Y11" i="9"/>
  <c r="O38" i="9"/>
  <c r="Y38" i="9"/>
  <c r="T38" i="9"/>
  <c r="I79" i="9"/>
  <c r="J79" i="9" s="1"/>
  <c r="J14" i="9"/>
  <c r="Y14" i="9"/>
  <c r="O14" i="9"/>
  <c r="T14" i="9"/>
  <c r="T18" i="9"/>
  <c r="Y18" i="9"/>
  <c r="O18" i="9"/>
  <c r="J18" i="9"/>
  <c r="O19" i="9"/>
  <c r="T19" i="9"/>
  <c r="Y19" i="9"/>
  <c r="T39" i="9"/>
  <c r="O39" i="9"/>
  <c r="Y39" i="9"/>
  <c r="O79" i="9"/>
  <c r="T79" i="9"/>
  <c r="Y79" i="9"/>
  <c r="AC91" i="7"/>
  <c r="AA114" i="5"/>
  <c r="Y114" i="5"/>
  <c r="Y32" i="6"/>
  <c r="AB7" i="2"/>
  <c r="AF7" i="4" s="1"/>
  <c r="X7" i="4"/>
  <c r="AA128" i="2"/>
  <c r="Y128" i="2"/>
  <c r="P47" i="4"/>
  <c r="AA47" i="2"/>
  <c r="AE47" i="4" s="1"/>
  <c r="Y47" i="2"/>
  <c r="AC23" i="2"/>
  <c r="AG23" i="4" s="1"/>
  <c r="Y23" i="4"/>
  <c r="Y79" i="7"/>
  <c r="P90" i="4"/>
  <c r="AA90" i="2"/>
  <c r="AE90" i="4" s="1"/>
  <c r="AC89" i="2"/>
  <c r="AG89" i="4" s="1"/>
  <c r="Y89" i="4"/>
  <c r="AC121" i="2"/>
  <c r="Y14" i="6"/>
  <c r="AC75" i="2"/>
  <c r="AG75" i="4" s="1"/>
  <c r="AC65" i="7"/>
  <c r="AC125" i="2"/>
  <c r="AA28" i="7"/>
  <c r="Y28" i="7"/>
  <c r="AC94" i="2"/>
  <c r="AG94" i="4" s="1"/>
  <c r="Y106" i="4"/>
  <c r="AC106" i="6"/>
  <c r="AG106" i="4" s="1"/>
  <c r="AC81" i="7"/>
  <c r="AC45" i="5"/>
  <c r="Y96" i="5"/>
  <c r="AA96" i="5"/>
  <c r="AC29" i="2"/>
  <c r="AG29" i="4" s="1"/>
  <c r="AC9" i="5"/>
  <c r="Y67" i="6"/>
  <c r="AA88" i="5"/>
  <c r="AA83" i="2"/>
  <c r="AE83" i="4" s="1"/>
  <c r="P83" i="4"/>
  <c r="Y83" i="2"/>
  <c r="X86" i="4"/>
  <c r="AB86" i="2"/>
  <c r="AF86" i="4" s="1"/>
  <c r="AA112" i="2"/>
  <c r="Y112" i="2"/>
  <c r="AA40" i="6"/>
  <c r="AA45" i="6"/>
  <c r="Y79" i="5"/>
  <c r="Y93" i="5"/>
  <c r="P54" i="4"/>
  <c r="AA54" i="2"/>
  <c r="AE54" i="4" s="1"/>
  <c r="Y54" i="2"/>
  <c r="AC45" i="7"/>
  <c r="AC116" i="7"/>
  <c r="Y107" i="4"/>
  <c r="AC107" i="6"/>
  <c r="AG107" i="4" s="1"/>
  <c r="AA89" i="7"/>
  <c r="Y89" i="7"/>
  <c r="Y22" i="6"/>
  <c r="L11" i="6"/>
  <c r="Y11" i="6" s="1"/>
  <c r="L11" i="5"/>
  <c r="L11" i="7"/>
  <c r="L11" i="2"/>
  <c r="AC80" i="5"/>
  <c r="Y18" i="5"/>
  <c r="AA33" i="2"/>
  <c r="AE33" i="4" s="1"/>
  <c r="P33" i="4"/>
  <c r="Y33" i="2"/>
  <c r="X12" i="4"/>
  <c r="AB12" i="2"/>
  <c r="AF12" i="4" s="1"/>
  <c r="Q6" i="5"/>
  <c r="X120" i="4"/>
  <c r="AB120" i="6"/>
  <c r="AF120" i="4" s="1"/>
  <c r="S102" i="4"/>
  <c r="AA102" i="6"/>
  <c r="AE102" i="4" s="1"/>
  <c r="Y102" i="6"/>
  <c r="Y71" i="2"/>
  <c r="AA71" i="2"/>
  <c r="AE71" i="4" s="1"/>
  <c r="P71" i="4"/>
  <c r="L10" i="6"/>
  <c r="L10" i="7"/>
  <c r="AC101" i="2"/>
  <c r="X36" i="4"/>
  <c r="AB36" i="2"/>
  <c r="AF36" i="4" s="1"/>
  <c r="AA100" i="5"/>
  <c r="Y100" i="5"/>
  <c r="AC58" i="7"/>
  <c r="X32" i="4"/>
  <c r="AB32" i="2"/>
  <c r="AF32" i="4" s="1"/>
  <c r="Y31" i="4"/>
  <c r="AC31" i="2"/>
  <c r="AG31" i="4" s="1"/>
  <c r="AC24" i="7"/>
  <c r="Y75" i="7"/>
  <c r="AC88" i="7"/>
  <c r="AC77" i="7"/>
  <c r="AA59" i="2"/>
  <c r="AE59" i="4" s="1"/>
  <c r="AA123" i="2"/>
  <c r="Y123" i="2"/>
  <c r="AA98" i="5"/>
  <c r="AA101" i="7"/>
  <c r="Y101" i="7"/>
  <c r="AA87" i="7"/>
  <c r="Y87" i="7"/>
  <c r="AB72" i="2"/>
  <c r="AF72" i="4" s="1"/>
  <c r="X72" i="4"/>
  <c r="AB24" i="2"/>
  <c r="AF24" i="4" s="1"/>
  <c r="X24" i="4"/>
  <c r="Y121" i="2"/>
  <c r="AA121" i="2"/>
  <c r="X118" i="4"/>
  <c r="AB118" i="6"/>
  <c r="AF118" i="4" s="1"/>
  <c r="Y52" i="4"/>
  <c r="AC52" i="2"/>
  <c r="AG52" i="4" s="1"/>
  <c r="AC100" i="6"/>
  <c r="AG100" i="4" s="1"/>
  <c r="Y100" i="4"/>
  <c r="AC114" i="7"/>
  <c r="X21" i="4"/>
  <c r="AB21" i="2"/>
  <c r="AF21" i="4" s="1"/>
  <c r="AC117" i="7"/>
  <c r="AC123" i="7"/>
  <c r="Y115" i="6"/>
  <c r="S115" i="4"/>
  <c r="AA115" i="6"/>
  <c r="AE115" i="4" s="1"/>
  <c r="AC13" i="6"/>
  <c r="AC111" i="6"/>
  <c r="AG111" i="4" s="1"/>
  <c r="Y111" i="4"/>
  <c r="AA72" i="6"/>
  <c r="AA126" i="5"/>
  <c r="Y126" i="5"/>
  <c r="AC118" i="7"/>
  <c r="AC41" i="5"/>
  <c r="AC120" i="7"/>
  <c r="AC40" i="2"/>
  <c r="AG40" i="4" s="1"/>
  <c r="Y40" i="4"/>
  <c r="Y46" i="2"/>
  <c r="X68" i="4"/>
  <c r="AB68" i="2"/>
  <c r="AF68" i="4" s="1"/>
  <c r="J6" i="4"/>
  <c r="N6" i="2"/>
  <c r="S6" i="4" s="1"/>
  <c r="AC119" i="2"/>
  <c r="AC46" i="2"/>
  <c r="AG46" i="4" s="1"/>
  <c r="Y46" i="4"/>
  <c r="AA31" i="6"/>
  <c r="AC109" i="7"/>
  <c r="AA107" i="2"/>
  <c r="Y107" i="2"/>
  <c r="AA122" i="7"/>
  <c r="Y122" i="7"/>
  <c r="AA113" i="5"/>
  <c r="Y113" i="5"/>
  <c r="Y105" i="7"/>
  <c r="AA105" i="7"/>
  <c r="Y104" i="6"/>
  <c r="S104" i="4"/>
  <c r="AA104" i="6"/>
  <c r="AE104" i="4" s="1"/>
  <c r="AA20" i="2"/>
  <c r="AE20" i="4" s="1"/>
  <c r="AA51" i="2"/>
  <c r="AE51" i="4" s="1"/>
  <c r="AC15" i="6"/>
  <c r="AA54" i="6"/>
  <c r="AA99" i="6"/>
  <c r="Y99" i="6"/>
  <c r="S99" i="4"/>
  <c r="AA53" i="6"/>
  <c r="AC9" i="6"/>
  <c r="Y23" i="2"/>
  <c r="AC86" i="7"/>
  <c r="Y24" i="5"/>
  <c r="Y119" i="2"/>
  <c r="AA119" i="2"/>
  <c r="AC58" i="5"/>
  <c r="AC98" i="5"/>
  <c r="Y21" i="4"/>
  <c r="AC21" i="2"/>
  <c r="AG21" i="4" s="1"/>
  <c r="AC97" i="2"/>
  <c r="AC86" i="6"/>
  <c r="AA124" i="5"/>
  <c r="Y124" i="5"/>
  <c r="AC51" i="6"/>
  <c r="Y31" i="7"/>
  <c r="AA38" i="5"/>
  <c r="AA79" i="5"/>
  <c r="T67" i="9"/>
  <c r="O67" i="9"/>
  <c r="Y67" i="9"/>
  <c r="AC71" i="2"/>
  <c r="AG71" i="4" s="1"/>
  <c r="Y71" i="4"/>
  <c r="P56" i="4"/>
  <c r="Y56" i="2"/>
  <c r="AA56" i="2"/>
  <c r="AE56" i="4" s="1"/>
  <c r="AC9" i="2"/>
  <c r="AG9" i="4" s="1"/>
  <c r="P10" i="4"/>
  <c r="Y10" i="2"/>
  <c r="AA10" i="2"/>
  <c r="AE10" i="4" s="1"/>
  <c r="AC42" i="2"/>
  <c r="AG42" i="4" s="1"/>
  <c r="X76" i="4"/>
  <c r="AB76" i="2"/>
  <c r="AF76" i="4" s="1"/>
  <c r="AA92" i="2"/>
  <c r="AE92" i="4" s="1"/>
  <c r="P92" i="4"/>
  <c r="Y92" i="2"/>
  <c r="Y57" i="9"/>
  <c r="T57" i="9"/>
  <c r="J57" i="9"/>
  <c r="O57" i="9"/>
  <c r="AC22" i="7"/>
  <c r="AA66" i="6"/>
  <c r="AC63" i="6"/>
  <c r="AA76" i="6"/>
  <c r="X26" i="4"/>
  <c r="AB26" i="2"/>
  <c r="AF26" i="4" s="1"/>
  <c r="AC81" i="5"/>
  <c r="AB117" i="6"/>
  <c r="AF117" i="4" s="1"/>
  <c r="X117" i="4"/>
  <c r="Y116" i="5"/>
  <c r="AA116" i="5"/>
  <c r="AC56" i="6"/>
  <c r="J15" i="9"/>
  <c r="T15" i="9"/>
  <c r="O15" i="9"/>
  <c r="Y15" i="9"/>
  <c r="R6" i="6"/>
  <c r="J83" i="9"/>
  <c r="I91" i="9"/>
  <c r="J91" i="9" s="1"/>
  <c r="J80" i="9"/>
  <c r="T80" i="9"/>
  <c r="Y80" i="9"/>
  <c r="O80" i="9"/>
  <c r="J37" i="9"/>
  <c r="T37" i="9"/>
  <c r="Y37" i="9"/>
  <c r="O37" i="9"/>
  <c r="J28" i="9"/>
  <c r="T28" i="9"/>
  <c r="Y28" i="9"/>
  <c r="O28" i="9"/>
  <c r="Y44" i="9"/>
  <c r="T44" i="9"/>
  <c r="O44" i="9"/>
  <c r="J50" i="9"/>
  <c r="T50" i="9"/>
  <c r="Y50" i="9"/>
  <c r="O50" i="9"/>
  <c r="I75" i="9"/>
  <c r="J75" i="9" s="1"/>
  <c r="I31" i="9"/>
  <c r="Y27" i="9"/>
  <c r="T27" i="9"/>
  <c r="O27" i="9"/>
  <c r="T91" i="9"/>
  <c r="O91" i="9"/>
  <c r="Y91" i="9"/>
  <c r="Y87" i="9"/>
  <c r="T87" i="9"/>
  <c r="J87" i="9"/>
  <c r="O87" i="9"/>
  <c r="T78" i="9"/>
  <c r="Y78" i="9"/>
  <c r="O78" i="9"/>
  <c r="P45" i="4"/>
  <c r="Y45" i="2"/>
  <c r="AA45" i="2"/>
  <c r="AE45" i="4" s="1"/>
  <c r="Y114" i="7"/>
  <c r="AA114" i="7"/>
  <c r="AB88" i="2"/>
  <c r="AF88" i="4" s="1"/>
  <c r="X88" i="4"/>
  <c r="AA106" i="7"/>
  <c r="Y106" i="7"/>
  <c r="Y128" i="7"/>
  <c r="AA128" i="7"/>
  <c r="Y102" i="4"/>
  <c r="AC102" i="6"/>
  <c r="AG102" i="4" s="1"/>
  <c r="P21" i="4"/>
  <c r="Y21" i="2"/>
  <c r="AA21" i="2"/>
  <c r="AE21" i="4" s="1"/>
  <c r="Y80" i="6"/>
  <c r="Y70" i="4"/>
  <c r="AC70" i="2"/>
  <c r="AG70" i="4" s="1"/>
  <c r="Y121" i="4"/>
  <c r="AC121" i="6"/>
  <c r="AG121" i="4" s="1"/>
  <c r="AA63" i="6"/>
  <c r="AC17" i="5"/>
  <c r="AC125" i="5"/>
  <c r="AC66" i="7"/>
  <c r="Y52" i="7"/>
  <c r="AA7" i="2"/>
  <c r="AE7" i="4" s="1"/>
  <c r="Y86" i="6"/>
  <c r="AC106" i="5"/>
  <c r="AC94" i="6"/>
  <c r="AA96" i="6"/>
  <c r="S96" i="4"/>
  <c r="Y96" i="6"/>
  <c r="AB95" i="2"/>
  <c r="AF95" i="4" s="1"/>
  <c r="X95" i="4"/>
  <c r="AA20" i="6"/>
  <c r="AC14" i="6"/>
  <c r="AC31" i="5"/>
  <c r="P64" i="4"/>
  <c r="Y64" i="2"/>
  <c r="AA64" i="2"/>
  <c r="AE64" i="4" s="1"/>
  <c r="AA66" i="5"/>
  <c r="AB50" i="2"/>
  <c r="AF50" i="4" s="1"/>
  <c r="X50" i="4"/>
  <c r="Y23" i="5"/>
  <c r="Y60" i="4"/>
  <c r="AC60" i="2"/>
  <c r="AG60" i="4" s="1"/>
  <c r="Y7" i="7"/>
  <c r="Y93" i="2"/>
  <c r="P93" i="4"/>
  <c r="AA93" i="2"/>
  <c r="AE93" i="4" s="1"/>
  <c r="Y116" i="4"/>
  <c r="AC116" i="6"/>
  <c r="AG116" i="4" s="1"/>
  <c r="AA91" i="6"/>
  <c r="X99" i="4"/>
  <c r="AB99" i="6"/>
  <c r="AF99" i="4" s="1"/>
  <c r="R6" i="5"/>
  <c r="AB30" i="2"/>
  <c r="AF30" i="4" s="1"/>
  <c r="X30" i="4"/>
  <c r="AA50" i="7"/>
  <c r="Y50" i="7"/>
  <c r="AA48" i="5"/>
  <c r="P43" i="4"/>
  <c r="AA43" i="2"/>
  <c r="AE43" i="4" s="1"/>
  <c r="Y43" i="2"/>
  <c r="AC89" i="6"/>
  <c r="Y102" i="7"/>
  <c r="AA102" i="7"/>
  <c r="AC101" i="5"/>
  <c r="X113" i="4"/>
  <c r="AB113" i="6"/>
  <c r="AF113" i="4" s="1"/>
  <c r="Y36" i="2"/>
  <c r="AA95" i="5"/>
  <c r="AA100" i="7"/>
  <c r="Y100" i="7"/>
  <c r="AA25" i="2"/>
  <c r="AE25" i="4" s="1"/>
  <c r="P78" i="4"/>
  <c r="Y78" i="2"/>
  <c r="AA78" i="2"/>
  <c r="AE78" i="4" s="1"/>
  <c r="X107" i="4"/>
  <c r="AB107" i="6"/>
  <c r="AF107" i="4" s="1"/>
  <c r="Y16" i="7"/>
  <c r="Y56" i="6"/>
  <c r="AA56" i="6"/>
  <c r="X116" i="4"/>
  <c r="AB116" i="6"/>
  <c r="AF116" i="4" s="1"/>
  <c r="Y123" i="7"/>
  <c r="AA123" i="7"/>
  <c r="AA98" i="2"/>
  <c r="Y101" i="2"/>
  <c r="AA101" i="2"/>
  <c r="AC105" i="2"/>
  <c r="AA97" i="5"/>
  <c r="Y97" i="5"/>
  <c r="AC96" i="6"/>
  <c r="Y96" i="4"/>
  <c r="AC83" i="6"/>
  <c r="Y121" i="7"/>
  <c r="AA121" i="7"/>
  <c r="AC114" i="2"/>
  <c r="Y89" i="6"/>
  <c r="AC123" i="5"/>
  <c r="AA115" i="2"/>
  <c r="Y115" i="2"/>
  <c r="M11" i="7"/>
  <c r="AA39" i="5"/>
  <c r="AB10" i="2"/>
  <c r="AF10" i="4" s="1"/>
  <c r="X10" i="4"/>
  <c r="AC64" i="2"/>
  <c r="AG64" i="4" s="1"/>
  <c r="AC7" i="5"/>
  <c r="P35" i="4"/>
  <c r="AA35" i="2"/>
  <c r="AE35" i="4" s="1"/>
  <c r="Y35" i="2"/>
  <c r="AC111" i="2"/>
  <c r="AC78" i="2"/>
  <c r="AG78" i="4" s="1"/>
  <c r="M15" i="6"/>
  <c r="M15" i="5"/>
  <c r="M15" i="2"/>
  <c r="Q15" i="4" s="1"/>
  <c r="M15" i="7"/>
  <c r="AA80" i="6"/>
  <c r="X31" i="4"/>
  <c r="AB31" i="2"/>
  <c r="AF31" i="4" s="1"/>
  <c r="AA42" i="2"/>
  <c r="AE42" i="4" s="1"/>
  <c r="AA126" i="6"/>
  <c r="AE126" i="4" s="1"/>
  <c r="S126" i="4"/>
  <c r="Y126" i="6"/>
  <c r="AC118" i="2"/>
  <c r="AA21" i="7"/>
  <c r="Y26" i="5"/>
  <c r="AC120" i="5"/>
  <c r="AC38" i="5"/>
  <c r="AA46" i="2"/>
  <c r="AE46" i="4" s="1"/>
  <c r="AC12" i="5"/>
  <c r="AC94" i="7"/>
  <c r="AC46" i="6"/>
  <c r="AC67" i="2"/>
  <c r="AG67" i="4" s="1"/>
  <c r="Y67" i="4"/>
  <c r="Y55" i="4"/>
  <c r="AC55" i="2"/>
  <c r="AG55" i="4" s="1"/>
  <c r="AC119" i="6"/>
  <c r="AG119" i="4" s="1"/>
  <c r="Y119" i="4"/>
  <c r="Y37" i="7"/>
  <c r="Y81" i="6"/>
  <c r="AC109" i="2"/>
  <c r="AC13" i="5"/>
  <c r="AA107" i="6"/>
  <c r="AE107" i="4" s="1"/>
  <c r="Y107" i="6"/>
  <c r="S107" i="4"/>
  <c r="AC39" i="7"/>
  <c r="Y122" i="5"/>
  <c r="AA122" i="5"/>
  <c r="AA113" i="2"/>
  <c r="Y113" i="2"/>
  <c r="AA105" i="2"/>
  <c r="Y105" i="2"/>
  <c r="Y104" i="2"/>
  <c r="AA104" i="2"/>
  <c r="Y47" i="4"/>
  <c r="AC47" i="2"/>
  <c r="AG47" i="4" s="1"/>
  <c r="AC89" i="5"/>
  <c r="AA61" i="2"/>
  <c r="AE61" i="4" s="1"/>
  <c r="Y99" i="2"/>
  <c r="AA99" i="2"/>
  <c r="AB106" i="6"/>
  <c r="AF106" i="4" s="1"/>
  <c r="X106" i="4"/>
  <c r="Y22" i="2"/>
  <c r="AC48" i="2"/>
  <c r="AG48" i="4" s="1"/>
  <c r="Y48" i="4"/>
  <c r="AC12" i="7"/>
  <c r="Y9" i="6"/>
  <c r="X97" i="4"/>
  <c r="AB97" i="6"/>
  <c r="AF97" i="4" s="1"/>
  <c r="AC65" i="5"/>
  <c r="AB9" i="2"/>
  <c r="AF9" i="4" s="1"/>
  <c r="X9" i="4"/>
  <c r="AA46" i="7"/>
  <c r="Y46" i="7"/>
  <c r="Y124" i="2"/>
  <c r="AA124" i="2"/>
  <c r="W6" i="7"/>
  <c r="AC6" i="7" s="1"/>
  <c r="Y81" i="5"/>
  <c r="AA46" i="5"/>
  <c r="Y78" i="7"/>
  <c r="Y20" i="5"/>
  <c r="T6" i="5"/>
  <c r="U6" i="5"/>
  <c r="X74" i="4"/>
  <c r="AB74" i="2"/>
  <c r="AF74" i="4" s="1"/>
  <c r="O82" i="9"/>
  <c r="T82" i="9"/>
  <c r="Y82" i="9"/>
  <c r="Y26" i="6"/>
  <c r="AA26" i="6"/>
  <c r="X47" i="4"/>
  <c r="AB47" i="2"/>
  <c r="AF47" i="4" s="1"/>
  <c r="AC64" i="6"/>
  <c r="AC127" i="5"/>
  <c r="Y111" i="6"/>
  <c r="S111" i="4"/>
  <c r="AA111" i="6"/>
  <c r="AE111" i="4" s="1"/>
  <c r="Y86" i="4"/>
  <c r="AC86" i="2"/>
  <c r="AG86" i="4" s="1"/>
  <c r="X84" i="4"/>
  <c r="AB84" i="2"/>
  <c r="AF84" i="4" s="1"/>
  <c r="Y59" i="4"/>
  <c r="AC59" i="2"/>
  <c r="AG59" i="4" s="1"/>
  <c r="AB103" i="6"/>
  <c r="AF103" i="4" s="1"/>
  <c r="X103" i="4"/>
  <c r="AC61" i="7"/>
  <c r="Y116" i="7"/>
  <c r="AA116" i="7"/>
  <c r="X115" i="4"/>
  <c r="AB115" i="6"/>
  <c r="AF115" i="4" s="1"/>
  <c r="P6" i="6"/>
  <c r="O6" i="6"/>
  <c r="Q6" i="6"/>
  <c r="C9" i="9"/>
  <c r="T9" i="9" s="1"/>
  <c r="S6" i="6"/>
  <c r="AB6" i="6" s="1"/>
  <c r="S6" i="7"/>
  <c r="AB6" i="7" s="1"/>
  <c r="S6" i="2"/>
  <c r="S6" i="5"/>
  <c r="AB6" i="5" s="1"/>
  <c r="Y36" i="9"/>
  <c r="J36" i="9"/>
  <c r="T36" i="9"/>
  <c r="O36" i="9"/>
  <c r="J63" i="9"/>
  <c r="O63" i="9"/>
  <c r="Y63" i="9"/>
  <c r="T63" i="9"/>
  <c r="J3" i="9"/>
  <c r="Y3" i="9"/>
  <c r="T3" i="9"/>
  <c r="O3" i="9"/>
  <c r="Y59" i="9"/>
  <c r="T59" i="9"/>
  <c r="O59" i="9"/>
  <c r="Y49" i="9"/>
  <c r="T49" i="9"/>
  <c r="O49" i="9"/>
  <c r="J49" i="9"/>
  <c r="J8" i="9"/>
  <c r="O8" i="9"/>
  <c r="T8" i="9"/>
  <c r="Y8" i="9"/>
  <c r="T25" i="9"/>
  <c r="J25" i="9"/>
  <c r="O25" i="9"/>
  <c r="Y25" i="9"/>
  <c r="O90" i="9"/>
  <c r="Y90" i="9"/>
  <c r="T90" i="9"/>
  <c r="T54" i="9"/>
  <c r="J54" i="9"/>
  <c r="O54" i="9"/>
  <c r="Y54" i="9"/>
  <c r="T52" i="9"/>
  <c r="Y52" i="9"/>
  <c r="O52" i="9"/>
  <c r="M17" i="7"/>
  <c r="M17" i="6"/>
  <c r="S106" i="4"/>
  <c r="AA106" i="6"/>
  <c r="AE106" i="4" s="1"/>
  <c r="Y106" i="6"/>
  <c r="AC73" i="5"/>
  <c r="AA128" i="5"/>
  <c r="Y128" i="5"/>
  <c r="X23" i="4"/>
  <c r="AB23" i="2"/>
  <c r="AF23" i="4" s="1"/>
  <c r="AC102" i="5"/>
  <c r="AA80" i="5"/>
  <c r="Y80" i="5"/>
  <c r="AC48" i="7"/>
  <c r="Y93" i="4"/>
  <c r="AC93" i="2"/>
  <c r="AG93" i="4" s="1"/>
  <c r="Y47" i="6"/>
  <c r="AC125" i="6"/>
  <c r="AG125" i="4" s="1"/>
  <c r="Y125" i="4"/>
  <c r="Y7" i="2"/>
  <c r="R6" i="7"/>
  <c r="AA79" i="6"/>
  <c r="Y78" i="6"/>
  <c r="AA96" i="2"/>
  <c r="Y96" i="2"/>
  <c r="X124" i="4"/>
  <c r="AB124" i="6"/>
  <c r="AF124" i="4" s="1"/>
  <c r="AC27" i="7"/>
  <c r="Y17" i="4"/>
  <c r="AC17" i="2"/>
  <c r="AG17" i="4" s="1"/>
  <c r="Y88" i="2"/>
  <c r="P88" i="4"/>
  <c r="AA88" i="2"/>
  <c r="AE88" i="4" s="1"/>
  <c r="X83" i="4"/>
  <c r="AB83" i="2"/>
  <c r="AF83" i="4" s="1"/>
  <c r="AC43" i="6"/>
  <c r="P34" i="4"/>
  <c r="AA34" i="2"/>
  <c r="AE34" i="4" s="1"/>
  <c r="Y34" i="2"/>
  <c r="AC41" i="4"/>
  <c r="E41" i="4"/>
  <c r="C41" i="4" s="1"/>
  <c r="AC79" i="7"/>
  <c r="AC87" i="6"/>
  <c r="L13" i="2"/>
  <c r="L13" i="7"/>
  <c r="Y13" i="7" s="1"/>
  <c r="L13" i="5"/>
  <c r="AC26" i="6"/>
  <c r="Y23" i="6"/>
  <c r="AC124" i="7"/>
  <c r="P95" i="4"/>
  <c r="AA95" i="2"/>
  <c r="AE95" i="4" s="1"/>
  <c r="Y95" i="2"/>
  <c r="AC40" i="7"/>
  <c r="AA125" i="7"/>
  <c r="Y125" i="7"/>
  <c r="O6" i="5"/>
  <c r="Y84" i="6"/>
  <c r="AC128" i="2"/>
  <c r="AA102" i="2"/>
  <c r="Y102" i="2"/>
  <c r="Y49" i="7"/>
  <c r="AA100" i="2"/>
  <c r="Y100" i="2"/>
  <c r="P73" i="4"/>
  <c r="AA73" i="2"/>
  <c r="AE73" i="4" s="1"/>
  <c r="Y73" i="2"/>
  <c r="AC95" i="2"/>
  <c r="AG95" i="4" s="1"/>
  <c r="Y95" i="4"/>
  <c r="AA37" i="2"/>
  <c r="AE37" i="4" s="1"/>
  <c r="AA67" i="5"/>
  <c r="AC72" i="5"/>
  <c r="Y64" i="5"/>
  <c r="Y88" i="6"/>
  <c r="AC77" i="2"/>
  <c r="AG77" i="4" s="1"/>
  <c r="Y93" i="7"/>
  <c r="S98" i="4"/>
  <c r="AA98" i="6"/>
  <c r="AC7" i="6"/>
  <c r="X109" i="4"/>
  <c r="AB109" i="6"/>
  <c r="AF109" i="4" s="1"/>
  <c r="AA101" i="5"/>
  <c r="Y101" i="5"/>
  <c r="Y58" i="5"/>
  <c r="Y105" i="4"/>
  <c r="AC105" i="6"/>
  <c r="AG105" i="4" s="1"/>
  <c r="AA97" i="6"/>
  <c r="S97" i="4"/>
  <c r="Y97" i="6"/>
  <c r="AC96" i="5"/>
  <c r="AC85" i="6"/>
  <c r="Y82" i="6"/>
  <c r="AC18" i="2"/>
  <c r="AG18" i="4" s="1"/>
  <c r="U95" i="4"/>
  <c r="AC99" i="2"/>
  <c r="AC70" i="6"/>
  <c r="X73" i="4"/>
  <c r="AB73" i="2"/>
  <c r="AF73" i="4" s="1"/>
  <c r="AC16" i="6"/>
  <c r="AC114" i="6"/>
  <c r="AG114" i="4" s="1"/>
  <c r="Y114" i="4"/>
  <c r="AC123" i="6"/>
  <c r="AG123" i="4" s="1"/>
  <c r="Y123" i="4"/>
  <c r="Y115" i="7"/>
  <c r="AA115" i="7"/>
  <c r="AA45" i="5"/>
  <c r="Y45" i="5"/>
  <c r="AA24" i="7"/>
  <c r="AC111" i="5"/>
  <c r="L15" i="6"/>
  <c r="L15" i="5"/>
  <c r="L15" i="2"/>
  <c r="L15" i="7"/>
  <c r="AA43" i="7"/>
  <c r="Y42" i="2"/>
  <c r="Y126" i="2"/>
  <c r="AA126" i="2"/>
  <c r="AC118" i="6"/>
  <c r="AG118" i="4" s="1"/>
  <c r="Y118" i="4"/>
  <c r="AA21" i="6"/>
  <c r="AC80" i="2"/>
  <c r="AG80" i="4" s="1"/>
  <c r="Y80" i="4"/>
  <c r="AA78" i="5"/>
  <c r="AC68" i="2"/>
  <c r="AG68" i="4" s="1"/>
  <c r="Y68" i="4"/>
  <c r="AC51" i="5"/>
  <c r="P8" i="4"/>
  <c r="Y8" i="2"/>
  <c r="AA8" i="2"/>
  <c r="AE8" i="4" s="1"/>
  <c r="AC7" i="2"/>
  <c r="AG7" i="4" s="1"/>
  <c r="Y103" i="5"/>
  <c r="AA103" i="5"/>
  <c r="Y76" i="4"/>
  <c r="AC76" i="2"/>
  <c r="AG76" i="4" s="1"/>
  <c r="Y107" i="5"/>
  <c r="AA107" i="5"/>
  <c r="AC50" i="5"/>
  <c r="Y113" i="7"/>
  <c r="AA113" i="7"/>
  <c r="AA105" i="5"/>
  <c r="Y105" i="5"/>
  <c r="Y65" i="7"/>
  <c r="AA104" i="5"/>
  <c r="Y104" i="5"/>
  <c r="Y92" i="7"/>
  <c r="AC30" i="5"/>
  <c r="AC20" i="2"/>
  <c r="AG20" i="4" s="1"/>
  <c r="P27" i="4"/>
  <c r="AA27" i="2"/>
  <c r="AE27" i="4" s="1"/>
  <c r="X14" i="4"/>
  <c r="AB14" i="2"/>
  <c r="AF14" i="4" s="1"/>
  <c r="Y61" i="2"/>
  <c r="Y127" i="5"/>
  <c r="AA127" i="5"/>
  <c r="X125" i="4"/>
  <c r="AB125" i="6"/>
  <c r="AF125" i="4" s="1"/>
  <c r="AA35" i="6"/>
  <c r="Y35" i="6"/>
  <c r="AC90" i="5"/>
  <c r="AC90" i="6"/>
  <c r="AA86" i="5"/>
  <c r="AA22" i="2"/>
  <c r="AE22" i="4" s="1"/>
  <c r="AA29" i="6"/>
  <c r="X16" i="4"/>
  <c r="AB16" i="2"/>
  <c r="AF16" i="4" s="1"/>
  <c r="X119" i="4"/>
  <c r="AB119" i="6"/>
  <c r="AF119" i="4" s="1"/>
  <c r="AC112" i="5"/>
  <c r="AA47" i="5"/>
  <c r="Y47" i="5"/>
  <c r="AA51" i="6"/>
  <c r="AC16" i="7"/>
  <c r="AA124" i="7"/>
  <c r="Y124" i="7"/>
  <c r="N6" i="6"/>
  <c r="AA38" i="7"/>
  <c r="O16" i="9"/>
  <c r="T16" i="9"/>
  <c r="Y16" i="9"/>
  <c r="J16" i="9"/>
  <c r="AA108" i="7"/>
  <c r="Y108" i="7"/>
  <c r="AB64" i="2"/>
  <c r="AF64" i="4" s="1"/>
  <c r="X64" i="4"/>
  <c r="F77" i="4"/>
  <c r="AA116" i="6"/>
  <c r="AE116" i="4" s="1"/>
  <c r="Y116" i="6"/>
  <c r="S116" i="4"/>
  <c r="Y41" i="9"/>
  <c r="J41" i="9"/>
  <c r="O41" i="9"/>
  <c r="T41" i="9"/>
  <c r="X6" i="2"/>
  <c r="R6" i="4" s="1"/>
  <c r="T13" i="9"/>
  <c r="J13" i="9"/>
  <c r="O13" i="9"/>
  <c r="Y13" i="9"/>
  <c r="T48" i="9"/>
  <c r="Y48" i="9"/>
  <c r="J48" i="9"/>
  <c r="O48" i="9"/>
  <c r="Y56" i="9"/>
  <c r="O56" i="9"/>
  <c r="T56" i="9"/>
  <c r="T64" i="9"/>
  <c r="J64" i="9"/>
  <c r="O64" i="9"/>
  <c r="Y64" i="9"/>
  <c r="T20" i="9"/>
  <c r="Y20" i="9"/>
  <c r="J20" i="9"/>
  <c r="O20" i="9"/>
  <c r="I55" i="9"/>
  <c r="J55" i="9" s="1"/>
  <c r="T7" i="9"/>
  <c r="J7" i="9"/>
  <c r="Y7" i="9"/>
  <c r="O7" i="9"/>
  <c r="P26" i="4"/>
  <c r="AA26" i="2"/>
  <c r="AE26" i="4" s="1"/>
  <c r="Y26" i="2"/>
  <c r="L17" i="2"/>
  <c r="L17" i="7"/>
  <c r="AA106" i="5"/>
  <c r="Y106" i="5"/>
  <c r="Y7" i="5"/>
  <c r="AA7" i="5"/>
  <c r="Y128" i="6"/>
  <c r="AA128" i="6"/>
  <c r="AE128" i="4" s="1"/>
  <c r="S128" i="4"/>
  <c r="AA91" i="2"/>
  <c r="AE91" i="4" s="1"/>
  <c r="P91" i="4"/>
  <c r="P58" i="4"/>
  <c r="AA58" i="2"/>
  <c r="AE58" i="4" s="1"/>
  <c r="Y58" i="2"/>
  <c r="AA108" i="2"/>
  <c r="Y108" i="2"/>
  <c r="Y122" i="4"/>
  <c r="AC122" i="6"/>
  <c r="AG122" i="4" s="1"/>
  <c r="AB38" i="2"/>
  <c r="AF38" i="4" s="1"/>
  <c r="X38" i="4"/>
  <c r="E28" i="4"/>
  <c r="C28" i="4" s="1"/>
  <c r="AC28" i="4"/>
  <c r="X81" i="4"/>
  <c r="AB81" i="2"/>
  <c r="AF81" i="4" s="1"/>
  <c r="X79" i="4"/>
  <c r="AB79" i="2"/>
  <c r="AF79" i="4" s="1"/>
  <c r="Y90" i="4"/>
  <c r="AC90" i="2"/>
  <c r="AG90" i="4" s="1"/>
  <c r="X65" i="4"/>
  <c r="AB65" i="2"/>
  <c r="AF65" i="4" s="1"/>
  <c r="AA96" i="7"/>
  <c r="Y96" i="7"/>
  <c r="AB89" i="2"/>
  <c r="AF89" i="4" s="1"/>
  <c r="X89" i="4"/>
  <c r="AC82" i="6"/>
  <c r="AA50" i="5"/>
  <c r="Y23" i="7"/>
  <c r="AA23" i="7"/>
  <c r="M13" i="2"/>
  <c r="Q13" i="4" s="1"/>
  <c r="M13" i="6"/>
  <c r="Y44" i="5"/>
  <c r="AC50" i="2"/>
  <c r="AG50" i="4" s="1"/>
  <c r="Y50" i="4"/>
  <c r="P79" i="4"/>
  <c r="Y79" i="2"/>
  <c r="AA79" i="2"/>
  <c r="AE79" i="4" s="1"/>
  <c r="AA95" i="7"/>
  <c r="AC104" i="6"/>
  <c r="AG104" i="4" s="1"/>
  <c r="Y104" i="4"/>
  <c r="Y85" i="7"/>
  <c r="AC124" i="5"/>
  <c r="Y82" i="4"/>
  <c r="AC82" i="2"/>
  <c r="AG82" i="4" s="1"/>
  <c r="AA32" i="2"/>
  <c r="AE32" i="4" s="1"/>
  <c r="P63" i="4"/>
  <c r="AA63" i="2"/>
  <c r="AE63" i="4" s="1"/>
  <c r="AA125" i="6"/>
  <c r="AE125" i="4" s="1"/>
  <c r="S125" i="4"/>
  <c r="Y125" i="6"/>
  <c r="AA19" i="5"/>
  <c r="Y19" i="5"/>
  <c r="P6" i="5"/>
  <c r="Y16" i="2"/>
  <c r="Y128" i="4"/>
  <c r="AC128" i="6"/>
  <c r="AG128" i="4" s="1"/>
  <c r="Y102" i="5"/>
  <c r="AA102" i="5"/>
  <c r="AC69" i="6"/>
  <c r="AA36" i="2"/>
  <c r="AE36" i="4" s="1"/>
  <c r="AA100" i="6"/>
  <c r="AE100" i="4" s="1"/>
  <c r="S100" i="4"/>
  <c r="Y100" i="6"/>
  <c r="AB43" i="2"/>
  <c r="AF43" i="4" s="1"/>
  <c r="X43" i="4"/>
  <c r="AC92" i="2"/>
  <c r="AG92" i="4" s="1"/>
  <c r="Y92" i="4"/>
  <c r="Y66" i="4"/>
  <c r="AC66" i="2"/>
  <c r="AG66" i="4" s="1"/>
  <c r="Y57" i="7"/>
  <c r="AC95" i="5"/>
  <c r="AB18" i="2"/>
  <c r="AF18" i="4" s="1"/>
  <c r="X18" i="4"/>
  <c r="AC32" i="6"/>
  <c r="AA109" i="7"/>
  <c r="Y109" i="7"/>
  <c r="Y35" i="4"/>
  <c r="AC35" i="2"/>
  <c r="AG35" i="4" s="1"/>
  <c r="AC105" i="5"/>
  <c r="AA97" i="2"/>
  <c r="Y97" i="2"/>
  <c r="L17" i="6"/>
  <c r="AC96" i="2"/>
  <c r="Y94" i="6"/>
  <c r="AC99" i="7"/>
  <c r="M14" i="2"/>
  <c r="Q14" i="4" s="1"/>
  <c r="M14" i="5"/>
  <c r="Y14" i="5" s="1"/>
  <c r="M14" i="7"/>
  <c r="AA14" i="7" s="1"/>
  <c r="L12" i="6"/>
  <c r="L12" i="2"/>
  <c r="L12" i="5"/>
  <c r="L12" i="7"/>
  <c r="AC43" i="5"/>
  <c r="AC114" i="5"/>
  <c r="Y49" i="2"/>
  <c r="AC29" i="5"/>
  <c r="AC123" i="2"/>
  <c r="AA115" i="5"/>
  <c r="Y115" i="5"/>
  <c r="AB39" i="2"/>
  <c r="AF39" i="4" s="1"/>
  <c r="X39" i="4"/>
  <c r="AA81" i="2"/>
  <c r="AE81" i="4" s="1"/>
  <c r="P81" i="4"/>
  <c r="Y81" i="2"/>
  <c r="AC41" i="2"/>
  <c r="AG41" i="4" s="1"/>
  <c r="AC24" i="2"/>
  <c r="AG24" i="4" s="1"/>
  <c r="Y84" i="7"/>
  <c r="Y25" i="5"/>
  <c r="AB126" i="6"/>
  <c r="AF126" i="4" s="1"/>
  <c r="X126" i="4"/>
  <c r="P94" i="4"/>
  <c r="Y94" i="2"/>
  <c r="AA94" i="2"/>
  <c r="AE94" i="4" s="1"/>
  <c r="AC39" i="2"/>
  <c r="AG39" i="4" s="1"/>
  <c r="Y65" i="6"/>
  <c r="AB52" i="2"/>
  <c r="AF52" i="4" s="1"/>
  <c r="X52" i="4"/>
  <c r="P57" i="4"/>
  <c r="AA57" i="2"/>
  <c r="AE57" i="4" s="1"/>
  <c r="Y57" i="2"/>
  <c r="Y73" i="5"/>
  <c r="S103" i="4"/>
  <c r="AA103" i="6"/>
  <c r="AE103" i="4" s="1"/>
  <c r="Y103" i="6"/>
  <c r="AC115" i="7"/>
  <c r="AC83" i="7"/>
  <c r="Y113" i="6"/>
  <c r="S113" i="4"/>
  <c r="AA113" i="6"/>
  <c r="AE113" i="4" s="1"/>
  <c r="AA105" i="6"/>
  <c r="AE105" i="4" s="1"/>
  <c r="Y105" i="6"/>
  <c r="S105" i="4"/>
  <c r="AA104" i="7"/>
  <c r="Y104" i="7"/>
  <c r="AB111" i="6"/>
  <c r="AF111" i="4" s="1"/>
  <c r="X111" i="4"/>
  <c r="Y28" i="6"/>
  <c r="AC20" i="7"/>
  <c r="AA44" i="2"/>
  <c r="AE44" i="4" s="1"/>
  <c r="Y30" i="2"/>
  <c r="AA69" i="2"/>
  <c r="AE69" i="4" s="1"/>
  <c r="P69" i="4"/>
  <c r="Y56" i="5"/>
  <c r="AA127" i="6"/>
  <c r="AE127" i="4" s="1"/>
  <c r="S127" i="4"/>
  <c r="Y127" i="6"/>
  <c r="AB42" i="2"/>
  <c r="AF42" i="4" s="1"/>
  <c r="X42" i="4"/>
  <c r="AA40" i="2"/>
  <c r="AE40" i="4" s="1"/>
  <c r="X37" i="4"/>
  <c r="AB37" i="2"/>
  <c r="AF37" i="4" s="1"/>
  <c r="Y51" i="4"/>
  <c r="AC51" i="2"/>
  <c r="AG51" i="4" s="1"/>
  <c r="Y120" i="6"/>
  <c r="AA120" i="6"/>
  <c r="AE120" i="4" s="1"/>
  <c r="S120" i="4"/>
  <c r="X60" i="4"/>
  <c r="AB60" i="2"/>
  <c r="AF60" i="4" s="1"/>
  <c r="Y117" i="5"/>
  <c r="AA117" i="5"/>
  <c r="Y30" i="7"/>
  <c r="AC34" i="7"/>
  <c r="Y112" i="4"/>
  <c r="AC112" i="6"/>
  <c r="AG112" i="4" s="1"/>
  <c r="AA49" i="5"/>
  <c r="Y49" i="5"/>
  <c r="Y110" i="7"/>
  <c r="AA110" i="7"/>
  <c r="Y84" i="5"/>
  <c r="AC89" i="7"/>
  <c r="Y74" i="7"/>
  <c r="Y80" i="7"/>
  <c r="Y67" i="5"/>
  <c r="E38" i="4"/>
  <c r="C38" i="4" s="1"/>
  <c r="AC38" i="4"/>
  <c r="Y9" i="9"/>
  <c r="O9" i="9"/>
  <c r="O33" i="9"/>
  <c r="T33" i="9"/>
  <c r="Y33" i="9"/>
  <c r="Y31" i="9"/>
  <c r="T31" i="9"/>
  <c r="J31" i="9"/>
  <c r="O31" i="9"/>
  <c r="O23" i="9"/>
  <c r="Y23" i="9"/>
  <c r="T23" i="9"/>
  <c r="AB101" i="6"/>
  <c r="AF101" i="4" s="1"/>
  <c r="X101" i="4"/>
  <c r="Y13" i="4"/>
  <c r="AC13" i="2"/>
  <c r="AG13" i="4" s="1"/>
  <c r="Y75" i="9"/>
  <c r="O75" i="9"/>
  <c r="T75" i="9"/>
  <c r="T84" i="9"/>
  <c r="Y84" i="9"/>
  <c r="O84" i="9"/>
  <c r="T68" i="9"/>
  <c r="O68" i="9"/>
  <c r="Y68" i="9"/>
  <c r="J68" i="9"/>
  <c r="Y65" i="2"/>
  <c r="Y86" i="2"/>
  <c r="P86" i="4"/>
  <c r="AA86" i="2"/>
  <c r="AE86" i="4" s="1"/>
  <c r="Y116" i="2"/>
  <c r="AA116" i="2"/>
  <c r="Y39" i="6"/>
  <c r="AA39" i="6"/>
  <c r="Y22" i="7"/>
  <c r="AA22" i="7"/>
  <c r="Y6" i="4"/>
  <c r="AC6" i="2"/>
  <c r="AG6" i="4" s="1"/>
  <c r="Y22" i="9"/>
  <c r="O22" i="9"/>
  <c r="T22" i="9"/>
  <c r="J22" i="9"/>
  <c r="Y77" i="9"/>
  <c r="J77" i="9"/>
  <c r="T77" i="9"/>
  <c r="O77" i="9"/>
  <c r="Y74" i="9"/>
  <c r="T74" i="9"/>
  <c r="O74" i="9"/>
  <c r="Y24" i="9"/>
  <c r="J24" i="9"/>
  <c r="O24" i="9"/>
  <c r="T24" i="9"/>
  <c r="J70" i="9"/>
  <c r="T70" i="9"/>
  <c r="Y70" i="9"/>
  <c r="O70" i="9"/>
  <c r="J88" i="9"/>
  <c r="T88" i="9"/>
  <c r="Y88" i="9"/>
  <c r="O88" i="9"/>
  <c r="T83" i="9"/>
  <c r="Y83" i="9"/>
  <c r="O83" i="9"/>
  <c r="T34" i="9"/>
  <c r="O34" i="9"/>
  <c r="J34" i="9"/>
  <c r="Y34" i="9"/>
  <c r="Y89" i="9"/>
  <c r="J89" i="9"/>
  <c r="T89" i="9"/>
  <c r="O89" i="9"/>
  <c r="I11" i="9"/>
  <c r="J11" i="9" s="1"/>
  <c r="Y46" i="9"/>
  <c r="T46" i="9"/>
  <c r="O46" i="9"/>
  <c r="J46" i="9"/>
  <c r="I82" i="9"/>
  <c r="J82" i="9" s="1"/>
  <c r="O17" i="9"/>
  <c r="T17" i="9"/>
  <c r="J17" i="9"/>
  <c r="Y17" i="9"/>
  <c r="J42" i="9"/>
  <c r="Y42" i="9"/>
  <c r="O42" i="9"/>
  <c r="T42" i="9"/>
  <c r="I74" i="9"/>
  <c r="J74" i="9" s="1"/>
  <c r="T95" i="9"/>
  <c r="Y95" i="9"/>
  <c r="O95" i="9"/>
  <c r="Y26" i="9"/>
  <c r="O26" i="9"/>
  <c r="J26" i="9"/>
  <c r="T26" i="9"/>
  <c r="T12" i="9"/>
  <c r="J12" i="9"/>
  <c r="Y12" i="9"/>
  <c r="O12" i="9"/>
  <c r="P6" i="4"/>
  <c r="AC33" i="5"/>
  <c r="AA54" i="5"/>
  <c r="Y54" i="5"/>
  <c r="AA106" i="2"/>
  <c r="Y106" i="2"/>
  <c r="AC49" i="5"/>
  <c r="AC102" i="7"/>
  <c r="Y108" i="6"/>
  <c r="AA108" i="6"/>
  <c r="AE108" i="4" s="1"/>
  <c r="S108" i="4"/>
  <c r="AC113" i="6"/>
  <c r="AG113" i="4" s="1"/>
  <c r="Y113" i="4"/>
  <c r="AC34" i="6"/>
  <c r="AA91" i="5"/>
  <c r="Q6" i="2"/>
  <c r="V6" i="4" s="1"/>
  <c r="M17" i="2"/>
  <c r="Q17" i="4" s="1"/>
  <c r="Y57" i="4"/>
  <c r="AC57" i="2"/>
  <c r="AG57" i="4" s="1"/>
  <c r="Y36" i="5"/>
  <c r="Y31" i="2"/>
  <c r="E19" i="4"/>
  <c r="C19" i="4" s="1"/>
  <c r="AC19" i="4"/>
  <c r="AC56" i="7"/>
  <c r="AC46" i="7"/>
  <c r="Y34" i="5"/>
  <c r="AA34" i="5"/>
  <c r="AC31" i="7"/>
  <c r="AC126" i="7"/>
  <c r="P18" i="4"/>
  <c r="AA18" i="2"/>
  <c r="AE18" i="4" s="1"/>
  <c r="Y18" i="2"/>
  <c r="X28" i="4"/>
  <c r="AB28" i="2"/>
  <c r="AF28" i="4" s="1"/>
  <c r="F52" i="4"/>
  <c r="AC28" i="5"/>
  <c r="Y83" i="5"/>
  <c r="AC23" i="7"/>
  <c r="AC36" i="7"/>
  <c r="Y108" i="4"/>
  <c r="AC108" i="6"/>
  <c r="AG108" i="4" s="1"/>
  <c r="AC104" i="7"/>
  <c r="Y124" i="4"/>
  <c r="AC124" i="6"/>
  <c r="AG124" i="4" s="1"/>
  <c r="Y111" i="2"/>
  <c r="AA111" i="2"/>
  <c r="Y32" i="2"/>
  <c r="Y125" i="5"/>
  <c r="AA125" i="5"/>
  <c r="AA75" i="2"/>
  <c r="AE75" i="4" s="1"/>
  <c r="Y75" i="2"/>
  <c r="P75" i="4"/>
  <c r="AB46" i="2"/>
  <c r="AF46" i="4" s="1"/>
  <c r="X46" i="4"/>
  <c r="AA16" i="2"/>
  <c r="AE16" i="4" s="1"/>
  <c r="AC128" i="7"/>
  <c r="P82" i="4"/>
  <c r="Y82" i="2"/>
  <c r="AA82" i="2"/>
  <c r="AE82" i="4" s="1"/>
  <c r="Y65" i="5"/>
  <c r="AC14" i="7"/>
  <c r="AC84" i="5"/>
  <c r="AC42" i="6"/>
  <c r="Y37" i="2"/>
  <c r="AA63" i="5"/>
  <c r="Y89" i="2"/>
  <c r="P89" i="4"/>
  <c r="AA89" i="2"/>
  <c r="AE89" i="4" s="1"/>
  <c r="AC84" i="6"/>
  <c r="Y22" i="4"/>
  <c r="AC22" i="2"/>
  <c r="AG22" i="4" s="1"/>
  <c r="AB112" i="6"/>
  <c r="AF112" i="4" s="1"/>
  <c r="X112" i="4"/>
  <c r="Y109" i="2"/>
  <c r="AA109" i="2"/>
  <c r="AC105" i="7"/>
  <c r="AA97" i="7"/>
  <c r="Y97" i="7"/>
  <c r="AC96" i="7"/>
  <c r="AC30" i="2"/>
  <c r="AG30" i="4" s="1"/>
  <c r="P80" i="4"/>
  <c r="AA80" i="2"/>
  <c r="AE80" i="4" s="1"/>
  <c r="Y80" i="2"/>
  <c r="Y60" i="2"/>
  <c r="AC99" i="5"/>
  <c r="P14" i="4"/>
  <c r="AA118" i="5"/>
  <c r="Y118" i="5"/>
  <c r="AC71" i="5"/>
  <c r="AA49" i="2"/>
  <c r="AE49" i="4" s="1"/>
  <c r="AA70" i="2"/>
  <c r="AE70" i="4" s="1"/>
  <c r="P70" i="4"/>
  <c r="AA74" i="5"/>
  <c r="Y74" i="5"/>
  <c r="AA87" i="2"/>
  <c r="AE87" i="4" s="1"/>
  <c r="Y87" i="2"/>
  <c r="P87" i="4"/>
  <c r="AC15" i="7"/>
  <c r="AC38" i="2"/>
  <c r="AG38" i="4" s="1"/>
  <c r="Y38" i="4"/>
  <c r="AC72" i="2"/>
  <c r="AG72" i="4" s="1"/>
  <c r="Y72" i="4"/>
  <c r="X44" i="4"/>
  <c r="AB44" i="2"/>
  <c r="AF44" i="4" s="1"/>
  <c r="Y33" i="7"/>
  <c r="Y77" i="6"/>
  <c r="AA75" i="5"/>
  <c r="AB87" i="2"/>
  <c r="AF87" i="4" s="1"/>
  <c r="X87" i="4"/>
  <c r="AA103" i="7"/>
  <c r="Y103" i="7"/>
  <c r="Y61" i="5"/>
  <c r="L13" i="6"/>
  <c r="AC115" i="5"/>
  <c r="Y44" i="2"/>
  <c r="AA30" i="2"/>
  <c r="AE30" i="4" s="1"/>
  <c r="Y20" i="7"/>
  <c r="AC11" i="6"/>
  <c r="AC34" i="2"/>
  <c r="AG34" i="4" s="1"/>
  <c r="Y127" i="7"/>
  <c r="AA127" i="7"/>
  <c r="Y77" i="7"/>
  <c r="AC18" i="7"/>
  <c r="Y120" i="2"/>
  <c r="AA120" i="2"/>
  <c r="Y34" i="6"/>
  <c r="AC52" i="6"/>
  <c r="AA117" i="6"/>
  <c r="AE117" i="4" s="1"/>
  <c r="Y117" i="6"/>
  <c r="S117" i="4"/>
  <c r="AC112" i="2"/>
  <c r="Y68" i="5"/>
  <c r="Y110" i="2"/>
  <c r="AA110" i="2"/>
  <c r="Y71" i="7"/>
  <c r="Y42" i="5"/>
  <c r="Y21" i="5"/>
  <c r="Y40" i="9"/>
  <c r="O40" i="9"/>
  <c r="T40" i="9"/>
  <c r="J40" i="9"/>
  <c r="O21" i="9"/>
  <c r="T21" i="9"/>
  <c r="Y21" i="9"/>
  <c r="AC110" i="6"/>
  <c r="AG110" i="4" s="1"/>
  <c r="Y110" i="4"/>
  <c r="P53" i="4"/>
  <c r="AA53" i="2"/>
  <c r="AE53" i="4" s="1"/>
  <c r="Y53" i="2"/>
  <c r="Y79" i="4"/>
  <c r="AC79" i="2"/>
  <c r="AG79" i="4" s="1"/>
  <c r="AA109" i="5"/>
  <c r="Y109" i="5"/>
  <c r="X110" i="4"/>
  <c r="AB110" i="6"/>
  <c r="AF110" i="4" s="1"/>
  <c r="X127" i="4"/>
  <c r="AB127" i="6"/>
  <c r="AF127" i="4" s="1"/>
  <c r="X20" i="4"/>
  <c r="AB20" i="2"/>
  <c r="AF20" i="4" s="1"/>
  <c r="AB34" i="2"/>
  <c r="AF34" i="4" s="1"/>
  <c r="X34" i="4"/>
  <c r="P72" i="4"/>
  <c r="Y72" i="2"/>
  <c r="AA72" i="2"/>
  <c r="AE72" i="4" s="1"/>
  <c r="Y99" i="4"/>
  <c r="AC99" i="6"/>
  <c r="AG99" i="4" s="1"/>
  <c r="AA19" i="7"/>
  <c r="Y19" i="7"/>
  <c r="AA118" i="6"/>
  <c r="AE118" i="4" s="1"/>
  <c r="S118" i="4"/>
  <c r="Y118" i="6"/>
  <c r="AC117" i="5"/>
  <c r="X53" i="4"/>
  <c r="AB53" i="2"/>
  <c r="AF53" i="4" s="1"/>
  <c r="Y9" i="2"/>
  <c r="AB51" i="2"/>
  <c r="AF51" i="4" s="1"/>
  <c r="X51" i="4"/>
  <c r="X105" i="4"/>
  <c r="AB105" i="6"/>
  <c r="AF105" i="4" s="1"/>
  <c r="AA72" i="5"/>
  <c r="Y72" i="5"/>
  <c r="Y91" i="4"/>
  <c r="AC91" i="2"/>
  <c r="AG91" i="4" s="1"/>
  <c r="X33" i="4"/>
  <c r="AB33" i="2"/>
  <c r="AF33" i="4" s="1"/>
  <c r="AC11" i="5"/>
  <c r="X41" i="4"/>
  <c r="AB41" i="2"/>
  <c r="AF41" i="4" s="1"/>
  <c r="Y38" i="6"/>
  <c r="AB94" i="2"/>
  <c r="AF94" i="4" s="1"/>
  <c r="X94" i="4"/>
  <c r="AA103" i="2"/>
  <c r="Y103" i="2"/>
  <c r="AC115" i="2"/>
  <c r="AC56" i="2"/>
  <c r="AG56" i="4" s="1"/>
  <c r="X61" i="4"/>
  <c r="AB61" i="2"/>
  <c r="AF61" i="4" s="1"/>
  <c r="AB11" i="2"/>
  <c r="AF11" i="4" s="1"/>
  <c r="X11" i="4"/>
  <c r="AA127" i="2"/>
  <c r="Y127" i="2"/>
  <c r="AC25" i="2"/>
  <c r="AG25" i="4" s="1"/>
  <c r="AC36" i="2"/>
  <c r="AG36" i="4" s="1"/>
  <c r="Y36" i="4"/>
  <c r="AA41" i="5"/>
  <c r="AA120" i="5"/>
  <c r="Y120" i="5"/>
  <c r="Y22" i="5"/>
  <c r="Y30" i="5"/>
  <c r="AA30" i="5"/>
  <c r="AA7" i="7"/>
  <c r="AA119" i="7"/>
  <c r="Y119" i="7"/>
  <c r="Y117" i="2"/>
  <c r="AA117" i="2"/>
  <c r="Y52" i="6"/>
  <c r="AC98" i="6"/>
  <c r="Y98" i="4"/>
  <c r="AC112" i="7"/>
  <c r="AC97" i="7"/>
  <c r="AA110" i="6"/>
  <c r="AE110" i="4" s="1"/>
  <c r="Y110" i="6"/>
  <c r="S110" i="4"/>
  <c r="AC73" i="7"/>
  <c r="Y51" i="7"/>
  <c r="Y9" i="7"/>
  <c r="AA32" i="7"/>
  <c r="F85" i="4"/>
  <c r="Y81" i="9"/>
  <c r="J81" i="9"/>
  <c r="T81" i="9"/>
  <c r="O81" i="9"/>
  <c r="I78" i="9"/>
  <c r="J78" i="9" s="1"/>
  <c r="I29" i="9"/>
  <c r="J29" i="9" s="1"/>
  <c r="T47" i="9"/>
  <c r="Y47" i="9"/>
  <c r="O47" i="9"/>
  <c r="T76" i="9"/>
  <c r="J76" i="9"/>
  <c r="Y76" i="9"/>
  <c r="O76" i="9"/>
  <c r="J47" i="9"/>
  <c r="T6" i="9"/>
  <c r="Y6" i="9"/>
  <c r="J6" i="9"/>
  <c r="O6" i="9"/>
  <c r="T45" i="9"/>
  <c r="J45" i="9"/>
  <c r="O45" i="9"/>
  <c r="Y45" i="9"/>
  <c r="Y61" i="9"/>
  <c r="T61" i="9"/>
  <c r="J61" i="9"/>
  <c r="O61" i="9"/>
  <c r="AA114" i="6"/>
  <c r="AE114" i="4" s="1"/>
  <c r="Y114" i="6"/>
  <c r="S114" i="4"/>
  <c r="Y103" i="4"/>
  <c r="AC103" i="6"/>
  <c r="AG103" i="4" s="1"/>
  <c r="AC59" i="5"/>
  <c r="AC71" i="7"/>
  <c r="AA108" i="5"/>
  <c r="Y108" i="5"/>
  <c r="AC122" i="5"/>
  <c r="AC113" i="5"/>
  <c r="X85" i="4"/>
  <c r="AB85" i="2"/>
  <c r="AF85" i="4" s="1"/>
  <c r="AC37" i="2"/>
  <c r="AG37" i="4" s="1"/>
  <c r="Y37" i="4"/>
  <c r="Y32" i="5"/>
  <c r="AA32" i="5"/>
  <c r="Y77" i="2"/>
  <c r="P77" i="4"/>
  <c r="AA77" i="2"/>
  <c r="AE77" i="4" s="1"/>
  <c r="Y68" i="2"/>
  <c r="AA68" i="2"/>
  <c r="AE68" i="4" s="1"/>
  <c r="P68" i="4"/>
  <c r="AC67" i="7"/>
  <c r="P6" i="2"/>
  <c r="U6" i="4" s="1"/>
  <c r="AC62" i="2"/>
  <c r="AG62" i="4" s="1"/>
  <c r="Y62" i="4"/>
  <c r="AC106" i="2"/>
  <c r="F53" i="4"/>
  <c r="AC20" i="6"/>
  <c r="Y64" i="6"/>
  <c r="AA14" i="5"/>
  <c r="Y95" i="6"/>
  <c r="Y58" i="6"/>
  <c r="AC126" i="2"/>
  <c r="AC53" i="6"/>
  <c r="AB17" i="2"/>
  <c r="AF17" i="4" s="1"/>
  <c r="X17" i="4"/>
  <c r="AA112" i="5"/>
  <c r="Y112" i="5"/>
  <c r="AC127" i="6"/>
  <c r="AG127" i="4" s="1"/>
  <c r="Y127" i="4"/>
  <c r="AC44" i="2"/>
  <c r="AG44" i="4" s="1"/>
  <c r="P84" i="4"/>
  <c r="Y84" i="2"/>
  <c r="AA84" i="2"/>
  <c r="AE84" i="4" s="1"/>
  <c r="AC116" i="5"/>
  <c r="AC104" i="2"/>
  <c r="Y111" i="7"/>
  <c r="AA111" i="7"/>
  <c r="AC14" i="5"/>
  <c r="AA67" i="2"/>
  <c r="AE67" i="4" s="1"/>
  <c r="Y67" i="2"/>
  <c r="P67" i="4"/>
  <c r="Y82" i="5"/>
  <c r="AC22" i="6"/>
  <c r="P74" i="4"/>
  <c r="Y74" i="2"/>
  <c r="AA74" i="2"/>
  <c r="AE74" i="4" s="1"/>
  <c r="AC101" i="7"/>
  <c r="AB96" i="6"/>
  <c r="AF96" i="4" s="1"/>
  <c r="X96" i="4"/>
  <c r="AC41" i="7"/>
  <c r="AC95" i="7"/>
  <c r="AC85" i="7"/>
  <c r="AB71" i="2"/>
  <c r="AF71" i="4" s="1"/>
  <c r="X71" i="4"/>
  <c r="Y123" i="5"/>
  <c r="AA123" i="5"/>
  <c r="Y109" i="6"/>
  <c r="S109" i="4"/>
  <c r="AA109" i="6"/>
  <c r="AE109" i="4" s="1"/>
  <c r="AB93" i="2"/>
  <c r="AF93" i="4" s="1"/>
  <c r="X93" i="4"/>
  <c r="AA50" i="2"/>
  <c r="AE50" i="4" s="1"/>
  <c r="S121" i="4"/>
  <c r="Y121" i="6"/>
  <c r="AA121" i="6"/>
  <c r="AE121" i="4" s="1"/>
  <c r="AC83" i="5"/>
  <c r="M11" i="5"/>
  <c r="AC8" i="5"/>
  <c r="Y118" i="7"/>
  <c r="AA118" i="7"/>
  <c r="X45" i="4"/>
  <c r="AB45" i="2"/>
  <c r="AF45" i="4" s="1"/>
  <c r="AC117" i="6"/>
  <c r="AG117" i="4" s="1"/>
  <c r="Y117" i="4"/>
  <c r="AB57" i="2"/>
  <c r="AF57" i="4" s="1"/>
  <c r="X57" i="4"/>
  <c r="AA9" i="2"/>
  <c r="AE9" i="4" s="1"/>
  <c r="X122" i="4"/>
  <c r="AB122" i="6"/>
  <c r="AF122" i="4" s="1"/>
  <c r="X49" i="4"/>
  <c r="AB49" i="2"/>
  <c r="AF49" i="4" s="1"/>
  <c r="AB121" i="6"/>
  <c r="AF121" i="4" s="1"/>
  <c r="X121" i="4"/>
  <c r="M12" i="6"/>
  <c r="AC8" i="2"/>
  <c r="AG8" i="4" s="1"/>
  <c r="Y8" i="4"/>
  <c r="X80" i="4"/>
  <c r="AB80" i="2"/>
  <c r="AF80" i="4" s="1"/>
  <c r="P52" i="4"/>
  <c r="Y52" i="2"/>
  <c r="AA52" i="2"/>
  <c r="AE52" i="4" s="1"/>
  <c r="AC49" i="2"/>
  <c r="AG49" i="4" s="1"/>
  <c r="Y49" i="4"/>
  <c r="Y120" i="4"/>
  <c r="AC120" i="6"/>
  <c r="AG120" i="4" s="1"/>
  <c r="Y73" i="4"/>
  <c r="AC73" i="2"/>
  <c r="AG73" i="4" s="1"/>
  <c r="AC119" i="7"/>
  <c r="AB102" i="6"/>
  <c r="AF102" i="4" s="1"/>
  <c r="X102" i="4"/>
  <c r="Y53" i="4"/>
  <c r="AC53" i="2"/>
  <c r="AG53" i="4" s="1"/>
  <c r="AC115" i="6"/>
  <c r="AG115" i="4" s="1"/>
  <c r="Y115" i="4"/>
  <c r="AC109" i="6"/>
  <c r="AG109" i="4" s="1"/>
  <c r="Y109" i="4"/>
  <c r="S122" i="4"/>
  <c r="AA122" i="6"/>
  <c r="AE122" i="4" s="1"/>
  <c r="Y122" i="6"/>
  <c r="AC63" i="2"/>
  <c r="AG63" i="4" s="1"/>
  <c r="AB19" i="2"/>
  <c r="AF19" i="4" s="1"/>
  <c r="X19" i="4"/>
  <c r="Y99" i="5"/>
  <c r="AA99" i="5"/>
  <c r="X13" i="4"/>
  <c r="AB13" i="2"/>
  <c r="AF13" i="4" s="1"/>
  <c r="AA54" i="7"/>
  <c r="Y54" i="7"/>
  <c r="Y120" i="7"/>
  <c r="AA120" i="7"/>
  <c r="AA40" i="5"/>
  <c r="P76" i="4"/>
  <c r="AA76" i="2"/>
  <c r="AE76" i="4" s="1"/>
  <c r="Y76" i="2"/>
  <c r="Y119" i="5"/>
  <c r="AA119" i="5"/>
  <c r="Y117" i="7"/>
  <c r="AA117" i="7"/>
  <c r="Y51" i="5"/>
  <c r="AA51" i="5"/>
  <c r="AC87" i="7"/>
  <c r="AC98" i="2"/>
  <c r="AC32" i="5"/>
  <c r="AC97" i="5"/>
  <c r="AA110" i="5"/>
  <c r="Y110" i="5"/>
  <c r="Y75" i="5"/>
  <c r="AE99" i="4" l="1"/>
  <c r="AA63" i="7"/>
  <c r="AG97" i="4"/>
  <c r="AE98" i="4"/>
  <c r="AG98" i="4"/>
  <c r="AE97" i="4"/>
  <c r="AA14" i="2"/>
  <c r="AE14" i="4" s="1"/>
  <c r="D53" i="4"/>
  <c r="AA12" i="6"/>
  <c r="D85" i="4"/>
  <c r="E53" i="4"/>
  <c r="C53" i="4" s="1"/>
  <c r="Y6" i="6"/>
  <c r="D6" i="4" s="1"/>
  <c r="AG96" i="4"/>
  <c r="AE96" i="4"/>
  <c r="AA11" i="6"/>
  <c r="AC6" i="5"/>
  <c r="Y6" i="5"/>
  <c r="F6" i="4" s="1"/>
  <c r="F10" i="4"/>
  <c r="AA15" i="5"/>
  <c r="Y15" i="5"/>
  <c r="D88" i="4"/>
  <c r="D84" i="4"/>
  <c r="G8" i="9"/>
  <c r="F8" i="9"/>
  <c r="D26" i="4"/>
  <c r="F81" i="4"/>
  <c r="E115" i="4"/>
  <c r="AC64" i="4"/>
  <c r="E64" i="4"/>
  <c r="C64" i="4" s="1"/>
  <c r="E45" i="4"/>
  <c r="C45" i="4" s="1"/>
  <c r="AC45" i="4"/>
  <c r="F116" i="4"/>
  <c r="AC92" i="4"/>
  <c r="E92" i="4"/>
  <c r="C92" i="4" s="1"/>
  <c r="E119" i="4"/>
  <c r="E54" i="4"/>
  <c r="C54" i="4" s="1"/>
  <c r="AC54" i="4"/>
  <c r="E112" i="4"/>
  <c r="D67" i="4"/>
  <c r="D14" i="4"/>
  <c r="F35" i="4"/>
  <c r="F89" i="4"/>
  <c r="D19" i="4"/>
  <c r="V4" i="9"/>
  <c r="U4" i="9"/>
  <c r="L5" i="9"/>
  <c r="K5" i="9"/>
  <c r="AA10" i="5"/>
  <c r="E68" i="4"/>
  <c r="C68" i="4" s="1"/>
  <c r="AC68" i="4"/>
  <c r="AC118" i="4"/>
  <c r="D118" i="4"/>
  <c r="F42" i="4"/>
  <c r="D77" i="4"/>
  <c r="AA6" i="2"/>
  <c r="AE6" i="4" s="1"/>
  <c r="AA17" i="6"/>
  <c r="Y17" i="6"/>
  <c r="F19" i="4"/>
  <c r="AC26" i="4"/>
  <c r="E26" i="4"/>
  <c r="C26" i="4" s="1"/>
  <c r="D58" i="4"/>
  <c r="F30" i="4"/>
  <c r="E127" i="4"/>
  <c r="E103" i="4"/>
  <c r="AC53" i="4"/>
  <c r="AC117" i="4"/>
  <c r="D117" i="4"/>
  <c r="AA13" i="6"/>
  <c r="Y13" i="6"/>
  <c r="AC60" i="4"/>
  <c r="E60" i="4"/>
  <c r="C60" i="4" s="1"/>
  <c r="E111" i="4"/>
  <c r="F83" i="4"/>
  <c r="E30" i="4"/>
  <c r="C30" i="4" s="1"/>
  <c r="AC30" i="4"/>
  <c r="AC103" i="4"/>
  <c r="D103" i="4"/>
  <c r="F25" i="4"/>
  <c r="E97" i="4"/>
  <c r="C97" i="4" s="1"/>
  <c r="E58" i="4"/>
  <c r="C58" i="4" s="1"/>
  <c r="AC58" i="4"/>
  <c r="AC128" i="4"/>
  <c r="D128" i="4"/>
  <c r="F105" i="4"/>
  <c r="AA15" i="6"/>
  <c r="Y15" i="6"/>
  <c r="F64" i="4"/>
  <c r="D23" i="4"/>
  <c r="Y13" i="2"/>
  <c r="P13" i="4"/>
  <c r="AA13" i="2"/>
  <c r="AE13" i="4" s="1"/>
  <c r="F80" i="4"/>
  <c r="AC106" i="4"/>
  <c r="D106" i="4"/>
  <c r="L3" i="9"/>
  <c r="K3" i="9"/>
  <c r="D81" i="4"/>
  <c r="AC43" i="4"/>
  <c r="E43" i="4"/>
  <c r="C43" i="4" s="1"/>
  <c r="D80" i="4"/>
  <c r="F24" i="4"/>
  <c r="E46" i="4"/>
  <c r="C46" i="4" s="1"/>
  <c r="AC46" i="4"/>
  <c r="AC115" i="4"/>
  <c r="D115" i="4"/>
  <c r="E123" i="4"/>
  <c r="D22" i="4"/>
  <c r="AC6" i="6"/>
  <c r="F9" i="4"/>
  <c r="F16" i="4"/>
  <c r="E50" i="4"/>
  <c r="C50" i="4" s="1"/>
  <c r="AC50" i="4"/>
  <c r="AA13" i="7"/>
  <c r="E114" i="4"/>
  <c r="G4" i="9"/>
  <c r="F4" i="9"/>
  <c r="Q5" i="9"/>
  <c r="P5" i="9"/>
  <c r="AA6" i="5"/>
  <c r="D64" i="4"/>
  <c r="F110" i="4"/>
  <c r="E72" i="4"/>
  <c r="C72" i="4" s="1"/>
  <c r="AC72" i="4"/>
  <c r="AC109" i="4"/>
  <c r="D109" i="4"/>
  <c r="F82" i="4"/>
  <c r="D95" i="4"/>
  <c r="L6" i="9"/>
  <c r="K6" i="9"/>
  <c r="D52" i="4"/>
  <c r="F22" i="4"/>
  <c r="F109" i="4"/>
  <c r="F61" i="4"/>
  <c r="AC87" i="4"/>
  <c r="E87" i="4"/>
  <c r="C87" i="4" s="1"/>
  <c r="AC80" i="4"/>
  <c r="E80" i="4"/>
  <c r="C80" i="4" s="1"/>
  <c r="F65" i="4"/>
  <c r="E106" i="4"/>
  <c r="AC120" i="4"/>
  <c r="D120" i="4"/>
  <c r="AC127" i="4"/>
  <c r="D127" i="4"/>
  <c r="AC105" i="4"/>
  <c r="D105" i="4"/>
  <c r="D65" i="4"/>
  <c r="Y12" i="7"/>
  <c r="AA12" i="7"/>
  <c r="D94" i="4"/>
  <c r="AC125" i="4"/>
  <c r="D125" i="4"/>
  <c r="F47" i="4"/>
  <c r="E100" i="4"/>
  <c r="C100" i="4" s="1"/>
  <c r="Y14" i="7"/>
  <c r="AC7" i="4"/>
  <c r="E7" i="4"/>
  <c r="C7" i="4" s="1"/>
  <c r="Q3" i="9"/>
  <c r="P3" i="9"/>
  <c r="F122" i="4"/>
  <c r="AC126" i="4"/>
  <c r="D126" i="4"/>
  <c r="F97" i="4"/>
  <c r="AC36" i="4"/>
  <c r="E36" i="4"/>
  <c r="C36" i="4" s="1"/>
  <c r="F23" i="4"/>
  <c r="F113" i="4"/>
  <c r="Y10" i="7"/>
  <c r="AA10" i="7"/>
  <c r="F18" i="4"/>
  <c r="D32" i="4"/>
  <c r="AC123" i="4"/>
  <c r="D123" i="4"/>
  <c r="E85" i="4"/>
  <c r="C85" i="4" s="1"/>
  <c r="AC85" i="4"/>
  <c r="F119" i="4"/>
  <c r="D122" i="4"/>
  <c r="AC122" i="4"/>
  <c r="AC121" i="4"/>
  <c r="D121" i="4"/>
  <c r="F112" i="4"/>
  <c r="E77" i="4"/>
  <c r="C77" i="4" s="1"/>
  <c r="AC77" i="4"/>
  <c r="D114" i="4"/>
  <c r="AC114" i="4"/>
  <c r="G6" i="9"/>
  <c r="F6" i="9"/>
  <c r="D110" i="4"/>
  <c r="AC110" i="4"/>
  <c r="F120" i="4"/>
  <c r="F118" i="4"/>
  <c r="E109" i="4"/>
  <c r="E89" i="4"/>
  <c r="C89" i="4" s="1"/>
  <c r="AC89" i="4"/>
  <c r="E75" i="4"/>
  <c r="C75" i="4" s="1"/>
  <c r="AC75" i="4"/>
  <c r="AC31" i="4"/>
  <c r="E31" i="4"/>
  <c r="C31" i="4" s="1"/>
  <c r="AC86" i="4"/>
  <c r="E86" i="4"/>
  <c r="C86" i="4" s="1"/>
  <c r="F84" i="4"/>
  <c r="F115" i="4"/>
  <c r="Y12" i="5"/>
  <c r="AA12" i="5"/>
  <c r="D100" i="4"/>
  <c r="AC100" i="4"/>
  <c r="F102" i="4"/>
  <c r="AC79" i="4"/>
  <c r="E79" i="4"/>
  <c r="C79" i="4" s="1"/>
  <c r="F7" i="4"/>
  <c r="AC116" i="4"/>
  <c r="D116" i="4"/>
  <c r="E126" i="4"/>
  <c r="V3" i="9"/>
  <c r="U3" i="9"/>
  <c r="X6" i="4"/>
  <c r="AB6" i="2"/>
  <c r="AF6" i="4" s="1"/>
  <c r="E124" i="4"/>
  <c r="D9" i="4"/>
  <c r="D89" i="4"/>
  <c r="E21" i="4"/>
  <c r="C21" i="4" s="1"/>
  <c r="AC21" i="4"/>
  <c r="AC10" i="4"/>
  <c r="E10" i="4"/>
  <c r="C10" i="4" s="1"/>
  <c r="E23" i="4"/>
  <c r="C23" i="4" s="1"/>
  <c r="AC23" i="4"/>
  <c r="Y10" i="6"/>
  <c r="AA10" i="6"/>
  <c r="F93" i="4"/>
  <c r="AC47" i="4"/>
  <c r="E47" i="4"/>
  <c r="C47" i="4" s="1"/>
  <c r="F114" i="4"/>
  <c r="E51" i="4"/>
  <c r="C51" i="4" s="1"/>
  <c r="AC51" i="4"/>
  <c r="E122" i="4"/>
  <c r="AC76" i="4"/>
  <c r="E76" i="4"/>
  <c r="C76" i="4" s="1"/>
  <c r="E67" i="4"/>
  <c r="C67" i="4" s="1"/>
  <c r="AC67" i="4"/>
  <c r="F14" i="4"/>
  <c r="F108" i="4"/>
  <c r="V6" i="9"/>
  <c r="U6" i="9"/>
  <c r="E117" i="4"/>
  <c r="E9" i="4"/>
  <c r="C9" i="4" s="1"/>
  <c r="AC9" i="4"/>
  <c r="D34" i="4"/>
  <c r="F74" i="4"/>
  <c r="AC82" i="4"/>
  <c r="E82" i="4"/>
  <c r="C82" i="4" s="1"/>
  <c r="F36" i="4"/>
  <c r="F54" i="4"/>
  <c r="AC65" i="4"/>
  <c r="E65" i="4"/>
  <c r="C65" i="4" s="1"/>
  <c r="D28" i="4"/>
  <c r="F73" i="4"/>
  <c r="Y12" i="2"/>
  <c r="P12" i="4"/>
  <c r="AA12" i="2"/>
  <c r="AE12" i="4" s="1"/>
  <c r="F106" i="4"/>
  <c r="L7" i="9"/>
  <c r="K7" i="9"/>
  <c r="F127" i="4"/>
  <c r="F103" i="4"/>
  <c r="AC42" i="4"/>
  <c r="E42" i="4"/>
  <c r="C42" i="4" s="1"/>
  <c r="F45" i="4"/>
  <c r="D82" i="4"/>
  <c r="F58" i="4"/>
  <c r="G3" i="9"/>
  <c r="F3" i="9"/>
  <c r="E104" i="4"/>
  <c r="AC78" i="4"/>
  <c r="E78" i="4"/>
  <c r="C78" i="4" s="1"/>
  <c r="D86" i="4"/>
  <c r="AA11" i="2"/>
  <c r="AE11" i="4" s="1"/>
  <c r="Y11" i="2"/>
  <c r="P11" i="4"/>
  <c r="F79" i="4"/>
  <c r="E83" i="4"/>
  <c r="C83" i="4" s="1"/>
  <c r="AC83" i="4"/>
  <c r="E20" i="4"/>
  <c r="C20" i="4" s="1"/>
  <c r="AC20" i="4"/>
  <c r="AA6" i="7"/>
  <c r="Y6" i="7"/>
  <c r="D101" i="4"/>
  <c r="AC101" i="4"/>
  <c r="D33" i="4"/>
  <c r="D112" i="4"/>
  <c r="AC112" i="4"/>
  <c r="AA6" i="6"/>
  <c r="F17" i="4"/>
  <c r="V8" i="9"/>
  <c r="U8" i="9"/>
  <c r="F20" i="4"/>
  <c r="E99" i="4"/>
  <c r="C99" i="4" s="1"/>
  <c r="E105" i="4"/>
  <c r="AC107" i="4"/>
  <c r="D107" i="4"/>
  <c r="F100" i="4"/>
  <c r="Y11" i="7"/>
  <c r="AA11" i="7"/>
  <c r="F96" i="4"/>
  <c r="E118" i="4"/>
  <c r="F94" i="4"/>
  <c r="F123" i="4"/>
  <c r="F32" i="4"/>
  <c r="Q6" i="9"/>
  <c r="P6" i="9"/>
  <c r="D38" i="4"/>
  <c r="F34" i="4"/>
  <c r="F117" i="4"/>
  <c r="AC57" i="4"/>
  <c r="E57" i="4"/>
  <c r="C57" i="4" s="1"/>
  <c r="Y12" i="6"/>
  <c r="V7" i="9"/>
  <c r="U7" i="9"/>
  <c r="AC61" i="4"/>
  <c r="E61" i="4"/>
  <c r="C61" i="4" s="1"/>
  <c r="E95" i="4"/>
  <c r="C95" i="4" s="1"/>
  <c r="AC95" i="4"/>
  <c r="E96" i="4"/>
  <c r="C96" i="4" s="1"/>
  <c r="E52" i="4"/>
  <c r="C52" i="4" s="1"/>
  <c r="AC52" i="4"/>
  <c r="E84" i="4"/>
  <c r="C84" i="4" s="1"/>
  <c r="AC84" i="4"/>
  <c r="F68" i="4"/>
  <c r="E120" i="4"/>
  <c r="Y14" i="2"/>
  <c r="E37" i="4"/>
  <c r="C37" i="4" s="1"/>
  <c r="AC37" i="4"/>
  <c r="F125" i="4"/>
  <c r="F49" i="4"/>
  <c r="D113" i="4"/>
  <c r="AC113" i="4"/>
  <c r="E81" i="4"/>
  <c r="C81" i="4" s="1"/>
  <c r="AC81" i="4"/>
  <c r="AC16" i="4"/>
  <c r="E16" i="4"/>
  <c r="C16" i="4" s="1"/>
  <c r="Y17" i="7"/>
  <c r="AA17" i="7"/>
  <c r="G7" i="9"/>
  <c r="F7" i="9"/>
  <c r="F104" i="4"/>
  <c r="AA15" i="7"/>
  <c r="Y15" i="7"/>
  <c r="F128" i="4"/>
  <c r="Q8" i="9"/>
  <c r="P8" i="9"/>
  <c r="I9" i="9"/>
  <c r="J9" i="9" s="1"/>
  <c r="D111" i="4"/>
  <c r="AC111" i="4"/>
  <c r="E101" i="4"/>
  <c r="D56" i="4"/>
  <c r="AC93" i="4"/>
  <c r="E93" i="4"/>
  <c r="C93" i="4" s="1"/>
  <c r="E107" i="4"/>
  <c r="E121" i="4"/>
  <c r="E71" i="4"/>
  <c r="C71" i="4" s="1"/>
  <c r="AC71" i="4"/>
  <c r="Y11" i="5"/>
  <c r="AA11" i="5"/>
  <c r="E128" i="4"/>
  <c r="E125" i="4"/>
  <c r="D124" i="4"/>
  <c r="AC124" i="4"/>
  <c r="AC119" i="4"/>
  <c r="D119" i="4"/>
  <c r="AC25" i="4"/>
  <c r="E25" i="4"/>
  <c r="C25" i="4" s="1"/>
  <c r="AC24" i="4"/>
  <c r="E24" i="4"/>
  <c r="C24" i="4" s="1"/>
  <c r="E39" i="4"/>
  <c r="C39" i="4" s="1"/>
  <c r="AC39" i="4"/>
  <c r="Q4" i="9"/>
  <c r="P4" i="9"/>
  <c r="V5" i="9"/>
  <c r="U5" i="9"/>
  <c r="F72" i="4"/>
  <c r="E110" i="4"/>
  <c r="D39" i="4"/>
  <c r="F56" i="4"/>
  <c r="E94" i="4"/>
  <c r="C94" i="4" s="1"/>
  <c r="AC94" i="4"/>
  <c r="E108" i="4"/>
  <c r="F101" i="4"/>
  <c r="E102" i="4"/>
  <c r="D47" i="4"/>
  <c r="F75" i="4"/>
  <c r="F51" i="4"/>
  <c r="F99" i="4"/>
  <c r="E74" i="4"/>
  <c r="C74" i="4" s="1"/>
  <c r="AC74" i="4"/>
  <c r="F21" i="4"/>
  <c r="E44" i="4"/>
  <c r="C44" i="4" s="1"/>
  <c r="AC44" i="4"/>
  <c r="AC32" i="4"/>
  <c r="E32" i="4"/>
  <c r="C32" i="4" s="1"/>
  <c r="E18" i="4"/>
  <c r="C18" i="4" s="1"/>
  <c r="AC18" i="4"/>
  <c r="AC108" i="4"/>
  <c r="D108" i="4"/>
  <c r="Y6" i="2"/>
  <c r="E116" i="4"/>
  <c r="F67" i="4"/>
  <c r="E49" i="4"/>
  <c r="C49" i="4" s="1"/>
  <c r="AC49" i="4"/>
  <c r="F44" i="4"/>
  <c r="P17" i="4"/>
  <c r="AA17" i="2"/>
  <c r="AE17" i="4" s="1"/>
  <c r="Y17" i="2"/>
  <c r="Q7" i="9"/>
  <c r="P7" i="9"/>
  <c r="D35" i="4"/>
  <c r="F107" i="4"/>
  <c r="E8" i="4"/>
  <c r="C8" i="4" s="1"/>
  <c r="AC8" i="4"/>
  <c r="P15" i="4"/>
  <c r="Y15" i="2"/>
  <c r="AA15" i="2"/>
  <c r="AE15" i="4" s="1"/>
  <c r="D97" i="4"/>
  <c r="AC97" i="4"/>
  <c r="AC73" i="4"/>
  <c r="E73" i="4"/>
  <c r="C73" i="4" s="1"/>
  <c r="Y13" i="5"/>
  <c r="AA13" i="5"/>
  <c r="AC34" i="4"/>
  <c r="E34" i="4"/>
  <c r="C34" i="4" s="1"/>
  <c r="AC88" i="4"/>
  <c r="E88" i="4"/>
  <c r="C88" i="4" s="1"/>
  <c r="D78" i="4"/>
  <c r="L8" i="9"/>
  <c r="K8" i="9"/>
  <c r="E22" i="4"/>
  <c r="C22" i="4" s="1"/>
  <c r="AC22" i="4"/>
  <c r="E113" i="4"/>
  <c r="F26" i="4"/>
  <c r="AC35" i="4"/>
  <c r="E35" i="4"/>
  <c r="C35" i="4" s="1"/>
  <c r="D96" i="4"/>
  <c r="AC96" i="4"/>
  <c r="E56" i="4"/>
  <c r="C56" i="4" s="1"/>
  <c r="AC56" i="4"/>
  <c r="F124" i="4"/>
  <c r="AC99" i="4"/>
  <c r="D99" i="4"/>
  <c r="D104" i="4"/>
  <c r="AC104" i="4"/>
  <c r="F126" i="4"/>
  <c r="AC102" i="4"/>
  <c r="D102" i="4"/>
  <c r="AC33" i="4"/>
  <c r="E33" i="4"/>
  <c r="C33" i="4" s="1"/>
  <c r="D11" i="4"/>
  <c r="F121" i="4"/>
  <c r="D37" i="4"/>
  <c r="F111" i="4"/>
  <c r="L4" i="9"/>
  <c r="K4" i="9"/>
  <c r="G5" i="9"/>
  <c r="F5" i="9"/>
  <c r="D13" i="4" l="1"/>
  <c r="D17" i="4"/>
  <c r="E17" i="4"/>
  <c r="C17" i="4" s="1"/>
  <c r="AC17" i="4"/>
  <c r="D12" i="4"/>
  <c r="D15" i="4"/>
  <c r="F15" i="4"/>
  <c r="E6" i="4"/>
  <c r="C6" i="4" s="1"/>
  <c r="AC6" i="4"/>
  <c r="E14" i="4"/>
  <c r="C14" i="4" s="1"/>
  <c r="AC14" i="4"/>
  <c r="F12" i="4"/>
  <c r="F13" i="4"/>
  <c r="F11" i="4"/>
  <c r="E12" i="4"/>
  <c r="C12" i="4" s="1"/>
  <c r="AC12" i="4"/>
  <c r="AC13" i="4"/>
  <c r="E13" i="4"/>
  <c r="C13" i="4" s="1"/>
  <c r="D10" i="4"/>
  <c r="E15" i="4"/>
  <c r="C15" i="4" s="1"/>
  <c r="AC15" i="4"/>
  <c r="AC11" i="4"/>
  <c r="E11" i="4"/>
  <c r="C11" i="4" s="1"/>
  <c r="K98" i="3" l="1"/>
  <c r="S98" i="6" l="1"/>
  <c r="S98" i="7"/>
  <c r="S98" i="2"/>
  <c r="S98" i="5"/>
  <c r="AB98" i="5" l="1"/>
  <c r="Y98" i="5"/>
  <c r="AB98" i="2"/>
  <c r="Y98" i="2"/>
  <c r="AB98" i="7"/>
  <c r="Y98" i="7"/>
  <c r="X98" i="4"/>
  <c r="AB98" i="6"/>
  <c r="AF98" i="4" s="1"/>
  <c r="Y98" i="6"/>
  <c r="E98" i="4" l="1"/>
  <c r="C98" i="4" s="1"/>
  <c r="F98" i="4"/>
  <c r="AC98" i="4"/>
  <c r="D98" i="4"/>
  <c r="K40" i="3" l="1"/>
  <c r="C43" i="9" l="1"/>
  <c r="S40" i="6"/>
  <c r="S40" i="5"/>
  <c r="S40" i="2"/>
  <c r="S40" i="7"/>
  <c r="AB40" i="7" l="1"/>
  <c r="Y40" i="7"/>
  <c r="AB40" i="2"/>
  <c r="AF40" i="4" s="1"/>
  <c r="Y40" i="2"/>
  <c r="X40" i="4"/>
  <c r="AB40" i="5"/>
  <c r="Y40" i="5"/>
  <c r="AB40" i="6"/>
  <c r="Y40" i="6"/>
  <c r="I43" i="9"/>
  <c r="J43" i="9" s="1"/>
  <c r="Y43" i="9"/>
  <c r="T43" i="9"/>
  <c r="O43" i="9"/>
  <c r="F40" i="4" l="1"/>
  <c r="AC40" i="4"/>
  <c r="E40" i="4"/>
  <c r="C40" i="4" s="1"/>
  <c r="D40" i="4"/>
  <c r="K48" i="3" l="1"/>
  <c r="S48" i="5" l="1"/>
  <c r="S48" i="6"/>
  <c r="S48" i="2"/>
  <c r="S48" i="7"/>
  <c r="C51" i="9"/>
  <c r="I51" i="9" l="1"/>
  <c r="J51" i="9" s="1"/>
  <c r="Y51" i="9"/>
  <c r="T51" i="9"/>
  <c r="O51" i="9"/>
  <c r="AB48" i="7"/>
  <c r="Y48" i="7"/>
  <c r="Y48" i="2"/>
  <c r="AB48" i="2"/>
  <c r="AF48" i="4" s="1"/>
  <c r="X48" i="4"/>
  <c r="AB48" i="6"/>
  <c r="Y48" i="6"/>
  <c r="AB48" i="5"/>
  <c r="Y48" i="5"/>
  <c r="F48" i="4" l="1"/>
  <c r="D48" i="4"/>
  <c r="E48" i="4"/>
  <c r="C48" i="4" s="1"/>
  <c r="AC48" i="4"/>
  <c r="K55" i="3" l="1"/>
  <c r="S55" i="2" l="1"/>
  <c r="S55" i="5"/>
  <c r="C58" i="9"/>
  <c r="S55" i="6"/>
  <c r="S55" i="7"/>
  <c r="AB55" i="7" l="1"/>
  <c r="Y55" i="7"/>
  <c r="AB55" i="6"/>
  <c r="Y55" i="6"/>
  <c r="I58" i="9"/>
  <c r="J58" i="9" s="1"/>
  <c r="Y58" i="9"/>
  <c r="T58" i="9"/>
  <c r="O58" i="9"/>
  <c r="AB55" i="5"/>
  <c r="Y55" i="5"/>
  <c r="Y55" i="2"/>
  <c r="X55" i="4"/>
  <c r="AB55" i="2"/>
  <c r="AF55" i="4" s="1"/>
  <c r="AC55" i="4" l="1"/>
  <c r="E55" i="4"/>
  <c r="C55" i="4" s="1"/>
  <c r="D55" i="4"/>
  <c r="F55" i="4"/>
  <c r="K59" i="3" l="1"/>
  <c r="S59" i="6" l="1"/>
  <c r="S59" i="7"/>
  <c r="C62" i="9"/>
  <c r="S59" i="5"/>
  <c r="S59" i="2"/>
  <c r="AB59" i="2" l="1"/>
  <c r="AF59" i="4" s="1"/>
  <c r="X59" i="4"/>
  <c r="Y59" i="2"/>
  <c r="AB59" i="5"/>
  <c r="Y59" i="5"/>
  <c r="I62" i="9"/>
  <c r="J62" i="9" s="1"/>
  <c r="Y62" i="9"/>
  <c r="T62" i="9"/>
  <c r="O62" i="9"/>
  <c r="AB59" i="7"/>
  <c r="Y59" i="7"/>
  <c r="AB59" i="6"/>
  <c r="Y59" i="6"/>
  <c r="D59" i="4" l="1"/>
  <c r="F59" i="4"/>
  <c r="E59" i="4"/>
  <c r="C59" i="4" s="1"/>
  <c r="AC59" i="4"/>
  <c r="K62" i="3"/>
  <c r="S62" i="7" l="1"/>
  <c r="S62" i="2"/>
  <c r="S62" i="5"/>
  <c r="S62" i="6"/>
  <c r="C65" i="9"/>
  <c r="K63" i="3"/>
  <c r="I65" i="9" l="1"/>
  <c r="T65" i="9"/>
  <c r="Y65" i="9"/>
  <c r="O65" i="9"/>
  <c r="J65" i="9"/>
  <c r="AB62" i="6"/>
  <c r="Y62" i="6"/>
  <c r="AB62" i="5"/>
  <c r="Y62" i="5"/>
  <c r="AB62" i="2"/>
  <c r="AF62" i="4" s="1"/>
  <c r="X62" i="4"/>
  <c r="Y62" i="2"/>
  <c r="S63" i="7"/>
  <c r="C66" i="9"/>
  <c r="S63" i="6"/>
  <c r="S63" i="5"/>
  <c r="S63" i="2"/>
  <c r="AB62" i="7"/>
  <c r="Y62" i="7"/>
  <c r="D62" i="4" l="1"/>
  <c r="T66" i="9"/>
  <c r="O66" i="9"/>
  <c r="Y66" i="9"/>
  <c r="AB63" i="5"/>
  <c r="Y63" i="5"/>
  <c r="AB63" i="6"/>
  <c r="Y63" i="6"/>
  <c r="AB63" i="7"/>
  <c r="I66" i="9"/>
  <c r="J66" i="9" s="1"/>
  <c r="Y63" i="7"/>
  <c r="E62" i="4"/>
  <c r="C62" i="4" s="1"/>
  <c r="AC62" i="4"/>
  <c r="AB63" i="2"/>
  <c r="AF63" i="4" s="1"/>
  <c r="Y63" i="2"/>
  <c r="X63" i="4"/>
  <c r="F62" i="4"/>
  <c r="F63" i="4" l="1"/>
  <c r="E63" i="4"/>
  <c r="C63" i="4" s="1"/>
  <c r="AC63" i="4"/>
  <c r="D63" i="4"/>
  <c r="K66" i="3"/>
  <c r="C69" i="9" l="1"/>
  <c r="S66" i="7"/>
  <c r="S66" i="5"/>
  <c r="S66" i="2"/>
  <c r="S66" i="6"/>
  <c r="AB66" i="6" l="1"/>
  <c r="Y66" i="6"/>
  <c r="Y66" i="2"/>
  <c r="AB66" i="2"/>
  <c r="AF66" i="4" s="1"/>
  <c r="X66" i="4"/>
  <c r="AB66" i="5"/>
  <c r="Y66" i="5"/>
  <c r="AB66" i="7"/>
  <c r="Y66" i="7"/>
  <c r="I69" i="9"/>
  <c r="J69" i="9" s="1"/>
  <c r="T69" i="9"/>
  <c r="O69" i="9"/>
  <c r="Y69" i="9"/>
  <c r="F66" i="4" l="1"/>
  <c r="E66" i="4"/>
  <c r="C66" i="4" s="1"/>
  <c r="AC66" i="4"/>
  <c r="D66" i="4"/>
  <c r="K69" i="3"/>
  <c r="S69" i="2" l="1"/>
  <c r="C72" i="9"/>
  <c r="S69" i="6"/>
  <c r="S69" i="7"/>
  <c r="S69" i="5"/>
  <c r="AB69" i="5" l="1"/>
  <c r="Y69" i="5"/>
  <c r="AB69" i="7"/>
  <c r="Y69" i="7"/>
  <c r="I72" i="9"/>
  <c r="J72" i="9" s="1"/>
  <c r="AB69" i="6"/>
  <c r="Y69" i="6"/>
  <c r="T72" i="9"/>
  <c r="O72" i="9"/>
  <c r="Y72" i="9"/>
  <c r="Y69" i="2"/>
  <c r="X69" i="4"/>
  <c r="AB69" i="2"/>
  <c r="AF69" i="4" s="1"/>
  <c r="D69" i="4" l="1"/>
  <c r="AC69" i="4"/>
  <c r="E69" i="4"/>
  <c r="C69" i="4" s="1"/>
  <c r="F69" i="4"/>
  <c r="K90" i="3" l="1"/>
  <c r="C93" i="9" l="1"/>
  <c r="S90" i="7"/>
  <c r="S90" i="5"/>
  <c r="S90" i="6"/>
  <c r="S90" i="2"/>
  <c r="K91" i="3"/>
  <c r="AB90" i="2" l="1"/>
  <c r="AF90" i="4" s="1"/>
  <c r="Y90" i="2"/>
  <c r="X90" i="4"/>
  <c r="AB90" i="6"/>
  <c r="Y90" i="6"/>
  <c r="AB90" i="5"/>
  <c r="Y90" i="5"/>
  <c r="AB90" i="7"/>
  <c r="Y90" i="7"/>
  <c r="S91" i="7"/>
  <c r="S91" i="2"/>
  <c r="S91" i="6"/>
  <c r="S91" i="5"/>
  <c r="C94" i="9"/>
  <c r="I93" i="9"/>
  <c r="J93" i="9" s="1"/>
  <c r="Y93" i="9"/>
  <c r="O93" i="9"/>
  <c r="T93" i="9"/>
  <c r="F90" i="4" l="1"/>
  <c r="I94" i="9"/>
  <c r="J94" i="9" s="1"/>
  <c r="T94" i="9"/>
  <c r="O94" i="9"/>
  <c r="Y94" i="9"/>
  <c r="D90" i="4"/>
  <c r="AB91" i="5"/>
  <c r="Y91" i="5"/>
  <c r="AB91" i="6"/>
  <c r="Y91" i="6"/>
  <c r="X91" i="4"/>
  <c r="Y91" i="2"/>
  <c r="AB91" i="2"/>
  <c r="AF91" i="4" s="1"/>
  <c r="AB91" i="7"/>
  <c r="Y91" i="7"/>
  <c r="E90" i="4"/>
  <c r="C90" i="4" s="1"/>
  <c r="AC90" i="4"/>
  <c r="D91" i="4" l="1"/>
  <c r="F91" i="4"/>
  <c r="E91" i="4"/>
  <c r="C91" i="4" s="1"/>
  <c r="AC91" i="4"/>
  <c r="K70" i="3" l="1"/>
  <c r="C73" i="9" l="1"/>
  <c r="S70" i="5"/>
  <c r="S70" i="6"/>
  <c r="S70" i="2"/>
  <c r="S70" i="7"/>
  <c r="AB70" i="7" l="1"/>
  <c r="Y70" i="7"/>
  <c r="AB70" i="6"/>
  <c r="Y70" i="6"/>
  <c r="AB70" i="2"/>
  <c r="AF70" i="4" s="1"/>
  <c r="X70" i="4"/>
  <c r="Y70" i="2"/>
  <c r="AB70" i="5"/>
  <c r="Y70" i="5"/>
  <c r="I73" i="9"/>
  <c r="J73" i="9" s="1"/>
  <c r="T73" i="9"/>
  <c r="Y73" i="9"/>
  <c r="O73" i="9"/>
  <c r="AC70" i="4" l="1"/>
  <c r="E70" i="4"/>
  <c r="C70" i="4" s="1"/>
  <c r="D70" i="4"/>
  <c r="F70" i="4"/>
  <c r="AB92" i="3" l="1"/>
  <c r="B95" i="9"/>
  <c r="Z92" i="2"/>
  <c r="AD92" i="4" s="1"/>
  <c r="Z92" i="7"/>
  <c r="Z92" i="5"/>
  <c r="Z92" i="6"/>
  <c r="AB84" i="3"/>
  <c r="B87" i="9"/>
  <c r="Z84" i="5"/>
  <c r="Z84" i="6"/>
  <c r="Z84" i="7"/>
  <c r="Z84" i="2"/>
  <c r="AD84" i="4" s="1"/>
  <c r="AB105" i="3"/>
  <c r="Z105" i="5"/>
  <c r="Z105" i="6"/>
  <c r="AD105" i="4" s="1"/>
  <c r="Z105" i="7"/>
  <c r="Z105" i="2"/>
  <c r="AB89" i="3"/>
  <c r="B92" i="9"/>
  <c r="Z89" i="2"/>
  <c r="AD89" i="4" s="1"/>
  <c r="Z89" i="6"/>
  <c r="Z89" i="7"/>
  <c r="Z89" i="5"/>
  <c r="AB114" i="3"/>
  <c r="Z114" i="2"/>
  <c r="Z114" i="7"/>
  <c r="Z114" i="5"/>
  <c r="Z114" i="6"/>
  <c r="AD114" i="4" s="1"/>
  <c r="AB124" i="3"/>
  <c r="Z124" i="2"/>
  <c r="Z124" i="5"/>
  <c r="Z124" i="7"/>
  <c r="Z124" i="6"/>
  <c r="AD124" i="4" s="1"/>
  <c r="AB80" i="3"/>
  <c r="B83" i="9"/>
  <c r="Z80" i="2"/>
  <c r="AD80" i="4" s="1"/>
  <c r="Z80" i="7"/>
  <c r="Z80" i="5"/>
  <c r="Z80" i="6"/>
  <c r="AB128" i="3"/>
  <c r="Z128" i="7"/>
  <c r="Z128" i="5"/>
  <c r="Z128" i="2"/>
  <c r="Z128" i="6"/>
  <c r="AD128" i="4" s="1"/>
  <c r="AB97" i="3"/>
  <c r="Z97" i="6"/>
  <c r="Z97" i="2"/>
  <c r="Z97" i="7"/>
  <c r="Z97" i="5"/>
  <c r="AB111" i="3"/>
  <c r="Z111" i="7"/>
  <c r="Z111" i="5"/>
  <c r="Z111" i="2"/>
  <c r="Z111" i="6"/>
  <c r="AD111" i="4" s="1"/>
  <c r="AB117" i="3"/>
  <c r="Z117" i="5"/>
  <c r="Z117" i="6"/>
  <c r="AD117" i="4" s="1"/>
  <c r="Z117" i="7"/>
  <c r="Z117" i="2"/>
  <c r="AB109" i="3"/>
  <c r="Z109" i="5"/>
  <c r="Z109" i="2"/>
  <c r="Z109" i="6"/>
  <c r="AD109" i="4" s="1"/>
  <c r="Z109" i="7"/>
  <c r="Z82" i="7"/>
  <c r="AB82" i="3"/>
  <c r="B85" i="9"/>
  <c r="Z82" i="5"/>
  <c r="Z82" i="6"/>
  <c r="Z82" i="2"/>
  <c r="AD82" i="4" s="1"/>
  <c r="AB106" i="3"/>
  <c r="Z106" i="5"/>
  <c r="Z106" i="2"/>
  <c r="Z106" i="7"/>
  <c r="Z106" i="6"/>
  <c r="AD106" i="4" s="1"/>
  <c r="AB94" i="3"/>
  <c r="Z94" i="5"/>
  <c r="Z94" i="2"/>
  <c r="AD94" i="4" s="1"/>
  <c r="Z94" i="7"/>
  <c r="Z94" i="6"/>
  <c r="B56" i="9"/>
  <c r="Z53" i="5"/>
  <c r="AB53" i="3"/>
  <c r="Z53" i="7"/>
  <c r="Z53" i="6"/>
  <c r="Z53" i="2"/>
  <c r="AD53" i="4" s="1"/>
  <c r="AB115" i="3"/>
  <c r="Z115" i="5"/>
  <c r="Z115" i="7"/>
  <c r="Z115" i="6"/>
  <c r="AD115" i="4" s="1"/>
  <c r="Z115" i="2"/>
  <c r="AB107" i="3"/>
  <c r="Z107" i="5"/>
  <c r="Z107" i="2"/>
  <c r="Z107" i="7"/>
  <c r="Z107" i="6"/>
  <c r="AD107" i="4" s="1"/>
  <c r="AB101" i="3"/>
  <c r="Z101" i="7"/>
  <c r="Z101" i="2"/>
  <c r="Z101" i="6"/>
  <c r="AD101" i="4" s="1"/>
  <c r="Z101" i="5"/>
  <c r="AB103" i="3"/>
  <c r="Z103" i="5"/>
  <c r="Z103" i="2"/>
  <c r="Z103" i="6"/>
  <c r="AD103" i="4" s="1"/>
  <c r="Z103" i="7"/>
  <c r="B84" i="9"/>
  <c r="AB81" i="3"/>
  <c r="Z81" i="2"/>
  <c r="AD81" i="4" s="1"/>
  <c r="Z81" i="6"/>
  <c r="Z81" i="7"/>
  <c r="Z81" i="5"/>
  <c r="AB119" i="3"/>
  <c r="Z119" i="7"/>
  <c r="Z119" i="6"/>
  <c r="AD119" i="4" s="1"/>
  <c r="Z119" i="2"/>
  <c r="Z119" i="5"/>
  <c r="AB121" i="3"/>
  <c r="Z121" i="6"/>
  <c r="AD121" i="4" s="1"/>
  <c r="Z121" i="7"/>
  <c r="Z121" i="2"/>
  <c r="Z121" i="5"/>
  <c r="AB99" i="3"/>
  <c r="Z99" i="7"/>
  <c r="Z99" i="2"/>
  <c r="Z99" i="6"/>
  <c r="AD99" i="4" s="1"/>
  <c r="Z99" i="5"/>
  <c r="AB96" i="3"/>
  <c r="Z96" i="7"/>
  <c r="Z96" i="2"/>
  <c r="AD96" i="4" s="1"/>
  <c r="Z96" i="5"/>
  <c r="Z96" i="6"/>
  <c r="AB112" i="3"/>
  <c r="Z112" i="2"/>
  <c r="Z112" i="6"/>
  <c r="AD112" i="4" s="1"/>
  <c r="Z112" i="5"/>
  <c r="Z112" i="7"/>
  <c r="AB95" i="3"/>
  <c r="Z95" i="6"/>
  <c r="Z95" i="7"/>
  <c r="Z95" i="2"/>
  <c r="AD95" i="4" s="1"/>
  <c r="Z95" i="5"/>
  <c r="AB125" i="3"/>
  <c r="Z125" i="7"/>
  <c r="Z125" i="6"/>
  <c r="AD125" i="4" s="1"/>
  <c r="Z125" i="5"/>
  <c r="Z125" i="2"/>
  <c r="AB77" i="3"/>
  <c r="B80" i="9"/>
  <c r="Z77" i="2"/>
  <c r="AD77" i="4" s="1"/>
  <c r="Z77" i="6"/>
  <c r="Z77" i="7"/>
  <c r="Z77" i="5"/>
  <c r="AB126" i="3"/>
  <c r="Z126" i="2"/>
  <c r="Z126" i="7"/>
  <c r="Z126" i="6"/>
  <c r="AD126" i="4" s="1"/>
  <c r="Z126" i="5"/>
  <c r="B91" i="9"/>
  <c r="AB88" i="3"/>
  <c r="Z88" i="7"/>
  <c r="Z88" i="5"/>
  <c r="Z88" i="2"/>
  <c r="AD88" i="4" s="1"/>
  <c r="Z88" i="6"/>
  <c r="AB123" i="3"/>
  <c r="Z123" i="6"/>
  <c r="AD123" i="4" s="1"/>
  <c r="Z123" i="5"/>
  <c r="Z123" i="7"/>
  <c r="Z123" i="2"/>
  <c r="AB47" i="3"/>
  <c r="B50" i="9"/>
  <c r="Z47" i="2"/>
  <c r="AD47" i="4" s="1"/>
  <c r="Z47" i="7"/>
  <c r="Z47" i="6"/>
  <c r="Z47" i="5"/>
  <c r="AB108" i="3"/>
  <c r="Z108" i="7"/>
  <c r="Z108" i="5"/>
  <c r="Z108" i="6"/>
  <c r="AD108" i="4" s="1"/>
  <c r="Z108" i="2"/>
  <c r="AB127" i="3"/>
  <c r="Z127" i="2"/>
  <c r="Z127" i="5"/>
  <c r="Z127" i="6"/>
  <c r="AD127" i="4" s="1"/>
  <c r="Z127" i="7"/>
  <c r="AB113" i="3"/>
  <c r="Z113" i="7"/>
  <c r="Z113" i="2"/>
  <c r="Z113" i="5"/>
  <c r="Z113" i="6"/>
  <c r="AD113" i="4" s="1"/>
  <c r="AB120" i="3"/>
  <c r="Z120" i="6"/>
  <c r="AD120" i="4" s="1"/>
  <c r="Z120" i="2"/>
  <c r="Z120" i="7"/>
  <c r="Z120" i="5"/>
  <c r="Z52" i="5"/>
  <c r="AB52" i="3"/>
  <c r="B55" i="9"/>
  <c r="Z52" i="7"/>
  <c r="Z52" i="2"/>
  <c r="AD52" i="4" s="1"/>
  <c r="Z52" i="6"/>
  <c r="AB118" i="3"/>
  <c r="Z118" i="6"/>
  <c r="AD118" i="4" s="1"/>
  <c r="Z118" i="5"/>
  <c r="Z118" i="7"/>
  <c r="Z118" i="2"/>
  <c r="AB100" i="3"/>
  <c r="Z100" i="5"/>
  <c r="Z100" i="7"/>
  <c r="Z100" i="6"/>
  <c r="AD100" i="4" s="1"/>
  <c r="Z100" i="2"/>
  <c r="AB73" i="3"/>
  <c r="B76" i="9"/>
  <c r="Z73" i="6"/>
  <c r="Z73" i="7"/>
  <c r="Z73" i="5"/>
  <c r="Z73" i="2"/>
  <c r="AD73" i="4" s="1"/>
  <c r="AB104" i="3"/>
  <c r="Z104" i="5"/>
  <c r="Z104" i="6"/>
  <c r="AD104" i="4" s="1"/>
  <c r="Z104" i="2"/>
  <c r="Z104" i="7"/>
  <c r="AB85" i="3"/>
  <c r="B88" i="9"/>
  <c r="Z85" i="5"/>
  <c r="Z85" i="7"/>
  <c r="Z85" i="6"/>
  <c r="Z85" i="2"/>
  <c r="AD85" i="4" s="1"/>
  <c r="AB116" i="3"/>
  <c r="Z116" i="2"/>
  <c r="Z116" i="7"/>
  <c r="Z116" i="6"/>
  <c r="AD116" i="4" s="1"/>
  <c r="Z116" i="5"/>
  <c r="AB122" i="3"/>
  <c r="Z122" i="2"/>
  <c r="Z122" i="5"/>
  <c r="Z122" i="6"/>
  <c r="AD122" i="4" s="1"/>
  <c r="Z122" i="7"/>
  <c r="AB110" i="3"/>
  <c r="Z110" i="5"/>
  <c r="Z110" i="6"/>
  <c r="AD110" i="4" s="1"/>
  <c r="Z110" i="7"/>
  <c r="Z110" i="2"/>
  <c r="AB102" i="3"/>
  <c r="Z102" i="5"/>
  <c r="Z102" i="2"/>
  <c r="Z102" i="7"/>
  <c r="Z102" i="6"/>
  <c r="AD102" i="4" s="1"/>
  <c r="Q76" i="9" l="1"/>
  <c r="V76" i="9"/>
  <c r="K76" i="9"/>
  <c r="L76" i="9"/>
  <c r="F76" i="9"/>
  <c r="G76" i="9"/>
  <c r="P76" i="9"/>
  <c r="U76" i="9"/>
  <c r="V83" i="9"/>
  <c r="Q83" i="9"/>
  <c r="L83" i="9"/>
  <c r="K83" i="9"/>
  <c r="F83" i="9"/>
  <c r="U83" i="9"/>
  <c r="P83" i="9"/>
  <c r="G83" i="9"/>
  <c r="V55" i="9"/>
  <c r="G55" i="9"/>
  <c r="L55" i="9"/>
  <c r="K55" i="9"/>
  <c r="P55" i="9"/>
  <c r="Q55" i="9"/>
  <c r="U55" i="9"/>
  <c r="F55" i="9"/>
  <c r="F92" i="9"/>
  <c r="P92" i="9"/>
  <c r="Q92" i="9"/>
  <c r="U92" i="9"/>
  <c r="V92" i="9"/>
  <c r="K92" i="9"/>
  <c r="G92" i="9"/>
  <c r="L92" i="9"/>
  <c r="F91" i="9"/>
  <c r="Q91" i="9"/>
  <c r="K91" i="9"/>
  <c r="L91" i="9"/>
  <c r="V91" i="9"/>
  <c r="U91" i="9"/>
  <c r="P91" i="9"/>
  <c r="G91" i="9"/>
  <c r="L84" i="9"/>
  <c r="Q84" i="9"/>
  <c r="G84" i="9"/>
  <c r="P84" i="9"/>
  <c r="K84" i="9"/>
  <c r="V84" i="9"/>
  <c r="F84" i="9"/>
  <c r="U84" i="9"/>
  <c r="F88" i="9"/>
  <c r="L88" i="9"/>
  <c r="U88" i="9"/>
  <c r="G88" i="9"/>
  <c r="K88" i="9"/>
  <c r="V88" i="9"/>
  <c r="Q88" i="9"/>
  <c r="P88" i="9"/>
  <c r="AD97" i="4"/>
  <c r="Q95" i="9"/>
  <c r="L95" i="9"/>
  <c r="U95" i="9"/>
  <c r="V95" i="9"/>
  <c r="G95" i="9"/>
  <c r="F95" i="9"/>
  <c r="P95" i="9"/>
  <c r="K95" i="9"/>
  <c r="F50" i="9"/>
  <c r="L50" i="9"/>
  <c r="Q50" i="9"/>
  <c r="V50" i="9"/>
  <c r="K50" i="9"/>
  <c r="P50" i="9"/>
  <c r="U50" i="9"/>
  <c r="G50" i="9"/>
  <c r="P80" i="9"/>
  <c r="G80" i="9"/>
  <c r="L80" i="9"/>
  <c r="Q80" i="9"/>
  <c r="U80" i="9"/>
  <c r="V80" i="9"/>
  <c r="F80" i="9"/>
  <c r="K80" i="9"/>
  <c r="G87" i="9"/>
  <c r="U87" i="9"/>
  <c r="P87" i="9"/>
  <c r="V87" i="9"/>
  <c r="L87" i="9"/>
  <c r="F87" i="9"/>
  <c r="K87" i="9"/>
  <c r="Q87" i="9"/>
  <c r="V56" i="9"/>
  <c r="U56" i="9"/>
  <c r="Q56" i="9"/>
  <c r="F56" i="9"/>
  <c r="P56" i="9"/>
  <c r="K56" i="9"/>
  <c r="G56" i="9"/>
  <c r="L56" i="9"/>
  <c r="G85" i="9"/>
  <c r="V85" i="9"/>
  <c r="L85" i="9"/>
  <c r="P85" i="9"/>
  <c r="K85" i="9"/>
  <c r="Q85" i="9"/>
  <c r="F85" i="9"/>
  <c r="U85" i="9"/>
  <c r="AB45" i="3" l="1"/>
  <c r="Z45" i="2"/>
  <c r="AD45" i="4" s="1"/>
  <c r="B48" i="9"/>
  <c r="Z45" i="6"/>
  <c r="Z45" i="7"/>
  <c r="Z45" i="5"/>
  <c r="Z46" i="6"/>
  <c r="Z46" i="5"/>
  <c r="Z46" i="7"/>
  <c r="Z46" i="2"/>
  <c r="AD46" i="4" s="1"/>
  <c r="B49" i="9"/>
  <c r="AB46" i="3"/>
  <c r="K49" i="9" l="1"/>
  <c r="F49" i="9"/>
  <c r="G49" i="9"/>
  <c r="U49" i="9"/>
  <c r="P49" i="9"/>
  <c r="V49" i="9"/>
  <c r="Q49" i="9"/>
  <c r="L49" i="9"/>
  <c r="U48" i="9"/>
  <c r="P48" i="9"/>
  <c r="K48" i="9"/>
  <c r="F48" i="9"/>
  <c r="V48" i="9"/>
  <c r="L48" i="9"/>
  <c r="G48" i="9"/>
  <c r="Q48" i="9"/>
  <c r="AB50" i="3" l="1"/>
  <c r="Z50" i="6"/>
  <c r="Z50" i="5"/>
  <c r="Z50" i="2"/>
  <c r="AD50" i="4" s="1"/>
  <c r="B53" i="9"/>
  <c r="Z50" i="7"/>
  <c r="F53" i="9" l="1"/>
  <c r="P53" i="9"/>
  <c r="U53" i="9"/>
  <c r="L53" i="9"/>
  <c r="V53" i="9"/>
  <c r="G53" i="9"/>
  <c r="K53" i="9"/>
  <c r="Q53" i="9"/>
  <c r="AB83" i="3" l="1"/>
  <c r="Z83" i="7"/>
  <c r="Z83" i="6"/>
  <c r="Z83" i="5"/>
  <c r="B86" i="9"/>
  <c r="Z83" i="2"/>
  <c r="AD83" i="4" s="1"/>
  <c r="U86" i="9" l="1"/>
  <c r="P86" i="9"/>
  <c r="K86" i="9"/>
  <c r="G86" i="9"/>
  <c r="L86" i="9"/>
  <c r="V86" i="9"/>
  <c r="F86" i="9"/>
  <c r="Q86" i="9"/>
  <c r="AB98" i="3" l="1"/>
  <c r="Z98" i="2"/>
  <c r="Z98" i="5"/>
  <c r="Z98" i="7"/>
  <c r="Z98" i="6"/>
  <c r="AD98" i="4" s="1"/>
  <c r="AB49" i="3" l="1"/>
  <c r="Z49" i="6"/>
  <c r="Z49" i="2"/>
  <c r="AD49" i="4" s="1"/>
  <c r="Z49" i="7"/>
  <c r="B52" i="9"/>
  <c r="Z49" i="5"/>
  <c r="Z56" i="7" l="1"/>
  <c r="Z56" i="6"/>
  <c r="Z56" i="2"/>
  <c r="AD56" i="4" s="1"/>
  <c r="Z56" i="5"/>
  <c r="AB56" i="3"/>
  <c r="B59" i="9"/>
  <c r="K52" i="9"/>
  <c r="U52" i="9"/>
  <c r="Q52" i="9"/>
  <c r="V52" i="9"/>
  <c r="G52" i="9"/>
  <c r="L52" i="9"/>
  <c r="F52" i="9"/>
  <c r="P52" i="9"/>
  <c r="Z60" i="6"/>
  <c r="Z60" i="2"/>
  <c r="AD60" i="4" s="1"/>
  <c r="AB60" i="3"/>
  <c r="B63" i="9"/>
  <c r="Z60" i="7"/>
  <c r="Z60" i="5"/>
  <c r="AB72" i="3"/>
  <c r="Z72" i="7"/>
  <c r="B75" i="9"/>
  <c r="Z72" i="6"/>
  <c r="Z72" i="2"/>
  <c r="AD72" i="4" s="1"/>
  <c r="Z72" i="5"/>
  <c r="AB57" i="3"/>
  <c r="B60" i="9"/>
  <c r="Z57" i="6"/>
  <c r="Z57" i="5"/>
  <c r="Z57" i="2"/>
  <c r="AD57" i="4" s="1"/>
  <c r="Z57" i="7"/>
  <c r="Z75" i="6"/>
  <c r="Z75" i="2"/>
  <c r="AD75" i="4" s="1"/>
  <c r="Z75" i="7"/>
  <c r="Z75" i="5"/>
  <c r="B78" i="9"/>
  <c r="AB75" i="3"/>
  <c r="AB67" i="3"/>
  <c r="B70" i="9"/>
  <c r="Z67" i="7"/>
  <c r="Z67" i="5"/>
  <c r="Z67" i="6"/>
  <c r="Z67" i="2"/>
  <c r="AD67" i="4" s="1"/>
  <c r="K60" i="9" l="1"/>
  <c r="U60" i="9"/>
  <c r="P60" i="9"/>
  <c r="G60" i="9"/>
  <c r="L60" i="9"/>
  <c r="Q60" i="9"/>
  <c r="V60" i="9"/>
  <c r="F60" i="9"/>
  <c r="P59" i="9"/>
  <c r="L59" i="9"/>
  <c r="V59" i="9"/>
  <c r="Q59" i="9"/>
  <c r="G59" i="9"/>
  <c r="U59" i="9"/>
  <c r="F59" i="9"/>
  <c r="K59" i="9"/>
  <c r="B77" i="9"/>
  <c r="Z74" i="6"/>
  <c r="Z74" i="5"/>
  <c r="Z74" i="7"/>
  <c r="Z74" i="2"/>
  <c r="AD74" i="4" s="1"/>
  <c r="AB74" i="3"/>
  <c r="V70" i="9"/>
  <c r="Q70" i="9"/>
  <c r="G70" i="9"/>
  <c r="P70" i="9"/>
  <c r="F70" i="9"/>
  <c r="U70" i="9"/>
  <c r="L70" i="9"/>
  <c r="K70" i="9"/>
  <c r="AB93" i="3"/>
  <c r="Z93" i="6"/>
  <c r="Z93" i="7"/>
  <c r="Z93" i="5"/>
  <c r="Z93" i="2"/>
  <c r="AD93" i="4" s="1"/>
  <c r="K63" i="9"/>
  <c r="G63" i="9"/>
  <c r="V63" i="9"/>
  <c r="L63" i="9"/>
  <c r="Q63" i="9"/>
  <c r="P63" i="9"/>
  <c r="U63" i="9"/>
  <c r="F63" i="9"/>
  <c r="AB61" i="3"/>
  <c r="Z61" i="2"/>
  <c r="AD61" i="4" s="1"/>
  <c r="B64" i="9"/>
  <c r="Z61" i="6"/>
  <c r="Z61" i="5"/>
  <c r="Z61" i="7"/>
  <c r="K78" i="9"/>
  <c r="V78" i="9"/>
  <c r="G78" i="9"/>
  <c r="Q78" i="9"/>
  <c r="L78" i="9"/>
  <c r="F78" i="9"/>
  <c r="U78" i="9"/>
  <c r="P78" i="9"/>
  <c r="U75" i="9"/>
  <c r="F75" i="9"/>
  <c r="P75" i="9"/>
  <c r="V75" i="9"/>
  <c r="Q75" i="9"/>
  <c r="G75" i="9"/>
  <c r="L75" i="9"/>
  <c r="K75" i="9"/>
  <c r="Z86" i="5"/>
  <c r="Z86" i="6"/>
  <c r="Z86" i="2"/>
  <c r="AD86" i="4" s="1"/>
  <c r="AB86" i="3"/>
  <c r="B89" i="9"/>
  <c r="Z86" i="7"/>
  <c r="Z65" i="6"/>
  <c r="AB65" i="3"/>
  <c r="B68" i="9"/>
  <c r="Z65" i="2"/>
  <c r="AD65" i="4" s="1"/>
  <c r="Z65" i="5"/>
  <c r="Z65" i="7"/>
  <c r="F68" i="9" l="1"/>
  <c r="K68" i="9"/>
  <c r="U68" i="9"/>
  <c r="P68" i="9"/>
  <c r="V68" i="9"/>
  <c r="L68" i="9"/>
  <c r="Q68" i="9"/>
  <c r="G68" i="9"/>
  <c r="F89" i="9"/>
  <c r="K89" i="9"/>
  <c r="L89" i="9"/>
  <c r="V89" i="9"/>
  <c r="P89" i="9"/>
  <c r="U89" i="9"/>
  <c r="Q89" i="9"/>
  <c r="G89" i="9"/>
  <c r="P77" i="9"/>
  <c r="F77" i="9"/>
  <c r="U77" i="9"/>
  <c r="L77" i="9"/>
  <c r="K77" i="9"/>
  <c r="Q77" i="9"/>
  <c r="V77" i="9"/>
  <c r="G77" i="9"/>
  <c r="F64" i="9"/>
  <c r="U64" i="9"/>
  <c r="L64" i="9"/>
  <c r="P64" i="9"/>
  <c r="K64" i="9"/>
  <c r="Q64" i="9"/>
  <c r="V64" i="9"/>
  <c r="G64" i="9"/>
  <c r="AB68" i="3" l="1"/>
  <c r="Z68" i="6"/>
  <c r="Z68" i="7"/>
  <c r="Z68" i="2"/>
  <c r="AD68" i="4" s="1"/>
  <c r="B71" i="9"/>
  <c r="Z68" i="5"/>
  <c r="U71" i="9" l="1"/>
  <c r="F71" i="9"/>
  <c r="K71" i="9"/>
  <c r="P71" i="9"/>
  <c r="V71" i="9"/>
  <c r="Q71" i="9"/>
  <c r="G71" i="9"/>
  <c r="L71" i="9"/>
  <c r="AB71" i="3" l="1"/>
  <c r="Z71" i="5"/>
  <c r="Z71" i="6"/>
  <c r="Z71" i="2"/>
  <c r="AD71" i="4" s="1"/>
  <c r="B74" i="9"/>
  <c r="Z71" i="7"/>
  <c r="F74" i="9" l="1"/>
  <c r="K74" i="9"/>
  <c r="P74" i="9"/>
  <c r="U74" i="9"/>
  <c r="Q74" i="9"/>
  <c r="G74" i="9"/>
  <c r="L74" i="9"/>
  <c r="V74" i="9"/>
  <c r="AB51" i="3" l="1"/>
  <c r="Z51" i="6"/>
  <c r="Z51" i="2"/>
  <c r="AD51" i="4" s="1"/>
  <c r="Z51" i="7"/>
  <c r="B54" i="9"/>
  <c r="Z51" i="5"/>
  <c r="AB18" i="3" l="1"/>
  <c r="Z18" i="6"/>
  <c r="B21" i="9"/>
  <c r="Z18" i="2"/>
  <c r="AD18" i="4" s="1"/>
  <c r="Z18" i="7"/>
  <c r="Z18" i="5"/>
  <c r="P54" i="9"/>
  <c r="F54" i="9"/>
  <c r="V54" i="9"/>
  <c r="L54" i="9"/>
  <c r="Q54" i="9"/>
  <c r="G54" i="9"/>
  <c r="K54" i="9"/>
  <c r="U54" i="9"/>
  <c r="AB11" i="3" l="1"/>
  <c r="B14" i="9"/>
  <c r="Z11" i="6"/>
  <c r="Z11" i="7"/>
  <c r="Z11" i="2"/>
  <c r="AD11" i="4" s="1"/>
  <c r="Z11" i="5"/>
  <c r="AB79" i="3"/>
  <c r="B82" i="9"/>
  <c r="Z79" i="6"/>
  <c r="Z79" i="5"/>
  <c r="Z79" i="2"/>
  <c r="AD79" i="4" s="1"/>
  <c r="Z79" i="7"/>
  <c r="Z14" i="6"/>
  <c r="Z14" i="5"/>
  <c r="Z14" i="2"/>
  <c r="AD14" i="4" s="1"/>
  <c r="Z14" i="7"/>
  <c r="AB14" i="3"/>
  <c r="B17" i="9"/>
  <c r="Z16" i="5"/>
  <c r="Z16" i="2"/>
  <c r="AD16" i="4" s="1"/>
  <c r="AB16" i="3"/>
  <c r="B19" i="9"/>
  <c r="Z16" i="6"/>
  <c r="Z16" i="7"/>
  <c r="AB13" i="3"/>
  <c r="B16" i="9"/>
  <c r="Z13" i="7"/>
  <c r="Z13" i="5"/>
  <c r="Z13" i="6"/>
  <c r="Z13" i="2"/>
  <c r="AD13" i="4" s="1"/>
  <c r="Z12" i="6"/>
  <c r="Z12" i="5"/>
  <c r="AB12" i="3"/>
  <c r="B15" i="9"/>
  <c r="Z12" i="2"/>
  <c r="AD12" i="4" s="1"/>
  <c r="Z12" i="7"/>
  <c r="AB21" i="3"/>
  <c r="B24" i="9"/>
  <c r="Z21" i="6"/>
  <c r="Z21" i="2"/>
  <c r="AD21" i="4" s="1"/>
  <c r="Z21" i="5"/>
  <c r="Z21" i="7"/>
  <c r="Z20" i="6"/>
  <c r="Z20" i="5"/>
  <c r="Z20" i="7"/>
  <c r="AB20" i="3"/>
  <c r="B23" i="9"/>
  <c r="Z20" i="2"/>
  <c r="AD20" i="4" s="1"/>
  <c r="Z8" i="7"/>
  <c r="Z8" i="2"/>
  <c r="AD8" i="4" s="1"/>
  <c r="AB8" i="3"/>
  <c r="B11" i="9"/>
  <c r="Z8" i="5"/>
  <c r="Z8" i="6"/>
  <c r="B22" i="9"/>
  <c r="AB19" i="3"/>
  <c r="Z19" i="2"/>
  <c r="AD19" i="4" s="1"/>
  <c r="Z19" i="5"/>
  <c r="Z19" i="7"/>
  <c r="Z19" i="6"/>
  <c r="U21" i="9"/>
  <c r="K21" i="9"/>
  <c r="P21" i="9"/>
  <c r="F21" i="9"/>
  <c r="L21" i="9"/>
  <c r="G21" i="9"/>
  <c r="Q21" i="9"/>
  <c r="V21" i="9"/>
  <c r="AB9" i="3"/>
  <c r="B12" i="9"/>
  <c r="Z9" i="5"/>
  <c r="Z9" i="7"/>
  <c r="Z9" i="2"/>
  <c r="AD9" i="4" s="1"/>
  <c r="Z9" i="6"/>
  <c r="Z15" i="2"/>
  <c r="AD15" i="4" s="1"/>
  <c r="Z15" i="5"/>
  <c r="Z15" i="7"/>
  <c r="AB15" i="3"/>
  <c r="B18" i="9"/>
  <c r="Z15" i="6"/>
  <c r="AB23" i="3"/>
  <c r="B26" i="9"/>
  <c r="Z23" i="7"/>
  <c r="Z23" i="6"/>
  <c r="Z23" i="5"/>
  <c r="Z23" i="2"/>
  <c r="AD23" i="4" s="1"/>
  <c r="Z7" i="6"/>
  <c r="Z7" i="7"/>
  <c r="Z7" i="5"/>
  <c r="Z7" i="2"/>
  <c r="AD7" i="4" s="1"/>
  <c r="AB7" i="3"/>
  <c r="B10" i="9"/>
  <c r="F15" i="9" l="1"/>
  <c r="U15" i="9"/>
  <c r="P15" i="9"/>
  <c r="V15" i="9"/>
  <c r="K15" i="9"/>
  <c r="L15" i="9"/>
  <c r="Q15" i="9"/>
  <c r="G15" i="9"/>
  <c r="U26" i="9"/>
  <c r="P26" i="9"/>
  <c r="Q26" i="9"/>
  <c r="K26" i="9"/>
  <c r="V26" i="9"/>
  <c r="G26" i="9"/>
  <c r="L26" i="9"/>
  <c r="F26" i="9"/>
  <c r="U23" i="9"/>
  <c r="K23" i="9"/>
  <c r="P23" i="9"/>
  <c r="F23" i="9"/>
  <c r="G23" i="9"/>
  <c r="L23" i="9"/>
  <c r="Q23" i="9"/>
  <c r="V23" i="9"/>
  <c r="F16" i="9"/>
  <c r="V16" i="9"/>
  <c r="P16" i="9"/>
  <c r="K16" i="9"/>
  <c r="G16" i="9"/>
  <c r="Q16" i="9"/>
  <c r="L16" i="9"/>
  <c r="U16" i="9"/>
  <c r="F11" i="9"/>
  <c r="U11" i="9"/>
  <c r="G11" i="9"/>
  <c r="K11" i="9"/>
  <c r="P11" i="9"/>
  <c r="L11" i="9"/>
  <c r="V11" i="9"/>
  <c r="Q11" i="9"/>
  <c r="K24" i="9"/>
  <c r="G24" i="9"/>
  <c r="F24" i="9"/>
  <c r="L24" i="9"/>
  <c r="V24" i="9"/>
  <c r="Q24" i="9"/>
  <c r="U24" i="9"/>
  <c r="P24" i="9"/>
  <c r="F17" i="9"/>
  <c r="K17" i="9"/>
  <c r="P17" i="9"/>
  <c r="U17" i="9"/>
  <c r="G17" i="9"/>
  <c r="Q17" i="9"/>
  <c r="L17" i="9"/>
  <c r="V17" i="9"/>
  <c r="P14" i="9"/>
  <c r="L14" i="9"/>
  <c r="Q14" i="9"/>
  <c r="U14" i="9"/>
  <c r="V14" i="9"/>
  <c r="G14" i="9"/>
  <c r="F14" i="9"/>
  <c r="K14" i="9"/>
  <c r="F18" i="9"/>
  <c r="P18" i="9"/>
  <c r="K18" i="9"/>
  <c r="U18" i="9"/>
  <c r="V18" i="9"/>
  <c r="G18" i="9"/>
  <c r="L18" i="9"/>
  <c r="Q18" i="9"/>
  <c r="AB17" i="3"/>
  <c r="B20" i="9"/>
  <c r="Z17" i="5"/>
  <c r="Z17" i="2"/>
  <c r="AD17" i="4" s="1"/>
  <c r="Z17" i="6"/>
  <c r="Z17" i="7"/>
  <c r="U10" i="9"/>
  <c r="P10" i="9"/>
  <c r="F10" i="9"/>
  <c r="K10" i="9"/>
  <c r="Q10" i="9"/>
  <c r="L10" i="9"/>
  <c r="G10" i="9"/>
  <c r="V10" i="9"/>
  <c r="P19" i="9"/>
  <c r="V19" i="9"/>
  <c r="K19" i="9"/>
  <c r="F19" i="9"/>
  <c r="U19" i="9"/>
  <c r="G19" i="9"/>
  <c r="Q19" i="9"/>
  <c r="L19" i="9"/>
  <c r="P82" i="9"/>
  <c r="U82" i="9"/>
  <c r="G82" i="9"/>
  <c r="K82" i="9"/>
  <c r="F82" i="9"/>
  <c r="V82" i="9"/>
  <c r="L82" i="9"/>
  <c r="Q82" i="9"/>
  <c r="U12" i="9"/>
  <c r="F12" i="9"/>
  <c r="V12" i="9"/>
  <c r="Q12" i="9"/>
  <c r="G12" i="9"/>
  <c r="L12" i="9"/>
  <c r="K12" i="9"/>
  <c r="P12" i="9"/>
  <c r="P22" i="9"/>
  <c r="F22" i="9"/>
  <c r="G22" i="9"/>
  <c r="Q22" i="9"/>
  <c r="L22" i="9"/>
  <c r="V22" i="9"/>
  <c r="K22" i="9"/>
  <c r="U22" i="9"/>
  <c r="AB6" i="3" l="1"/>
  <c r="Z6" i="7"/>
  <c r="B9" i="9"/>
  <c r="Z6" i="5"/>
  <c r="Z6" i="6"/>
  <c r="Z6" i="2"/>
  <c r="AD6" i="4" s="1"/>
  <c r="K20" i="9"/>
  <c r="Q20" i="9"/>
  <c r="V20" i="9"/>
  <c r="F20" i="9"/>
  <c r="P20" i="9"/>
  <c r="L20" i="9"/>
  <c r="G20" i="9"/>
  <c r="U20" i="9"/>
  <c r="P9" i="9" l="1"/>
  <c r="K9" i="9"/>
  <c r="U9" i="9"/>
  <c r="F9" i="9"/>
  <c r="V9" i="9"/>
  <c r="L9" i="9"/>
  <c r="Q9" i="9"/>
  <c r="G9" i="9"/>
  <c r="Z31" i="6" l="1"/>
  <c r="Z31" i="5"/>
  <c r="Z31" i="2"/>
  <c r="AD31" i="4" s="1"/>
  <c r="Z31" i="7"/>
  <c r="AB31" i="3"/>
  <c r="B34" i="9"/>
  <c r="Z33" i="5"/>
  <c r="Z33" i="7"/>
  <c r="Z33" i="6"/>
  <c r="Z33" i="2"/>
  <c r="AD33" i="4" s="1"/>
  <c r="AB33" i="3"/>
  <c r="B36" i="9"/>
  <c r="AB24" i="3"/>
  <c r="B27" i="9"/>
  <c r="Z24" i="7"/>
  <c r="Z24" i="6"/>
  <c r="Z24" i="5"/>
  <c r="Z24" i="2"/>
  <c r="AD24" i="4" s="1"/>
  <c r="B39" i="9"/>
  <c r="AB36" i="3"/>
  <c r="Z36" i="5"/>
  <c r="Z36" i="6"/>
  <c r="Z36" i="7"/>
  <c r="Z36" i="2"/>
  <c r="AD36" i="4" s="1"/>
  <c r="AB34" i="3"/>
  <c r="Z34" i="5"/>
  <c r="B37" i="9"/>
  <c r="Z34" i="7"/>
  <c r="Z34" i="2"/>
  <c r="AD34" i="4" s="1"/>
  <c r="Z34" i="6"/>
  <c r="Z39" i="2"/>
  <c r="AD39" i="4" s="1"/>
  <c r="Z39" i="6"/>
  <c r="AB39" i="3"/>
  <c r="B42" i="9"/>
  <c r="Z39" i="5"/>
  <c r="Z39" i="7"/>
  <c r="AB25" i="3"/>
  <c r="B28" i="9"/>
  <c r="Z25" i="6"/>
  <c r="Z25" i="5"/>
  <c r="Z25" i="7"/>
  <c r="Z25" i="2"/>
  <c r="AD25" i="4" s="1"/>
  <c r="Z28" i="7"/>
  <c r="Z28" i="5"/>
  <c r="Z28" i="6"/>
  <c r="AB28" i="3"/>
  <c r="B31" i="9"/>
  <c r="Z28" i="2"/>
  <c r="AD28" i="4" s="1"/>
  <c r="AB44" i="3"/>
  <c r="B47" i="9"/>
  <c r="Z44" i="6"/>
  <c r="Z44" i="7"/>
  <c r="Z44" i="5"/>
  <c r="Z44" i="2"/>
  <c r="AD44" i="4" s="1"/>
  <c r="Z38" i="7" l="1"/>
  <c r="Z38" i="2"/>
  <c r="AD38" i="4" s="1"/>
  <c r="Z38" i="5"/>
  <c r="Z38" i="6"/>
  <c r="AB38" i="3"/>
  <c r="B41" i="9"/>
  <c r="V42" i="9"/>
  <c r="G42" i="9"/>
  <c r="Q42" i="9"/>
  <c r="L42" i="9"/>
  <c r="U42" i="9"/>
  <c r="P42" i="9"/>
  <c r="K42" i="9"/>
  <c r="F42" i="9"/>
  <c r="U37" i="9"/>
  <c r="Q37" i="9"/>
  <c r="G37" i="9"/>
  <c r="F37" i="9"/>
  <c r="L37" i="9"/>
  <c r="V37" i="9"/>
  <c r="P37" i="9"/>
  <c r="K37" i="9"/>
  <c r="Q31" i="9"/>
  <c r="G31" i="9"/>
  <c r="V31" i="9"/>
  <c r="L31" i="9"/>
  <c r="U31" i="9"/>
  <c r="K31" i="9"/>
  <c r="F31" i="9"/>
  <c r="P31" i="9"/>
  <c r="G39" i="9"/>
  <c r="Q39" i="9"/>
  <c r="L39" i="9"/>
  <c r="V39" i="9"/>
  <c r="F39" i="9"/>
  <c r="P39" i="9"/>
  <c r="U39" i="9"/>
  <c r="K39" i="9"/>
  <c r="U34" i="9"/>
  <c r="P34" i="9"/>
  <c r="V34" i="9"/>
  <c r="L34" i="9"/>
  <c r="Q34" i="9"/>
  <c r="G34" i="9"/>
  <c r="K34" i="9"/>
  <c r="F34" i="9"/>
  <c r="U36" i="9"/>
  <c r="F36" i="9"/>
  <c r="G36" i="9"/>
  <c r="L36" i="9"/>
  <c r="V36" i="9"/>
  <c r="Q36" i="9"/>
  <c r="P36" i="9"/>
  <c r="K36" i="9"/>
  <c r="V28" i="9"/>
  <c r="Q28" i="9"/>
  <c r="G28" i="9"/>
  <c r="L28" i="9"/>
  <c r="U28" i="9"/>
  <c r="P28" i="9"/>
  <c r="K28" i="9"/>
  <c r="F28" i="9"/>
  <c r="AB26" i="3"/>
  <c r="B29" i="9"/>
  <c r="Z26" i="7"/>
  <c r="Z26" i="2"/>
  <c r="AD26" i="4" s="1"/>
  <c r="Z26" i="6"/>
  <c r="Z26" i="5"/>
  <c r="AB30" i="3"/>
  <c r="B33" i="9"/>
  <c r="Z30" i="6"/>
  <c r="Z30" i="7"/>
  <c r="Z30" i="5"/>
  <c r="Z30" i="2"/>
  <c r="AD30" i="4" s="1"/>
  <c r="P47" i="9"/>
  <c r="V47" i="9"/>
  <c r="F47" i="9"/>
  <c r="G47" i="9"/>
  <c r="Q47" i="9"/>
  <c r="L47" i="9"/>
  <c r="K47" i="9"/>
  <c r="U47" i="9"/>
  <c r="Z35" i="7"/>
  <c r="Z35" i="6"/>
  <c r="Z35" i="5"/>
  <c r="AB35" i="3"/>
  <c r="B38" i="9"/>
  <c r="Z35" i="2"/>
  <c r="AD35" i="4" s="1"/>
  <c r="Z32" i="5"/>
  <c r="Z32" i="2"/>
  <c r="AD32" i="4" s="1"/>
  <c r="AB32" i="3"/>
  <c r="B35" i="9"/>
  <c r="Z32" i="7"/>
  <c r="Z32" i="6"/>
  <c r="AB37" i="3"/>
  <c r="B40" i="9"/>
  <c r="Z37" i="5"/>
  <c r="Z37" i="6"/>
  <c r="Z37" i="7"/>
  <c r="Z37" i="2"/>
  <c r="AD37" i="4" s="1"/>
  <c r="K27" i="9"/>
  <c r="P27" i="9"/>
  <c r="L27" i="9"/>
  <c r="Q27" i="9"/>
  <c r="G27" i="9"/>
  <c r="V27" i="9"/>
  <c r="U27" i="9"/>
  <c r="F27" i="9"/>
  <c r="K41" i="9" l="1"/>
  <c r="F41" i="9"/>
  <c r="P41" i="9"/>
  <c r="L41" i="9"/>
  <c r="Q41" i="9"/>
  <c r="U41" i="9"/>
  <c r="V41" i="9"/>
  <c r="G41" i="9"/>
  <c r="P40" i="9"/>
  <c r="F40" i="9"/>
  <c r="K40" i="9"/>
  <c r="U40" i="9"/>
  <c r="Q40" i="9"/>
  <c r="V40" i="9"/>
  <c r="L40" i="9"/>
  <c r="G40" i="9"/>
  <c r="F38" i="9"/>
  <c r="P38" i="9"/>
  <c r="K38" i="9"/>
  <c r="Q38" i="9"/>
  <c r="U38" i="9"/>
  <c r="G38" i="9"/>
  <c r="V38" i="9"/>
  <c r="L38" i="9"/>
  <c r="P29" i="9"/>
  <c r="F29" i="9"/>
  <c r="U29" i="9"/>
  <c r="K29" i="9"/>
  <c r="G29" i="9"/>
  <c r="L29" i="9"/>
  <c r="Q29" i="9"/>
  <c r="V29" i="9"/>
  <c r="K35" i="9"/>
  <c r="F35" i="9"/>
  <c r="G35" i="9"/>
  <c r="P35" i="9"/>
  <c r="U35" i="9"/>
  <c r="V35" i="9"/>
  <c r="Q35" i="9"/>
  <c r="L35" i="9"/>
  <c r="F33" i="9"/>
  <c r="P33" i="9"/>
  <c r="K33" i="9"/>
  <c r="L33" i="9"/>
  <c r="Q33" i="9"/>
  <c r="G33" i="9"/>
  <c r="U33" i="9"/>
  <c r="V33" i="9"/>
  <c r="AB41" i="3" l="1"/>
  <c r="Z41" i="5"/>
  <c r="Z41" i="6"/>
  <c r="B44" i="9"/>
  <c r="Z41" i="2"/>
  <c r="AD41" i="4" s="1"/>
  <c r="Z41" i="7"/>
  <c r="Z42" i="6" l="1"/>
  <c r="Z42" i="7"/>
  <c r="B45" i="9"/>
  <c r="Z42" i="5"/>
  <c r="AB42" i="3"/>
  <c r="Z42" i="2"/>
  <c r="AD42" i="4" s="1"/>
  <c r="G44" i="9"/>
  <c r="V44" i="9"/>
  <c r="Q44" i="9"/>
  <c r="L44" i="9"/>
  <c r="K44" i="9"/>
  <c r="P44" i="9"/>
  <c r="F44" i="9"/>
  <c r="U44" i="9"/>
  <c r="AB43" i="3"/>
  <c r="Z43" i="2"/>
  <c r="AD43" i="4" s="1"/>
  <c r="B46" i="9"/>
  <c r="Z43" i="6"/>
  <c r="Z43" i="7"/>
  <c r="Z43" i="5"/>
  <c r="F46" i="9" l="1"/>
  <c r="U46" i="9"/>
  <c r="P46" i="9"/>
  <c r="K46" i="9"/>
  <c r="V46" i="9"/>
  <c r="Q46" i="9"/>
  <c r="G46" i="9"/>
  <c r="L46" i="9"/>
  <c r="F45" i="9"/>
  <c r="U45" i="9"/>
  <c r="P45" i="9"/>
  <c r="K45" i="9"/>
  <c r="V45" i="9"/>
  <c r="Q45" i="9"/>
  <c r="G45" i="9"/>
  <c r="L45" i="9"/>
  <c r="AB54" i="3" l="1"/>
  <c r="Z54" i="6"/>
  <c r="Z54" i="2"/>
  <c r="AD54" i="4" s="1"/>
  <c r="Z54" i="7"/>
  <c r="B57" i="9"/>
  <c r="Z54" i="5"/>
  <c r="K57" i="9" l="1"/>
  <c r="U57" i="9"/>
  <c r="P57" i="9"/>
  <c r="G57" i="9"/>
  <c r="V57" i="9"/>
  <c r="Q57" i="9"/>
  <c r="F57" i="9"/>
  <c r="L57" i="9"/>
  <c r="AB58" i="3" l="1"/>
  <c r="Z58" i="7"/>
  <c r="Z58" i="5"/>
  <c r="Z58" i="2"/>
  <c r="AD58" i="4" s="1"/>
  <c r="B61" i="9"/>
  <c r="Z58" i="6"/>
  <c r="P61" i="9" l="1"/>
  <c r="U61" i="9"/>
  <c r="K61" i="9"/>
  <c r="F61" i="9"/>
  <c r="Q61" i="9"/>
  <c r="V61" i="9"/>
  <c r="G61" i="9"/>
  <c r="L61" i="9"/>
  <c r="AB64" i="3" l="1"/>
  <c r="Z64" i="6"/>
  <c r="Z64" i="2"/>
  <c r="AD64" i="4" s="1"/>
  <c r="Z64" i="5"/>
  <c r="B67" i="9"/>
  <c r="Z64" i="7"/>
  <c r="U67" i="9" l="1"/>
  <c r="K67" i="9"/>
  <c r="F67" i="9"/>
  <c r="P67" i="9"/>
  <c r="G67" i="9"/>
  <c r="Q67" i="9"/>
  <c r="L67" i="9"/>
  <c r="V67" i="9"/>
  <c r="AB22" i="3" l="1"/>
  <c r="Z22" i="5"/>
  <c r="Z22" i="6"/>
  <c r="Z22" i="7"/>
  <c r="B25" i="9"/>
  <c r="Z22" i="2"/>
  <c r="AD22" i="4" s="1"/>
  <c r="F25" i="9" l="1"/>
  <c r="K25" i="9"/>
  <c r="P25" i="9"/>
  <c r="U25" i="9"/>
  <c r="V25" i="9"/>
  <c r="G25" i="9"/>
  <c r="Q25" i="9"/>
  <c r="L25" i="9"/>
  <c r="B62" i="9" l="1"/>
  <c r="AB59" i="3"/>
  <c r="Z59" i="2"/>
  <c r="AD59" i="4" s="1"/>
  <c r="Z59" i="6"/>
  <c r="Z59" i="5"/>
  <c r="Z59" i="7"/>
  <c r="B66" i="9"/>
  <c r="AB63" i="3"/>
  <c r="Z63" i="5"/>
  <c r="Z63" i="6"/>
  <c r="Z63" i="2"/>
  <c r="AD63" i="4" s="1"/>
  <c r="Z63" i="7"/>
  <c r="Z76" i="7"/>
  <c r="B79" i="9"/>
  <c r="Z76" i="2"/>
  <c r="AD76" i="4" s="1"/>
  <c r="AB76" i="3"/>
  <c r="Z76" i="6"/>
  <c r="Z76" i="5"/>
  <c r="B69" i="9" l="1"/>
  <c r="AB66" i="3"/>
  <c r="Z66" i="5"/>
  <c r="Z66" i="6"/>
  <c r="Z66" i="7"/>
  <c r="Z66" i="2"/>
  <c r="AD66" i="4" s="1"/>
  <c r="B65" i="9"/>
  <c r="AB62" i="3"/>
  <c r="Z62" i="2"/>
  <c r="AD62" i="4" s="1"/>
  <c r="Z62" i="5"/>
  <c r="Z62" i="6"/>
  <c r="Z62" i="7"/>
  <c r="B51" i="9"/>
  <c r="AB48" i="3"/>
  <c r="Z48" i="7"/>
  <c r="Z48" i="2"/>
  <c r="AD48" i="4" s="1"/>
  <c r="Z48" i="5"/>
  <c r="Z48" i="6"/>
  <c r="B58" i="9"/>
  <c r="AB55" i="3"/>
  <c r="Z55" i="6"/>
  <c r="Z55" i="5"/>
  <c r="Z55" i="7"/>
  <c r="Z55" i="2"/>
  <c r="AD55" i="4" s="1"/>
  <c r="B43" i="9"/>
  <c r="AB40" i="3"/>
  <c r="Z40" i="7"/>
  <c r="Z40" i="5"/>
  <c r="Z40" i="6"/>
  <c r="Z40" i="2"/>
  <c r="AD40" i="4" s="1"/>
  <c r="B72" i="9"/>
  <c r="AB69" i="3"/>
  <c r="Z69" i="5"/>
  <c r="Z69" i="6"/>
  <c r="Z69" i="7"/>
  <c r="Z69" i="2"/>
  <c r="AD69" i="4" s="1"/>
  <c r="U62" i="9"/>
  <c r="K62" i="9"/>
  <c r="P62" i="9"/>
  <c r="F62" i="9"/>
  <c r="G62" i="9"/>
  <c r="V62" i="9"/>
  <c r="L62" i="9"/>
  <c r="Q62" i="9"/>
  <c r="K79" i="9"/>
  <c r="F79" i="9"/>
  <c r="V79" i="9"/>
  <c r="P79" i="9"/>
  <c r="U79" i="9"/>
  <c r="L79" i="9"/>
  <c r="Q79" i="9"/>
  <c r="G79" i="9"/>
  <c r="K66" i="9"/>
  <c r="F66" i="9"/>
  <c r="P66" i="9"/>
  <c r="U66" i="9"/>
  <c r="G66" i="9"/>
  <c r="Q66" i="9"/>
  <c r="V66" i="9"/>
  <c r="L66" i="9"/>
  <c r="F51" i="9" l="1"/>
  <c r="U51" i="9"/>
  <c r="K51" i="9"/>
  <c r="P51" i="9"/>
  <c r="V51" i="9"/>
  <c r="L51" i="9"/>
  <c r="G51" i="9"/>
  <c r="Q51" i="9"/>
  <c r="P58" i="9"/>
  <c r="F58" i="9"/>
  <c r="U58" i="9"/>
  <c r="K58" i="9"/>
  <c r="G58" i="9"/>
  <c r="L58" i="9"/>
  <c r="Q58" i="9"/>
  <c r="V58" i="9"/>
  <c r="F43" i="9"/>
  <c r="K43" i="9"/>
  <c r="P43" i="9"/>
  <c r="U43" i="9"/>
  <c r="G43" i="9"/>
  <c r="V43" i="9"/>
  <c r="L43" i="9"/>
  <c r="Q43" i="9"/>
  <c r="U72" i="9"/>
  <c r="P72" i="9"/>
  <c r="F72" i="9"/>
  <c r="K72" i="9"/>
  <c r="Q72" i="9"/>
  <c r="V72" i="9"/>
  <c r="G72" i="9"/>
  <c r="L72" i="9"/>
  <c r="F69" i="9"/>
  <c r="K69" i="9"/>
  <c r="P69" i="9"/>
  <c r="U69" i="9"/>
  <c r="G69" i="9"/>
  <c r="V69" i="9"/>
  <c r="L69" i="9"/>
  <c r="Q69" i="9"/>
  <c r="P65" i="9"/>
  <c r="U65" i="9"/>
  <c r="K65" i="9"/>
  <c r="F65" i="9"/>
  <c r="L65" i="9"/>
  <c r="Q65" i="9"/>
  <c r="V65" i="9"/>
  <c r="G65" i="9"/>
  <c r="B73" i="9" l="1"/>
  <c r="AB70" i="3"/>
  <c r="Z70" i="2"/>
  <c r="AD70" i="4" s="1"/>
  <c r="Z70" i="6"/>
  <c r="Z70" i="7"/>
  <c r="Z70" i="5"/>
  <c r="P73" i="9" l="1"/>
  <c r="U73" i="9"/>
  <c r="F73" i="9"/>
  <c r="K73" i="9"/>
  <c r="G73" i="9"/>
  <c r="Q73" i="9"/>
  <c r="L73" i="9"/>
  <c r="V73" i="9"/>
  <c r="AB10" i="3" l="1"/>
  <c r="Z10" i="2"/>
  <c r="AD10" i="4" s="1"/>
  <c r="Z10" i="5"/>
  <c r="Z10" i="7"/>
  <c r="B13" i="9"/>
  <c r="Z10" i="6"/>
  <c r="U13" i="9" l="1"/>
  <c r="P13" i="9"/>
  <c r="K13" i="9"/>
  <c r="Q13" i="9"/>
  <c r="L13" i="9"/>
  <c r="F13" i="9"/>
  <c r="G13" i="9"/>
  <c r="V13" i="9"/>
  <c r="AB78" i="3" l="1"/>
  <c r="Z78" i="5"/>
  <c r="Z78" i="6"/>
  <c r="Z78" i="7"/>
  <c r="B81" i="9"/>
  <c r="Z78" i="2"/>
  <c r="AD78" i="4" s="1"/>
  <c r="P81" i="9" l="1"/>
  <c r="U81" i="9"/>
  <c r="F81" i="9"/>
  <c r="Q81" i="9"/>
  <c r="G81" i="9"/>
  <c r="V81" i="9"/>
  <c r="K81" i="9"/>
  <c r="L81" i="9"/>
  <c r="B93" i="9" l="1"/>
  <c r="AB90" i="3"/>
  <c r="Z90" i="2"/>
  <c r="AD90" i="4" s="1"/>
  <c r="Z90" i="7"/>
  <c r="Z90" i="6"/>
  <c r="Z90" i="5"/>
  <c r="P93" i="9" l="1"/>
  <c r="F93" i="9"/>
  <c r="U93" i="9"/>
  <c r="K93" i="9"/>
  <c r="G93" i="9"/>
  <c r="V93" i="9"/>
  <c r="L93" i="9"/>
  <c r="Q93" i="9"/>
  <c r="AB87" i="3" l="1"/>
  <c r="Z87" i="6"/>
  <c r="Z87" i="5"/>
  <c r="Z87" i="7"/>
  <c r="B90" i="9"/>
  <c r="Z87" i="2"/>
  <c r="AD87" i="4" s="1"/>
  <c r="K90" i="9" l="1"/>
  <c r="U90" i="9"/>
  <c r="P90" i="9"/>
  <c r="F90" i="9"/>
  <c r="L90" i="9"/>
  <c r="Q90" i="9"/>
  <c r="G90" i="9"/>
  <c r="V90" i="9"/>
  <c r="B94" i="9" l="1"/>
  <c r="AB91" i="3"/>
  <c r="Z91" i="6"/>
  <c r="Z91" i="2"/>
  <c r="AD91" i="4" s="1"/>
  <c r="Z91" i="7"/>
  <c r="Z91" i="5"/>
  <c r="K94" i="9" l="1"/>
  <c r="U94" i="9"/>
  <c r="F94" i="9"/>
  <c r="P94" i="9"/>
  <c r="G94" i="9"/>
  <c r="L94" i="9"/>
  <c r="V94" i="9"/>
  <c r="Q94" i="9"/>
  <c r="K27" i="3" l="1"/>
  <c r="C30" i="9" l="1"/>
  <c r="S27" i="6"/>
  <c r="S27" i="5"/>
  <c r="S27" i="2"/>
  <c r="S27" i="7"/>
  <c r="AB27" i="3" l="1"/>
  <c r="B30" i="9"/>
  <c r="AB27" i="7"/>
  <c r="Y27" i="7"/>
  <c r="Z27" i="7" s="1"/>
  <c r="X27" i="4"/>
  <c r="AB27" i="2"/>
  <c r="AF27" i="4" s="1"/>
  <c r="Y27" i="2"/>
  <c r="Y27" i="5"/>
  <c r="AB27" i="5"/>
  <c r="AB27" i="6"/>
  <c r="Y27" i="6"/>
  <c r="T30" i="9"/>
  <c r="Q30" i="9" s="1"/>
  <c r="O30" i="9"/>
  <c r="L30" i="9" s="1"/>
  <c r="I30" i="9"/>
  <c r="J30" i="9" s="1"/>
  <c r="G30" i="9" s="1"/>
  <c r="Y30" i="9"/>
  <c r="V30" i="9" s="1"/>
  <c r="K29" i="3"/>
  <c r="F27" i="4" l="1"/>
  <c r="Z27" i="5"/>
  <c r="AC27" i="4"/>
  <c r="E27" i="4"/>
  <c r="C27" i="4" s="1"/>
  <c r="Z27" i="2"/>
  <c r="AD27" i="4" s="1"/>
  <c r="D27" i="4"/>
  <c r="Z27" i="6"/>
  <c r="F30" i="9"/>
  <c r="K30" i="9"/>
  <c r="U30" i="9"/>
  <c r="P30" i="9"/>
  <c r="S29" i="7"/>
  <c r="S29" i="6"/>
  <c r="C32" i="9"/>
  <c r="S29" i="5"/>
  <c r="S29" i="2"/>
  <c r="AB29" i="3" l="1"/>
  <c r="B32" i="9"/>
  <c r="X29" i="4"/>
  <c r="Y29" i="2"/>
  <c r="AB29" i="2"/>
  <c r="AF29" i="4" s="1"/>
  <c r="AB29" i="5"/>
  <c r="Y29" i="5"/>
  <c r="T32" i="9"/>
  <c r="Q32" i="9" s="1"/>
  <c r="I32" i="9"/>
  <c r="J32" i="9" s="1"/>
  <c r="G32" i="9" s="1"/>
  <c r="Y32" i="9"/>
  <c r="V32" i="9" s="1"/>
  <c r="O32" i="9"/>
  <c r="L32" i="9" s="1"/>
  <c r="AB29" i="6"/>
  <c r="Y29" i="6"/>
  <c r="AB29" i="7"/>
  <c r="Y29" i="7"/>
  <c r="Z29" i="7" s="1"/>
  <c r="F29" i="4" l="1"/>
  <c r="Z29" i="5"/>
  <c r="D29" i="4"/>
  <c r="Z29" i="6"/>
  <c r="AC29" i="4"/>
  <c r="E29" i="4"/>
  <c r="C29" i="4" s="1"/>
  <c r="Z29" i="2"/>
  <c r="AD29" i="4" s="1"/>
  <c r="U32" i="9"/>
  <c r="P32" i="9"/>
  <c r="F32" i="9"/>
  <c r="K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Hornsby, Rachael</author>
  </authors>
  <commentList>
    <comment ref="A2" authorId="0" shapeId="0" xr:uid="{EA247C33-3B14-4099-93A2-8881ECF53628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Change to 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Hornsby, Rachael</author>
  </authors>
  <commentList>
    <comment ref="P4" authorId="0" shapeId="0" xr:uid="{EA7372CB-355F-429C-9D5B-E2375629533D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only required when Method Select = Imputation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Hornsby, Rachael</author>
  </authors>
  <commentList>
    <comment ref="B2" authorId="0" shapeId="0" xr:uid="{2667CD9B-C3C5-4442-A7C0-28C4E8FC6D5B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adults only</t>
        </r>
      </text>
    </comment>
    <comment ref="D2" authorId="0" shapeId="0" xr:uid="{C634C804-68EB-42D6-A6BE-6654C19D4942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Adults only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Hornsby, Rachael</author>
  </authors>
  <commentList>
    <comment ref="D2" authorId="0" shapeId="0" xr:uid="{CFF39B9F-8D4A-4B68-BC88-57EC34352C36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Formula from last year didn't work, added summary column to salmon passage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Hornsby, Rachael</author>
  </authors>
  <commentList>
    <comment ref="B4" authorId="0" shapeId="0" xr:uid="{60BAB02B-DE4F-4844-819E-CB8A62739BCE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If the method here differs from that on "Salmon Passage by Bin" it may be because it was an imputation day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Hornsby, Rachael</author>
  </authors>
  <commentList>
    <comment ref="B4" authorId="0" shapeId="0" xr:uid="{33FA3434-745D-4778-9E0C-DF8A5AF2AEC4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If the method here differs from that on "Salmon Passage by Bin" it may be because it was an imputation day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Hornsby, Rachael</author>
  </authors>
  <commentList>
    <comment ref="B4" authorId="0" shapeId="0" xr:uid="{0447D722-C43C-47CC-B4F1-4085A5841E79}">
      <text>
        <r>
          <rPr>
            <b/>
            <sz val="9"/>
            <color indexed="81"/>
            <rFont val="Tahoma"/>
            <family val="2"/>
          </rPr>
          <t>Hornsby, Rachael:</t>
        </r>
        <r>
          <rPr>
            <sz val="9"/>
            <color indexed="81"/>
            <rFont val="Tahoma"/>
            <family val="2"/>
          </rPr>
          <t xml:space="preserve">
If the method here differs from that on "Salmon Passage by Bin" it may be because it was an imputation day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Jenkins, Erica</author>
  </authors>
  <commentList>
    <comment ref="BC1" authorId="0" shapeId="0" xr:uid="{AA0851E7-67BC-4B2D-BE27-1C6C4AE1ECDA}">
      <text>
        <r>
          <rPr>
            <b/>
            <sz val="9"/>
            <color indexed="81"/>
            <rFont val="Tahoma"/>
            <family val="2"/>
          </rPr>
          <t>Jenkins, Erica:</t>
        </r>
        <r>
          <rPr>
            <sz val="9"/>
            <color indexed="81"/>
            <rFont val="Tahoma"/>
            <family val="2"/>
          </rPr>
          <t xml:space="preserve">
Does not include formats for header row - these are formated for easier distinction of species.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<sst xmlns="http://schemas.openxmlformats.org/spreadsheetml/2006/main" count="601" uniqueCount="164">
  <si>
    <t>Mission Date</t>
  </si>
  <si>
    <t>Mean Length and Sigma Values</t>
  </si>
  <si>
    <t>Pink</t>
  </si>
  <si>
    <t>Sockeye</t>
  </si>
  <si>
    <t>Chinook</t>
  </si>
  <si>
    <t>Chinook Jacks</t>
  </si>
  <si>
    <t>Mean Length</t>
  </si>
  <si>
    <t>Sigma</t>
  </si>
  <si>
    <t>Left-bank Bin2</t>
  </si>
  <si>
    <t>Left-bank Bin3</t>
  </si>
  <si>
    <t>Salmon Percentages</t>
  </si>
  <si>
    <t>Mixture Model</t>
  </si>
  <si>
    <t>Inputs from Mixture Model Results</t>
  </si>
  <si>
    <t>Right-bank Bin1</t>
  </si>
  <si>
    <t>Right-bank Bin2</t>
  </si>
  <si>
    <t>Right-bank Bin3</t>
  </si>
  <si>
    <t>Proportions</t>
  </si>
  <si>
    <t>Daily Passage</t>
  </si>
  <si>
    <t>Offshore</t>
  </si>
  <si>
    <t>Daily Total Chinook</t>
  </si>
  <si>
    <t>Summary Data</t>
  </si>
  <si>
    <t>Method Select</t>
  </si>
  <si>
    <t>Daily Chinook %</t>
  </si>
  <si>
    <t>Daily Chinook % by Area</t>
  </si>
  <si>
    <t>Left-bank %</t>
  </si>
  <si>
    <t>Mobile %</t>
  </si>
  <si>
    <t>Right Bank %</t>
  </si>
  <si>
    <t>Bin 1</t>
  </si>
  <si>
    <t>Bin 2</t>
  </si>
  <si>
    <t>Bin 3</t>
  </si>
  <si>
    <t>Bin 4</t>
  </si>
  <si>
    <t>Bin 5</t>
  </si>
  <si>
    <t>Bin 6</t>
  </si>
  <si>
    <t>Whonnock GG</t>
  </si>
  <si>
    <t>* have this link directly to TFDB output</t>
  </si>
  <si>
    <t>Chinook Adult Percentages</t>
  </si>
  <si>
    <t>Chinook Jack Percentages</t>
  </si>
  <si>
    <t>Right-bank</t>
  </si>
  <si>
    <t>Left-bank</t>
  </si>
  <si>
    <t>This data is grabbed from the Cross River Flux spreadsheet and depends on the method which is selected in the Mission Passage spreadsheet.</t>
  </si>
  <si>
    <t>Selected</t>
  </si>
  <si>
    <t>Adult+Jack</t>
  </si>
  <si>
    <t>Jacks Only</t>
  </si>
  <si>
    <t>Adults Only</t>
  </si>
  <si>
    <t>Select</t>
  </si>
  <si>
    <t>Select Method of Chinook Estimation</t>
  </si>
  <si>
    <t>Methods</t>
  </si>
  <si>
    <t>Custom Bin Data (Daily)</t>
  </si>
  <si>
    <t>Salmon Passage by Bin (Daily)</t>
  </si>
  <si>
    <t>Pink Percentages</t>
  </si>
  <si>
    <t>Daily Total Pinks</t>
  </si>
  <si>
    <t>Daily Pink %</t>
  </si>
  <si>
    <t>Daily Pink % by Area</t>
  </si>
  <si>
    <t>Number of Groups</t>
  </si>
  <si>
    <t>Left-bank Bin1 Aim1</t>
  </si>
  <si>
    <t>Left-bank Bin1 Aim2</t>
  </si>
  <si>
    <t>Year</t>
  </si>
  <si>
    <t>GVB</t>
  </si>
  <si>
    <t>CHAN</t>
  </si>
  <si>
    <t>T...\2020\WhonnockSpeciesComposition.xlsx</t>
  </si>
  <si>
    <t>T:\Testfish\InternalReports\2020\FisherySummaryTables.xlsx</t>
  </si>
  <si>
    <t>Format Key</t>
  </si>
  <si>
    <t>Data Entry: Whonnock Gilled and Girthed vs Tangled</t>
  </si>
  <si>
    <t>Calculations: Species composition (based on G/G only, Tangled only, and Total)</t>
  </si>
  <si>
    <t>Calculations: Use either G/G or Total for % species composition</t>
  </si>
  <si>
    <t>Entered value</t>
  </si>
  <si>
    <t>Calculated value</t>
  </si>
  <si>
    <t>Linked value</t>
  </si>
  <si>
    <t>Sox Adult</t>
  </si>
  <si>
    <t>Sox Jack</t>
  </si>
  <si>
    <t>Pinks</t>
  </si>
  <si>
    <t>Chin Adult</t>
  </si>
  <si>
    <t>Chin Jack</t>
  </si>
  <si>
    <t>Coho</t>
  </si>
  <si>
    <t>Chum</t>
  </si>
  <si>
    <t>Sockeye Adults</t>
  </si>
  <si>
    <t>Sockeye Jacks</t>
  </si>
  <si>
    <t>Chinook Adults</t>
  </si>
  <si>
    <t>DoY</t>
  </si>
  <si>
    <t>GG or Ttl?</t>
  </si>
  <si>
    <t>G/G</t>
  </si>
  <si>
    <t>Tang</t>
  </si>
  <si>
    <t>Total</t>
  </si>
  <si>
    <t>Use</t>
  </si>
  <si>
    <t>Err. Chk</t>
  </si>
  <si>
    <t>Bin 1 Aim 1</t>
  </si>
  <si>
    <t>Bin 1 Aim 2</t>
  </si>
  <si>
    <t>LB
 Bin 1
 Aim 1</t>
  </si>
  <si>
    <t>LB 
Bin 1
 Aim 1</t>
  </si>
  <si>
    <t>LB
 Bin 1 
Aim 2</t>
  </si>
  <si>
    <t>RB 
Bin 1</t>
  </si>
  <si>
    <t>LB
 Bin 1
 Aim 2</t>
  </si>
  <si>
    <t>LB 
Bin 1
 Aim 2</t>
  </si>
  <si>
    <t>RB
 Bin 1</t>
  </si>
  <si>
    <t>LB
 Bin 2</t>
  </si>
  <si>
    <t>RB 
Bin 2</t>
  </si>
  <si>
    <t>LB 
Bin 2</t>
  </si>
  <si>
    <t>RB
 Bin 2</t>
  </si>
  <si>
    <t>LB 
Bin 3</t>
  </si>
  <si>
    <t>RB 
Bin 3</t>
  </si>
  <si>
    <t>LB
 Bin 3</t>
  </si>
  <si>
    <t>RB
 Bin 3</t>
  </si>
  <si>
    <t>Left-bank Bin4</t>
  </si>
  <si>
    <t>Left-bank Bin5</t>
  </si>
  <si>
    <t>Left-bank Bin6</t>
  </si>
  <si>
    <t>LB
Bin 1
Combined</t>
  </si>
  <si>
    <t>Left-bank
Bin1
Combined</t>
  </si>
  <si>
    <t>Date</t>
  </si>
  <si>
    <t>DailyTotalSalmon</t>
  </si>
  <si>
    <t>M.Flux</t>
  </si>
  <si>
    <t>RB.Flux</t>
  </si>
  <si>
    <t>Daily non-pink salmon</t>
  </si>
  <si>
    <t>%Pink</t>
  </si>
  <si>
    <t>%Pink.FW</t>
  </si>
  <si>
    <t>%Pink.M</t>
  </si>
  <si>
    <t>LB.Flux</t>
  </si>
  <si>
    <t>Sockeye.Catch</t>
  </si>
  <si>
    <t>Pink.Catch</t>
  </si>
  <si>
    <t>Chinook.Catch</t>
  </si>
  <si>
    <t>Jack.Catch</t>
  </si>
  <si>
    <t>Pink.%</t>
  </si>
  <si>
    <t>Fishwheel Catch Inputs</t>
  </si>
  <si>
    <t>Passage Estimates</t>
  </si>
  <si>
    <t>TOTAL DAILY PINK</t>
  </si>
  <si>
    <t>Sox.%</t>
  </si>
  <si>
    <t>Pink Species Composition</t>
  </si>
  <si>
    <t>Sox Species Composition</t>
  </si>
  <si>
    <t>Daily non-sockeye salmon</t>
  </si>
  <si>
    <t>% Sox</t>
  </si>
  <si>
    <t>%Sox.FW</t>
  </si>
  <si>
    <t>%Sox.M</t>
  </si>
  <si>
    <t>TOTAL DAILY SOCKEYE</t>
  </si>
  <si>
    <t>Unweighted</t>
  </si>
  <si>
    <t>ML - Unweighted</t>
  </si>
  <si>
    <t>ML - Weighted</t>
  </si>
  <si>
    <t>Spline DFA</t>
  </si>
  <si>
    <t>Spline Threshold</t>
  </si>
  <si>
    <t>Select Method</t>
  </si>
  <si>
    <t>SalmonProp Lookup</t>
  </si>
  <si>
    <t>Weighted</t>
  </si>
  <si>
    <t>SplineDFA</t>
  </si>
  <si>
    <t>SplineThreshold</t>
  </si>
  <si>
    <t>Method Lookup</t>
  </si>
  <si>
    <t>Chin.%</t>
  </si>
  <si>
    <t>Jack.%</t>
  </si>
  <si>
    <t>Chin Species Composition</t>
  </si>
  <si>
    <t>% Chin</t>
  </si>
  <si>
    <t>%Chin.FW</t>
  </si>
  <si>
    <t>%Chin.M</t>
  </si>
  <si>
    <t>Jack Species Composition</t>
  </si>
  <si>
    <t>Daily non-jack salmon</t>
  </si>
  <si>
    <t>% Jack</t>
  </si>
  <si>
    <t>%Jack.FW</t>
  </si>
  <si>
    <t>%Jack.M</t>
  </si>
  <si>
    <t>TOTAL DAILY JACKS</t>
  </si>
  <si>
    <t>TOTAL DAILY CHINOOK</t>
  </si>
  <si>
    <t>Sample Size</t>
  </si>
  <si>
    <t>=SUMPRODUCT(SUMIF(INDIRECT("L6","M6","O6","P6","Q6","R6","S6","T6","U6",V6","W6"), "&lt;&gt;#N/A"))</t>
  </si>
  <si>
    <t>`=IF($B6="M", $T6, IF(ISNUMBER(SEARCH("A1*",$B6)), SUMIF(ARISBin1, &lt;&gt;"#N/A"),SUMIF(N6:W6,&lt;&gt;"N/A"))</t>
  </si>
  <si>
    <t>System Combination Imputation</t>
  </si>
  <si>
    <t>S1+M+A2</t>
  </si>
  <si>
    <t>A1+S1+M2+A2</t>
  </si>
  <si>
    <t>Error Check</t>
  </si>
  <si>
    <t>Right-bank Bin4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</si>
</sst>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_)"/>
    <numFmt numFmtId="165" formatCode="0.0"/>
    <numFmt numFmtId="166" formatCode="#,##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rgb="FF22222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3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0" tint="-0.249977111117893"/>
      </left>
      <right/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5" fillId="2" borderId="0" applyNumberFormat="0" applyAlignment="0" applyProtection="0"/>
    <xf numFmtId="0" fontId="7" fillId="9" borderId="0" applyNumberFormat="0" applyAlignment="0" applyProtection="0"/>
    <xf numFmtId="0" fontId="8" fillId="10" borderId="0" applyNumberFormat="0" applyAlignment="0" applyProtection="0"/>
    <xf numFmtId="0" fontId="12" fillId="0" borderId="0" applyNumberFormat="0" applyFill="0" applyBorder="0" applyAlignment="0" applyProtection="0"/>
    <xf numFmtId="0" fontId="25" fillId="19" borderId="13" applyBorder="0">
      <alignment horizontal="left"/>
    </xf>
  </cellStyleXfs>
  <cellXfs count="303">
    <xf numFmtId="0" fontId="0" fillId="0" borderId="0" xfId="0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0" xfId="0" applyNumberFormat="1" applyBorder="1"/>
    <xf numFmtId="14" fontId="0" fillId="0" borderId="11" xfId="0" applyNumberFormat="1" applyBorder="1"/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7" fillId="9" borderId="20" xfId="3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9" borderId="12" xfId="3" applyNumberFormat="1" applyBorder="1" applyAlignment="1">
      <alignment horizontal="center"/>
    </xf>
    <xf numFmtId="9" fontId="7" fillId="9" borderId="0" xfId="3" applyNumberFormat="1" applyAlignment="1">
      <alignment horizontal="center"/>
    </xf>
    <xf numFmtId="0" fontId="0" fillId="0" borderId="21" xfId="0" applyBorder="1"/>
    <xf numFmtId="0" fontId="0" fillId="0" borderId="22" xfId="0" applyBorder="1"/>
    <xf numFmtId="14" fontId="0" fillId="0" borderId="22" xfId="0" applyNumberFormat="1" applyBorder="1"/>
    <xf numFmtId="14" fontId="0" fillId="0" borderId="23" xfId="0" applyNumberFormat="1" applyBorder="1"/>
    <xf numFmtId="1" fontId="8" fillId="10" borderId="0" xfId="4" applyNumberFormat="1" applyAlignment="1">
      <alignment horizontal="center"/>
    </xf>
    <xf numFmtId="9" fontId="7" fillId="9" borderId="7" xfId="3" applyNumberFormat="1" applyBorder="1" applyAlignment="1">
      <alignment horizontal="center"/>
    </xf>
    <xf numFmtId="9" fontId="7" fillId="9" borderId="20" xfId="3" applyNumberFormat="1" applyBorder="1" applyAlignment="1">
      <alignment horizontal="center"/>
    </xf>
    <xf numFmtId="3" fontId="8" fillId="10" borderId="0" xfId="4" applyNumberFormat="1" applyAlignment="1">
      <alignment horizontal="center"/>
    </xf>
    <xf numFmtId="0" fontId="0" fillId="11" borderId="0" xfId="0" applyFill="1" applyBorder="1" applyAlignment="1">
      <alignment horizontal="center" wrapText="1"/>
    </xf>
    <xf numFmtId="0" fontId="0" fillId="12" borderId="0" xfId="0" applyFill="1" applyBorder="1" applyAlignment="1">
      <alignment horizontal="center" wrapText="1"/>
    </xf>
    <xf numFmtId="0" fontId="0" fillId="12" borderId="7" xfId="0" applyFill="1" applyBorder="1" applyAlignment="1">
      <alignment horizontal="center" wrapText="1"/>
    </xf>
    <xf numFmtId="0" fontId="0" fillId="13" borderId="0" xfId="0" applyFill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3" fontId="7" fillId="9" borderId="20" xfId="3" applyNumberFormat="1" applyBorder="1" applyAlignment="1">
      <alignment horizontal="center"/>
    </xf>
    <xf numFmtId="3" fontId="7" fillId="9" borderId="0" xfId="3" applyNumberFormat="1" applyBorder="1" applyAlignment="1">
      <alignment horizontal="center"/>
    </xf>
    <xf numFmtId="9" fontId="7" fillId="9" borderId="14" xfId="3" applyNumberFormat="1" applyBorder="1" applyAlignment="1">
      <alignment horizontal="center"/>
    </xf>
    <xf numFmtId="9" fontId="7" fillId="9" borderId="4" xfId="3" applyNumberFormat="1" applyBorder="1" applyAlignment="1">
      <alignment horizontal="center"/>
    </xf>
    <xf numFmtId="9" fontId="7" fillId="9" borderId="12" xfId="3" applyNumberFormat="1" applyBorder="1" applyAlignment="1">
      <alignment horizontal="center"/>
    </xf>
    <xf numFmtId="9" fontId="7" fillId="9" borderId="8" xfId="3" applyNumberFormat="1" applyBorder="1" applyAlignment="1">
      <alignment horizontal="center"/>
    </xf>
    <xf numFmtId="1" fontId="8" fillId="10" borderId="4" xfId="4" applyNumberFormat="1" applyBorder="1" applyAlignment="1">
      <alignment horizontal="center"/>
    </xf>
    <xf numFmtId="3" fontId="8" fillId="10" borderId="4" xfId="4" applyNumberFormat="1" applyBorder="1" applyAlignment="1">
      <alignment horizontal="center"/>
    </xf>
    <xf numFmtId="3" fontId="9" fillId="0" borderId="0" xfId="0" applyNumberFormat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13" xfId="1" applyFont="1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5" xfId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14" xfId="1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3" fontId="5" fillId="2" borderId="1" xfId="2" applyNumberFormat="1" applyBorder="1"/>
    <xf numFmtId="3" fontId="5" fillId="2" borderId="19" xfId="2" applyNumberFormat="1" applyBorder="1"/>
    <xf numFmtId="0" fontId="0" fillId="0" borderId="4" xfId="0" applyBorder="1"/>
    <xf numFmtId="0" fontId="0" fillId="0" borderId="5" xfId="0" applyBorder="1"/>
    <xf numFmtId="0" fontId="5" fillId="2" borderId="0" xfId="2" applyBorder="1" applyAlignment="1">
      <alignment horizontal="center"/>
    </xf>
    <xf numFmtId="3" fontId="8" fillId="10" borderId="0" xfId="4" applyNumberFormat="1" applyBorder="1" applyAlignment="1">
      <alignment horizontal="center"/>
    </xf>
    <xf numFmtId="3" fontId="8" fillId="10" borderId="3" xfId="4" applyNumberFormat="1" applyBorder="1" applyAlignment="1">
      <alignment horizontal="center"/>
    </xf>
    <xf numFmtId="0" fontId="5" fillId="2" borderId="4" xfId="2" applyBorder="1" applyAlignment="1">
      <alignment horizontal="center"/>
    </xf>
    <xf numFmtId="3" fontId="8" fillId="10" borderId="5" xfId="4" applyNumberFormat="1" applyBorder="1" applyAlignment="1">
      <alignment horizontal="center"/>
    </xf>
    <xf numFmtId="3" fontId="8" fillId="10" borderId="20" xfId="4" applyNumberFormat="1" applyBorder="1" applyAlignment="1">
      <alignment horizontal="center"/>
    </xf>
    <xf numFmtId="3" fontId="8" fillId="10" borderId="12" xfId="4" applyNumberFormat="1" applyBorder="1" applyAlignment="1">
      <alignment horizontal="center"/>
    </xf>
    <xf numFmtId="3" fontId="5" fillId="2" borderId="22" xfId="2" applyNumberFormat="1" applyBorder="1"/>
    <xf numFmtId="3" fontId="5" fillId="2" borderId="0" xfId="2" applyNumberFormat="1" applyBorder="1"/>
    <xf numFmtId="3" fontId="5" fillId="2" borderId="20" xfId="2" applyNumberFormat="1" applyBorder="1"/>
    <xf numFmtId="3" fontId="5" fillId="2" borderId="3" xfId="2" applyNumberFormat="1" applyBorder="1"/>
    <xf numFmtId="3" fontId="5" fillId="2" borderId="23" xfId="2" applyNumberFormat="1" applyBorder="1"/>
    <xf numFmtId="3" fontId="5" fillId="2" borderId="4" xfId="2" applyNumberFormat="1" applyBorder="1"/>
    <xf numFmtId="3" fontId="5" fillId="2" borderId="12" xfId="2" applyNumberFormat="1" applyBorder="1"/>
    <xf numFmtId="3" fontId="5" fillId="2" borderId="5" xfId="2" applyNumberFormat="1" applyBorder="1"/>
    <xf numFmtId="9" fontId="7" fillId="9" borderId="13" xfId="3" applyNumberFormat="1" applyBorder="1" applyAlignment="1">
      <alignment horizontal="center"/>
    </xf>
    <xf numFmtId="9" fontId="7" fillId="9" borderId="0" xfId="3" applyNumberFormat="1" applyBorder="1" applyAlignment="1">
      <alignment horizontal="center"/>
    </xf>
    <xf numFmtId="0" fontId="0" fillId="0" borderId="0" xfId="0" applyBorder="1"/>
    <xf numFmtId="0" fontId="0" fillId="0" borderId="20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6" fillId="9" borderId="0" xfId="0" applyFont="1" applyFill="1" applyBorder="1" applyAlignment="1">
      <alignment horizontal="center"/>
    </xf>
    <xf numFmtId="1" fontId="8" fillId="10" borderId="0" xfId="4" applyNumberFormat="1" applyBorder="1" applyAlignment="1">
      <alignment horizontal="center"/>
    </xf>
    <xf numFmtId="0" fontId="9" fillId="0" borderId="0" xfId="0" applyFont="1" applyAlignment="1">
      <alignment horizontal="center"/>
    </xf>
    <xf numFmtId="0" fontId="13" fillId="8" borderId="0" xfId="0" applyFont="1" applyFill="1"/>
    <xf numFmtId="0" fontId="13" fillId="14" borderId="0" xfId="0" applyFont="1" applyFill="1"/>
    <xf numFmtId="0" fontId="12" fillId="0" borderId="0" xfId="5"/>
    <xf numFmtId="0" fontId="8" fillId="9" borderId="30" xfId="0" applyFont="1" applyFill="1" applyBorder="1"/>
    <xf numFmtId="0" fontId="15" fillId="17" borderId="0" xfId="0" applyFont="1" applyFill="1"/>
    <xf numFmtId="0" fontId="16" fillId="9" borderId="0" xfId="0" applyFont="1" applyFill="1"/>
    <xf numFmtId="16" fontId="0" fillId="0" borderId="0" xfId="0" applyNumberFormat="1"/>
    <xf numFmtId="0" fontId="9" fillId="0" borderId="31" xfId="0" applyFont="1" applyBorder="1" applyAlignment="1">
      <alignment horizontal="center" wrapText="1"/>
    </xf>
    <xf numFmtId="0" fontId="9" fillId="0" borderId="32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5" xfId="0" applyFont="1" applyBorder="1"/>
    <xf numFmtId="0" fontId="9" fillId="0" borderId="24" xfId="0" applyFont="1" applyBorder="1"/>
    <xf numFmtId="0" fontId="9" fillId="0" borderId="26" xfId="0" applyFont="1" applyBorder="1"/>
    <xf numFmtId="0" fontId="9" fillId="0" borderId="0" xfId="0" applyFont="1"/>
    <xf numFmtId="164" fontId="16" fillId="9" borderId="0" xfId="0" applyNumberFormat="1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1" fontId="16" fillId="9" borderId="0" xfId="0" applyNumberFormat="1" applyFont="1" applyFill="1" applyAlignment="1">
      <alignment horizontal="center"/>
    </xf>
    <xf numFmtId="9" fontId="18" fillId="0" borderId="13" xfId="1" quotePrefix="1" applyFont="1" applyBorder="1"/>
    <xf numFmtId="9" fontId="18" fillId="0" borderId="0" xfId="1" quotePrefix="1" applyFont="1" applyBorder="1"/>
    <xf numFmtId="9" fontId="18" fillId="0" borderId="0" xfId="1" applyFont="1" applyBorder="1"/>
    <xf numFmtId="9" fontId="18" fillId="0" borderId="7" xfId="1" applyFont="1" applyBorder="1"/>
    <xf numFmtId="1" fontId="18" fillId="0" borderId="0" xfId="1" quotePrefix="1" applyNumberFormat="1" applyFont="1"/>
    <xf numFmtId="9" fontId="18" fillId="0" borderId="0" xfId="1" quotePrefix="1" applyFont="1"/>
    <xf numFmtId="9" fontId="0" fillId="0" borderId="0" xfId="0" applyNumberFormat="1"/>
    <xf numFmtId="0" fontId="19" fillId="0" borderId="0" xfId="0" applyFont="1"/>
    <xf numFmtId="10" fontId="18" fillId="0" borderId="0" xfId="1" quotePrefix="1" applyNumberFormat="1" applyFont="1" applyBorder="1"/>
    <xf numFmtId="10" fontId="18" fillId="0" borderId="7" xfId="1" applyNumberFormat="1" applyFont="1" applyBorder="1"/>
    <xf numFmtId="10" fontId="18" fillId="0" borderId="0" xfId="1" quotePrefix="1" applyNumberFormat="1" applyFont="1"/>
    <xf numFmtId="1" fontId="8" fillId="10" borderId="24" xfId="4" applyNumberFormat="1" applyBorder="1" applyAlignment="1">
      <alignment horizontal="center"/>
    </xf>
    <xf numFmtId="1" fontId="8" fillId="10" borderId="25" xfId="4" applyNumberFormat="1" applyBorder="1" applyAlignment="1">
      <alignment horizontal="center"/>
    </xf>
    <xf numFmtId="0" fontId="0" fillId="8" borderId="22" xfId="0" applyFill="1" applyBorder="1" applyAlignment="1">
      <alignment horizontal="center" vertical="center" wrapText="1"/>
    </xf>
    <xf numFmtId="0" fontId="0" fillId="8" borderId="33" xfId="0" applyFill="1" applyBorder="1" applyAlignment="1">
      <alignment horizontal="center" vertical="center" wrapText="1"/>
    </xf>
    <xf numFmtId="0" fontId="0" fillId="8" borderId="34" xfId="0" applyFill="1" applyBorder="1" applyAlignment="1">
      <alignment horizontal="center" vertical="center" wrapText="1"/>
    </xf>
    <xf numFmtId="0" fontId="5" fillId="2" borderId="28" xfId="2" applyBorder="1" applyAlignment="1">
      <alignment horizontal="center"/>
    </xf>
    <xf numFmtId="0" fontId="5" fillId="2" borderId="29" xfId="2" applyBorder="1" applyAlignment="1">
      <alignment horizontal="center"/>
    </xf>
    <xf numFmtId="0" fontId="5" fillId="2" borderId="22" xfId="2" applyBorder="1" applyAlignment="1">
      <alignment horizontal="center"/>
    </xf>
    <xf numFmtId="0" fontId="5" fillId="2" borderId="3" xfId="2" applyBorder="1" applyAlignment="1">
      <alignment horizontal="center"/>
    </xf>
    <xf numFmtId="0" fontId="5" fillId="2" borderId="23" xfId="2" applyBorder="1" applyAlignment="1">
      <alignment horizontal="center"/>
    </xf>
    <xf numFmtId="0" fontId="5" fillId="2" borderId="5" xfId="2" applyBorder="1" applyAlignment="1">
      <alignment horizontal="center"/>
    </xf>
    <xf numFmtId="0" fontId="3" fillId="5" borderId="22" xfId="0" applyFont="1" applyFill="1" applyBorder="1" applyAlignment="1">
      <alignment horizontal="center" vertical="top" wrapText="1"/>
    </xf>
    <xf numFmtId="0" fontId="3" fillId="5" borderId="0" xfId="0" applyFont="1" applyFill="1" applyBorder="1" applyAlignment="1">
      <alignment horizontal="center" vertical="top" wrapText="1"/>
    </xf>
    <xf numFmtId="0" fontId="3" fillId="5" borderId="33" xfId="0" applyFont="1" applyFill="1" applyBorder="1" applyAlignment="1">
      <alignment horizontal="center" vertical="top" wrapText="1"/>
    </xf>
    <xf numFmtId="0" fontId="3" fillId="5" borderId="0" xfId="0" applyFont="1" applyFill="1" applyBorder="1" applyAlignment="1">
      <alignment horizontal="center" vertical="center" wrapText="1"/>
    </xf>
    <xf numFmtId="0" fontId="5" fillId="2" borderId="28" xfId="2" quotePrefix="1" applyBorder="1" applyAlignment="1">
      <alignment horizontal="center"/>
    </xf>
    <xf numFmtId="9" fontId="0" fillId="0" borderId="0" xfId="1" applyFont="1"/>
    <xf numFmtId="0" fontId="22" fillId="21" borderId="0" xfId="0" applyFont="1" applyFill="1" applyAlignment="1">
      <alignment horizontal="center"/>
    </xf>
    <xf numFmtId="14" fontId="0" fillId="0" borderId="13" xfId="0" applyNumberFormat="1" applyBorder="1"/>
    <xf numFmtId="14" fontId="0" fillId="0" borderId="24" xfId="0" applyNumberFormat="1" applyBorder="1"/>
    <xf numFmtId="1" fontId="7" fillId="9" borderId="22" xfId="3" applyNumberFormat="1" applyBorder="1" applyAlignment="1">
      <alignment horizontal="center"/>
    </xf>
    <xf numFmtId="1" fontId="7" fillId="9" borderId="0" xfId="3" applyNumberFormat="1" applyBorder="1" applyAlignment="1">
      <alignment horizontal="center"/>
    </xf>
    <xf numFmtId="1" fontId="8" fillId="10" borderId="3" xfId="4" applyNumberFormat="1" applyBorder="1" applyAlignment="1">
      <alignment horizontal="center"/>
    </xf>
    <xf numFmtId="1" fontId="8" fillId="10" borderId="22" xfId="4" applyNumberFormat="1" applyBorder="1" applyAlignment="1">
      <alignment horizontal="center"/>
    </xf>
    <xf numFmtId="1" fontId="8" fillId="10" borderId="28" xfId="4" applyNumberFormat="1" applyBorder="1" applyAlignment="1">
      <alignment horizontal="center"/>
    </xf>
    <xf numFmtId="1" fontId="7" fillId="9" borderId="23" xfId="3" applyNumberFormat="1" applyBorder="1" applyAlignment="1">
      <alignment horizontal="center"/>
    </xf>
    <xf numFmtId="1" fontId="7" fillId="9" borderId="4" xfId="3" applyNumberFormat="1" applyBorder="1" applyAlignment="1">
      <alignment horizontal="center"/>
    </xf>
    <xf numFmtId="1" fontId="8" fillId="10" borderId="23" xfId="4" applyNumberFormat="1" applyBorder="1" applyAlignment="1">
      <alignment horizontal="center"/>
    </xf>
    <xf numFmtId="14" fontId="0" fillId="0" borderId="0" xfId="0" applyNumberFormat="1" applyFill="1"/>
    <xf numFmtId="0" fontId="0" fillId="0" borderId="0" xfId="0" applyFill="1"/>
    <xf numFmtId="0" fontId="17" fillId="2" borderId="22" xfId="2" applyFont="1" applyBorder="1" applyAlignment="1">
      <alignment horizontal="center"/>
    </xf>
    <xf numFmtId="0" fontId="17" fillId="2" borderId="0" xfId="2" applyFont="1" applyBorder="1" applyAlignment="1">
      <alignment horizontal="center"/>
    </xf>
    <xf numFmtId="0" fontId="17" fillId="2" borderId="3" xfId="2" applyFont="1" applyBorder="1" applyAlignment="1">
      <alignment horizontal="center"/>
    </xf>
    <xf numFmtId="9" fontId="8" fillId="10" borderId="28" xfId="1" applyFont="1" applyFill="1" applyBorder="1" applyAlignment="1">
      <alignment horizontal="center"/>
    </xf>
    <xf numFmtId="9" fontId="8" fillId="10" borderId="29" xfId="1" applyFont="1" applyFill="1" applyBorder="1" applyAlignment="1">
      <alignment horizontal="center"/>
    </xf>
    <xf numFmtId="9" fontId="8" fillId="10" borderId="3" xfId="1" applyFont="1" applyFill="1" applyBorder="1" applyAlignment="1">
      <alignment horizontal="center"/>
    </xf>
    <xf numFmtId="9" fontId="8" fillId="10" borderId="0" xfId="1" applyFont="1" applyFill="1" applyAlignment="1">
      <alignment horizontal="center"/>
    </xf>
    <xf numFmtId="9" fontId="8" fillId="10" borderId="5" xfId="1" applyFont="1" applyFill="1" applyBorder="1" applyAlignment="1">
      <alignment horizontal="center"/>
    </xf>
    <xf numFmtId="9" fontId="8" fillId="10" borderId="0" xfId="1" applyFont="1" applyFill="1" applyBorder="1" applyAlignment="1">
      <alignment horizontal="center"/>
    </xf>
    <xf numFmtId="9" fontId="8" fillId="10" borderId="4" xfId="1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9" fillId="0" borderId="3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9" fontId="9" fillId="0" borderId="25" xfId="1" applyFont="1" applyBorder="1" applyAlignment="1">
      <alignment horizontal="center" vertical="center"/>
    </xf>
    <xf numFmtId="9" fontId="9" fillId="0" borderId="40" xfId="1" applyFont="1" applyBorder="1" applyAlignment="1">
      <alignment horizontal="center" vertical="center"/>
    </xf>
    <xf numFmtId="1" fontId="8" fillId="10" borderId="29" xfId="4" applyNumberFormat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4" fontId="0" fillId="0" borderId="2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3" fillId="5" borderId="3" xfId="0" applyFont="1" applyFill="1" applyBorder="1" applyAlignment="1">
      <alignment horizontal="center" vertical="top" wrapText="1"/>
    </xf>
    <xf numFmtId="9" fontId="8" fillId="10" borderId="22" xfId="4" applyNumberFormat="1" applyBorder="1" applyAlignment="1">
      <alignment horizontal="center"/>
    </xf>
    <xf numFmtId="9" fontId="8" fillId="10" borderId="0" xfId="4" applyNumberFormat="1" applyBorder="1" applyAlignment="1">
      <alignment horizontal="center"/>
    </xf>
    <xf numFmtId="9" fontId="8" fillId="10" borderId="0" xfId="4" applyNumberFormat="1" applyBorder="1" applyAlignment="1">
      <alignment horizontal="center" wrapText="1"/>
    </xf>
    <xf numFmtId="9" fontId="8" fillId="10" borderId="3" xfId="4" applyNumberFormat="1" applyBorder="1" applyAlignment="1">
      <alignment horizontal="center" wrapText="1"/>
    </xf>
    <xf numFmtId="9" fontId="8" fillId="10" borderId="3" xfId="4" applyNumberFormat="1" applyBorder="1" applyAlignment="1">
      <alignment horizontal="center"/>
    </xf>
    <xf numFmtId="9" fontId="8" fillId="10" borderId="23" xfId="4" applyNumberFormat="1" applyBorder="1" applyAlignment="1">
      <alignment horizontal="center"/>
    </xf>
    <xf numFmtId="9" fontId="8" fillId="10" borderId="4" xfId="4" applyNumberFormat="1" applyBorder="1" applyAlignment="1">
      <alignment horizontal="center"/>
    </xf>
    <xf numFmtId="9" fontId="8" fillId="10" borderId="5" xfId="4" applyNumberFormat="1" applyBorder="1" applyAlignment="1">
      <alignment horizontal="center"/>
    </xf>
    <xf numFmtId="9" fontId="8" fillId="10" borderId="0" xfId="4" quotePrefix="1" applyNumberFormat="1" applyBorder="1" applyAlignment="1">
      <alignment horizontal="center"/>
    </xf>
    <xf numFmtId="0" fontId="8" fillId="10" borderId="22" xfId="4" applyBorder="1" applyAlignment="1">
      <alignment horizontal="center"/>
    </xf>
    <xf numFmtId="0" fontId="8" fillId="10" borderId="0" xfId="4" applyBorder="1" applyAlignment="1">
      <alignment horizontal="center"/>
    </xf>
    <xf numFmtId="0" fontId="8" fillId="10" borderId="3" xfId="4" applyBorder="1" applyAlignment="1">
      <alignment horizontal="center"/>
    </xf>
    <xf numFmtId="165" fontId="8" fillId="10" borderId="0" xfId="4" applyNumberFormat="1" applyBorder="1" applyAlignment="1">
      <alignment horizontal="center"/>
    </xf>
    <xf numFmtId="0" fontId="8" fillId="10" borderId="23" xfId="4" applyBorder="1" applyAlignment="1">
      <alignment horizontal="center"/>
    </xf>
    <xf numFmtId="0" fontId="8" fillId="10" borderId="4" xfId="4" applyBorder="1" applyAlignment="1">
      <alignment horizontal="center"/>
    </xf>
    <xf numFmtId="0" fontId="8" fillId="10" borderId="5" xfId="4" applyBorder="1" applyAlignment="1">
      <alignment horizontal="center"/>
    </xf>
    <xf numFmtId="9" fontId="8" fillId="10" borderId="34" xfId="4" applyNumberFormat="1" applyBorder="1" applyAlignment="1">
      <alignment horizontal="center"/>
    </xf>
    <xf numFmtId="9" fontId="8" fillId="10" borderId="33" xfId="4" applyNumberFormat="1" applyBorder="1" applyAlignment="1">
      <alignment horizontal="center"/>
    </xf>
    <xf numFmtId="9" fontId="8" fillId="10" borderId="35" xfId="4" applyNumberFormat="1" applyBorder="1" applyAlignment="1">
      <alignment horizontal="center"/>
    </xf>
    <xf numFmtId="0" fontId="8" fillId="10" borderId="33" xfId="4" applyBorder="1" applyAlignment="1">
      <alignment horizontal="center"/>
    </xf>
    <xf numFmtId="0" fontId="8" fillId="10" borderId="35" xfId="4" applyBorder="1" applyAlignment="1">
      <alignment horizontal="center"/>
    </xf>
    <xf numFmtId="0" fontId="5" fillId="22" borderId="22" xfId="2" applyFill="1" applyBorder="1" applyAlignment="1">
      <alignment horizontal="center"/>
    </xf>
    <xf numFmtId="0" fontId="5" fillId="22" borderId="0" xfId="2" applyFill="1" applyBorder="1" applyAlignment="1">
      <alignment horizontal="center"/>
    </xf>
    <xf numFmtId="0" fontId="17" fillId="22" borderId="0" xfId="2" applyFont="1" applyFill="1" applyBorder="1" applyAlignment="1">
      <alignment horizontal="center"/>
    </xf>
    <xf numFmtId="0" fontId="5" fillId="22" borderId="4" xfId="2" applyFill="1" applyBorder="1" applyAlignment="1">
      <alignment horizontal="center"/>
    </xf>
    <xf numFmtId="0" fontId="0" fillId="0" borderId="23" xfId="0" applyBorder="1"/>
    <xf numFmtId="9" fontId="8" fillId="10" borderId="45" xfId="4" applyNumberFormat="1" applyBorder="1" applyAlignment="1">
      <alignment horizontal="center" wrapText="1"/>
    </xf>
    <xf numFmtId="9" fontId="8" fillId="10" borderId="25" xfId="4" applyNumberFormat="1" applyBorder="1" applyAlignment="1">
      <alignment horizontal="center" wrapText="1"/>
    </xf>
    <xf numFmtId="9" fontId="8" fillId="10" borderId="40" xfId="4" applyNumberFormat="1" applyBorder="1" applyAlignment="1">
      <alignment horizontal="center" wrapText="1"/>
    </xf>
    <xf numFmtId="9" fontId="8" fillId="10" borderId="45" xfId="4" applyNumberFormat="1" applyBorder="1" applyAlignment="1">
      <alignment horizontal="center"/>
    </xf>
    <xf numFmtId="9" fontId="8" fillId="10" borderId="25" xfId="4" applyNumberFormat="1" applyBorder="1" applyAlignment="1">
      <alignment horizontal="center"/>
    </xf>
    <xf numFmtId="9" fontId="8" fillId="10" borderId="40" xfId="4" applyNumberFormat="1" applyBorder="1" applyAlignment="1">
      <alignment horizontal="center"/>
    </xf>
    <xf numFmtId="3" fontId="0" fillId="0" borderId="0" xfId="0" applyNumberFormat="1"/>
    <xf numFmtId="0" fontId="5" fillId="2" borderId="22" xfId="2" applyFont="1" applyBorder="1" applyAlignment="1">
      <alignment horizontal="center"/>
    </xf>
    <xf numFmtId="0" fontId="5" fillId="22" borderId="0" xfId="2" applyFont="1" applyFill="1" applyBorder="1" applyAlignment="1">
      <alignment horizontal="center"/>
    </xf>
    <xf numFmtId="0" fontId="5" fillId="2" borderId="0" xfId="2" applyFont="1" applyBorder="1" applyAlignment="1">
      <alignment horizontal="center"/>
    </xf>
    <xf numFmtId="0" fontId="5" fillId="2" borderId="3" xfId="2" applyFont="1" applyBorder="1" applyAlignment="1">
      <alignment horizontal="center"/>
    </xf>
    <xf numFmtId="166" fontId="5" fillId="2" borderId="0" xfId="2" applyNumberFormat="1" applyBorder="1"/>
    <xf numFmtId="3" fontId="9" fillId="0" borderId="0" xfId="0" quotePrefix="1" applyNumberFormat="1" applyFont="1" applyBorder="1" applyAlignment="1">
      <alignment horizontal="center"/>
    </xf>
    <xf numFmtId="3" fontId="7" fillId="20" borderId="0" xfId="3" applyNumberFormat="1" applyFill="1" applyBorder="1" applyAlignment="1">
      <alignment horizontal="center"/>
    </xf>
    <xf numFmtId="0" fontId="5" fillId="2" borderId="0" xfId="2" applyAlignment="1">
      <alignment horizontal="center"/>
    </xf>
    <xf numFmtId="0" fontId="0" fillId="0" borderId="0" xfId="0" applyBorder="1" applyAlignment="1">
      <alignment horizontal="center" wrapText="1"/>
    </xf>
    <xf numFmtId="0" fontId="5" fillId="2" borderId="0" xfId="2" applyNumberFormat="1" applyBorder="1" applyAlignment="1">
      <alignment horizontal="center"/>
    </xf>
    <xf numFmtId="1" fontId="5" fillId="2" borderId="0" xfId="2" applyNumberFormat="1" applyBorder="1" applyAlignment="1">
      <alignment horizontal="center"/>
    </xf>
    <xf numFmtId="1" fontId="5" fillId="20" borderId="0" xfId="2" applyNumberFormat="1" applyFill="1" applyBorder="1" applyAlignment="1">
      <alignment horizontal="center"/>
    </xf>
    <xf numFmtId="3" fontId="5" fillId="2" borderId="0" xfId="2" applyNumberFormat="1" applyBorder="1" applyAlignment="1">
      <alignment horizontal="center"/>
    </xf>
    <xf numFmtId="0" fontId="5" fillId="2" borderId="4" xfId="2" applyNumberFormat="1" applyBorder="1" applyAlignment="1">
      <alignment horizontal="center"/>
    </xf>
    <xf numFmtId="3" fontId="7" fillId="9" borderId="4" xfId="3" applyNumberFormat="1" applyBorder="1" applyAlignment="1">
      <alignment horizontal="center"/>
    </xf>
    <xf numFmtId="3" fontId="7" fillId="9" borderId="12" xfId="3" applyNumberFormat="1" applyBorder="1" applyAlignment="1">
      <alignment horizontal="center"/>
    </xf>
    <xf numFmtId="3" fontId="8" fillId="10" borderId="3" xfId="4" applyNumberFormat="1" applyBorder="1"/>
    <xf numFmtId="3" fontId="8" fillId="10" borderId="5" xfId="4" applyNumberFormat="1" applyBorder="1"/>
    <xf numFmtId="3" fontId="5" fillId="2" borderId="50" xfId="2" applyNumberFormat="1" applyBorder="1"/>
    <xf numFmtId="3" fontId="5" fillId="2" borderId="49" xfId="2" applyNumberFormat="1" applyBorder="1"/>
    <xf numFmtId="3" fontId="7" fillId="9" borderId="14" xfId="3" applyNumberFormat="1" applyBorder="1" applyAlignment="1">
      <alignment horizontal="center"/>
    </xf>
    <xf numFmtId="3" fontId="7" fillId="9" borderId="8" xfId="3" applyNumberFormat="1" applyBorder="1" applyAlignment="1">
      <alignment horizontal="center"/>
    </xf>
    <xf numFmtId="9" fontId="8" fillId="10" borderId="51" xfId="4" applyNumberFormat="1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7" fillId="9" borderId="7" xfId="3" applyNumberFormat="1" applyBorder="1" applyAlignment="1">
      <alignment horizontal="center"/>
    </xf>
    <xf numFmtId="3" fontId="7" fillId="9" borderId="13" xfId="3" applyNumberFormat="1" applyBorder="1" applyAlignment="1">
      <alignment horizontal="center"/>
    </xf>
    <xf numFmtId="0" fontId="4" fillId="6" borderId="27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0" fillId="13" borderId="0" xfId="0" applyFont="1" applyFill="1" applyAlignment="1">
      <alignment horizontal="left"/>
    </xf>
    <xf numFmtId="0" fontId="3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3" fillId="0" borderId="47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9" fontId="9" fillId="0" borderId="27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4" fontId="23" fillId="0" borderId="0" xfId="0" applyNumberFormat="1" applyFont="1" applyBorder="1" applyAlignment="1">
      <alignment horizontal="center" vertical="center"/>
    </xf>
    <xf numFmtId="14" fontId="23" fillId="0" borderId="2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3" fillId="5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16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9" fillId="18" borderId="13" xfId="0" applyFont="1" applyFill="1" applyBorder="1" applyAlignment="1">
      <alignment horizontal="center"/>
    </xf>
    <xf numFmtId="0" fontId="13" fillId="14" borderId="7" xfId="0" applyFont="1" applyFill="1" applyBorder="1" applyAlignment="1">
      <alignment horizontal="center"/>
    </xf>
  </cellXfs>
  <cellStyles count="7">
    <cellStyle name="Calculation" xfId="4" builtinId="22" customBuiltin="1"/>
    <cellStyle name="Hyperlink" xfId="5" builtinId="8"/>
    <cellStyle name="Input" xfId="2" builtinId="20" customBuiltin="1"/>
    <cellStyle name="InputData" xfId="6" xr:uid="{3A9726D8-2783-4B1F-85C4-B8C9E2CE71B3}"/>
    <cellStyle name="Linked Cell" xfId="3" builtinId="24" customBuiltin="1"/>
    <cellStyle name="Normal" xfId="0" builtinId="0"/>
    <cellStyle name="Percent" xfId="1" builtinId="5"/>
  </cellStyles>
  <dxfs count="33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4" tint="0.79998168889431442"/>
      </font>
    </dxf>
    <dxf>
      <font>
        <color theme="4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0</xdr:row>
      <xdr:rowOff>133350</xdr:rowOff>
    </xdr:from>
    <xdr:to>
      <xdr:col>22</xdr:col>
      <xdr:colOff>196215</xdr:colOff>
      <xdr:row>12</xdr:row>
      <xdr:rowOff>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808383-6B9A-44AA-ADCB-19CC6B02059B}"/>
            </a:ext>
          </a:extLst>
        </xdr:cNvPr>
        <xdr:cNvSpPr txBox="1"/>
      </xdr:nvSpPr>
      <xdr:spPr>
        <a:xfrm>
          <a:off x="9934575" y="133350"/>
          <a:ext cx="4596765" cy="2097405"/>
        </a:xfrm>
        <a:prstGeom prst="rect">
          <a:avLst/>
        </a:prstGeom>
        <a:solidFill>
          <a:schemeClr val="lt1"/>
        </a:solidFill>
        <a:ln w="381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u="sng"/>
            <a:t>Notes</a:t>
          </a:r>
          <a:r>
            <a:rPr lang="en-CA" sz="1100" u="sng" baseline="0"/>
            <a:t> on Matsqui Fishwheel: </a:t>
          </a:r>
        </a:p>
        <a:p>
          <a:endParaRPr lang="en-CA" sz="1100" baseline="0"/>
        </a:p>
        <a:p>
          <a:r>
            <a:rPr lang="en-CA" sz="1100"/>
            <a:t>#N/A</a:t>
          </a:r>
          <a:r>
            <a:rPr lang="en-CA" sz="1100" baseline="0"/>
            <a:t> = fishwheel did not run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247651</xdr:colOff>
      <xdr:row>7</xdr:row>
      <xdr:rowOff>9525</xdr:rowOff>
    </xdr:from>
    <xdr:ext cx="3543300" cy="7048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0BA8D5-9BF6-4E23-8061-C98863C2549C}"/>
            </a:ext>
          </a:extLst>
        </xdr:cNvPr>
        <xdr:cNvSpPr txBox="1"/>
      </xdr:nvSpPr>
      <xdr:spPr>
        <a:xfrm>
          <a:off x="20806411" y="1518285"/>
          <a:ext cx="3543300" cy="70485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 sz="1100"/>
            <a:t>The choice between GG and Total (for each species) is based on the number of sockeye only - this is because it needs to be consistent to add up to 100%.</a:t>
          </a:r>
        </a:p>
      </xdr:txBody>
    </xdr:sp>
    <xdr:clientData/>
  </xdr:oneCellAnchor>
  <xdr:oneCellAnchor>
    <xdr:from>
      <xdr:col>3</xdr:col>
      <xdr:colOff>251460</xdr:colOff>
      <xdr:row>27</xdr:row>
      <xdr:rowOff>137160</xdr:rowOff>
    </xdr:from>
    <xdr:ext cx="453893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952011-980E-41B2-BCDD-AC2039B081D3}"/>
            </a:ext>
          </a:extLst>
        </xdr:cNvPr>
        <xdr:cNvSpPr txBox="1"/>
      </xdr:nvSpPr>
      <xdr:spPr>
        <a:xfrm>
          <a:off x="1722120" y="5303520"/>
          <a:ext cx="4538935" cy="264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/>
            <a:t>If this is not updating, open</a:t>
          </a:r>
          <a:r>
            <a:rPr lang="en-CA" sz="1100" baseline="0"/>
            <a:t> Testfish internal summaries, AllFisherySummary</a:t>
          </a:r>
          <a:endParaRPr lang="en-CA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torage03\programs\FluxEstimator\2023\Mission%20Estimate_2023.xlsm" TargetMode="External"/><Relationship Id="rId1" Type="http://schemas.openxmlformats.org/officeDocument/2006/relationships/externalLinkPath" Target="Mission%20Estimate_2023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torage03\programs\FluxEstimator\2023\ImageSonar%20Extraction\SalmonProportions2023.xlsm" TargetMode="External"/><Relationship Id="rId1" Type="http://schemas.openxmlformats.org/officeDocument/2006/relationships/externalLinkPath" Target="ImageSonar%20Extraction/SalmonProportions2023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torage03\programs\FluxEstimator\2023\Cross%20River%20Flux_2023.xlsm" TargetMode="External"/><Relationship Id="rId1" Type="http://schemas.openxmlformats.org/officeDocument/2006/relationships/externalLinkPath" Target="Cross%20River%20Flux_20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E\2023\MissionPassage_SpeciesComposition20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ms\TestFish\Testfish\InternalReports\WhonnockSpeciesCompos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sage Estimates"/>
      <sheetName val="Daily Estimate"/>
      <sheetName val="S1 Details"/>
      <sheetName val="M Details"/>
      <sheetName val="ARIS Details"/>
      <sheetName val="M2 Details"/>
      <sheetName val="95% CI Calculations"/>
    </sheetNames>
    <sheetDataSet>
      <sheetData sheetId="0">
        <row r="6">
          <cell r="A6">
            <v>45108</v>
          </cell>
          <cell r="B6" t="str">
            <v>S1+M+A2</v>
          </cell>
          <cell r="C6" t="str">
            <v>S1+M+A2</v>
          </cell>
          <cell r="D6">
            <v>4498.2283169963957</v>
          </cell>
        </row>
        <row r="7">
          <cell r="A7">
            <v>45109</v>
          </cell>
          <cell r="B7" t="str">
            <v>S1+M+A2</v>
          </cell>
          <cell r="C7" t="str">
            <v>S1+M+A2</v>
          </cell>
          <cell r="D7">
            <v>3888.529032091682</v>
          </cell>
        </row>
        <row r="8">
          <cell r="A8">
            <v>45110</v>
          </cell>
          <cell r="B8" t="str">
            <v>S1+M+A2</v>
          </cell>
          <cell r="C8" t="str">
            <v>S1+M+A2</v>
          </cell>
          <cell r="D8">
            <v>2437.8880024659256</v>
          </cell>
        </row>
        <row r="9">
          <cell r="A9">
            <v>45111</v>
          </cell>
          <cell r="B9" t="str">
            <v>S1+M+A2</v>
          </cell>
          <cell r="C9" t="str">
            <v>S1+M+A2</v>
          </cell>
          <cell r="D9">
            <v>3118.1713865188922</v>
          </cell>
        </row>
        <row r="10">
          <cell r="A10">
            <v>45112</v>
          </cell>
          <cell r="B10" t="str">
            <v>S1+M+A2</v>
          </cell>
          <cell r="C10" t="str">
            <v>Imputation</v>
          </cell>
          <cell r="D10">
            <v>6167.8626078819561</v>
          </cell>
        </row>
        <row r="11">
          <cell r="A11">
            <v>45113</v>
          </cell>
          <cell r="B11" t="str">
            <v>S1+M+A2</v>
          </cell>
          <cell r="C11" t="str">
            <v>S1+M+A2</v>
          </cell>
          <cell r="D11">
            <v>4785.7199999999984</v>
          </cell>
        </row>
        <row r="12">
          <cell r="A12">
            <v>45114</v>
          </cell>
          <cell r="B12" t="str">
            <v>S1+M+A2</v>
          </cell>
          <cell r="C12" t="str">
            <v>S1+M+A2</v>
          </cell>
          <cell r="D12">
            <v>5730.28</v>
          </cell>
        </row>
        <row r="13">
          <cell r="A13">
            <v>45115</v>
          </cell>
          <cell r="B13" t="str">
            <v>S1+M+A2</v>
          </cell>
          <cell r="C13" t="str">
            <v>S1+M+A2</v>
          </cell>
          <cell r="D13">
            <v>5636.4400000000023</v>
          </cell>
        </row>
        <row r="14">
          <cell r="A14">
            <v>45116</v>
          </cell>
          <cell r="B14" t="str">
            <v>S1+M+A2</v>
          </cell>
          <cell r="C14" t="str">
            <v>S1+M+A2</v>
          </cell>
          <cell r="D14">
            <v>6104.5599999999995</v>
          </cell>
        </row>
        <row r="15">
          <cell r="A15">
            <v>45117</v>
          </cell>
          <cell r="B15" t="str">
            <v>S1+M+A2</v>
          </cell>
          <cell r="C15" t="str">
            <v>S1+M+A2</v>
          </cell>
          <cell r="D15">
            <v>6559.119999999999</v>
          </cell>
        </row>
        <row r="16">
          <cell r="A16">
            <v>45118</v>
          </cell>
          <cell r="B16" t="str">
            <v>S1+M+A2</v>
          </cell>
          <cell r="C16" t="str">
            <v>S1+M+A2</v>
          </cell>
          <cell r="D16">
            <v>4732.0800000000008</v>
          </cell>
        </row>
        <row r="17">
          <cell r="A17">
            <v>45119</v>
          </cell>
          <cell r="B17" t="str">
            <v>S1+M+A2</v>
          </cell>
          <cell r="C17" t="str">
            <v>S1+M+A2</v>
          </cell>
          <cell r="D17">
            <v>4913.9781818181809</v>
          </cell>
        </row>
        <row r="18">
          <cell r="A18">
            <v>45120</v>
          </cell>
          <cell r="B18" t="str">
            <v>S1+M+A2</v>
          </cell>
          <cell r="C18" t="str">
            <v>S1+M+A2</v>
          </cell>
          <cell r="D18">
            <v>5730.9599999999991</v>
          </cell>
        </row>
        <row r="19">
          <cell r="A19">
            <v>45121</v>
          </cell>
          <cell r="B19" t="str">
            <v>S1+M+A2</v>
          </cell>
          <cell r="C19" t="str">
            <v>S1+M+A2</v>
          </cell>
          <cell r="D19">
            <v>4502.6400000000003</v>
          </cell>
        </row>
        <row r="20">
          <cell r="A20">
            <v>45122</v>
          </cell>
          <cell r="B20" t="str">
            <v>S1+M+A2</v>
          </cell>
          <cell r="C20" t="str">
            <v>S1+M+A2</v>
          </cell>
          <cell r="D20">
            <v>4335.3599999999997</v>
          </cell>
        </row>
        <row r="21">
          <cell r="A21">
            <v>45123</v>
          </cell>
          <cell r="B21" t="str">
            <v>S1+M+A2</v>
          </cell>
          <cell r="C21" t="str">
            <v>S1+M+A2</v>
          </cell>
          <cell r="D21">
            <v>5309.76</v>
          </cell>
        </row>
        <row r="22">
          <cell r="A22">
            <v>45124</v>
          </cell>
          <cell r="B22" t="str">
            <v>S1+M+A2</v>
          </cell>
          <cell r="C22" t="str">
            <v>Imputation</v>
          </cell>
          <cell r="D22">
            <v>8193.6480000000029</v>
          </cell>
        </row>
        <row r="23">
          <cell r="A23">
            <v>45125</v>
          </cell>
          <cell r="B23" t="str">
            <v>S1+M+A2</v>
          </cell>
          <cell r="C23" t="str">
            <v>S1+M+A2</v>
          </cell>
          <cell r="D23">
            <v>8422.8000000000011</v>
          </cell>
        </row>
        <row r="24">
          <cell r="A24">
            <v>45126</v>
          </cell>
          <cell r="B24" t="str">
            <v>S1+M2+A2</v>
          </cell>
          <cell r="C24" t="str">
            <v>S1+M2+A2</v>
          </cell>
          <cell r="D24">
            <v>11654.159999999998</v>
          </cell>
        </row>
        <row r="25">
          <cell r="A25">
            <v>45127</v>
          </cell>
          <cell r="B25" t="str">
            <v>S1+M2+A2</v>
          </cell>
          <cell r="C25" t="str">
            <v>S1+M2+A2</v>
          </cell>
          <cell r="D25">
            <v>14100.000000000004</v>
          </cell>
        </row>
        <row r="26">
          <cell r="A26">
            <v>45128</v>
          </cell>
          <cell r="B26" t="str">
            <v>S1+M2+A2</v>
          </cell>
          <cell r="C26" t="str">
            <v>S1+M2+A2</v>
          </cell>
          <cell r="D26">
            <v>10210.08</v>
          </cell>
        </row>
        <row r="27">
          <cell r="A27">
            <v>45129</v>
          </cell>
          <cell r="B27" t="str">
            <v>S1+M2+A2</v>
          </cell>
          <cell r="C27" t="str">
            <v>S1+M2+A2</v>
          </cell>
          <cell r="D27">
            <v>11434.559999999998</v>
          </cell>
        </row>
        <row r="28">
          <cell r="A28">
            <v>45130</v>
          </cell>
          <cell r="B28" t="str">
            <v>S1+M2+A2</v>
          </cell>
          <cell r="C28" t="str">
            <v>S1+M2+A2</v>
          </cell>
          <cell r="D28">
            <v>10556.879999999997</v>
          </cell>
        </row>
        <row r="29">
          <cell r="A29">
            <v>45131</v>
          </cell>
          <cell r="B29" t="str">
            <v>S1+M2+A2</v>
          </cell>
          <cell r="C29" t="str">
            <v>S1+M2+A2</v>
          </cell>
          <cell r="D29">
            <v>14095.433732714424</v>
          </cell>
        </row>
        <row r="30">
          <cell r="A30">
            <v>45132</v>
          </cell>
          <cell r="B30" t="str">
            <v>S1+M2+A2</v>
          </cell>
          <cell r="C30" t="str">
            <v>S1+M2+A2</v>
          </cell>
          <cell r="D30">
            <v>11736.24</v>
          </cell>
        </row>
        <row r="31">
          <cell r="A31">
            <v>45133</v>
          </cell>
          <cell r="B31" t="str">
            <v>S1+M2+A2</v>
          </cell>
          <cell r="C31" t="str">
            <v>S1+M2+A2</v>
          </cell>
          <cell r="D31">
            <v>13562.640000000009</v>
          </cell>
        </row>
        <row r="32">
          <cell r="A32">
            <v>45134</v>
          </cell>
          <cell r="B32" t="str">
            <v>S1+M2+A2</v>
          </cell>
          <cell r="C32" t="str">
            <v>S1+M2+A2</v>
          </cell>
          <cell r="D32">
            <v>11592.480000000001</v>
          </cell>
        </row>
        <row r="33">
          <cell r="A33">
            <v>45135</v>
          </cell>
          <cell r="B33" t="str">
            <v>S1+M2+A2</v>
          </cell>
          <cell r="C33" t="str">
            <v>S1+M2+A2</v>
          </cell>
          <cell r="D33">
            <v>10282.08</v>
          </cell>
        </row>
        <row r="34">
          <cell r="A34">
            <v>45136</v>
          </cell>
          <cell r="B34" t="str">
            <v>S1+M2+A2</v>
          </cell>
          <cell r="C34" t="str">
            <v>S1+M2+A2</v>
          </cell>
          <cell r="D34">
            <v>12626.16</v>
          </cell>
        </row>
        <row r="35">
          <cell r="A35">
            <v>45137</v>
          </cell>
          <cell r="B35" t="str">
            <v>S1+M2+A2</v>
          </cell>
          <cell r="C35" t="str">
            <v>S1+M2+A2</v>
          </cell>
          <cell r="D35">
            <v>10201.680000000002</v>
          </cell>
        </row>
        <row r="36">
          <cell r="A36">
            <v>45138</v>
          </cell>
          <cell r="B36" t="str">
            <v>S1+M2+A2</v>
          </cell>
          <cell r="C36" t="str">
            <v>S1+M2+A2</v>
          </cell>
          <cell r="D36">
            <v>14799.119999999999</v>
          </cell>
        </row>
        <row r="37">
          <cell r="A37">
            <v>45139</v>
          </cell>
          <cell r="B37" t="str">
            <v>S1+M2+A2</v>
          </cell>
          <cell r="C37" t="str">
            <v>S1+M2+A2</v>
          </cell>
          <cell r="D37">
            <v>12934.800000000003</v>
          </cell>
        </row>
        <row r="38">
          <cell r="A38">
            <v>45140</v>
          </cell>
          <cell r="B38" t="str">
            <v>S1+M2+A2</v>
          </cell>
          <cell r="C38" t="str">
            <v>S1+M2+A2</v>
          </cell>
          <cell r="D38">
            <v>11961.36</v>
          </cell>
        </row>
        <row r="39">
          <cell r="A39">
            <v>45141</v>
          </cell>
          <cell r="B39" t="str">
            <v>S1+M2+A2</v>
          </cell>
          <cell r="C39" t="str">
            <v>S1+M2+A2</v>
          </cell>
          <cell r="D39">
            <v>21981.600000000006</v>
          </cell>
        </row>
        <row r="40">
          <cell r="A40">
            <v>45142</v>
          </cell>
          <cell r="B40" t="str">
            <v>A1+S1+M2+A2</v>
          </cell>
          <cell r="C40" t="str">
            <v>Imputation</v>
          </cell>
          <cell r="D40">
            <v>18133.401600000005</v>
          </cell>
        </row>
        <row r="41">
          <cell r="A41">
            <v>45143</v>
          </cell>
          <cell r="B41" t="str">
            <v>A1+S1+M2+A2</v>
          </cell>
          <cell r="C41" t="str">
            <v>A1+S1+M2+A2</v>
          </cell>
          <cell r="D41">
            <v>24707.52</v>
          </cell>
        </row>
        <row r="42">
          <cell r="A42">
            <v>45144</v>
          </cell>
          <cell r="B42" t="str">
            <v>A1+S1+M2+A2</v>
          </cell>
          <cell r="C42" t="str">
            <v>A1+S1+M2+A2</v>
          </cell>
          <cell r="D42">
            <v>29809.199999999997</v>
          </cell>
        </row>
        <row r="43">
          <cell r="A43">
            <v>45145</v>
          </cell>
          <cell r="B43" t="str">
            <v>A1+S1+M2+A2</v>
          </cell>
          <cell r="C43" t="str">
            <v>A1+S1+M2+A2</v>
          </cell>
          <cell r="D43">
            <v>31646.639999999999</v>
          </cell>
        </row>
        <row r="44">
          <cell r="A44">
            <v>45146</v>
          </cell>
          <cell r="B44" t="str">
            <v>A1+S1+M2+A2</v>
          </cell>
          <cell r="C44" t="str">
            <v>A1+S1+M2+A2</v>
          </cell>
          <cell r="D44">
            <v>36616.799999999981</v>
          </cell>
        </row>
        <row r="45">
          <cell r="A45">
            <v>45147</v>
          </cell>
          <cell r="B45" t="str">
            <v>A1+S1+M2+A2</v>
          </cell>
          <cell r="C45" t="str">
            <v>A1+S1+M2+A2</v>
          </cell>
          <cell r="D45">
            <v>24702.240000000005</v>
          </cell>
        </row>
        <row r="46">
          <cell r="A46">
            <v>45148</v>
          </cell>
          <cell r="B46" t="str">
            <v>A1+S1+M2+A2</v>
          </cell>
          <cell r="C46" t="str">
            <v>A1+S1+M2+A2</v>
          </cell>
          <cell r="D46">
            <v>38680.319999999992</v>
          </cell>
        </row>
        <row r="47">
          <cell r="A47">
            <v>45149</v>
          </cell>
          <cell r="B47" t="str">
            <v>A1+S1+M2+A2</v>
          </cell>
          <cell r="C47" t="str">
            <v>A1+S1+M2+A2</v>
          </cell>
          <cell r="D47">
            <v>43865.280000000006</v>
          </cell>
        </row>
        <row r="48">
          <cell r="A48">
            <v>45150</v>
          </cell>
          <cell r="B48" t="str">
            <v>A1+S1+M2+A2</v>
          </cell>
          <cell r="C48" t="str">
            <v>Imputation</v>
          </cell>
          <cell r="D48">
            <v>43606.614239999988</v>
          </cell>
        </row>
        <row r="49">
          <cell r="A49">
            <v>45151</v>
          </cell>
          <cell r="B49" t="str">
            <v>A1+S1+M2+A2</v>
          </cell>
          <cell r="C49" t="str">
            <v>A1+S1+M2+A2</v>
          </cell>
          <cell r="D49">
            <v>41600.880000000005</v>
          </cell>
        </row>
        <row r="50">
          <cell r="A50">
            <v>45152</v>
          </cell>
          <cell r="B50" t="str">
            <v>A1+S1+M2+A2</v>
          </cell>
          <cell r="C50" t="str">
            <v>A1+S1+M2+A2</v>
          </cell>
          <cell r="D50">
            <v>33084.720000000008</v>
          </cell>
        </row>
        <row r="51">
          <cell r="A51">
            <v>45153</v>
          </cell>
          <cell r="B51" t="str">
            <v>A1+S1+M2+A2</v>
          </cell>
          <cell r="C51" t="str">
            <v>A1+S1+M2+A2</v>
          </cell>
          <cell r="D51">
            <v>39361.919999999998</v>
          </cell>
        </row>
        <row r="52">
          <cell r="A52">
            <v>45154</v>
          </cell>
          <cell r="B52" t="str">
            <v>A1+S1+M2+A2</v>
          </cell>
          <cell r="C52" t="str">
            <v>A1+S1+M2+A2</v>
          </cell>
          <cell r="D52">
            <v>47039.759999999987</v>
          </cell>
        </row>
        <row r="53">
          <cell r="A53">
            <v>45155</v>
          </cell>
          <cell r="B53" t="str">
            <v>A1+S1+M2+A2</v>
          </cell>
          <cell r="C53" t="str">
            <v>A1+S1+M2+A2</v>
          </cell>
          <cell r="D53">
            <v>64987.679999999993</v>
          </cell>
        </row>
        <row r="54">
          <cell r="A54">
            <v>45156</v>
          </cell>
          <cell r="B54" t="str">
            <v>A1+S1+M2+A2</v>
          </cell>
          <cell r="C54" t="str">
            <v>A1+S1+M2+A2</v>
          </cell>
          <cell r="D54">
            <v>85010.640000000043</v>
          </cell>
        </row>
        <row r="55">
          <cell r="A55">
            <v>45157</v>
          </cell>
          <cell r="B55" t="str">
            <v>A1+S1+M2+A2</v>
          </cell>
          <cell r="C55" t="str">
            <v>Imputation</v>
          </cell>
          <cell r="D55">
            <v>86813.323199999941</v>
          </cell>
        </row>
        <row r="56">
          <cell r="A56">
            <v>45158</v>
          </cell>
          <cell r="B56" t="str">
            <v>A1+S1+M2+A2</v>
          </cell>
          <cell r="C56" t="str">
            <v>A1+S1+M2+A2</v>
          </cell>
          <cell r="D56">
            <v>110283.12000000005</v>
          </cell>
        </row>
        <row r="57">
          <cell r="A57">
            <v>45159</v>
          </cell>
          <cell r="B57" t="str">
            <v>A1+S1+M2+A2</v>
          </cell>
          <cell r="C57" t="str">
            <v>A1+S1+M2+A2</v>
          </cell>
          <cell r="D57">
            <v>142561.68000000002</v>
          </cell>
        </row>
        <row r="58">
          <cell r="A58">
            <v>45160</v>
          </cell>
          <cell r="B58" t="str">
            <v>A1+S1+M2+A2</v>
          </cell>
          <cell r="C58" t="str">
            <v>A1+S1+M2+A2</v>
          </cell>
          <cell r="D58">
            <v>209688.00000000009</v>
          </cell>
        </row>
        <row r="59">
          <cell r="A59">
            <v>45161</v>
          </cell>
          <cell r="B59" t="str">
            <v>A1+S1+M2+A2</v>
          </cell>
          <cell r="C59" t="str">
            <v>Imputation</v>
          </cell>
          <cell r="D59">
            <v>227561.27999999997</v>
          </cell>
        </row>
        <row r="60">
          <cell r="A60">
            <v>45162</v>
          </cell>
          <cell r="B60" t="str">
            <v>A1+S1+M2+A2</v>
          </cell>
          <cell r="C60" t="str">
            <v>A1+S1+M2+A2</v>
          </cell>
          <cell r="D60">
            <v>190734.96000000002</v>
          </cell>
        </row>
        <row r="61">
          <cell r="A61">
            <v>45163</v>
          </cell>
          <cell r="B61" t="str">
            <v>A1+S1+M2+A2</v>
          </cell>
          <cell r="C61" t="str">
            <v>A1+S1+M2+A2</v>
          </cell>
          <cell r="D61">
            <v>123811.91999999993</v>
          </cell>
        </row>
        <row r="62">
          <cell r="A62">
            <v>45164</v>
          </cell>
          <cell r="B62" t="str">
            <v>A1+S1+M2+A2</v>
          </cell>
          <cell r="C62" t="str">
            <v>Imputation</v>
          </cell>
          <cell r="D62">
            <v>114759.12000000002</v>
          </cell>
        </row>
        <row r="63">
          <cell r="A63">
            <v>45165</v>
          </cell>
          <cell r="B63" t="str">
            <v>A1+S1+M2+A2</v>
          </cell>
          <cell r="C63" t="str">
            <v>Imputation</v>
          </cell>
          <cell r="D63">
            <v>106628.97182608693</v>
          </cell>
        </row>
        <row r="64">
          <cell r="A64">
            <v>45166</v>
          </cell>
          <cell r="B64" t="str">
            <v>A1+S1+M2+A2</v>
          </cell>
          <cell r="C64" t="str">
            <v>A1+S1+M2+A2</v>
          </cell>
          <cell r="D64">
            <v>191352</v>
          </cell>
        </row>
        <row r="65">
          <cell r="A65">
            <v>45167</v>
          </cell>
          <cell r="B65" t="str">
            <v>A1+S1+M2+A2</v>
          </cell>
          <cell r="C65" t="str">
            <v>A1+S1+M2+A2</v>
          </cell>
          <cell r="D65">
            <v>263765.99999999988</v>
          </cell>
        </row>
        <row r="66">
          <cell r="A66">
            <v>45168</v>
          </cell>
          <cell r="B66" t="str">
            <v>A1+S1+M2+A2</v>
          </cell>
          <cell r="C66" t="str">
            <v>Imputation</v>
          </cell>
          <cell r="D66">
            <v>331732.58400000003</v>
          </cell>
        </row>
        <row r="67">
          <cell r="A67">
            <v>45169</v>
          </cell>
          <cell r="B67" t="str">
            <v>A1+S1+M2+A2</v>
          </cell>
          <cell r="C67" t="str">
            <v>A1+S1+M2+A2</v>
          </cell>
          <cell r="D67">
            <v>264485.99999999988</v>
          </cell>
        </row>
        <row r="68">
          <cell r="A68">
            <v>45170</v>
          </cell>
          <cell r="B68" t="str">
            <v>A1+S1+M2+A2</v>
          </cell>
          <cell r="C68" t="str">
            <v>A1+S1+M2+A2</v>
          </cell>
          <cell r="D68">
            <v>239435.99999999983</v>
          </cell>
        </row>
        <row r="69">
          <cell r="A69">
            <v>45171</v>
          </cell>
          <cell r="B69" t="str">
            <v>A1+S1+M2+A2</v>
          </cell>
          <cell r="C69" t="str">
            <v>Imputation</v>
          </cell>
          <cell r="D69">
            <v>593224.74239999987</v>
          </cell>
        </row>
        <row r="70">
          <cell r="A70">
            <v>45172</v>
          </cell>
          <cell r="B70" t="str">
            <v>A1+S1+M2+A2</v>
          </cell>
          <cell r="C70" t="str">
            <v>Imputation</v>
          </cell>
          <cell r="D70">
            <v>777841.58639999991</v>
          </cell>
        </row>
        <row r="71">
          <cell r="A71">
            <v>45173</v>
          </cell>
          <cell r="B71" t="str">
            <v>A1+S1+M2+A2</v>
          </cell>
          <cell r="C71" t="str">
            <v>A1+S1+M2+A2</v>
          </cell>
          <cell r="D71">
            <v>592130.40000000026</v>
          </cell>
        </row>
        <row r="72">
          <cell r="A72">
            <v>45174</v>
          </cell>
          <cell r="B72" t="str">
            <v>A1+S1+M2+A2</v>
          </cell>
          <cell r="C72" t="str">
            <v>A1+S1+M2+A2</v>
          </cell>
          <cell r="D72">
            <v>355156.56000000011</v>
          </cell>
        </row>
        <row r="73">
          <cell r="A73">
            <v>45175</v>
          </cell>
          <cell r="B73" t="str">
            <v>A1+S1+M2+A2</v>
          </cell>
          <cell r="C73" t="str">
            <v>A1+S1+M2+A2</v>
          </cell>
          <cell r="D73">
            <v>245899.91999999987</v>
          </cell>
        </row>
        <row r="74">
          <cell r="A74">
            <v>45176</v>
          </cell>
          <cell r="B74" t="str">
            <v>A1+S1+M2+A2</v>
          </cell>
          <cell r="C74" t="str">
            <v>A1+S1+M2+A2</v>
          </cell>
          <cell r="D74">
            <v>315355.44000000006</v>
          </cell>
        </row>
        <row r="75">
          <cell r="A75">
            <v>45177</v>
          </cell>
          <cell r="B75" t="str">
            <v>A1+S1+M2+A2</v>
          </cell>
          <cell r="C75" t="str">
            <v>A1+S1+M2+A2</v>
          </cell>
          <cell r="D75">
            <v>290232.72000000009</v>
          </cell>
        </row>
        <row r="76">
          <cell r="A76">
            <v>45178</v>
          </cell>
          <cell r="B76" t="str">
            <v>A1+S1+M2+A2</v>
          </cell>
          <cell r="C76" t="str">
            <v>A1+S1+M2+A2</v>
          </cell>
          <cell r="D76">
            <v>260301.12</v>
          </cell>
        </row>
        <row r="77">
          <cell r="A77">
            <v>45179</v>
          </cell>
          <cell r="B77" t="str">
            <v>A1+S1+M2+A2</v>
          </cell>
          <cell r="C77" t="str">
            <v>A1+S1+M2+A2</v>
          </cell>
          <cell r="D77">
            <v>354031.19999999995</v>
          </cell>
        </row>
        <row r="78">
          <cell r="A78">
            <v>45180</v>
          </cell>
          <cell r="B78" t="str">
            <v>A1+S1+M2+A2</v>
          </cell>
          <cell r="C78" t="str">
            <v>A1+S1+M2+A2</v>
          </cell>
          <cell r="D78">
            <v>627612.00000000023</v>
          </cell>
        </row>
        <row r="79">
          <cell r="A79">
            <v>45181</v>
          </cell>
          <cell r="B79" t="str">
            <v>A1+S1+M2+A2</v>
          </cell>
          <cell r="C79" t="str">
            <v>A1+S1+M2+A2</v>
          </cell>
          <cell r="D79">
            <v>671776.3200000003</v>
          </cell>
        </row>
        <row r="80">
          <cell r="A80">
            <v>45182</v>
          </cell>
          <cell r="B80" t="str">
            <v>A1+S1+M2+A2</v>
          </cell>
          <cell r="C80" t="str">
            <v>A1+S1+M2+A2</v>
          </cell>
          <cell r="D80">
            <v>540560.64000000001</v>
          </cell>
        </row>
        <row r="81">
          <cell r="A81">
            <v>45183</v>
          </cell>
          <cell r="B81" t="str">
            <v>A1+S1+M2+A2</v>
          </cell>
          <cell r="C81" t="str">
            <v>A1+S1+M2+A2</v>
          </cell>
          <cell r="D81">
            <v>263954.1599999998</v>
          </cell>
        </row>
        <row r="82">
          <cell r="A82">
            <v>45184</v>
          </cell>
          <cell r="B82" t="str">
            <v>A1+S1+M2+A2</v>
          </cell>
          <cell r="C82" t="str">
            <v>A1+S1+M2+A2</v>
          </cell>
          <cell r="D82">
            <v>208688.39999999997</v>
          </cell>
        </row>
        <row r="83">
          <cell r="A83">
            <v>45185</v>
          </cell>
          <cell r="B83" t="str">
            <v>A1+S1+M2+A2</v>
          </cell>
          <cell r="C83" t="str">
            <v>A1+S1+M2+A2</v>
          </cell>
          <cell r="D83">
            <v>214714.8</v>
          </cell>
        </row>
        <row r="84">
          <cell r="A84">
            <v>45186</v>
          </cell>
          <cell r="B84" t="str">
            <v>A1+S1+M2+A2</v>
          </cell>
          <cell r="C84" t="str">
            <v>A1+S1+M2+A2</v>
          </cell>
          <cell r="D84">
            <v>253162.31999999995</v>
          </cell>
        </row>
        <row r="85">
          <cell r="A85">
            <v>45187</v>
          </cell>
          <cell r="B85" t="str">
            <v>A1+S1+M2+A2</v>
          </cell>
          <cell r="C85" t="str">
            <v>A1+S1+M2+A2</v>
          </cell>
          <cell r="D85">
            <v>305262.95999999985</v>
          </cell>
        </row>
        <row r="86">
          <cell r="A86">
            <v>45188</v>
          </cell>
          <cell r="B86" t="str">
            <v>A1+S1+M2+A2</v>
          </cell>
          <cell r="C86" t="str">
            <v>A1+S1+M2+A2</v>
          </cell>
          <cell r="D86">
            <v>310312.07999999996</v>
          </cell>
        </row>
        <row r="87">
          <cell r="A87">
            <v>45189</v>
          </cell>
          <cell r="B87" t="str">
            <v>A1+S1+M2+A2</v>
          </cell>
          <cell r="C87" t="str">
            <v>A1+S1+M2+A2</v>
          </cell>
          <cell r="D87">
            <v>165837.60000000003</v>
          </cell>
        </row>
        <row r="88">
          <cell r="A88">
            <v>45190</v>
          </cell>
          <cell r="B88" t="str">
            <v>A1+S1+M2+A2</v>
          </cell>
          <cell r="C88" t="str">
            <v>A1+S1+M2+A2</v>
          </cell>
          <cell r="D88">
            <v>127990.31999999995</v>
          </cell>
        </row>
        <row r="89">
          <cell r="A89">
            <v>45191</v>
          </cell>
          <cell r="B89" t="str">
            <v>A1+S1+M2+A2</v>
          </cell>
          <cell r="C89" t="str">
            <v>A1+S1+M2+A2</v>
          </cell>
          <cell r="D89">
            <v>88988.400000000023</v>
          </cell>
        </row>
        <row r="90">
          <cell r="A90">
            <v>45192</v>
          </cell>
          <cell r="B90" t="str">
            <v>A1+S1+M2+A2</v>
          </cell>
          <cell r="C90" t="str">
            <v>Imputation</v>
          </cell>
          <cell r="D90">
            <v>72910.140000000043</v>
          </cell>
        </row>
        <row r="91">
          <cell r="A91">
            <v>45193</v>
          </cell>
          <cell r="B91" t="str">
            <v>A1+S1+M2+A2</v>
          </cell>
          <cell r="C91" t="str">
            <v>Imputation</v>
          </cell>
          <cell r="D91">
            <v>55231.751999999979</v>
          </cell>
        </row>
        <row r="92">
          <cell r="A92">
            <v>45194</v>
          </cell>
          <cell r="B92" t="str">
            <v>A1+S1+M2+A2</v>
          </cell>
          <cell r="C92" t="str">
            <v>A1+S1+M2+A2</v>
          </cell>
          <cell r="D92">
            <v>45383.520000000011</v>
          </cell>
        </row>
        <row r="93">
          <cell r="A93">
            <v>45195</v>
          </cell>
          <cell r="B93" t="str">
            <v>A1+S1+M2+A2</v>
          </cell>
          <cell r="C93" t="str">
            <v>A1+S1+M2+A2</v>
          </cell>
          <cell r="D93">
            <v>59608.559999999983</v>
          </cell>
        </row>
        <row r="94">
          <cell r="A94">
            <v>45196</v>
          </cell>
          <cell r="B94" t="str">
            <v>A1+S1+M2+A2</v>
          </cell>
          <cell r="C94" t="str">
            <v>A1+S1+M2+A2</v>
          </cell>
          <cell r="D94">
            <v>64601.999999999985</v>
          </cell>
        </row>
        <row r="95">
          <cell r="A95">
            <v>45197</v>
          </cell>
          <cell r="B95" t="str">
            <v>A1+S1+M2+A2</v>
          </cell>
          <cell r="C95" t="str">
            <v>A1+S1+M2+A2</v>
          </cell>
          <cell r="D95">
            <v>47569.679999999993</v>
          </cell>
        </row>
        <row r="96">
          <cell r="A96">
            <v>45198</v>
          </cell>
          <cell r="B96" t="str">
            <v>A1+S1+M2+A2</v>
          </cell>
          <cell r="C96" t="str">
            <v>A1+S1+M2+A2</v>
          </cell>
          <cell r="D96">
            <v>63918.72000000003</v>
          </cell>
        </row>
        <row r="97">
          <cell r="A97">
            <v>45199</v>
          </cell>
          <cell r="B97" t="str">
            <v>A1+S1+M2+A2</v>
          </cell>
          <cell r="C97" t="str">
            <v>A1+S1+M2+A2</v>
          </cell>
          <cell r="D97">
            <v>56126.879999999997</v>
          </cell>
        </row>
        <row r="98">
          <cell r="A98">
            <v>45200</v>
          </cell>
          <cell r="B98" t="str">
            <v>A1+S1+M2+A2</v>
          </cell>
          <cell r="C98" t="str">
            <v>A1+S1+M2+A2</v>
          </cell>
          <cell r="D98">
            <v>51418.320000000029</v>
          </cell>
        </row>
        <row r="99">
          <cell r="A99">
            <v>45201</v>
          </cell>
          <cell r="B99" t="str">
            <v>A1+S1+M2+A2</v>
          </cell>
          <cell r="C99" t="str">
            <v>A1+S1+M2+A2</v>
          </cell>
          <cell r="D99">
            <v>32633.520000000019</v>
          </cell>
        </row>
        <row r="100">
          <cell r="A100">
            <v>45202</v>
          </cell>
          <cell r="D100" t="e">
            <v>#N/A</v>
          </cell>
        </row>
        <row r="101">
          <cell r="A101">
            <v>45203</v>
          </cell>
          <cell r="D101" t="e">
            <v>#N/A</v>
          </cell>
        </row>
        <row r="102">
          <cell r="A102">
            <v>45204</v>
          </cell>
          <cell r="D102" t="e">
            <v>#N/A</v>
          </cell>
        </row>
        <row r="103">
          <cell r="A103">
            <v>45205</v>
          </cell>
          <cell r="D103" t="e">
            <v>#N/A</v>
          </cell>
        </row>
        <row r="104">
          <cell r="A104">
            <v>45206</v>
          </cell>
          <cell r="D104" t="e">
            <v>#N/A</v>
          </cell>
        </row>
        <row r="105">
          <cell r="A105">
            <v>45207</v>
          </cell>
          <cell r="D105" t="e">
            <v>#N/A</v>
          </cell>
        </row>
        <row r="106">
          <cell r="A106">
            <v>45208</v>
          </cell>
          <cell r="D106" t="e">
            <v>#N/A</v>
          </cell>
        </row>
        <row r="107">
          <cell r="A107">
            <v>45209</v>
          </cell>
          <cell r="D107" t="e">
            <v>#N/A</v>
          </cell>
        </row>
        <row r="108">
          <cell r="A108">
            <v>45210</v>
          </cell>
          <cell r="D108" t="e">
            <v>#N/A</v>
          </cell>
        </row>
        <row r="109">
          <cell r="A109">
            <v>45211</v>
          </cell>
          <cell r="D109" t="e">
            <v>#N/A</v>
          </cell>
        </row>
        <row r="110">
          <cell r="A110">
            <v>45212</v>
          </cell>
          <cell r="D110" t="e">
            <v>#N/A</v>
          </cell>
        </row>
        <row r="111">
          <cell r="A111">
            <v>45213</v>
          </cell>
          <cell r="D111" t="e">
            <v>#N/A</v>
          </cell>
        </row>
        <row r="112">
          <cell r="A112">
            <v>45214</v>
          </cell>
          <cell r="D112" t="e">
            <v>#N/A</v>
          </cell>
        </row>
        <row r="113">
          <cell r="A113">
            <v>45215</v>
          </cell>
          <cell r="D113" t="e">
            <v>#N/A</v>
          </cell>
        </row>
        <row r="114">
          <cell r="A114">
            <v>45216</v>
          </cell>
          <cell r="D114" t="e">
            <v>#N/A</v>
          </cell>
        </row>
        <row r="115">
          <cell r="A115">
            <v>45217</v>
          </cell>
          <cell r="D115" t="e">
            <v>#N/A</v>
          </cell>
        </row>
        <row r="116">
          <cell r="A116">
            <v>45218</v>
          </cell>
          <cell r="D116" t="e">
            <v>#N/A</v>
          </cell>
        </row>
        <row r="117">
          <cell r="A117">
            <v>45219</v>
          </cell>
          <cell r="D117" t="e">
            <v>#N/A</v>
          </cell>
        </row>
        <row r="118">
          <cell r="A118">
            <v>45220</v>
          </cell>
          <cell r="D118" t="e">
            <v>#N/A</v>
          </cell>
        </row>
        <row r="119">
          <cell r="A119">
            <v>45221</v>
          </cell>
          <cell r="D119" t="e">
            <v>#N/A</v>
          </cell>
        </row>
        <row r="120">
          <cell r="A120">
            <v>45222</v>
          </cell>
          <cell r="D120" t="e">
            <v>#N/A</v>
          </cell>
        </row>
        <row r="121">
          <cell r="A121">
            <v>45223</v>
          </cell>
          <cell r="D121" t="e">
            <v>#N/A</v>
          </cell>
        </row>
        <row r="122">
          <cell r="A122">
            <v>45224</v>
          </cell>
          <cell r="D122" t="e">
            <v>#N/A</v>
          </cell>
        </row>
        <row r="123">
          <cell r="A123">
            <v>45225</v>
          </cell>
          <cell r="D123" t="e">
            <v>#N/A</v>
          </cell>
        </row>
        <row r="124">
          <cell r="A124">
            <v>45226</v>
          </cell>
          <cell r="D124" t="e">
            <v>#N/A</v>
          </cell>
        </row>
        <row r="125">
          <cell r="A125">
            <v>45227</v>
          </cell>
          <cell r="D125" t="e">
            <v>#N/A</v>
          </cell>
        </row>
        <row r="126">
          <cell r="A126">
            <v>45228</v>
          </cell>
          <cell r="D126" t="e">
            <v>#N/A</v>
          </cell>
        </row>
        <row r="127">
          <cell r="A127">
            <v>45229</v>
          </cell>
          <cell r="D127" t="e">
            <v>#N/A</v>
          </cell>
        </row>
        <row r="128">
          <cell r="A128">
            <v>45230</v>
          </cell>
          <cell r="D128" t="e">
            <v>#N/A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Chart2"/>
      <sheetName val="SalmonProps"/>
      <sheetName val="MixMod_Standards"/>
      <sheetName val="CrossRiver"/>
      <sheetName val="SpeciesComp"/>
      <sheetName val="RB Bin comparison"/>
      <sheetName val="SalmonPsg"/>
      <sheetName val="SpeciesComp_5grp"/>
      <sheetName val="SalmonPsg_5grp"/>
      <sheetName val="Dropdown values"/>
      <sheetName val="PivotChart"/>
    </sheetNames>
    <sheetDataSet>
      <sheetData sheetId="0" refreshError="1"/>
      <sheetData sheetId="1" refreshError="1"/>
      <sheetData sheetId="2">
        <row r="2">
          <cell r="A2">
            <v>45108</v>
          </cell>
          <cell r="B2" t="str">
            <v>A1</v>
          </cell>
          <cell r="C2">
            <v>1</v>
          </cell>
          <cell r="D2">
            <v>1</v>
          </cell>
          <cell r="E2" t="str">
            <v>ARIS.A1.Aim1.Bin1.LB</v>
          </cell>
          <cell r="F2">
            <v>3</v>
          </cell>
          <cell r="G2" t="str">
            <v>Unweighted</v>
          </cell>
          <cell r="H2" t="str">
            <v>N</v>
          </cell>
          <cell r="I2" t="str">
            <v>Y</v>
          </cell>
          <cell r="J2">
            <v>154</v>
          </cell>
          <cell r="K2">
            <v>1</v>
          </cell>
          <cell r="L2">
            <v>0.93969999999999998</v>
          </cell>
          <cell r="M2">
            <v>22.5</v>
          </cell>
          <cell r="N2">
            <v>5.5</v>
          </cell>
          <cell r="O2">
            <v>6.0299999999999999E-2</v>
          </cell>
          <cell r="P2">
            <v>6.0299999999999999E-2</v>
          </cell>
          <cell r="Q2">
            <v>0</v>
          </cell>
          <cell r="R2" t="str">
            <v>NA</v>
          </cell>
          <cell r="S2" t="str">
            <v>NA</v>
          </cell>
          <cell r="T2">
            <v>61.4</v>
          </cell>
          <cell r="U2">
            <v>5</v>
          </cell>
          <cell r="V2">
            <v>75.099999999999994</v>
          </cell>
          <cell r="W2">
            <v>7.6</v>
          </cell>
          <cell r="X2" t="str">
            <v>NA</v>
          </cell>
          <cell r="Y2" t="str">
            <v>NA</v>
          </cell>
          <cell r="Z2" t="str">
            <v>NA</v>
          </cell>
          <cell r="AA2" t="str">
            <v>NA</v>
          </cell>
        </row>
        <row r="3">
          <cell r="A3">
            <v>45108</v>
          </cell>
          <cell r="B3" t="str">
            <v>A1</v>
          </cell>
          <cell r="C3">
            <v>1</v>
          </cell>
          <cell r="D3">
            <v>2</v>
          </cell>
          <cell r="E3" t="str">
            <v>ARIS.A1.Aim2.Bin1.LB</v>
          </cell>
          <cell r="F3">
            <v>3</v>
          </cell>
          <cell r="G3" t="str">
            <v>Unweighted</v>
          </cell>
          <cell r="H3" t="str">
            <v>N</v>
          </cell>
          <cell r="I3" t="str">
            <v>Y</v>
          </cell>
          <cell r="J3">
            <v>106</v>
          </cell>
          <cell r="K3">
            <v>1</v>
          </cell>
          <cell r="L3">
            <v>0.98019999999999996</v>
          </cell>
          <cell r="M3">
            <v>15.9</v>
          </cell>
          <cell r="N3">
            <v>5.5</v>
          </cell>
          <cell r="O3">
            <v>1.9800000000000002E-2</v>
          </cell>
          <cell r="P3">
            <v>1.9800000000000002E-2</v>
          </cell>
          <cell r="Q3">
            <v>0</v>
          </cell>
          <cell r="R3" t="str">
            <v>NA</v>
          </cell>
          <cell r="S3" t="str">
            <v>NA</v>
          </cell>
          <cell r="T3">
            <v>61.4</v>
          </cell>
          <cell r="U3">
            <v>5</v>
          </cell>
          <cell r="V3">
            <v>75.099999999999994</v>
          </cell>
          <cell r="W3">
            <v>7.6</v>
          </cell>
          <cell r="X3" t="str">
            <v>NA</v>
          </cell>
          <cell r="Y3" t="str">
            <v>NA</v>
          </cell>
          <cell r="Z3" t="str">
            <v>NA</v>
          </cell>
          <cell r="AA3" t="str">
            <v>NA</v>
          </cell>
        </row>
        <row r="4">
          <cell r="A4">
            <v>45108</v>
          </cell>
          <cell r="B4" t="str">
            <v>A1</v>
          </cell>
          <cell r="C4">
            <v>1</v>
          </cell>
          <cell r="D4" t="str">
            <v>1&amp;2</v>
          </cell>
          <cell r="E4" t="str">
            <v>ARIS.A1.Aim1&amp;Aim2.Bin1.LB</v>
          </cell>
          <cell r="F4">
            <v>3</v>
          </cell>
          <cell r="G4" t="str">
            <v>Unweighted</v>
          </cell>
          <cell r="H4" t="str">
            <v>N</v>
          </cell>
          <cell r="I4" t="str">
            <v>Y</v>
          </cell>
          <cell r="J4">
            <v>260</v>
          </cell>
          <cell r="K4">
            <v>1</v>
          </cell>
          <cell r="L4">
            <v>0.95630000000000004</v>
          </cell>
          <cell r="M4">
            <v>19.7</v>
          </cell>
          <cell r="N4">
            <v>6.4</v>
          </cell>
          <cell r="O4">
            <v>4.3700000000000003E-2</v>
          </cell>
          <cell r="P4">
            <v>4.3700000000000003E-2</v>
          </cell>
          <cell r="Q4">
            <v>0</v>
          </cell>
          <cell r="R4" t="str">
            <v>NA</v>
          </cell>
          <cell r="S4" t="str">
            <v>NA</v>
          </cell>
          <cell r="T4">
            <v>61.4</v>
          </cell>
          <cell r="U4">
            <v>5</v>
          </cell>
          <cell r="V4">
            <v>75.099999999999994</v>
          </cell>
          <cell r="W4">
            <v>7.6</v>
          </cell>
          <cell r="X4" t="str">
            <v>NA</v>
          </cell>
          <cell r="Y4" t="str">
            <v>NA</v>
          </cell>
          <cell r="Z4" t="str">
            <v>NA</v>
          </cell>
          <cell r="AA4" t="str">
            <v>NA</v>
          </cell>
        </row>
        <row r="5">
          <cell r="A5">
            <v>45108</v>
          </cell>
          <cell r="B5" t="str">
            <v>A1</v>
          </cell>
          <cell r="C5">
            <v>2</v>
          </cell>
          <cell r="D5">
            <v>3</v>
          </cell>
          <cell r="E5" t="str">
            <v>ARIS.A1.Aim3.Bin2.LB</v>
          </cell>
          <cell r="F5">
            <v>3</v>
          </cell>
          <cell r="G5" t="str">
            <v>Unweighted</v>
          </cell>
          <cell r="H5" t="str">
            <v>N</v>
          </cell>
          <cell r="I5" t="str">
            <v>Y</v>
          </cell>
          <cell r="J5">
            <v>95</v>
          </cell>
          <cell r="K5">
            <v>0.99990000000000001</v>
          </cell>
          <cell r="L5">
            <v>0.84119999999999995</v>
          </cell>
          <cell r="M5">
            <v>31</v>
          </cell>
          <cell r="N5">
            <v>8.4</v>
          </cell>
          <cell r="O5">
            <v>0.15870000000000001</v>
          </cell>
          <cell r="P5">
            <v>0.1283</v>
          </cell>
          <cell r="Q5">
            <v>3.04E-2</v>
          </cell>
          <cell r="R5" t="str">
            <v>NA</v>
          </cell>
          <cell r="S5" t="str">
            <v>NA</v>
          </cell>
          <cell r="T5">
            <v>61.4</v>
          </cell>
          <cell r="U5">
            <v>5</v>
          </cell>
          <cell r="V5">
            <v>75.099999999999994</v>
          </cell>
          <cell r="W5">
            <v>7.6</v>
          </cell>
          <cell r="X5" t="str">
            <v>NA</v>
          </cell>
          <cell r="Y5" t="str">
            <v>NA</v>
          </cell>
          <cell r="Z5" t="str">
            <v>NA</v>
          </cell>
          <cell r="AA5" t="str">
            <v>NA</v>
          </cell>
        </row>
        <row r="6">
          <cell r="A6">
            <v>45108</v>
          </cell>
          <cell r="B6" t="str">
            <v>A1</v>
          </cell>
          <cell r="C6">
            <v>3</v>
          </cell>
          <cell r="D6">
            <v>3</v>
          </cell>
          <cell r="E6" t="str">
            <v>ARIS.A1.Aim3.Bin3.LB</v>
          </cell>
          <cell r="F6">
            <v>3</v>
          </cell>
          <cell r="G6" t="str">
            <v>Unweighted</v>
          </cell>
          <cell r="H6" t="str">
            <v>N</v>
          </cell>
          <cell r="I6" t="str">
            <v>Y</v>
          </cell>
          <cell r="J6">
            <v>30</v>
          </cell>
          <cell r="K6">
            <v>1</v>
          </cell>
          <cell r="L6">
            <v>0.8649</v>
          </cell>
          <cell r="M6">
            <v>23.7</v>
          </cell>
          <cell r="N6">
            <v>25.7</v>
          </cell>
          <cell r="O6">
            <v>0.1351</v>
          </cell>
          <cell r="P6">
            <v>1.6500000000000001E-2</v>
          </cell>
          <cell r="Q6">
            <v>0.1186</v>
          </cell>
          <cell r="R6" t="str">
            <v>NA</v>
          </cell>
          <cell r="S6" t="str">
            <v>NA</v>
          </cell>
          <cell r="T6">
            <v>61.4</v>
          </cell>
          <cell r="U6">
            <v>5</v>
          </cell>
          <cell r="V6">
            <v>75.099999999999994</v>
          </cell>
          <cell r="W6">
            <v>7.6</v>
          </cell>
          <cell r="X6" t="str">
            <v>NA</v>
          </cell>
          <cell r="Y6" t="str">
            <v>NA</v>
          </cell>
          <cell r="Z6" t="str">
            <v>NA</v>
          </cell>
          <cell r="AA6" t="str">
            <v>NA</v>
          </cell>
        </row>
        <row r="7">
          <cell r="A7">
            <v>45108</v>
          </cell>
          <cell r="B7" t="str">
            <v>A1</v>
          </cell>
          <cell r="C7">
            <v>4</v>
          </cell>
          <cell r="D7">
            <v>3</v>
          </cell>
          <cell r="E7" t="str">
            <v>ARIS.A1.Aim3.Bin4.LB</v>
          </cell>
          <cell r="F7">
            <v>3</v>
          </cell>
          <cell r="G7" t="str">
            <v>Unweighted</v>
          </cell>
          <cell r="H7" t="str">
            <v>N</v>
          </cell>
          <cell r="I7" t="str">
            <v>Y</v>
          </cell>
          <cell r="J7">
            <v>30</v>
          </cell>
          <cell r="K7">
            <v>1</v>
          </cell>
          <cell r="L7">
            <v>0.8649</v>
          </cell>
          <cell r="M7">
            <v>23.7</v>
          </cell>
          <cell r="N7">
            <v>25.7</v>
          </cell>
          <cell r="O7">
            <v>0.1351</v>
          </cell>
          <cell r="P7">
            <v>1.6500000000000001E-2</v>
          </cell>
          <cell r="Q7">
            <v>0.1186</v>
          </cell>
          <cell r="R7" t="str">
            <v>NA</v>
          </cell>
          <cell r="S7" t="str">
            <v>NA</v>
          </cell>
          <cell r="T7">
            <v>61.4</v>
          </cell>
          <cell r="U7">
            <v>5</v>
          </cell>
          <cell r="V7">
            <v>75.099999999999994</v>
          </cell>
          <cell r="W7">
            <v>7.6</v>
          </cell>
          <cell r="X7" t="str">
            <v>NA</v>
          </cell>
          <cell r="Y7" t="str">
            <v>NA</v>
          </cell>
          <cell r="Z7" t="str">
            <v>NA</v>
          </cell>
          <cell r="AA7" t="str">
            <v>NA</v>
          </cell>
        </row>
        <row r="8">
          <cell r="A8">
            <v>45108</v>
          </cell>
          <cell r="B8" t="str">
            <v>A1</v>
          </cell>
          <cell r="C8">
            <v>1</v>
          </cell>
          <cell r="D8">
            <v>1</v>
          </cell>
          <cell r="E8" t="str">
            <v>ARIS.A1.Aim1.Bin1.LB</v>
          </cell>
          <cell r="F8">
            <v>3</v>
          </cell>
          <cell r="G8" t="str">
            <v>SplineDFA</v>
          </cell>
          <cell r="H8" t="str">
            <v>Y</v>
          </cell>
          <cell r="I8" t="str">
            <v>N</v>
          </cell>
          <cell r="J8">
            <v>154</v>
          </cell>
          <cell r="K8">
            <v>1</v>
          </cell>
          <cell r="L8">
            <v>0.94389999999999996</v>
          </cell>
          <cell r="M8">
            <v>23.7</v>
          </cell>
          <cell r="N8">
            <v>2.7</v>
          </cell>
          <cell r="O8">
            <v>5.6099999999999997E-2</v>
          </cell>
          <cell r="P8">
            <v>5.6099999999999997E-2</v>
          </cell>
          <cell r="Q8">
            <v>0</v>
          </cell>
          <cell r="R8" t="str">
            <v>NA</v>
          </cell>
          <cell r="S8" t="str">
            <v>NA</v>
          </cell>
          <cell r="T8">
            <v>61.4</v>
          </cell>
          <cell r="U8">
            <v>5</v>
          </cell>
          <cell r="V8">
            <v>75.099999999999994</v>
          </cell>
          <cell r="W8">
            <v>7.6</v>
          </cell>
          <cell r="X8" t="str">
            <v>NA</v>
          </cell>
          <cell r="Y8" t="str">
            <v>NA</v>
          </cell>
          <cell r="Z8" t="str">
            <v>NA</v>
          </cell>
          <cell r="AA8" t="str">
            <v>NA</v>
          </cell>
        </row>
        <row r="9">
          <cell r="A9">
            <v>45108</v>
          </cell>
          <cell r="B9" t="str">
            <v>A1</v>
          </cell>
          <cell r="C9">
            <v>1</v>
          </cell>
          <cell r="D9">
            <v>2</v>
          </cell>
          <cell r="E9" t="str">
            <v>ARIS.A1.Aim2.Bin1.LB</v>
          </cell>
          <cell r="F9">
            <v>3</v>
          </cell>
          <cell r="G9" t="str">
            <v>SplineDFA</v>
          </cell>
          <cell r="H9" t="str">
            <v>Y</v>
          </cell>
          <cell r="I9" t="str">
            <v>N</v>
          </cell>
          <cell r="J9">
            <v>106</v>
          </cell>
          <cell r="K9">
            <v>1</v>
          </cell>
          <cell r="L9">
            <v>0.97870000000000001</v>
          </cell>
          <cell r="M9">
            <v>23.7</v>
          </cell>
          <cell r="N9">
            <v>2.7</v>
          </cell>
          <cell r="O9">
            <v>2.1299999999999999E-2</v>
          </cell>
          <cell r="P9">
            <v>2.1299999999999999E-2</v>
          </cell>
          <cell r="Q9">
            <v>0</v>
          </cell>
          <cell r="R9" t="str">
            <v>NA</v>
          </cell>
          <cell r="S9" t="str">
            <v>NA</v>
          </cell>
          <cell r="T9">
            <v>61.4</v>
          </cell>
          <cell r="U9">
            <v>5</v>
          </cell>
          <cell r="V9">
            <v>75.099999999999994</v>
          </cell>
          <cell r="W9">
            <v>7.6</v>
          </cell>
          <cell r="X9" t="str">
            <v>NA</v>
          </cell>
          <cell r="Y9" t="str">
            <v>NA</v>
          </cell>
          <cell r="Z9" t="str">
            <v>NA</v>
          </cell>
          <cell r="AA9" t="str">
            <v>NA</v>
          </cell>
        </row>
        <row r="10">
          <cell r="A10">
            <v>45108</v>
          </cell>
          <cell r="B10" t="str">
            <v>A1</v>
          </cell>
          <cell r="C10">
            <v>2</v>
          </cell>
          <cell r="D10">
            <v>3</v>
          </cell>
          <cell r="E10" t="str">
            <v>ARIS.A1.Aim3.Bin2.LB</v>
          </cell>
          <cell r="F10">
            <v>3</v>
          </cell>
          <cell r="G10" t="str">
            <v>SplineDFA</v>
          </cell>
          <cell r="H10" t="str">
            <v>Y</v>
          </cell>
          <cell r="I10" t="str">
            <v>N</v>
          </cell>
          <cell r="J10">
            <v>95</v>
          </cell>
          <cell r="K10">
            <v>1</v>
          </cell>
          <cell r="L10">
            <v>0.64119999999999999</v>
          </cell>
          <cell r="M10">
            <v>23.7</v>
          </cell>
          <cell r="N10">
            <v>2.7</v>
          </cell>
          <cell r="O10">
            <v>0.35880000000000001</v>
          </cell>
          <cell r="P10">
            <v>0.32290000000000002</v>
          </cell>
          <cell r="Q10">
            <v>3.5900000000000001E-2</v>
          </cell>
          <cell r="R10" t="str">
            <v>NA</v>
          </cell>
          <cell r="S10" t="str">
            <v>NA</v>
          </cell>
          <cell r="T10">
            <v>61.4</v>
          </cell>
          <cell r="U10">
            <v>5</v>
          </cell>
          <cell r="V10">
            <v>75.099999999999994</v>
          </cell>
          <cell r="W10">
            <v>7.6</v>
          </cell>
          <cell r="X10" t="str">
            <v>NA</v>
          </cell>
          <cell r="Y10" t="str">
            <v>NA</v>
          </cell>
          <cell r="Z10" t="str">
            <v>NA</v>
          </cell>
          <cell r="AA10" t="str">
            <v>NA</v>
          </cell>
        </row>
        <row r="11">
          <cell r="A11">
            <v>45108</v>
          </cell>
          <cell r="B11" t="str">
            <v>A1</v>
          </cell>
          <cell r="C11">
            <v>3</v>
          </cell>
          <cell r="D11">
            <v>3</v>
          </cell>
          <cell r="E11" t="str">
            <v>ARIS.A1.Aim3.Bin3.LB</v>
          </cell>
          <cell r="F11">
            <v>3</v>
          </cell>
          <cell r="G11" t="str">
            <v>SplineDFA</v>
          </cell>
          <cell r="H11" t="str">
            <v>Y</v>
          </cell>
          <cell r="I11" t="str">
            <v>N</v>
          </cell>
          <cell r="J11">
            <v>30</v>
          </cell>
          <cell r="K11">
            <v>1.0001</v>
          </cell>
          <cell r="L11">
            <v>0.25440000000000002</v>
          </cell>
          <cell r="M11">
            <v>23.7</v>
          </cell>
          <cell r="N11">
            <v>2.7</v>
          </cell>
          <cell r="O11">
            <v>0.74570000000000003</v>
          </cell>
          <cell r="P11">
            <v>0.63629999999999998</v>
          </cell>
          <cell r="Q11">
            <v>0.1094</v>
          </cell>
          <cell r="R11" t="str">
            <v>NA</v>
          </cell>
          <cell r="S11" t="str">
            <v>NA</v>
          </cell>
          <cell r="T11">
            <v>61.4</v>
          </cell>
          <cell r="U11">
            <v>5</v>
          </cell>
          <cell r="V11">
            <v>75.099999999999994</v>
          </cell>
          <cell r="W11">
            <v>7.6</v>
          </cell>
          <cell r="X11" t="str">
            <v>NA</v>
          </cell>
          <cell r="Y11" t="str">
            <v>NA</v>
          </cell>
          <cell r="Z11" t="str">
            <v>NA</v>
          </cell>
          <cell r="AA11" t="str">
            <v>NA</v>
          </cell>
        </row>
        <row r="12">
          <cell r="A12">
            <v>45108</v>
          </cell>
          <cell r="B12" t="str">
            <v>A1</v>
          </cell>
          <cell r="C12">
            <v>4</v>
          </cell>
          <cell r="D12">
            <v>3</v>
          </cell>
          <cell r="E12" t="str">
            <v>ARIS.A1.Aim3.Bin4.LB</v>
          </cell>
          <cell r="F12">
            <v>3</v>
          </cell>
          <cell r="G12" t="str">
            <v>SplineDFA</v>
          </cell>
          <cell r="H12" t="str">
            <v>Y</v>
          </cell>
          <cell r="I12" t="str">
            <v>N</v>
          </cell>
          <cell r="J12">
            <v>30</v>
          </cell>
          <cell r="K12">
            <v>1.0001</v>
          </cell>
          <cell r="L12">
            <v>0.25440000000000002</v>
          </cell>
          <cell r="M12">
            <v>23.7</v>
          </cell>
          <cell r="N12">
            <v>2.7</v>
          </cell>
          <cell r="O12">
            <v>0.74570000000000003</v>
          </cell>
          <cell r="P12">
            <v>0.63629999999999998</v>
          </cell>
          <cell r="Q12">
            <v>0.1094</v>
          </cell>
          <cell r="R12" t="str">
            <v>NA</v>
          </cell>
          <cell r="S12" t="str">
            <v>NA</v>
          </cell>
          <cell r="T12">
            <v>61.4</v>
          </cell>
          <cell r="U12">
            <v>5</v>
          </cell>
          <cell r="V12">
            <v>75.099999999999994</v>
          </cell>
          <cell r="W12">
            <v>7.6</v>
          </cell>
          <cell r="X12" t="str">
            <v>NA</v>
          </cell>
          <cell r="Y12" t="str">
            <v>NA</v>
          </cell>
          <cell r="Z12" t="str">
            <v>NA</v>
          </cell>
          <cell r="AA12" t="str">
            <v>NA</v>
          </cell>
        </row>
        <row r="13">
          <cell r="A13">
            <v>45109</v>
          </cell>
          <cell r="B13" t="str">
            <v>A1</v>
          </cell>
          <cell r="C13">
            <v>1</v>
          </cell>
          <cell r="D13">
            <v>1</v>
          </cell>
          <cell r="E13" t="str">
            <v>ARIS.A1.Aim1.Bin1.LB</v>
          </cell>
          <cell r="F13">
            <v>3</v>
          </cell>
          <cell r="G13" t="str">
            <v>Unweighted</v>
          </cell>
          <cell r="H13" t="str">
            <v>N</v>
          </cell>
          <cell r="I13" t="str">
            <v>Y</v>
          </cell>
          <cell r="J13">
            <v>103</v>
          </cell>
          <cell r="K13">
            <v>1</v>
          </cell>
          <cell r="L13">
            <v>0.92390000000000005</v>
          </cell>
          <cell r="M13">
            <v>21</v>
          </cell>
          <cell r="N13">
            <v>6.5</v>
          </cell>
          <cell r="O13">
            <v>7.6100000000000001E-2</v>
          </cell>
          <cell r="P13">
            <v>7.6100000000000001E-2</v>
          </cell>
          <cell r="Q13">
            <v>0</v>
          </cell>
          <cell r="R13" t="str">
            <v>NA</v>
          </cell>
          <cell r="S13" t="str">
            <v>NA</v>
          </cell>
          <cell r="T13">
            <v>61.4</v>
          </cell>
          <cell r="U13">
            <v>5</v>
          </cell>
          <cell r="V13">
            <v>75.099999999999994</v>
          </cell>
          <cell r="W13">
            <v>7.6</v>
          </cell>
          <cell r="X13" t="str">
            <v>NA</v>
          </cell>
          <cell r="Y13" t="str">
            <v>NA</v>
          </cell>
          <cell r="Z13" t="str">
            <v>NA</v>
          </cell>
          <cell r="AA13" t="str">
            <v>NA</v>
          </cell>
        </row>
        <row r="14">
          <cell r="A14">
            <v>45109</v>
          </cell>
          <cell r="B14" t="str">
            <v>A1</v>
          </cell>
          <cell r="C14">
            <v>1</v>
          </cell>
          <cell r="D14">
            <v>2</v>
          </cell>
          <cell r="E14" t="str">
            <v>ARIS.A1.Aim2.Bin1.LB</v>
          </cell>
          <cell r="F14">
            <v>3</v>
          </cell>
          <cell r="G14" t="str">
            <v>Unweighted</v>
          </cell>
          <cell r="H14" t="str">
            <v>N</v>
          </cell>
          <cell r="I14" t="str">
            <v>Y</v>
          </cell>
          <cell r="J14">
            <v>100</v>
          </cell>
          <cell r="K14">
            <v>1</v>
          </cell>
          <cell r="L14">
            <v>0.98180000000000001</v>
          </cell>
          <cell r="M14">
            <v>15.9</v>
          </cell>
          <cell r="N14">
            <v>5.7</v>
          </cell>
          <cell r="O14">
            <v>1.8200000000000001E-2</v>
          </cell>
          <cell r="P14">
            <v>1.8200000000000001E-2</v>
          </cell>
          <cell r="Q14">
            <v>0</v>
          </cell>
          <cell r="R14" t="str">
            <v>NA</v>
          </cell>
          <cell r="S14" t="str">
            <v>NA</v>
          </cell>
          <cell r="T14">
            <v>61.4</v>
          </cell>
          <cell r="U14">
            <v>5</v>
          </cell>
          <cell r="V14">
            <v>75.099999999999994</v>
          </cell>
          <cell r="W14">
            <v>7.6</v>
          </cell>
          <cell r="X14" t="str">
            <v>NA</v>
          </cell>
          <cell r="Y14" t="str">
            <v>NA</v>
          </cell>
          <cell r="Z14" t="str">
            <v>NA</v>
          </cell>
          <cell r="AA14" t="str">
            <v>NA</v>
          </cell>
        </row>
        <row r="15">
          <cell r="A15">
            <v>45109</v>
          </cell>
          <cell r="B15" t="str">
            <v>A1</v>
          </cell>
          <cell r="C15">
            <v>1</v>
          </cell>
          <cell r="D15" t="str">
            <v>1&amp;2</v>
          </cell>
          <cell r="E15" t="str">
            <v>ARIS.A1.Aim1&amp;Aim2.Bin1.LB</v>
          </cell>
          <cell r="F15">
            <v>3</v>
          </cell>
          <cell r="G15" t="str">
            <v>Unweighted</v>
          </cell>
          <cell r="H15" t="str">
            <v>N</v>
          </cell>
          <cell r="I15" t="str">
            <v>Y</v>
          </cell>
          <cell r="J15">
            <v>203</v>
          </cell>
          <cell r="K15">
            <v>1</v>
          </cell>
          <cell r="L15">
            <v>0.95189999999999997</v>
          </cell>
          <cell r="M15">
            <v>18.5</v>
          </cell>
          <cell r="N15">
            <v>6.5</v>
          </cell>
          <cell r="O15">
            <v>4.8099999999999997E-2</v>
          </cell>
          <cell r="P15">
            <v>4.8099999999999997E-2</v>
          </cell>
          <cell r="Q15">
            <v>0</v>
          </cell>
          <cell r="R15" t="str">
            <v>NA</v>
          </cell>
          <cell r="S15" t="str">
            <v>NA</v>
          </cell>
          <cell r="T15">
            <v>61.4</v>
          </cell>
          <cell r="U15">
            <v>5</v>
          </cell>
          <cell r="V15">
            <v>75.099999999999994</v>
          </cell>
          <cell r="W15">
            <v>7.6</v>
          </cell>
          <cell r="X15" t="str">
            <v>NA</v>
          </cell>
          <cell r="Y15" t="str">
            <v>NA</v>
          </cell>
          <cell r="Z15" t="str">
            <v>NA</v>
          </cell>
          <cell r="AA15" t="str">
            <v>NA</v>
          </cell>
        </row>
        <row r="16">
          <cell r="A16">
            <v>45109</v>
          </cell>
          <cell r="B16" t="str">
            <v>A1</v>
          </cell>
          <cell r="C16">
            <v>2</v>
          </cell>
          <cell r="D16">
            <v>3</v>
          </cell>
          <cell r="E16" t="str">
            <v>ARIS.A1.Aim3.Bin2.LB</v>
          </cell>
          <cell r="F16">
            <v>3</v>
          </cell>
          <cell r="G16" t="str">
            <v>Unweighted</v>
          </cell>
          <cell r="H16" t="str">
            <v>N</v>
          </cell>
          <cell r="I16" t="str">
            <v>Y</v>
          </cell>
          <cell r="J16">
            <v>95</v>
          </cell>
          <cell r="K16">
            <v>0.99990000000000001</v>
          </cell>
          <cell r="L16">
            <v>0.84119999999999995</v>
          </cell>
          <cell r="M16">
            <v>31</v>
          </cell>
          <cell r="N16">
            <v>8.4</v>
          </cell>
          <cell r="O16">
            <v>0.15870000000000001</v>
          </cell>
          <cell r="P16">
            <v>0.1283</v>
          </cell>
          <cell r="Q16">
            <v>3.04E-2</v>
          </cell>
          <cell r="R16" t="str">
            <v>NA</v>
          </cell>
          <cell r="S16" t="str">
            <v>NA</v>
          </cell>
          <cell r="T16">
            <v>61.4</v>
          </cell>
          <cell r="U16">
            <v>5</v>
          </cell>
          <cell r="V16">
            <v>75.099999999999994</v>
          </cell>
          <cell r="W16">
            <v>7.6</v>
          </cell>
          <cell r="X16" t="str">
            <v>NA</v>
          </cell>
          <cell r="Y16" t="str">
            <v>NA</v>
          </cell>
          <cell r="Z16" t="str">
            <v>NA</v>
          </cell>
          <cell r="AA16" t="str">
            <v>NA</v>
          </cell>
        </row>
        <row r="17">
          <cell r="A17">
            <v>45109</v>
          </cell>
          <cell r="B17" t="str">
            <v>A1</v>
          </cell>
          <cell r="C17">
            <v>3</v>
          </cell>
          <cell r="D17">
            <v>3</v>
          </cell>
          <cell r="E17" t="str">
            <v>ARIS.A1.Aim3.Bin3.LB</v>
          </cell>
          <cell r="F17">
            <v>3</v>
          </cell>
          <cell r="G17" t="str">
            <v>Unweighted</v>
          </cell>
          <cell r="H17" t="str">
            <v>N</v>
          </cell>
          <cell r="I17" t="str">
            <v>Y</v>
          </cell>
          <cell r="J17">
            <v>51</v>
          </cell>
          <cell r="K17">
            <v>1</v>
          </cell>
          <cell r="L17">
            <v>0.64529999999999998</v>
          </cell>
          <cell r="M17">
            <v>23.7</v>
          </cell>
          <cell r="N17">
            <v>21.8</v>
          </cell>
          <cell r="O17">
            <v>0.35470000000000002</v>
          </cell>
          <cell r="P17">
            <v>0.13070000000000001</v>
          </cell>
          <cell r="Q17">
            <v>0.224</v>
          </cell>
          <cell r="R17" t="str">
            <v>NA</v>
          </cell>
          <cell r="S17" t="str">
            <v>NA</v>
          </cell>
          <cell r="T17">
            <v>61.4</v>
          </cell>
          <cell r="U17">
            <v>5</v>
          </cell>
          <cell r="V17">
            <v>75.099999999999994</v>
          </cell>
          <cell r="W17">
            <v>7.6</v>
          </cell>
          <cell r="X17" t="str">
            <v>NA</v>
          </cell>
          <cell r="Y17" t="str">
            <v>NA</v>
          </cell>
          <cell r="Z17" t="str">
            <v>NA</v>
          </cell>
          <cell r="AA17" t="str">
            <v>NA</v>
          </cell>
        </row>
        <row r="18">
          <cell r="A18">
            <v>45109</v>
          </cell>
          <cell r="B18" t="str">
            <v>A1</v>
          </cell>
          <cell r="C18">
            <v>4</v>
          </cell>
          <cell r="D18">
            <v>3</v>
          </cell>
          <cell r="E18" t="str">
            <v>ARIS.A1.Aim3.Bin4.LB</v>
          </cell>
          <cell r="F18">
            <v>3</v>
          </cell>
          <cell r="G18" t="str">
            <v>Unweighted</v>
          </cell>
          <cell r="H18" t="str">
            <v>N</v>
          </cell>
          <cell r="I18" t="str">
            <v>Y</v>
          </cell>
          <cell r="J18">
            <v>51</v>
          </cell>
          <cell r="K18">
            <v>1</v>
          </cell>
          <cell r="L18">
            <v>0.64529999999999998</v>
          </cell>
          <cell r="M18">
            <v>23.7</v>
          </cell>
          <cell r="N18">
            <v>21.8</v>
          </cell>
          <cell r="O18">
            <v>0.35470000000000002</v>
          </cell>
          <cell r="P18">
            <v>0.13070000000000001</v>
          </cell>
          <cell r="Q18">
            <v>0.224</v>
          </cell>
          <cell r="R18" t="str">
            <v>NA</v>
          </cell>
          <cell r="S18" t="str">
            <v>NA</v>
          </cell>
          <cell r="T18">
            <v>61.4</v>
          </cell>
          <cell r="U18">
            <v>5</v>
          </cell>
          <cell r="V18">
            <v>75.099999999999994</v>
          </cell>
          <cell r="W18">
            <v>7.6</v>
          </cell>
          <cell r="X18" t="str">
            <v>NA</v>
          </cell>
          <cell r="Y18" t="str">
            <v>NA</v>
          </cell>
          <cell r="Z18" t="str">
            <v>NA</v>
          </cell>
          <cell r="AA18" t="str">
            <v>NA</v>
          </cell>
        </row>
        <row r="19">
          <cell r="A19">
            <v>45109</v>
          </cell>
          <cell r="B19" t="str">
            <v>A1</v>
          </cell>
          <cell r="C19">
            <v>1</v>
          </cell>
          <cell r="D19">
            <v>1</v>
          </cell>
          <cell r="E19" t="str">
            <v>ARIS.A1.Aim1.Bin1.LB</v>
          </cell>
          <cell r="F19">
            <v>3</v>
          </cell>
          <cell r="G19" t="str">
            <v>SplineDFA</v>
          </cell>
          <cell r="H19" t="str">
            <v>Y</v>
          </cell>
          <cell r="I19" t="str">
            <v>N</v>
          </cell>
          <cell r="J19">
            <v>103</v>
          </cell>
          <cell r="K19">
            <v>1</v>
          </cell>
          <cell r="L19">
            <v>0.93769999999999998</v>
          </cell>
          <cell r="M19">
            <v>23.7</v>
          </cell>
          <cell r="N19">
            <v>2.7</v>
          </cell>
          <cell r="O19">
            <v>6.2300000000000001E-2</v>
          </cell>
          <cell r="P19">
            <v>6.2300000000000001E-2</v>
          </cell>
          <cell r="Q19">
            <v>0</v>
          </cell>
          <cell r="R19" t="str">
            <v>NA</v>
          </cell>
          <cell r="S19" t="str">
            <v>NA</v>
          </cell>
          <cell r="T19">
            <v>61.4</v>
          </cell>
          <cell r="U19">
            <v>5</v>
          </cell>
          <cell r="V19">
            <v>75.099999999999994</v>
          </cell>
          <cell r="W19">
            <v>7.6</v>
          </cell>
          <cell r="X19" t="str">
            <v>NA</v>
          </cell>
          <cell r="Y19" t="str">
            <v>NA</v>
          </cell>
          <cell r="Z19" t="str">
            <v>NA</v>
          </cell>
          <cell r="AA19" t="str">
            <v>NA</v>
          </cell>
        </row>
        <row r="20">
          <cell r="A20">
            <v>45109</v>
          </cell>
          <cell r="B20" t="str">
            <v>A1</v>
          </cell>
          <cell r="C20">
            <v>1</v>
          </cell>
          <cell r="D20">
            <v>2</v>
          </cell>
          <cell r="E20" t="str">
            <v>ARIS.A1.Aim2.Bin1.LB</v>
          </cell>
          <cell r="F20">
            <v>3</v>
          </cell>
          <cell r="G20" t="str">
            <v>SplineDFA</v>
          </cell>
          <cell r="H20" t="str">
            <v>Y</v>
          </cell>
          <cell r="I20" t="str">
            <v>N</v>
          </cell>
          <cell r="J20">
            <v>100</v>
          </cell>
          <cell r="K20">
            <v>1</v>
          </cell>
          <cell r="L20">
            <v>0.97140000000000004</v>
          </cell>
          <cell r="M20">
            <v>23.7</v>
          </cell>
          <cell r="N20">
            <v>2.7</v>
          </cell>
          <cell r="O20">
            <v>2.86E-2</v>
          </cell>
          <cell r="P20">
            <v>2.86E-2</v>
          </cell>
          <cell r="Q20">
            <v>0</v>
          </cell>
          <cell r="R20" t="str">
            <v>NA</v>
          </cell>
          <cell r="S20" t="str">
            <v>NA</v>
          </cell>
          <cell r="T20">
            <v>61.4</v>
          </cell>
          <cell r="U20">
            <v>5</v>
          </cell>
          <cell r="V20">
            <v>75.099999999999994</v>
          </cell>
          <cell r="W20">
            <v>7.6</v>
          </cell>
          <cell r="X20" t="str">
            <v>NA</v>
          </cell>
          <cell r="Y20" t="str">
            <v>NA</v>
          </cell>
          <cell r="Z20" t="str">
            <v>NA</v>
          </cell>
          <cell r="AA20" t="str">
            <v>NA</v>
          </cell>
        </row>
        <row r="21">
          <cell r="A21">
            <v>45109</v>
          </cell>
          <cell r="B21" t="str">
            <v>A1</v>
          </cell>
          <cell r="C21">
            <v>2</v>
          </cell>
          <cell r="D21">
            <v>3</v>
          </cell>
          <cell r="E21" t="str">
            <v>ARIS.A1.Aim3.Bin2.LB</v>
          </cell>
          <cell r="F21">
            <v>3</v>
          </cell>
          <cell r="G21" t="str">
            <v>SplineDFA</v>
          </cell>
          <cell r="H21" t="str">
            <v>Y</v>
          </cell>
          <cell r="I21" t="str">
            <v>N</v>
          </cell>
          <cell r="J21">
            <v>92</v>
          </cell>
          <cell r="K21">
            <v>1</v>
          </cell>
          <cell r="L21">
            <v>0.71479999999999999</v>
          </cell>
          <cell r="M21">
            <v>23.7</v>
          </cell>
          <cell r="N21">
            <v>2.7</v>
          </cell>
          <cell r="O21">
            <v>0.28520000000000001</v>
          </cell>
          <cell r="P21">
            <v>0.17660000000000001</v>
          </cell>
          <cell r="Q21">
            <v>0.1086</v>
          </cell>
          <cell r="R21" t="str">
            <v>NA</v>
          </cell>
          <cell r="S21" t="str">
            <v>NA</v>
          </cell>
          <cell r="T21">
            <v>61.4</v>
          </cell>
          <cell r="U21">
            <v>5</v>
          </cell>
          <cell r="V21">
            <v>75.099999999999994</v>
          </cell>
          <cell r="W21">
            <v>7.6</v>
          </cell>
          <cell r="X21" t="str">
            <v>NA</v>
          </cell>
          <cell r="Y21" t="str">
            <v>NA</v>
          </cell>
          <cell r="Z21" t="str">
            <v>NA</v>
          </cell>
          <cell r="AA21" t="str">
            <v>NA</v>
          </cell>
        </row>
        <row r="22">
          <cell r="A22">
            <v>45109</v>
          </cell>
          <cell r="B22" t="str">
            <v>A1</v>
          </cell>
          <cell r="C22">
            <v>3</v>
          </cell>
          <cell r="D22">
            <v>3</v>
          </cell>
          <cell r="E22" t="str">
            <v>ARIS.A1.Aim3.Bin3.LB</v>
          </cell>
          <cell r="F22">
            <v>3</v>
          </cell>
          <cell r="G22" t="str">
            <v>SplineDFA</v>
          </cell>
          <cell r="H22" t="str">
            <v>Y</v>
          </cell>
          <cell r="I22" t="str">
            <v>N</v>
          </cell>
          <cell r="J22">
            <v>51</v>
          </cell>
          <cell r="K22">
            <v>1</v>
          </cell>
          <cell r="L22">
            <v>0.17169999999999999</v>
          </cell>
          <cell r="M22">
            <v>23.7</v>
          </cell>
          <cell r="N22">
            <v>2.7</v>
          </cell>
          <cell r="O22">
            <v>0.82830000000000004</v>
          </cell>
          <cell r="P22">
            <v>0.57079999999999997</v>
          </cell>
          <cell r="Q22">
            <v>0.25750000000000001</v>
          </cell>
          <cell r="R22" t="str">
            <v>NA</v>
          </cell>
          <cell r="S22" t="str">
            <v>NA</v>
          </cell>
          <cell r="T22">
            <v>61.4</v>
          </cell>
          <cell r="U22">
            <v>5</v>
          </cell>
          <cell r="V22">
            <v>75.099999999999994</v>
          </cell>
          <cell r="W22">
            <v>7.6</v>
          </cell>
          <cell r="X22" t="str">
            <v>NA</v>
          </cell>
          <cell r="Y22" t="str">
            <v>NA</v>
          </cell>
          <cell r="Z22" t="str">
            <v>NA</v>
          </cell>
          <cell r="AA22" t="str">
            <v>NA</v>
          </cell>
        </row>
        <row r="23">
          <cell r="A23">
            <v>45109</v>
          </cell>
          <cell r="B23" t="str">
            <v>A1</v>
          </cell>
          <cell r="C23">
            <v>4</v>
          </cell>
          <cell r="D23">
            <v>3</v>
          </cell>
          <cell r="E23" t="str">
            <v>ARIS.A1.Aim3.Bin4.LB</v>
          </cell>
          <cell r="F23">
            <v>3</v>
          </cell>
          <cell r="G23" t="str">
            <v>SplineDFA</v>
          </cell>
          <cell r="H23" t="str">
            <v>Y</v>
          </cell>
          <cell r="I23" t="str">
            <v>N</v>
          </cell>
          <cell r="J23">
            <v>51</v>
          </cell>
          <cell r="K23">
            <v>1</v>
          </cell>
          <cell r="L23">
            <v>0.17169999999999999</v>
          </cell>
          <cell r="M23">
            <v>23.7</v>
          </cell>
          <cell r="N23">
            <v>2.7</v>
          </cell>
          <cell r="O23">
            <v>0.82830000000000004</v>
          </cell>
          <cell r="P23">
            <v>0.57079999999999997</v>
          </cell>
          <cell r="Q23">
            <v>0.25750000000000001</v>
          </cell>
          <cell r="R23" t="str">
            <v>NA</v>
          </cell>
          <cell r="S23" t="str">
            <v>NA</v>
          </cell>
          <cell r="T23">
            <v>61.4</v>
          </cell>
          <cell r="U23">
            <v>5</v>
          </cell>
          <cell r="V23">
            <v>75.099999999999994</v>
          </cell>
          <cell r="W23">
            <v>7.6</v>
          </cell>
          <cell r="X23" t="str">
            <v>NA</v>
          </cell>
          <cell r="Y23" t="str">
            <v>NA</v>
          </cell>
          <cell r="Z23" t="str">
            <v>NA</v>
          </cell>
          <cell r="AA23" t="str">
            <v>NA</v>
          </cell>
        </row>
        <row r="24">
          <cell r="A24">
            <v>45110</v>
          </cell>
          <cell r="B24" t="str">
            <v>A1</v>
          </cell>
          <cell r="C24">
            <v>1</v>
          </cell>
          <cell r="D24">
            <v>1</v>
          </cell>
          <cell r="E24" t="str">
            <v>ARIS.A1.Aim1.Bin1.LB</v>
          </cell>
          <cell r="F24">
            <v>3</v>
          </cell>
          <cell r="G24" t="str">
            <v>Unweighted</v>
          </cell>
          <cell r="H24" t="str">
            <v>N</v>
          </cell>
          <cell r="I24" t="str">
            <v>Y</v>
          </cell>
          <cell r="J24">
            <v>146</v>
          </cell>
          <cell r="K24">
            <v>1</v>
          </cell>
          <cell r="L24">
            <v>0.98799999999999999</v>
          </cell>
          <cell r="M24">
            <v>20.9</v>
          </cell>
          <cell r="N24">
            <v>7</v>
          </cell>
          <cell r="O24">
            <v>1.2E-2</v>
          </cell>
          <cell r="P24">
            <v>0</v>
          </cell>
          <cell r="Q24">
            <v>1.2E-2</v>
          </cell>
          <cell r="R24" t="str">
            <v>NA</v>
          </cell>
          <cell r="S24" t="str">
            <v>NA</v>
          </cell>
          <cell r="T24">
            <v>61.4</v>
          </cell>
          <cell r="U24">
            <v>5</v>
          </cell>
          <cell r="V24">
            <v>75.099999999999994</v>
          </cell>
          <cell r="W24">
            <v>7.6</v>
          </cell>
          <cell r="X24" t="str">
            <v>NA</v>
          </cell>
          <cell r="Y24" t="str">
            <v>NA</v>
          </cell>
          <cell r="Z24" t="str">
            <v>NA</v>
          </cell>
          <cell r="AA24" t="str">
            <v>NA</v>
          </cell>
        </row>
        <row r="25">
          <cell r="A25">
            <v>45110</v>
          </cell>
          <cell r="B25" t="str">
            <v>A1</v>
          </cell>
          <cell r="C25">
            <v>1</v>
          </cell>
          <cell r="D25">
            <v>2</v>
          </cell>
          <cell r="E25" t="str">
            <v>ARIS.A1.Aim2.Bin1.LB</v>
          </cell>
          <cell r="F25">
            <v>3</v>
          </cell>
          <cell r="G25" t="str">
            <v>Unweighted</v>
          </cell>
          <cell r="H25" t="str">
            <v>N</v>
          </cell>
          <cell r="I25" t="str">
            <v>Y</v>
          </cell>
          <cell r="J25">
            <v>134</v>
          </cell>
          <cell r="K25">
            <v>1</v>
          </cell>
          <cell r="L25">
            <v>0.99280000000000002</v>
          </cell>
          <cell r="M25">
            <v>15.4</v>
          </cell>
          <cell r="N25">
            <v>5.4</v>
          </cell>
          <cell r="O25">
            <v>7.1999999999999998E-3</v>
          </cell>
          <cell r="P25">
            <v>7.1999999999999998E-3</v>
          </cell>
          <cell r="Q25">
            <v>0</v>
          </cell>
          <cell r="R25" t="str">
            <v>NA</v>
          </cell>
          <cell r="S25" t="str">
            <v>NA</v>
          </cell>
          <cell r="T25">
            <v>61.4</v>
          </cell>
          <cell r="U25">
            <v>5</v>
          </cell>
          <cell r="V25">
            <v>75.099999999999994</v>
          </cell>
          <cell r="W25">
            <v>7.6</v>
          </cell>
          <cell r="X25" t="str">
            <v>NA</v>
          </cell>
          <cell r="Y25" t="str">
            <v>NA</v>
          </cell>
          <cell r="Z25" t="str">
            <v>NA</v>
          </cell>
          <cell r="AA25" t="str">
            <v>NA</v>
          </cell>
        </row>
        <row r="26">
          <cell r="A26">
            <v>45110</v>
          </cell>
          <cell r="B26" t="str">
            <v>A1</v>
          </cell>
          <cell r="C26">
            <v>1</v>
          </cell>
          <cell r="D26" t="str">
            <v>1&amp;2</v>
          </cell>
          <cell r="E26" t="str">
            <v>ARIS.A1.Aim1&amp;Aim2.Bin1.LB</v>
          </cell>
          <cell r="F26">
            <v>3</v>
          </cell>
          <cell r="G26" t="str">
            <v>Unweighted</v>
          </cell>
          <cell r="H26" t="str">
            <v>N</v>
          </cell>
          <cell r="I26" t="str">
            <v>Y</v>
          </cell>
          <cell r="J26">
            <v>280</v>
          </cell>
          <cell r="K26">
            <v>1</v>
          </cell>
          <cell r="L26">
            <v>0.99250000000000005</v>
          </cell>
          <cell r="M26">
            <v>18.5</v>
          </cell>
          <cell r="N26">
            <v>7.6</v>
          </cell>
          <cell r="O26">
            <v>7.4999999999999997E-3</v>
          </cell>
          <cell r="P26">
            <v>3.8E-3</v>
          </cell>
          <cell r="Q26">
            <v>3.7000000000000002E-3</v>
          </cell>
          <cell r="R26" t="str">
            <v>NA</v>
          </cell>
          <cell r="S26" t="str">
            <v>NA</v>
          </cell>
          <cell r="T26">
            <v>61.4</v>
          </cell>
          <cell r="U26">
            <v>5</v>
          </cell>
          <cell r="V26">
            <v>75.099999999999994</v>
          </cell>
          <cell r="W26">
            <v>7.6</v>
          </cell>
          <cell r="X26" t="str">
            <v>NA</v>
          </cell>
          <cell r="Y26" t="str">
            <v>NA</v>
          </cell>
          <cell r="Z26" t="str">
            <v>NA</v>
          </cell>
          <cell r="AA26" t="str">
            <v>NA</v>
          </cell>
        </row>
        <row r="27">
          <cell r="A27">
            <v>45110</v>
          </cell>
          <cell r="B27" t="str">
            <v>A1</v>
          </cell>
          <cell r="C27">
            <v>2</v>
          </cell>
          <cell r="D27">
            <v>3</v>
          </cell>
          <cell r="E27" t="str">
            <v>ARIS.A1.Aim3.Bin2.LB</v>
          </cell>
          <cell r="F27">
            <v>3</v>
          </cell>
          <cell r="G27" t="str">
            <v>Unweighted</v>
          </cell>
          <cell r="H27" t="str">
            <v>N</v>
          </cell>
          <cell r="I27" t="str">
            <v>Y</v>
          </cell>
          <cell r="J27">
            <v>122</v>
          </cell>
          <cell r="K27">
            <v>1</v>
          </cell>
          <cell r="L27">
            <v>0.88680000000000003</v>
          </cell>
          <cell r="M27">
            <v>27.9</v>
          </cell>
          <cell r="N27">
            <v>8.3000000000000007</v>
          </cell>
          <cell r="O27">
            <v>0.1132</v>
          </cell>
          <cell r="P27">
            <v>7.7399999999999997E-2</v>
          </cell>
          <cell r="Q27">
            <v>3.5799999999999998E-2</v>
          </cell>
          <cell r="R27" t="str">
            <v>NA</v>
          </cell>
          <cell r="S27" t="str">
            <v>NA</v>
          </cell>
          <cell r="T27">
            <v>61.4</v>
          </cell>
          <cell r="U27">
            <v>5</v>
          </cell>
          <cell r="V27">
            <v>75.099999999999994</v>
          </cell>
          <cell r="W27">
            <v>7.6</v>
          </cell>
          <cell r="X27" t="str">
            <v>NA</v>
          </cell>
          <cell r="Y27" t="str">
            <v>NA</v>
          </cell>
          <cell r="Z27" t="str">
            <v>NA</v>
          </cell>
          <cell r="AA27" t="str">
            <v>NA</v>
          </cell>
        </row>
        <row r="28">
          <cell r="A28">
            <v>45110</v>
          </cell>
          <cell r="B28" t="str">
            <v>A1</v>
          </cell>
          <cell r="C28">
            <v>3</v>
          </cell>
          <cell r="D28">
            <v>3</v>
          </cell>
          <cell r="E28" t="str">
            <v>ARIS.A1.Aim3.Bin3.LB</v>
          </cell>
          <cell r="F28">
            <v>3</v>
          </cell>
          <cell r="G28" t="str">
            <v>Unweighted</v>
          </cell>
          <cell r="H28" t="str">
            <v>N</v>
          </cell>
          <cell r="I28" t="str">
            <v>Y</v>
          </cell>
          <cell r="J28">
            <v>76</v>
          </cell>
          <cell r="K28">
            <v>1</v>
          </cell>
          <cell r="L28">
            <v>0.72060000000000002</v>
          </cell>
          <cell r="M28">
            <v>23.7</v>
          </cell>
          <cell r="N28">
            <v>20.9</v>
          </cell>
          <cell r="O28">
            <v>0.27939999999999998</v>
          </cell>
          <cell r="P28">
            <v>4.7600000000000003E-2</v>
          </cell>
          <cell r="Q28">
            <v>0.23180000000000001</v>
          </cell>
          <cell r="R28" t="str">
            <v>NA</v>
          </cell>
          <cell r="S28" t="str">
            <v>NA</v>
          </cell>
          <cell r="T28">
            <v>61.4</v>
          </cell>
          <cell r="U28">
            <v>5</v>
          </cell>
          <cell r="V28">
            <v>75.099999999999994</v>
          </cell>
          <cell r="W28">
            <v>7.6</v>
          </cell>
          <cell r="X28" t="str">
            <v>NA</v>
          </cell>
          <cell r="Y28" t="str">
            <v>NA</v>
          </cell>
          <cell r="Z28" t="str">
            <v>NA</v>
          </cell>
          <cell r="AA28" t="str">
            <v>NA</v>
          </cell>
        </row>
        <row r="29">
          <cell r="A29">
            <v>45110</v>
          </cell>
          <cell r="B29" t="str">
            <v>A1</v>
          </cell>
          <cell r="C29">
            <v>4</v>
          </cell>
          <cell r="D29">
            <v>3</v>
          </cell>
          <cell r="E29" t="str">
            <v>ARIS.A1.Aim3.Bin4.LB</v>
          </cell>
          <cell r="F29">
            <v>3</v>
          </cell>
          <cell r="G29" t="str">
            <v>Unweighted</v>
          </cell>
          <cell r="H29" t="str">
            <v>N</v>
          </cell>
          <cell r="I29" t="str">
            <v>Y</v>
          </cell>
          <cell r="J29">
            <v>76</v>
          </cell>
          <cell r="K29">
            <v>1</v>
          </cell>
          <cell r="L29">
            <v>0.72060000000000002</v>
          </cell>
          <cell r="M29">
            <v>23.7</v>
          </cell>
          <cell r="N29">
            <v>20.9</v>
          </cell>
          <cell r="O29">
            <v>0.27939999999999998</v>
          </cell>
          <cell r="P29">
            <v>4.7600000000000003E-2</v>
          </cell>
          <cell r="Q29">
            <v>0.23180000000000001</v>
          </cell>
          <cell r="R29" t="str">
            <v>NA</v>
          </cell>
          <cell r="S29" t="str">
            <v>NA</v>
          </cell>
          <cell r="T29">
            <v>61.4</v>
          </cell>
          <cell r="U29">
            <v>5</v>
          </cell>
          <cell r="V29">
            <v>75.099999999999994</v>
          </cell>
          <cell r="W29">
            <v>7.6</v>
          </cell>
          <cell r="X29" t="str">
            <v>NA</v>
          </cell>
          <cell r="Y29" t="str">
            <v>NA</v>
          </cell>
          <cell r="Z29" t="str">
            <v>NA</v>
          </cell>
          <cell r="AA29" t="str">
            <v>NA</v>
          </cell>
        </row>
        <row r="30">
          <cell r="A30">
            <v>45110</v>
          </cell>
          <cell r="B30" t="str">
            <v>A1</v>
          </cell>
          <cell r="C30">
            <v>1</v>
          </cell>
          <cell r="D30">
            <v>1</v>
          </cell>
          <cell r="E30" t="str">
            <v>ARIS.A1.Aim1.Bin1.LB</v>
          </cell>
          <cell r="F30">
            <v>3</v>
          </cell>
          <cell r="G30" t="str">
            <v>SplineDFA</v>
          </cell>
          <cell r="H30" t="str">
            <v>Y</v>
          </cell>
          <cell r="I30" t="str">
            <v>N</v>
          </cell>
          <cell r="J30">
            <v>146</v>
          </cell>
          <cell r="K30">
            <v>1</v>
          </cell>
          <cell r="L30">
            <v>0.96679999999999999</v>
          </cell>
          <cell r="M30">
            <v>23.7</v>
          </cell>
          <cell r="N30">
            <v>2.7</v>
          </cell>
          <cell r="O30">
            <v>3.32E-2</v>
          </cell>
          <cell r="P30">
            <v>2.58E-2</v>
          </cell>
          <cell r="Q30">
            <v>7.4000000000000003E-3</v>
          </cell>
          <cell r="R30" t="str">
            <v>NA</v>
          </cell>
          <cell r="S30" t="str">
            <v>NA</v>
          </cell>
          <cell r="T30">
            <v>61.4</v>
          </cell>
          <cell r="U30">
            <v>5</v>
          </cell>
          <cell r="V30">
            <v>75.099999999999994</v>
          </cell>
          <cell r="W30">
            <v>7.6</v>
          </cell>
          <cell r="X30" t="str">
            <v>NA</v>
          </cell>
          <cell r="Y30" t="str">
            <v>NA</v>
          </cell>
          <cell r="Z30" t="str">
            <v>NA</v>
          </cell>
          <cell r="AA30" t="str">
            <v>NA</v>
          </cell>
        </row>
        <row r="31">
          <cell r="A31">
            <v>45110</v>
          </cell>
          <cell r="B31" t="str">
            <v>A1</v>
          </cell>
          <cell r="C31">
            <v>1</v>
          </cell>
          <cell r="D31">
            <v>2</v>
          </cell>
          <cell r="E31" t="str">
            <v>ARIS.A1.Aim2.Bin1.LB</v>
          </cell>
          <cell r="F31">
            <v>3</v>
          </cell>
          <cell r="G31" t="str">
            <v>SplineDFA</v>
          </cell>
          <cell r="H31" t="str">
            <v>Y</v>
          </cell>
          <cell r="I31" t="str">
            <v>N</v>
          </cell>
          <cell r="J31">
            <v>134</v>
          </cell>
          <cell r="K31">
            <v>1</v>
          </cell>
          <cell r="L31">
            <v>0.99709999999999999</v>
          </cell>
          <cell r="M31">
            <v>23.7</v>
          </cell>
          <cell r="N31">
            <v>2.7</v>
          </cell>
          <cell r="O31">
            <v>2.8999999999999998E-3</v>
          </cell>
          <cell r="P31">
            <v>2.8999999999999998E-3</v>
          </cell>
          <cell r="Q31">
            <v>0</v>
          </cell>
          <cell r="R31" t="str">
            <v>NA</v>
          </cell>
          <cell r="S31" t="str">
            <v>NA</v>
          </cell>
          <cell r="T31">
            <v>61.4</v>
          </cell>
          <cell r="U31">
            <v>5</v>
          </cell>
          <cell r="V31">
            <v>75.099999999999994</v>
          </cell>
          <cell r="W31">
            <v>7.6</v>
          </cell>
          <cell r="X31" t="str">
            <v>NA</v>
          </cell>
          <cell r="Y31" t="str">
            <v>NA</v>
          </cell>
          <cell r="Z31" t="str">
            <v>NA</v>
          </cell>
          <cell r="AA31" t="str">
            <v>NA</v>
          </cell>
        </row>
        <row r="32">
          <cell r="A32">
            <v>45110</v>
          </cell>
          <cell r="B32" t="str">
            <v>A1</v>
          </cell>
          <cell r="C32">
            <v>2</v>
          </cell>
          <cell r="D32">
            <v>3</v>
          </cell>
          <cell r="E32" t="str">
            <v>ARIS.A1.Aim3.Bin2.LB</v>
          </cell>
          <cell r="F32">
            <v>3</v>
          </cell>
          <cell r="G32" t="str">
            <v>SplineDFA</v>
          </cell>
          <cell r="H32" t="str">
            <v>Y</v>
          </cell>
          <cell r="I32" t="str">
            <v>N</v>
          </cell>
          <cell r="J32">
            <v>122</v>
          </cell>
          <cell r="K32">
            <v>1</v>
          </cell>
          <cell r="L32">
            <v>0.6946</v>
          </cell>
          <cell r="M32">
            <v>23.7</v>
          </cell>
          <cell r="N32">
            <v>2.7</v>
          </cell>
          <cell r="O32">
            <v>0.3054</v>
          </cell>
          <cell r="P32">
            <v>0.249</v>
          </cell>
          <cell r="Q32">
            <v>5.6399999999999999E-2</v>
          </cell>
          <cell r="R32" t="str">
            <v>NA</v>
          </cell>
          <cell r="S32" t="str">
            <v>NA</v>
          </cell>
          <cell r="T32">
            <v>61.4</v>
          </cell>
          <cell r="U32">
            <v>5</v>
          </cell>
          <cell r="V32">
            <v>75.099999999999994</v>
          </cell>
          <cell r="W32">
            <v>7.6</v>
          </cell>
          <cell r="X32" t="str">
            <v>NA</v>
          </cell>
          <cell r="Y32" t="str">
            <v>NA</v>
          </cell>
          <cell r="Z32" t="str">
            <v>NA</v>
          </cell>
          <cell r="AA32" t="str">
            <v>NA</v>
          </cell>
        </row>
        <row r="33">
          <cell r="A33">
            <v>45110</v>
          </cell>
          <cell r="B33" t="str">
            <v>A1</v>
          </cell>
          <cell r="C33">
            <v>3</v>
          </cell>
          <cell r="D33">
            <v>3</v>
          </cell>
          <cell r="E33" t="str">
            <v>ARIS.A1.Aim3.Bin3.LB</v>
          </cell>
          <cell r="F33">
            <v>3</v>
          </cell>
          <cell r="G33" t="str">
            <v>SplineDFA</v>
          </cell>
          <cell r="H33" t="str">
            <v>Y</v>
          </cell>
          <cell r="I33" t="str">
            <v>N</v>
          </cell>
          <cell r="J33">
            <v>76</v>
          </cell>
          <cell r="K33">
            <v>1</v>
          </cell>
          <cell r="L33">
            <v>0.13900000000000001</v>
          </cell>
          <cell r="M33">
            <v>23.7</v>
          </cell>
          <cell r="N33">
            <v>2.7</v>
          </cell>
          <cell r="O33">
            <v>0.86099999999999999</v>
          </cell>
          <cell r="P33">
            <v>0.60229999999999995</v>
          </cell>
          <cell r="Q33">
            <v>0.25869999999999999</v>
          </cell>
          <cell r="R33" t="str">
            <v>NA</v>
          </cell>
          <cell r="S33" t="str">
            <v>NA</v>
          </cell>
          <cell r="T33">
            <v>61.4</v>
          </cell>
          <cell r="U33">
            <v>5</v>
          </cell>
          <cell r="V33">
            <v>75.099999999999994</v>
          </cell>
          <cell r="W33">
            <v>7.6</v>
          </cell>
          <cell r="X33" t="str">
            <v>NA</v>
          </cell>
          <cell r="Y33" t="str">
            <v>NA</v>
          </cell>
          <cell r="Z33" t="str">
            <v>NA</v>
          </cell>
          <cell r="AA33" t="str">
            <v>NA</v>
          </cell>
        </row>
        <row r="34">
          <cell r="A34">
            <v>45110</v>
          </cell>
          <cell r="B34" t="str">
            <v>A1</v>
          </cell>
          <cell r="C34">
            <v>4</v>
          </cell>
          <cell r="D34">
            <v>3</v>
          </cell>
          <cell r="E34" t="str">
            <v>ARIS.A1.Aim3.Bin4.LB</v>
          </cell>
          <cell r="F34">
            <v>3</v>
          </cell>
          <cell r="G34" t="str">
            <v>SplineDFA</v>
          </cell>
          <cell r="H34" t="str">
            <v>Y</v>
          </cell>
          <cell r="I34" t="str">
            <v>N</v>
          </cell>
          <cell r="J34">
            <v>76</v>
          </cell>
          <cell r="K34">
            <v>1</v>
          </cell>
          <cell r="L34">
            <v>0.13900000000000001</v>
          </cell>
          <cell r="M34">
            <v>23.7</v>
          </cell>
          <cell r="N34">
            <v>2.7</v>
          </cell>
          <cell r="O34">
            <v>0.86099999999999999</v>
          </cell>
          <cell r="P34">
            <v>0.60229999999999995</v>
          </cell>
          <cell r="Q34">
            <v>0.25869999999999999</v>
          </cell>
          <cell r="R34" t="str">
            <v>NA</v>
          </cell>
          <cell r="S34" t="str">
            <v>NA</v>
          </cell>
          <cell r="T34">
            <v>61.4</v>
          </cell>
          <cell r="U34">
            <v>5</v>
          </cell>
          <cell r="V34">
            <v>75.099999999999994</v>
          </cell>
          <cell r="W34">
            <v>7.6</v>
          </cell>
          <cell r="X34" t="str">
            <v>NA</v>
          </cell>
          <cell r="Y34" t="str">
            <v>NA</v>
          </cell>
          <cell r="Z34" t="str">
            <v>NA</v>
          </cell>
          <cell r="AA34" t="str">
            <v>NA</v>
          </cell>
        </row>
        <row r="35">
          <cell r="A35">
            <v>45111</v>
          </cell>
          <cell r="B35" t="str">
            <v>A1</v>
          </cell>
          <cell r="C35">
            <v>1</v>
          </cell>
          <cell r="D35">
            <v>1</v>
          </cell>
          <cell r="E35" t="str">
            <v>ARIS.A1.Aim1.Bin1.LB</v>
          </cell>
          <cell r="F35">
            <v>3</v>
          </cell>
          <cell r="G35" t="str">
            <v>Unweighted</v>
          </cell>
          <cell r="H35" t="str">
            <v>N</v>
          </cell>
          <cell r="I35" t="str">
            <v>Y</v>
          </cell>
          <cell r="J35">
            <v>110</v>
          </cell>
          <cell r="K35">
            <v>1</v>
          </cell>
          <cell r="L35">
            <v>0.95889999999999997</v>
          </cell>
          <cell r="M35">
            <v>23.7</v>
          </cell>
          <cell r="N35">
            <v>8</v>
          </cell>
          <cell r="O35">
            <v>4.1099999999999998E-2</v>
          </cell>
          <cell r="P35">
            <v>4.1099999999999998E-2</v>
          </cell>
          <cell r="Q35">
            <v>0</v>
          </cell>
          <cell r="R35" t="str">
            <v>NA</v>
          </cell>
          <cell r="S35" t="str">
            <v>NA</v>
          </cell>
          <cell r="T35">
            <v>61.4</v>
          </cell>
          <cell r="U35">
            <v>5</v>
          </cell>
          <cell r="V35">
            <v>75.099999999999994</v>
          </cell>
          <cell r="W35">
            <v>7.6</v>
          </cell>
          <cell r="X35" t="str">
            <v>NA</v>
          </cell>
          <cell r="Y35" t="str">
            <v>NA</v>
          </cell>
          <cell r="Z35" t="str">
            <v>NA</v>
          </cell>
          <cell r="AA35" t="str">
            <v>NA</v>
          </cell>
        </row>
        <row r="36">
          <cell r="A36">
            <v>45111</v>
          </cell>
          <cell r="B36" t="str">
            <v>A1</v>
          </cell>
          <cell r="C36">
            <v>1</v>
          </cell>
          <cell r="D36">
            <v>2</v>
          </cell>
          <cell r="E36" t="str">
            <v>ARIS.A1.Aim2.Bin1.LB</v>
          </cell>
          <cell r="F36">
            <v>3</v>
          </cell>
          <cell r="G36" t="str">
            <v>Unweighted</v>
          </cell>
          <cell r="H36" t="str">
            <v>N</v>
          </cell>
          <cell r="I36" t="str">
            <v>Y</v>
          </cell>
          <cell r="J36">
            <v>125</v>
          </cell>
          <cell r="K36">
            <v>1</v>
          </cell>
          <cell r="L36">
            <v>0.96009999999999995</v>
          </cell>
          <cell r="M36">
            <v>14</v>
          </cell>
          <cell r="N36">
            <v>5.7</v>
          </cell>
          <cell r="O36">
            <v>3.9899999999999998E-2</v>
          </cell>
          <cell r="P36">
            <v>3.9899999999999998E-2</v>
          </cell>
          <cell r="Q36">
            <v>0</v>
          </cell>
          <cell r="R36" t="str">
            <v>NA</v>
          </cell>
          <cell r="S36" t="str">
            <v>NA</v>
          </cell>
          <cell r="T36">
            <v>61.4</v>
          </cell>
          <cell r="U36">
            <v>5</v>
          </cell>
          <cell r="V36">
            <v>75.099999999999994</v>
          </cell>
          <cell r="W36">
            <v>7.6</v>
          </cell>
          <cell r="X36" t="str">
            <v>NA</v>
          </cell>
          <cell r="Y36" t="str">
            <v>NA</v>
          </cell>
          <cell r="Z36" t="str">
            <v>NA</v>
          </cell>
          <cell r="AA36" t="str">
            <v>NA</v>
          </cell>
        </row>
        <row r="37">
          <cell r="A37">
            <v>45111</v>
          </cell>
          <cell r="B37" t="str">
            <v>A1</v>
          </cell>
          <cell r="C37">
            <v>1</v>
          </cell>
          <cell r="D37" t="str">
            <v>1&amp;2</v>
          </cell>
          <cell r="E37" t="str">
            <v>ARIS.A1.Aim1&amp;Aim2.Bin1.LB</v>
          </cell>
          <cell r="F37">
            <v>3</v>
          </cell>
          <cell r="G37" t="str">
            <v>Unweighted</v>
          </cell>
          <cell r="H37" t="str">
            <v>N</v>
          </cell>
          <cell r="I37" t="str">
            <v>Y</v>
          </cell>
          <cell r="J37">
            <v>235</v>
          </cell>
          <cell r="K37">
            <v>1</v>
          </cell>
          <cell r="L37">
            <v>0.95930000000000004</v>
          </cell>
          <cell r="M37">
            <v>16.399999999999999</v>
          </cell>
          <cell r="N37">
            <v>6.7</v>
          </cell>
          <cell r="O37">
            <v>4.07E-2</v>
          </cell>
          <cell r="P37">
            <v>4.07E-2</v>
          </cell>
          <cell r="Q37">
            <v>0</v>
          </cell>
          <cell r="R37" t="str">
            <v>NA</v>
          </cell>
          <cell r="S37" t="str">
            <v>NA</v>
          </cell>
          <cell r="T37">
            <v>61.4</v>
          </cell>
          <cell r="U37">
            <v>5</v>
          </cell>
          <cell r="V37">
            <v>75.099999999999994</v>
          </cell>
          <cell r="W37">
            <v>7.6</v>
          </cell>
          <cell r="X37" t="str">
            <v>NA</v>
          </cell>
          <cell r="Y37" t="str">
            <v>NA</v>
          </cell>
          <cell r="Z37" t="str">
            <v>NA</v>
          </cell>
          <cell r="AA37" t="str">
            <v>NA</v>
          </cell>
        </row>
        <row r="38">
          <cell r="A38">
            <v>45111</v>
          </cell>
          <cell r="B38" t="str">
            <v>A1</v>
          </cell>
          <cell r="C38">
            <v>2</v>
          </cell>
          <cell r="D38">
            <v>3</v>
          </cell>
          <cell r="E38" t="str">
            <v>ARIS.A1.Aim3.Bin2.LB</v>
          </cell>
          <cell r="F38">
            <v>3</v>
          </cell>
          <cell r="G38" t="str">
            <v>Unweighted</v>
          </cell>
          <cell r="H38" t="str">
            <v>N</v>
          </cell>
          <cell r="I38" t="str">
            <v>Y</v>
          </cell>
          <cell r="J38">
            <v>106</v>
          </cell>
          <cell r="K38">
            <v>1</v>
          </cell>
          <cell r="L38">
            <v>0.74370000000000003</v>
          </cell>
          <cell r="M38">
            <v>28.3</v>
          </cell>
          <cell r="N38">
            <v>8.1999999999999993</v>
          </cell>
          <cell r="O38">
            <v>0.25629999999999997</v>
          </cell>
          <cell r="P38">
            <v>0.1142</v>
          </cell>
          <cell r="Q38">
            <v>0.1421</v>
          </cell>
          <cell r="R38" t="str">
            <v>NA</v>
          </cell>
          <cell r="S38" t="str">
            <v>NA</v>
          </cell>
          <cell r="T38">
            <v>61.4</v>
          </cell>
          <cell r="U38">
            <v>5</v>
          </cell>
          <cell r="V38">
            <v>75.099999999999994</v>
          </cell>
          <cell r="W38">
            <v>7.6</v>
          </cell>
          <cell r="X38" t="str">
            <v>NA</v>
          </cell>
          <cell r="Y38" t="str">
            <v>NA</v>
          </cell>
          <cell r="Z38" t="str">
            <v>NA</v>
          </cell>
          <cell r="AA38" t="str">
            <v>NA</v>
          </cell>
        </row>
        <row r="39">
          <cell r="A39">
            <v>45111</v>
          </cell>
          <cell r="B39" t="str">
            <v>A1</v>
          </cell>
          <cell r="C39">
            <v>3</v>
          </cell>
          <cell r="D39">
            <v>3</v>
          </cell>
          <cell r="E39" t="str">
            <v>ARIS.A1.Aim3.Bin3.LB</v>
          </cell>
          <cell r="F39">
            <v>3</v>
          </cell>
          <cell r="G39" t="str">
            <v>Unweighted</v>
          </cell>
          <cell r="H39" t="str">
            <v>N</v>
          </cell>
          <cell r="I39" t="str">
            <v>Y</v>
          </cell>
          <cell r="J39">
            <v>82</v>
          </cell>
          <cell r="K39">
            <v>1</v>
          </cell>
          <cell r="L39">
            <v>0.51959999999999995</v>
          </cell>
          <cell r="M39">
            <v>23.7</v>
          </cell>
          <cell r="N39">
            <v>15.6</v>
          </cell>
          <cell r="O39">
            <v>0.48039999999999999</v>
          </cell>
          <cell r="P39">
            <v>0.1754</v>
          </cell>
          <cell r="Q39">
            <v>0.30499999999999999</v>
          </cell>
          <cell r="R39" t="str">
            <v>NA</v>
          </cell>
          <cell r="S39" t="str">
            <v>NA</v>
          </cell>
          <cell r="T39">
            <v>61.4</v>
          </cell>
          <cell r="U39">
            <v>5</v>
          </cell>
          <cell r="V39">
            <v>75.099999999999994</v>
          </cell>
          <cell r="W39">
            <v>7.6</v>
          </cell>
          <cell r="X39" t="str">
            <v>NA</v>
          </cell>
          <cell r="Y39" t="str">
            <v>NA</v>
          </cell>
          <cell r="Z39" t="str">
            <v>NA</v>
          </cell>
          <cell r="AA39" t="str">
            <v>NA</v>
          </cell>
        </row>
        <row r="40">
          <cell r="A40">
            <v>45111</v>
          </cell>
          <cell r="B40" t="str">
            <v>A1</v>
          </cell>
          <cell r="C40">
            <v>4</v>
          </cell>
          <cell r="D40">
            <v>3</v>
          </cell>
          <cell r="E40" t="str">
            <v>ARIS.A1.Aim3.Bin4.LB</v>
          </cell>
          <cell r="F40">
            <v>3</v>
          </cell>
          <cell r="G40" t="str">
            <v>Unweighted</v>
          </cell>
          <cell r="H40" t="str">
            <v>N</v>
          </cell>
          <cell r="I40" t="str">
            <v>Y</v>
          </cell>
          <cell r="J40">
            <v>82</v>
          </cell>
          <cell r="K40">
            <v>1</v>
          </cell>
          <cell r="L40">
            <v>0.51959999999999995</v>
          </cell>
          <cell r="M40">
            <v>23.7</v>
          </cell>
          <cell r="N40">
            <v>15.6</v>
          </cell>
          <cell r="O40">
            <v>0.48039999999999999</v>
          </cell>
          <cell r="P40">
            <v>0.1754</v>
          </cell>
          <cell r="Q40">
            <v>0.30499999999999999</v>
          </cell>
          <cell r="R40" t="str">
            <v>NA</v>
          </cell>
          <cell r="S40" t="str">
            <v>NA</v>
          </cell>
          <cell r="T40">
            <v>61.4</v>
          </cell>
          <cell r="U40">
            <v>5</v>
          </cell>
          <cell r="V40">
            <v>75.099999999999994</v>
          </cell>
          <cell r="W40">
            <v>7.6</v>
          </cell>
          <cell r="X40" t="str">
            <v>NA</v>
          </cell>
          <cell r="Y40" t="str">
            <v>NA</v>
          </cell>
          <cell r="Z40" t="str">
            <v>NA</v>
          </cell>
          <cell r="AA40" t="str">
            <v>NA</v>
          </cell>
        </row>
        <row r="41">
          <cell r="A41">
            <v>45111</v>
          </cell>
          <cell r="B41" t="str">
            <v>A1</v>
          </cell>
          <cell r="C41">
            <v>1</v>
          </cell>
          <cell r="D41">
            <v>1</v>
          </cell>
          <cell r="E41" t="str">
            <v>ARIS.A1.Aim1.Bin1.LB</v>
          </cell>
          <cell r="F41">
            <v>3</v>
          </cell>
          <cell r="G41" t="str">
            <v>SplineDFA</v>
          </cell>
          <cell r="H41" t="str">
            <v>Y</v>
          </cell>
          <cell r="I41" t="str">
            <v>N</v>
          </cell>
          <cell r="J41">
            <v>110</v>
          </cell>
          <cell r="K41">
            <v>1</v>
          </cell>
          <cell r="L41">
            <v>0.92649999999999999</v>
          </cell>
          <cell r="M41">
            <v>23.7</v>
          </cell>
          <cell r="N41">
            <v>2.7</v>
          </cell>
          <cell r="O41">
            <v>7.3499999999999996E-2</v>
          </cell>
          <cell r="P41">
            <v>7.3499999999999996E-2</v>
          </cell>
          <cell r="Q41">
            <v>0</v>
          </cell>
          <cell r="R41" t="str">
            <v>NA</v>
          </cell>
          <cell r="S41" t="str">
            <v>NA</v>
          </cell>
          <cell r="T41">
            <v>61.4</v>
          </cell>
          <cell r="U41">
            <v>5</v>
          </cell>
          <cell r="V41">
            <v>75.099999999999994</v>
          </cell>
          <cell r="W41">
            <v>7.6</v>
          </cell>
          <cell r="X41" t="str">
            <v>NA</v>
          </cell>
          <cell r="Y41" t="str">
            <v>NA</v>
          </cell>
          <cell r="Z41" t="str">
            <v>NA</v>
          </cell>
          <cell r="AA41" t="str">
            <v>NA</v>
          </cell>
        </row>
        <row r="42">
          <cell r="A42">
            <v>45111</v>
          </cell>
          <cell r="B42" t="str">
            <v>A1</v>
          </cell>
          <cell r="C42">
            <v>1</v>
          </cell>
          <cell r="D42">
            <v>2</v>
          </cell>
          <cell r="E42" t="str">
            <v>ARIS.A1.Aim2.Bin1.LB</v>
          </cell>
          <cell r="F42">
            <v>3</v>
          </cell>
          <cell r="G42" t="str">
            <v>SplineDFA</v>
          </cell>
          <cell r="H42" t="str">
            <v>Y</v>
          </cell>
          <cell r="I42" t="str">
            <v>N</v>
          </cell>
          <cell r="J42">
            <v>125</v>
          </cell>
          <cell r="K42">
            <v>1</v>
          </cell>
          <cell r="L42">
            <v>0.93840000000000001</v>
          </cell>
          <cell r="M42">
            <v>23.7</v>
          </cell>
          <cell r="N42">
            <v>2.7</v>
          </cell>
          <cell r="O42">
            <v>6.1600000000000002E-2</v>
          </cell>
          <cell r="P42">
            <v>6.1600000000000002E-2</v>
          </cell>
          <cell r="Q42">
            <v>0</v>
          </cell>
          <cell r="R42" t="str">
            <v>NA</v>
          </cell>
          <cell r="S42" t="str">
            <v>NA</v>
          </cell>
          <cell r="T42">
            <v>61.4</v>
          </cell>
          <cell r="U42">
            <v>5</v>
          </cell>
          <cell r="V42">
            <v>75.099999999999994</v>
          </cell>
          <cell r="W42">
            <v>7.6</v>
          </cell>
          <cell r="X42" t="str">
            <v>NA</v>
          </cell>
          <cell r="Y42" t="str">
            <v>NA</v>
          </cell>
          <cell r="Z42" t="str">
            <v>NA</v>
          </cell>
          <cell r="AA42" t="str">
            <v>NA</v>
          </cell>
        </row>
        <row r="43">
          <cell r="A43">
            <v>45111</v>
          </cell>
          <cell r="B43" t="str">
            <v>A1</v>
          </cell>
          <cell r="C43">
            <v>2</v>
          </cell>
          <cell r="D43">
            <v>3</v>
          </cell>
          <cell r="E43" t="str">
            <v>ARIS.A1.Aim3.Bin2.LB</v>
          </cell>
          <cell r="F43">
            <v>3</v>
          </cell>
          <cell r="G43" t="str">
            <v>SplineDFA</v>
          </cell>
          <cell r="H43" t="str">
            <v>Y</v>
          </cell>
          <cell r="I43" t="str">
            <v>N</v>
          </cell>
          <cell r="J43">
            <v>106</v>
          </cell>
          <cell r="K43">
            <v>1</v>
          </cell>
          <cell r="L43">
            <v>0.65180000000000005</v>
          </cell>
          <cell r="M43">
            <v>23.7</v>
          </cell>
          <cell r="N43">
            <v>2.7</v>
          </cell>
          <cell r="O43">
            <v>0.34820000000000001</v>
          </cell>
          <cell r="P43">
            <v>0.2344</v>
          </cell>
          <cell r="Q43">
            <v>0.1138</v>
          </cell>
          <cell r="R43" t="str">
            <v>NA</v>
          </cell>
          <cell r="S43" t="str">
            <v>NA</v>
          </cell>
          <cell r="T43">
            <v>61.4</v>
          </cell>
          <cell r="U43">
            <v>5</v>
          </cell>
          <cell r="V43">
            <v>75.099999999999994</v>
          </cell>
          <cell r="W43">
            <v>7.6</v>
          </cell>
          <cell r="X43" t="str">
            <v>NA</v>
          </cell>
          <cell r="Y43" t="str">
            <v>NA</v>
          </cell>
          <cell r="Z43" t="str">
            <v>NA</v>
          </cell>
          <cell r="AA43" t="str">
            <v>NA</v>
          </cell>
        </row>
        <row r="44">
          <cell r="A44">
            <v>45111</v>
          </cell>
          <cell r="B44" t="str">
            <v>A1</v>
          </cell>
          <cell r="C44">
            <v>3</v>
          </cell>
          <cell r="D44">
            <v>3</v>
          </cell>
          <cell r="E44" t="str">
            <v>ARIS.A1.Aim3.Bin3.LB</v>
          </cell>
          <cell r="F44">
            <v>3</v>
          </cell>
          <cell r="G44" t="str">
            <v>SplineDFA</v>
          </cell>
          <cell r="H44" t="str">
            <v>Y</v>
          </cell>
          <cell r="I44" t="str">
            <v>N</v>
          </cell>
          <cell r="J44">
            <v>82</v>
          </cell>
          <cell r="K44">
            <v>1</v>
          </cell>
          <cell r="L44">
            <v>0.2001</v>
          </cell>
          <cell r="M44">
            <v>23.7</v>
          </cell>
          <cell r="N44">
            <v>2.7</v>
          </cell>
          <cell r="O44">
            <v>0.79990000000000006</v>
          </cell>
          <cell r="P44">
            <v>0.4914</v>
          </cell>
          <cell r="Q44">
            <v>0.3085</v>
          </cell>
          <cell r="R44" t="str">
            <v>NA</v>
          </cell>
          <cell r="S44" t="str">
            <v>NA</v>
          </cell>
          <cell r="T44">
            <v>61.4</v>
          </cell>
          <cell r="U44">
            <v>5</v>
          </cell>
          <cell r="V44">
            <v>75.099999999999994</v>
          </cell>
          <cell r="W44">
            <v>7.6</v>
          </cell>
          <cell r="X44" t="str">
            <v>NA</v>
          </cell>
          <cell r="Y44" t="str">
            <v>NA</v>
          </cell>
          <cell r="Z44" t="str">
            <v>NA</v>
          </cell>
          <cell r="AA44" t="str">
            <v>NA</v>
          </cell>
        </row>
        <row r="45">
          <cell r="A45">
            <v>45111</v>
          </cell>
          <cell r="B45" t="str">
            <v>A1</v>
          </cell>
          <cell r="C45">
            <v>4</v>
          </cell>
          <cell r="D45">
            <v>3</v>
          </cell>
          <cell r="E45" t="str">
            <v>ARIS.A1.Aim3.Bin4.LB</v>
          </cell>
          <cell r="F45">
            <v>3</v>
          </cell>
          <cell r="G45" t="str">
            <v>SplineDFA</v>
          </cell>
          <cell r="H45" t="str">
            <v>Y</v>
          </cell>
          <cell r="I45" t="str">
            <v>N</v>
          </cell>
          <cell r="J45">
            <v>82</v>
          </cell>
          <cell r="K45">
            <v>1</v>
          </cell>
          <cell r="L45">
            <v>0.2001</v>
          </cell>
          <cell r="M45">
            <v>23.7</v>
          </cell>
          <cell r="N45">
            <v>2.7</v>
          </cell>
          <cell r="O45">
            <v>0.79990000000000006</v>
          </cell>
          <cell r="P45">
            <v>0.4914</v>
          </cell>
          <cell r="Q45">
            <v>0.3085</v>
          </cell>
          <cell r="R45" t="str">
            <v>NA</v>
          </cell>
          <cell r="S45" t="str">
            <v>NA</v>
          </cell>
          <cell r="T45">
            <v>61.4</v>
          </cell>
          <cell r="U45">
            <v>5</v>
          </cell>
          <cell r="V45">
            <v>75.099999999999994</v>
          </cell>
          <cell r="W45">
            <v>7.6</v>
          </cell>
          <cell r="X45" t="str">
            <v>NA</v>
          </cell>
          <cell r="Y45" t="str">
            <v>NA</v>
          </cell>
          <cell r="Z45" t="str">
            <v>NA</v>
          </cell>
          <cell r="AA45" t="str">
            <v>NA</v>
          </cell>
        </row>
        <row r="46">
          <cell r="A46">
            <v>45112</v>
          </cell>
          <cell r="B46" t="str">
            <v>A1</v>
          </cell>
          <cell r="C46">
            <v>1</v>
          </cell>
          <cell r="D46">
            <v>1</v>
          </cell>
          <cell r="E46" t="str">
            <v>ARIS.A1.Aim1.Bin1.LB</v>
          </cell>
          <cell r="F46">
            <v>3</v>
          </cell>
          <cell r="G46" t="str">
            <v>Unweighted</v>
          </cell>
          <cell r="H46" t="str">
            <v>N</v>
          </cell>
          <cell r="I46" t="str">
            <v>Y</v>
          </cell>
          <cell r="J46">
            <v>103</v>
          </cell>
          <cell r="K46">
            <v>1</v>
          </cell>
          <cell r="L46">
            <v>0.95540000000000003</v>
          </cell>
          <cell r="M46">
            <v>21</v>
          </cell>
          <cell r="N46">
            <v>5.6</v>
          </cell>
          <cell r="O46">
            <v>4.4600000000000001E-2</v>
          </cell>
          <cell r="P46">
            <v>4.4600000000000001E-2</v>
          </cell>
          <cell r="Q46">
            <v>0</v>
          </cell>
          <cell r="R46" t="str">
            <v>NA</v>
          </cell>
          <cell r="S46" t="str">
            <v>NA</v>
          </cell>
          <cell r="T46">
            <v>61.4</v>
          </cell>
          <cell r="U46">
            <v>5</v>
          </cell>
          <cell r="V46">
            <v>75.099999999999994</v>
          </cell>
          <cell r="W46">
            <v>7.6</v>
          </cell>
          <cell r="X46" t="str">
            <v>NA</v>
          </cell>
          <cell r="Y46" t="str">
            <v>NA</v>
          </cell>
          <cell r="Z46" t="str">
            <v>NA</v>
          </cell>
          <cell r="AA46" t="str">
            <v>NA</v>
          </cell>
        </row>
        <row r="47">
          <cell r="A47">
            <v>45112</v>
          </cell>
          <cell r="B47" t="str">
            <v>A1</v>
          </cell>
          <cell r="C47">
            <v>1</v>
          </cell>
          <cell r="D47">
            <v>2</v>
          </cell>
          <cell r="E47" t="str">
            <v>ARIS.A1.Aim2.Bin1.LB</v>
          </cell>
          <cell r="F47">
            <v>3</v>
          </cell>
          <cell r="G47" t="str">
            <v>Unweighted</v>
          </cell>
          <cell r="H47" t="str">
            <v>N</v>
          </cell>
          <cell r="I47" t="str">
            <v>Y</v>
          </cell>
          <cell r="J47">
            <v>83</v>
          </cell>
          <cell r="K47">
            <v>0.99990000000000001</v>
          </cell>
          <cell r="L47">
            <v>0.97929999999999995</v>
          </cell>
          <cell r="M47">
            <v>13.8</v>
          </cell>
          <cell r="N47">
            <v>5.2</v>
          </cell>
          <cell r="O47">
            <v>2.06E-2</v>
          </cell>
          <cell r="P47">
            <v>2.06E-2</v>
          </cell>
          <cell r="Q47">
            <v>0</v>
          </cell>
          <cell r="R47" t="str">
            <v>NA</v>
          </cell>
          <cell r="S47" t="str">
            <v>NA</v>
          </cell>
          <cell r="T47">
            <v>61.4</v>
          </cell>
          <cell r="U47">
            <v>5</v>
          </cell>
          <cell r="V47">
            <v>75.099999999999994</v>
          </cell>
          <cell r="W47">
            <v>7.6</v>
          </cell>
          <cell r="X47" t="str">
            <v>NA</v>
          </cell>
          <cell r="Y47" t="str">
            <v>NA</v>
          </cell>
          <cell r="Z47" t="str">
            <v>NA</v>
          </cell>
          <cell r="AA47" t="str">
            <v>NA</v>
          </cell>
        </row>
        <row r="48">
          <cell r="A48">
            <v>45112</v>
          </cell>
          <cell r="B48" t="str">
            <v>A1</v>
          </cell>
          <cell r="C48">
            <v>1</v>
          </cell>
          <cell r="D48" t="str">
            <v>1&amp;2</v>
          </cell>
          <cell r="E48" t="str">
            <v>ARIS.A1.Aim1&amp;Aim2.Bin1.LB</v>
          </cell>
          <cell r="F48">
            <v>3</v>
          </cell>
          <cell r="G48" t="str">
            <v>Unweighted</v>
          </cell>
          <cell r="H48" t="str">
            <v>N</v>
          </cell>
          <cell r="I48" t="str">
            <v>Y</v>
          </cell>
          <cell r="J48">
            <v>186</v>
          </cell>
          <cell r="K48">
            <v>1</v>
          </cell>
          <cell r="L48">
            <v>0.97260000000000002</v>
          </cell>
          <cell r="M48">
            <v>17.8</v>
          </cell>
          <cell r="N48">
            <v>6.8</v>
          </cell>
          <cell r="O48">
            <v>2.7400000000000001E-2</v>
          </cell>
          <cell r="P48">
            <v>2.7400000000000001E-2</v>
          </cell>
          <cell r="Q48">
            <v>0</v>
          </cell>
          <cell r="R48" t="str">
            <v>NA</v>
          </cell>
          <cell r="S48" t="str">
            <v>NA</v>
          </cell>
          <cell r="T48">
            <v>61.4</v>
          </cell>
          <cell r="U48">
            <v>5</v>
          </cell>
          <cell r="V48">
            <v>75.099999999999994</v>
          </cell>
          <cell r="W48">
            <v>7.6</v>
          </cell>
          <cell r="X48" t="str">
            <v>NA</v>
          </cell>
          <cell r="Y48" t="str">
            <v>NA</v>
          </cell>
          <cell r="Z48" t="str">
            <v>NA</v>
          </cell>
          <cell r="AA48" t="str">
            <v>NA</v>
          </cell>
        </row>
        <row r="49">
          <cell r="A49">
            <v>45112</v>
          </cell>
          <cell r="B49" t="str">
            <v>A1</v>
          </cell>
          <cell r="C49">
            <v>2</v>
          </cell>
          <cell r="D49">
            <v>3</v>
          </cell>
          <cell r="E49" t="str">
            <v>ARIS.A1.Aim3.Bin2.LB</v>
          </cell>
          <cell r="F49">
            <v>3</v>
          </cell>
          <cell r="G49" t="str">
            <v>Unweighted</v>
          </cell>
          <cell r="H49" t="str">
            <v>N</v>
          </cell>
          <cell r="I49" t="str">
            <v>Y</v>
          </cell>
          <cell r="J49">
            <v>71</v>
          </cell>
          <cell r="K49">
            <v>1.0001</v>
          </cell>
          <cell r="L49">
            <v>0.75729999999999997</v>
          </cell>
          <cell r="M49">
            <v>28.2</v>
          </cell>
          <cell r="N49">
            <v>9.1</v>
          </cell>
          <cell r="O49">
            <v>0.24279999999999999</v>
          </cell>
          <cell r="P49">
            <v>0.17330000000000001</v>
          </cell>
          <cell r="Q49">
            <v>6.9500000000000006E-2</v>
          </cell>
          <cell r="R49" t="str">
            <v>NA</v>
          </cell>
          <cell r="S49" t="str">
            <v>NA</v>
          </cell>
          <cell r="T49">
            <v>61.4</v>
          </cell>
          <cell r="U49">
            <v>5</v>
          </cell>
          <cell r="V49">
            <v>75.099999999999994</v>
          </cell>
          <cell r="W49">
            <v>7.6</v>
          </cell>
          <cell r="X49" t="str">
            <v>NA</v>
          </cell>
          <cell r="Y49" t="str">
            <v>NA</v>
          </cell>
          <cell r="Z49" t="str">
            <v>NA</v>
          </cell>
          <cell r="AA49" t="str">
            <v>NA</v>
          </cell>
        </row>
        <row r="50">
          <cell r="A50">
            <v>45112</v>
          </cell>
          <cell r="B50" t="str">
            <v>A1</v>
          </cell>
          <cell r="C50">
            <v>3</v>
          </cell>
          <cell r="D50">
            <v>3</v>
          </cell>
          <cell r="E50" t="str">
            <v>ARIS.A1.Aim3.Bin3.LB</v>
          </cell>
          <cell r="F50">
            <v>3</v>
          </cell>
          <cell r="G50" t="str">
            <v>Unweighted</v>
          </cell>
          <cell r="H50" t="str">
            <v>N</v>
          </cell>
          <cell r="I50" t="str">
            <v>Y</v>
          </cell>
          <cell r="J50">
            <v>46</v>
          </cell>
          <cell r="K50">
            <v>1</v>
          </cell>
          <cell r="L50">
            <v>0.59960000000000002</v>
          </cell>
          <cell r="M50">
            <v>23.7</v>
          </cell>
          <cell r="N50">
            <v>18.8</v>
          </cell>
          <cell r="O50">
            <v>0.40039999999999998</v>
          </cell>
          <cell r="P50">
            <v>0</v>
          </cell>
          <cell r="Q50">
            <v>0.40039999999999998</v>
          </cell>
          <cell r="R50" t="str">
            <v>NA</v>
          </cell>
          <cell r="S50" t="str">
            <v>NA</v>
          </cell>
          <cell r="T50">
            <v>61.4</v>
          </cell>
          <cell r="U50">
            <v>5</v>
          </cell>
          <cell r="V50">
            <v>75.099999999999994</v>
          </cell>
          <cell r="W50">
            <v>7.6</v>
          </cell>
          <cell r="X50" t="str">
            <v>NA</v>
          </cell>
          <cell r="Y50" t="str">
            <v>NA</v>
          </cell>
          <cell r="Z50" t="str">
            <v>NA</v>
          </cell>
          <cell r="AA50" t="str">
            <v>NA</v>
          </cell>
        </row>
        <row r="51">
          <cell r="A51">
            <v>45112</v>
          </cell>
          <cell r="B51" t="str">
            <v>A1</v>
          </cell>
          <cell r="C51">
            <v>4</v>
          </cell>
          <cell r="D51">
            <v>3</v>
          </cell>
          <cell r="E51" t="str">
            <v>ARIS.A1.Aim3.Bin4.LB</v>
          </cell>
          <cell r="F51">
            <v>3</v>
          </cell>
          <cell r="G51" t="str">
            <v>Unweighted</v>
          </cell>
          <cell r="H51" t="str">
            <v>N</v>
          </cell>
          <cell r="I51" t="str">
            <v>Y</v>
          </cell>
          <cell r="J51">
            <v>46</v>
          </cell>
          <cell r="K51">
            <v>1</v>
          </cell>
          <cell r="L51">
            <v>0.59960000000000002</v>
          </cell>
          <cell r="M51">
            <v>23.7</v>
          </cell>
          <cell r="N51">
            <v>18.8</v>
          </cell>
          <cell r="O51">
            <v>0.40039999999999998</v>
          </cell>
          <cell r="P51">
            <v>0</v>
          </cell>
          <cell r="Q51">
            <v>0.40039999999999998</v>
          </cell>
          <cell r="R51" t="str">
            <v>NA</v>
          </cell>
          <cell r="S51" t="str">
            <v>NA</v>
          </cell>
          <cell r="T51">
            <v>61.4</v>
          </cell>
          <cell r="U51">
            <v>5</v>
          </cell>
          <cell r="V51">
            <v>75.099999999999994</v>
          </cell>
          <cell r="W51">
            <v>7.6</v>
          </cell>
          <cell r="X51" t="str">
            <v>NA</v>
          </cell>
          <cell r="Y51" t="str">
            <v>NA</v>
          </cell>
          <cell r="Z51" t="str">
            <v>NA</v>
          </cell>
          <cell r="AA51" t="str">
            <v>NA</v>
          </cell>
        </row>
        <row r="52">
          <cell r="A52">
            <v>45112</v>
          </cell>
          <cell r="B52" t="str">
            <v>A1</v>
          </cell>
          <cell r="C52">
            <v>1</v>
          </cell>
          <cell r="D52">
            <v>1</v>
          </cell>
          <cell r="E52" t="str">
            <v>ARIS.A1.Aim1.Bin1.LB</v>
          </cell>
          <cell r="F52">
            <v>3</v>
          </cell>
          <cell r="G52" t="str">
            <v>SplineDFA</v>
          </cell>
          <cell r="H52" t="str">
            <v>Y</v>
          </cell>
          <cell r="I52" t="str">
            <v>N</v>
          </cell>
          <cell r="J52">
            <v>103</v>
          </cell>
          <cell r="K52">
            <v>1</v>
          </cell>
          <cell r="L52">
            <v>0.90820000000000001</v>
          </cell>
          <cell r="M52">
            <v>23.7</v>
          </cell>
          <cell r="N52">
            <v>2.7</v>
          </cell>
          <cell r="O52">
            <v>9.1800000000000007E-2</v>
          </cell>
          <cell r="P52">
            <v>9.1800000000000007E-2</v>
          </cell>
          <cell r="Q52">
            <v>0</v>
          </cell>
          <cell r="R52" t="str">
            <v>NA</v>
          </cell>
          <cell r="S52" t="str">
            <v>NA</v>
          </cell>
          <cell r="T52">
            <v>61.4</v>
          </cell>
          <cell r="U52">
            <v>5</v>
          </cell>
          <cell r="V52">
            <v>75.099999999999994</v>
          </cell>
          <cell r="W52">
            <v>7.6</v>
          </cell>
          <cell r="X52" t="str">
            <v>NA</v>
          </cell>
          <cell r="Y52" t="str">
            <v>NA</v>
          </cell>
          <cell r="Z52" t="str">
            <v>NA</v>
          </cell>
          <cell r="AA52" t="str">
            <v>NA</v>
          </cell>
        </row>
        <row r="53">
          <cell r="A53">
            <v>45112</v>
          </cell>
          <cell r="B53" t="str">
            <v>A1</v>
          </cell>
          <cell r="C53">
            <v>1</v>
          </cell>
          <cell r="D53">
            <v>2</v>
          </cell>
          <cell r="E53" t="str">
            <v>ARIS.A1.Aim2.Bin1.LB</v>
          </cell>
          <cell r="F53">
            <v>3</v>
          </cell>
          <cell r="G53" t="str">
            <v>SplineDFA</v>
          </cell>
          <cell r="H53" t="str">
            <v>Y</v>
          </cell>
          <cell r="I53" t="str">
            <v>N</v>
          </cell>
          <cell r="J53">
            <v>83</v>
          </cell>
          <cell r="K53">
            <v>1</v>
          </cell>
          <cell r="L53">
            <v>0.96089999999999998</v>
          </cell>
          <cell r="M53">
            <v>23.7</v>
          </cell>
          <cell r="N53">
            <v>2.7</v>
          </cell>
          <cell r="O53">
            <v>3.9100000000000003E-2</v>
          </cell>
          <cell r="P53">
            <v>3.9100000000000003E-2</v>
          </cell>
          <cell r="Q53">
            <v>0</v>
          </cell>
          <cell r="R53" t="str">
            <v>NA</v>
          </cell>
          <cell r="S53" t="str">
            <v>NA</v>
          </cell>
          <cell r="T53">
            <v>61.4</v>
          </cell>
          <cell r="U53">
            <v>5</v>
          </cell>
          <cell r="V53">
            <v>75.099999999999994</v>
          </cell>
          <cell r="W53">
            <v>7.6</v>
          </cell>
          <cell r="X53" t="str">
            <v>NA</v>
          </cell>
          <cell r="Y53" t="str">
            <v>NA</v>
          </cell>
          <cell r="Z53" t="str">
            <v>NA</v>
          </cell>
          <cell r="AA53" t="str">
            <v>NA</v>
          </cell>
        </row>
        <row r="54">
          <cell r="A54">
            <v>45112</v>
          </cell>
          <cell r="B54" t="str">
            <v>A1</v>
          </cell>
          <cell r="C54">
            <v>2</v>
          </cell>
          <cell r="D54">
            <v>3</v>
          </cell>
          <cell r="E54" t="str">
            <v>ARIS.A1.Aim3.Bin2.LB</v>
          </cell>
          <cell r="F54">
            <v>3</v>
          </cell>
          <cell r="G54" t="str">
            <v>SplineDFA</v>
          </cell>
          <cell r="H54" t="str">
            <v>Y</v>
          </cell>
          <cell r="I54" t="str">
            <v>N</v>
          </cell>
          <cell r="J54">
            <v>71</v>
          </cell>
          <cell r="K54">
            <v>1</v>
          </cell>
          <cell r="L54">
            <v>0.61319999999999997</v>
          </cell>
          <cell r="M54">
            <v>23.7</v>
          </cell>
          <cell r="N54">
            <v>2.7</v>
          </cell>
          <cell r="O54">
            <v>0.38679999999999998</v>
          </cell>
          <cell r="P54">
            <v>0.29010000000000002</v>
          </cell>
          <cell r="Q54">
            <v>9.6699999999999994E-2</v>
          </cell>
          <cell r="R54" t="str">
            <v>NA</v>
          </cell>
          <cell r="S54" t="str">
            <v>NA</v>
          </cell>
          <cell r="T54">
            <v>61.4</v>
          </cell>
          <cell r="U54">
            <v>5</v>
          </cell>
          <cell r="V54">
            <v>75.099999999999994</v>
          </cell>
          <cell r="W54">
            <v>7.6</v>
          </cell>
          <cell r="X54" t="str">
            <v>NA</v>
          </cell>
          <cell r="Y54" t="str">
            <v>NA</v>
          </cell>
          <cell r="Z54" t="str">
            <v>NA</v>
          </cell>
          <cell r="AA54" t="str">
            <v>NA</v>
          </cell>
        </row>
        <row r="55">
          <cell r="A55">
            <v>45112</v>
          </cell>
          <cell r="B55" t="str">
            <v>A1</v>
          </cell>
          <cell r="C55">
            <v>3</v>
          </cell>
          <cell r="D55">
            <v>3</v>
          </cell>
          <cell r="E55" t="str">
            <v>ARIS.A1.Aim3.Bin3.LB</v>
          </cell>
          <cell r="F55">
            <v>3</v>
          </cell>
          <cell r="G55" t="str">
            <v>SplineDFA</v>
          </cell>
          <cell r="H55" t="str">
            <v>Y</v>
          </cell>
          <cell r="I55" t="str">
            <v>N</v>
          </cell>
          <cell r="J55">
            <v>46</v>
          </cell>
          <cell r="K55">
            <v>1</v>
          </cell>
          <cell r="L55">
            <v>0.15540000000000001</v>
          </cell>
          <cell r="M55">
            <v>23.7</v>
          </cell>
          <cell r="N55">
            <v>2.7</v>
          </cell>
          <cell r="O55">
            <v>0.84460000000000002</v>
          </cell>
          <cell r="P55">
            <v>0.4723</v>
          </cell>
          <cell r="Q55">
            <v>0.37230000000000002</v>
          </cell>
          <cell r="R55" t="str">
            <v>NA</v>
          </cell>
          <cell r="S55" t="str">
            <v>NA</v>
          </cell>
          <cell r="T55">
            <v>61.4</v>
          </cell>
          <cell r="U55">
            <v>5</v>
          </cell>
          <cell r="V55">
            <v>75.099999999999994</v>
          </cell>
          <cell r="W55">
            <v>7.6</v>
          </cell>
          <cell r="X55" t="str">
            <v>NA</v>
          </cell>
          <cell r="Y55" t="str">
            <v>NA</v>
          </cell>
          <cell r="Z55" t="str">
            <v>NA</v>
          </cell>
          <cell r="AA55" t="str">
            <v>NA</v>
          </cell>
        </row>
        <row r="56">
          <cell r="A56">
            <v>45112</v>
          </cell>
          <cell r="B56" t="str">
            <v>A1</v>
          </cell>
          <cell r="C56">
            <v>4</v>
          </cell>
          <cell r="D56">
            <v>3</v>
          </cell>
          <cell r="E56" t="str">
            <v>ARIS.A1.Aim3.Bin4.LB</v>
          </cell>
          <cell r="F56">
            <v>3</v>
          </cell>
          <cell r="G56" t="str">
            <v>SplineDFA</v>
          </cell>
          <cell r="H56" t="str">
            <v>Y</v>
          </cell>
          <cell r="I56" t="str">
            <v>N</v>
          </cell>
          <cell r="J56">
            <v>46</v>
          </cell>
          <cell r="K56">
            <v>1</v>
          </cell>
          <cell r="L56">
            <v>0.15540000000000001</v>
          </cell>
          <cell r="M56">
            <v>23.7</v>
          </cell>
          <cell r="N56">
            <v>2.7</v>
          </cell>
          <cell r="O56">
            <v>0.84460000000000002</v>
          </cell>
          <cell r="P56">
            <v>0.4723</v>
          </cell>
          <cell r="Q56">
            <v>0.37230000000000002</v>
          </cell>
          <cell r="R56" t="str">
            <v>NA</v>
          </cell>
          <cell r="S56" t="str">
            <v>NA</v>
          </cell>
          <cell r="T56">
            <v>61.4</v>
          </cell>
          <cell r="U56">
            <v>5</v>
          </cell>
          <cell r="V56">
            <v>75.099999999999994</v>
          </cell>
          <cell r="W56">
            <v>7.6</v>
          </cell>
          <cell r="X56" t="str">
            <v>NA</v>
          </cell>
          <cell r="Y56" t="str">
            <v>NA</v>
          </cell>
          <cell r="Z56" t="str">
            <v>NA</v>
          </cell>
          <cell r="AA56" t="str">
            <v>NA</v>
          </cell>
        </row>
        <row r="57">
          <cell r="A57">
            <v>45113</v>
          </cell>
          <cell r="B57" t="str">
            <v>A1</v>
          </cell>
          <cell r="C57">
            <v>1</v>
          </cell>
          <cell r="D57">
            <v>1</v>
          </cell>
          <cell r="E57" t="str">
            <v>ARIS.A1.Aim1.Bin1.LB</v>
          </cell>
          <cell r="F57">
            <v>3</v>
          </cell>
          <cell r="G57" t="str">
            <v>SplineDFA</v>
          </cell>
          <cell r="H57" t="str">
            <v>Y</v>
          </cell>
          <cell r="I57" t="str">
            <v>N</v>
          </cell>
          <cell r="J57">
            <v>139</v>
          </cell>
          <cell r="K57">
            <v>1</v>
          </cell>
          <cell r="L57">
            <v>0.93679999999999997</v>
          </cell>
          <cell r="M57">
            <v>23.7</v>
          </cell>
          <cell r="N57">
            <v>2.7</v>
          </cell>
          <cell r="O57">
            <v>6.3200000000000006E-2</v>
          </cell>
          <cell r="P57">
            <v>6.3200000000000006E-2</v>
          </cell>
          <cell r="Q57">
            <v>0</v>
          </cell>
          <cell r="R57" t="str">
            <v>NA</v>
          </cell>
          <cell r="S57" t="str">
            <v>NA</v>
          </cell>
          <cell r="T57">
            <v>61.4</v>
          </cell>
          <cell r="U57">
            <v>5</v>
          </cell>
          <cell r="V57">
            <v>75.099999999999994</v>
          </cell>
          <cell r="W57">
            <v>7.6</v>
          </cell>
          <cell r="X57" t="str">
            <v>NA</v>
          </cell>
          <cell r="Y57" t="str">
            <v>NA</v>
          </cell>
          <cell r="Z57" t="str">
            <v>NA</v>
          </cell>
          <cell r="AA57" t="str">
            <v>NA</v>
          </cell>
        </row>
        <row r="58">
          <cell r="A58">
            <v>45113</v>
          </cell>
          <cell r="B58" t="str">
            <v>A1</v>
          </cell>
          <cell r="C58">
            <v>1</v>
          </cell>
          <cell r="D58">
            <v>2</v>
          </cell>
          <cell r="E58" t="str">
            <v>ARIS.A1.Aim2.Bin1.LB</v>
          </cell>
          <cell r="F58">
            <v>3</v>
          </cell>
          <cell r="G58" t="str">
            <v>SplineDFA</v>
          </cell>
          <cell r="H58" t="str">
            <v>Y</v>
          </cell>
          <cell r="I58" t="str">
            <v>N</v>
          </cell>
          <cell r="J58">
            <v>150</v>
          </cell>
          <cell r="K58">
            <v>1</v>
          </cell>
          <cell r="L58">
            <v>0.99390000000000001</v>
          </cell>
          <cell r="M58">
            <v>23.7</v>
          </cell>
          <cell r="N58">
            <v>2.7</v>
          </cell>
          <cell r="O58">
            <v>6.1000000000000004E-3</v>
          </cell>
          <cell r="P58">
            <v>6.1000000000000004E-3</v>
          </cell>
          <cell r="Q58">
            <v>0</v>
          </cell>
          <cell r="R58" t="str">
            <v>NA</v>
          </cell>
          <cell r="S58" t="str">
            <v>NA</v>
          </cell>
          <cell r="T58">
            <v>61.4</v>
          </cell>
          <cell r="U58">
            <v>5</v>
          </cell>
          <cell r="V58">
            <v>75.099999999999994</v>
          </cell>
          <cell r="W58">
            <v>7.6</v>
          </cell>
          <cell r="X58" t="str">
            <v>NA</v>
          </cell>
          <cell r="Y58" t="str">
            <v>NA</v>
          </cell>
          <cell r="Z58" t="str">
            <v>NA</v>
          </cell>
          <cell r="AA58" t="str">
            <v>NA</v>
          </cell>
        </row>
        <row r="59">
          <cell r="A59">
            <v>45113</v>
          </cell>
          <cell r="B59" t="str">
            <v>A1</v>
          </cell>
          <cell r="C59">
            <v>2</v>
          </cell>
          <cell r="D59">
            <v>3</v>
          </cell>
          <cell r="E59" t="str">
            <v>ARIS.A1.Aim3.Bin2.LB</v>
          </cell>
          <cell r="F59">
            <v>3</v>
          </cell>
          <cell r="G59" t="str">
            <v>SplineDFA</v>
          </cell>
          <cell r="H59" t="str">
            <v>Y</v>
          </cell>
          <cell r="I59" t="str">
            <v>N</v>
          </cell>
          <cell r="J59">
            <v>128</v>
          </cell>
          <cell r="K59">
            <v>1.0001</v>
          </cell>
          <cell r="L59">
            <v>0.68420000000000003</v>
          </cell>
          <cell r="M59">
            <v>23.7</v>
          </cell>
          <cell r="N59">
            <v>2.7</v>
          </cell>
          <cell r="O59">
            <v>0.31590000000000001</v>
          </cell>
          <cell r="P59">
            <v>0.23769999999999999</v>
          </cell>
          <cell r="Q59">
            <v>7.8200000000000006E-2</v>
          </cell>
          <cell r="R59" t="str">
            <v>NA</v>
          </cell>
          <cell r="S59" t="str">
            <v>NA</v>
          </cell>
          <cell r="T59">
            <v>61.4</v>
          </cell>
          <cell r="U59">
            <v>5</v>
          </cell>
          <cell r="V59">
            <v>75.099999999999994</v>
          </cell>
          <cell r="W59">
            <v>7.6</v>
          </cell>
          <cell r="X59" t="str">
            <v>NA</v>
          </cell>
          <cell r="Y59" t="str">
            <v>NA</v>
          </cell>
          <cell r="Z59" t="str">
            <v>NA</v>
          </cell>
          <cell r="AA59" t="str">
            <v>NA</v>
          </cell>
        </row>
        <row r="60">
          <cell r="A60">
            <v>45113</v>
          </cell>
          <cell r="B60" t="str">
            <v>A1</v>
          </cell>
          <cell r="C60">
            <v>3</v>
          </cell>
          <cell r="D60">
            <v>3</v>
          </cell>
          <cell r="E60" t="str">
            <v>ARIS.A1.Aim3.Bin3.LB</v>
          </cell>
          <cell r="F60">
            <v>3</v>
          </cell>
          <cell r="G60" t="str">
            <v>SplineDFA</v>
          </cell>
          <cell r="H60" t="str">
            <v>Y</v>
          </cell>
          <cell r="I60" t="str">
            <v>N</v>
          </cell>
          <cell r="J60">
            <v>65</v>
          </cell>
          <cell r="K60">
            <v>1</v>
          </cell>
          <cell r="L60">
            <v>0.1022</v>
          </cell>
          <cell r="M60">
            <v>23.7</v>
          </cell>
          <cell r="N60">
            <v>2.7</v>
          </cell>
          <cell r="O60">
            <v>0.89780000000000004</v>
          </cell>
          <cell r="P60">
            <v>0.67410000000000003</v>
          </cell>
          <cell r="Q60">
            <v>0.22370000000000001</v>
          </cell>
          <cell r="R60" t="str">
            <v>NA</v>
          </cell>
          <cell r="S60" t="str">
            <v>NA</v>
          </cell>
          <cell r="T60">
            <v>61.4</v>
          </cell>
          <cell r="U60">
            <v>5</v>
          </cell>
          <cell r="V60">
            <v>75.099999999999994</v>
          </cell>
          <cell r="W60">
            <v>7.6</v>
          </cell>
          <cell r="X60" t="str">
            <v>NA</v>
          </cell>
          <cell r="Y60" t="str">
            <v>NA</v>
          </cell>
          <cell r="Z60" t="str">
            <v>NA</v>
          </cell>
          <cell r="AA60" t="str">
            <v>NA</v>
          </cell>
        </row>
        <row r="61">
          <cell r="A61">
            <v>45113</v>
          </cell>
          <cell r="B61" t="str">
            <v>A1</v>
          </cell>
          <cell r="C61">
            <v>4</v>
          </cell>
          <cell r="D61">
            <v>3</v>
          </cell>
          <cell r="E61" t="str">
            <v>ARIS.A1.Aim3.Bin4.LB</v>
          </cell>
          <cell r="F61">
            <v>3</v>
          </cell>
          <cell r="G61" t="str">
            <v>SplineDFA</v>
          </cell>
          <cell r="H61" t="str">
            <v>Y</v>
          </cell>
          <cell r="I61" t="str">
            <v>N</v>
          </cell>
          <cell r="J61">
            <v>65</v>
          </cell>
          <cell r="K61">
            <v>1</v>
          </cell>
          <cell r="L61">
            <v>0.1022</v>
          </cell>
          <cell r="M61">
            <v>23.7</v>
          </cell>
          <cell r="N61">
            <v>2.7</v>
          </cell>
          <cell r="O61">
            <v>0.89780000000000004</v>
          </cell>
          <cell r="P61">
            <v>0.67410000000000003</v>
          </cell>
          <cell r="Q61">
            <v>0.22370000000000001</v>
          </cell>
          <cell r="R61" t="str">
            <v>NA</v>
          </cell>
          <cell r="S61" t="str">
            <v>NA</v>
          </cell>
          <cell r="T61">
            <v>61.4</v>
          </cell>
          <cell r="U61">
            <v>5</v>
          </cell>
          <cell r="V61">
            <v>75.099999999999994</v>
          </cell>
          <cell r="W61">
            <v>7.6</v>
          </cell>
          <cell r="X61" t="str">
            <v>NA</v>
          </cell>
          <cell r="Y61" t="str">
            <v>NA</v>
          </cell>
          <cell r="Z61" t="str">
            <v>NA</v>
          </cell>
          <cell r="AA61" t="str">
            <v>NA</v>
          </cell>
        </row>
        <row r="62">
          <cell r="A62">
            <v>45113</v>
          </cell>
          <cell r="B62" t="str">
            <v>A1</v>
          </cell>
          <cell r="C62">
            <v>1</v>
          </cell>
          <cell r="D62">
            <v>1</v>
          </cell>
          <cell r="E62" t="str">
            <v>ARIS.A1.Aim1.Bin1.LB</v>
          </cell>
          <cell r="F62">
            <v>3</v>
          </cell>
          <cell r="G62" t="str">
            <v>Unweighted</v>
          </cell>
          <cell r="H62" t="str">
            <v>N</v>
          </cell>
          <cell r="I62" t="str">
            <v>Y</v>
          </cell>
          <cell r="J62">
            <v>139</v>
          </cell>
          <cell r="K62">
            <v>1</v>
          </cell>
          <cell r="L62">
            <v>0.93820000000000003</v>
          </cell>
          <cell r="M62">
            <v>22.3</v>
          </cell>
          <cell r="N62">
            <v>5.8</v>
          </cell>
          <cell r="O62">
            <v>6.1800000000000001E-2</v>
          </cell>
          <cell r="P62">
            <v>6.1800000000000001E-2</v>
          </cell>
          <cell r="Q62">
            <v>0</v>
          </cell>
          <cell r="R62" t="str">
            <v>NA</v>
          </cell>
          <cell r="S62" t="str">
            <v>NA</v>
          </cell>
          <cell r="T62">
            <v>61.4</v>
          </cell>
          <cell r="U62">
            <v>5</v>
          </cell>
          <cell r="V62">
            <v>75.099999999999994</v>
          </cell>
          <cell r="W62">
            <v>7.6</v>
          </cell>
          <cell r="X62" t="str">
            <v>NA</v>
          </cell>
          <cell r="Y62" t="str">
            <v>NA</v>
          </cell>
          <cell r="Z62" t="str">
            <v>NA</v>
          </cell>
          <cell r="AA62" t="str">
            <v>NA</v>
          </cell>
        </row>
        <row r="63">
          <cell r="A63">
            <v>45113</v>
          </cell>
          <cell r="B63" t="str">
            <v>A1</v>
          </cell>
          <cell r="C63">
            <v>1</v>
          </cell>
          <cell r="D63">
            <v>2</v>
          </cell>
          <cell r="E63" t="str">
            <v>ARIS.A1.Aim2.Bin1.LB</v>
          </cell>
          <cell r="F63">
            <v>3</v>
          </cell>
          <cell r="G63" t="str">
            <v>Unweighted</v>
          </cell>
          <cell r="H63" t="str">
            <v>N</v>
          </cell>
          <cell r="I63" t="str">
            <v>Y</v>
          </cell>
          <cell r="J63">
            <v>150</v>
          </cell>
          <cell r="K63">
            <v>1</v>
          </cell>
          <cell r="L63">
            <v>0.99439999999999995</v>
          </cell>
          <cell r="M63">
            <v>15.4</v>
          </cell>
          <cell r="N63">
            <v>6.4</v>
          </cell>
          <cell r="O63">
            <v>5.5999999999999999E-3</v>
          </cell>
          <cell r="P63">
            <v>5.5999999999999999E-3</v>
          </cell>
          <cell r="Q63">
            <v>0</v>
          </cell>
          <cell r="R63" t="str">
            <v>NA</v>
          </cell>
          <cell r="S63" t="str">
            <v>NA</v>
          </cell>
          <cell r="T63">
            <v>61.4</v>
          </cell>
          <cell r="U63">
            <v>5</v>
          </cell>
          <cell r="V63">
            <v>75.099999999999994</v>
          </cell>
          <cell r="W63">
            <v>7.6</v>
          </cell>
          <cell r="X63" t="str">
            <v>NA</v>
          </cell>
          <cell r="Y63" t="str">
            <v>NA</v>
          </cell>
          <cell r="Z63" t="str">
            <v>NA</v>
          </cell>
          <cell r="AA63" t="str">
            <v>NA</v>
          </cell>
        </row>
        <row r="64">
          <cell r="A64">
            <v>45113</v>
          </cell>
          <cell r="B64" t="str">
            <v>A1</v>
          </cell>
          <cell r="C64">
            <v>1</v>
          </cell>
          <cell r="D64" t="str">
            <v>1&amp;2</v>
          </cell>
          <cell r="E64" t="str">
            <v>ARIS.A1.Aim1&amp;Aim2.Bin1.LB</v>
          </cell>
          <cell r="F64">
            <v>3</v>
          </cell>
          <cell r="G64" t="str">
            <v>Unweighted</v>
          </cell>
          <cell r="H64" t="str">
            <v>N</v>
          </cell>
          <cell r="I64" t="str">
            <v>Y</v>
          </cell>
          <cell r="J64">
            <v>289</v>
          </cell>
          <cell r="K64">
            <v>1</v>
          </cell>
          <cell r="L64">
            <v>0.96750000000000003</v>
          </cell>
          <cell r="M64">
            <v>18.600000000000001</v>
          </cell>
          <cell r="N64">
            <v>6.9</v>
          </cell>
          <cell r="O64">
            <v>3.2500000000000001E-2</v>
          </cell>
          <cell r="P64">
            <v>3.2500000000000001E-2</v>
          </cell>
          <cell r="Q64">
            <v>0</v>
          </cell>
          <cell r="R64" t="str">
            <v>NA</v>
          </cell>
          <cell r="S64" t="str">
            <v>NA</v>
          </cell>
          <cell r="T64">
            <v>61.4</v>
          </cell>
          <cell r="U64">
            <v>5</v>
          </cell>
          <cell r="V64">
            <v>75.099999999999994</v>
          </cell>
          <cell r="W64">
            <v>7.6</v>
          </cell>
          <cell r="X64" t="str">
            <v>NA</v>
          </cell>
          <cell r="Y64" t="str">
            <v>NA</v>
          </cell>
          <cell r="Z64" t="str">
            <v>NA</v>
          </cell>
          <cell r="AA64" t="str">
            <v>NA</v>
          </cell>
        </row>
        <row r="65">
          <cell r="A65">
            <v>45113</v>
          </cell>
          <cell r="B65" t="str">
            <v>A1</v>
          </cell>
          <cell r="C65">
            <v>2</v>
          </cell>
          <cell r="D65">
            <v>3</v>
          </cell>
          <cell r="E65" t="str">
            <v>ARIS.A1.Aim3.Bin2.LB</v>
          </cell>
          <cell r="F65">
            <v>3</v>
          </cell>
          <cell r="G65" t="str">
            <v>Unweighted</v>
          </cell>
          <cell r="H65" t="str">
            <v>N</v>
          </cell>
          <cell r="I65" t="str">
            <v>Y</v>
          </cell>
          <cell r="J65">
            <v>128</v>
          </cell>
          <cell r="K65">
            <v>1</v>
          </cell>
          <cell r="L65">
            <v>0.82389999999999997</v>
          </cell>
          <cell r="M65">
            <v>32.4</v>
          </cell>
          <cell r="N65">
            <v>7.5</v>
          </cell>
          <cell r="O65">
            <v>0.17610000000000001</v>
          </cell>
          <cell r="P65">
            <v>6.3600000000000004E-2</v>
          </cell>
          <cell r="Q65">
            <v>0.1125</v>
          </cell>
          <cell r="R65" t="str">
            <v>NA</v>
          </cell>
          <cell r="S65" t="str">
            <v>NA</v>
          </cell>
          <cell r="T65">
            <v>61.4</v>
          </cell>
          <cell r="U65">
            <v>5</v>
          </cell>
          <cell r="V65">
            <v>75.099999999999994</v>
          </cell>
          <cell r="W65">
            <v>7.6</v>
          </cell>
          <cell r="X65" t="str">
            <v>NA</v>
          </cell>
          <cell r="Y65" t="str">
            <v>NA</v>
          </cell>
          <cell r="Z65" t="str">
            <v>NA</v>
          </cell>
          <cell r="AA65" t="str">
            <v>NA</v>
          </cell>
        </row>
        <row r="66">
          <cell r="A66">
            <v>45113</v>
          </cell>
          <cell r="B66" t="str">
            <v>A1</v>
          </cell>
          <cell r="C66">
            <v>3</v>
          </cell>
          <cell r="D66">
            <v>3</v>
          </cell>
          <cell r="E66" t="str">
            <v>ARIS.A1.Aim3.Bin3.LB</v>
          </cell>
          <cell r="F66">
            <v>3</v>
          </cell>
          <cell r="G66" t="str">
            <v>Unweighted</v>
          </cell>
          <cell r="H66" t="str">
            <v>N</v>
          </cell>
          <cell r="I66" t="str">
            <v>Y</v>
          </cell>
          <cell r="J66">
            <v>65</v>
          </cell>
          <cell r="K66">
            <v>1</v>
          </cell>
          <cell r="L66">
            <v>0.53439999999999999</v>
          </cell>
          <cell r="M66">
            <v>42.6</v>
          </cell>
          <cell r="N66">
            <v>6.6</v>
          </cell>
          <cell r="O66">
            <v>0.46560000000000001</v>
          </cell>
          <cell r="P66">
            <v>0.154</v>
          </cell>
          <cell r="Q66">
            <v>0.31159999999999999</v>
          </cell>
          <cell r="R66" t="str">
            <v>NA</v>
          </cell>
          <cell r="S66" t="str">
            <v>NA</v>
          </cell>
          <cell r="T66">
            <v>61.4</v>
          </cell>
          <cell r="U66">
            <v>5</v>
          </cell>
          <cell r="V66">
            <v>75.099999999999994</v>
          </cell>
          <cell r="W66">
            <v>7.6</v>
          </cell>
          <cell r="X66" t="str">
            <v>NA</v>
          </cell>
          <cell r="Y66" t="str">
            <v>NA</v>
          </cell>
          <cell r="Z66" t="str">
            <v>NA</v>
          </cell>
          <cell r="AA66" t="str">
            <v>NA</v>
          </cell>
        </row>
        <row r="67">
          <cell r="A67">
            <v>45113</v>
          </cell>
          <cell r="B67" t="str">
            <v>A1</v>
          </cell>
          <cell r="C67">
            <v>4</v>
          </cell>
          <cell r="D67">
            <v>3</v>
          </cell>
          <cell r="E67" t="str">
            <v>ARIS.A1.Aim3.Bin4.LB</v>
          </cell>
          <cell r="F67">
            <v>3</v>
          </cell>
          <cell r="G67" t="str">
            <v>Unweighted</v>
          </cell>
          <cell r="H67" t="str">
            <v>N</v>
          </cell>
          <cell r="I67" t="str">
            <v>Y</v>
          </cell>
          <cell r="J67">
            <v>65</v>
          </cell>
          <cell r="K67">
            <v>1</v>
          </cell>
          <cell r="L67">
            <v>0.53439999999999999</v>
          </cell>
          <cell r="M67">
            <v>42.6</v>
          </cell>
          <cell r="N67">
            <v>6.6</v>
          </cell>
          <cell r="O67">
            <v>0.46560000000000001</v>
          </cell>
          <cell r="P67">
            <v>0.154</v>
          </cell>
          <cell r="Q67">
            <v>0.31159999999999999</v>
          </cell>
          <cell r="R67" t="str">
            <v>NA</v>
          </cell>
          <cell r="S67" t="str">
            <v>NA</v>
          </cell>
          <cell r="T67">
            <v>61.4</v>
          </cell>
          <cell r="U67">
            <v>5</v>
          </cell>
          <cell r="V67">
            <v>75.099999999999994</v>
          </cell>
          <cell r="W67">
            <v>7.6</v>
          </cell>
          <cell r="X67" t="str">
            <v>NA</v>
          </cell>
          <cell r="Y67" t="str">
            <v>NA</v>
          </cell>
          <cell r="Z67" t="str">
            <v>NA</v>
          </cell>
          <cell r="AA67" t="str">
            <v>NA</v>
          </cell>
        </row>
        <row r="68">
          <cell r="A68">
            <v>45113</v>
          </cell>
          <cell r="B68" t="str">
            <v>A2</v>
          </cell>
          <cell r="C68">
            <v>1</v>
          </cell>
          <cell r="D68">
            <v>1</v>
          </cell>
          <cell r="E68" t="str">
            <v>ARIS.A2.Aim1.Bin1.RB</v>
          </cell>
          <cell r="F68">
            <v>3</v>
          </cell>
          <cell r="G68" t="str">
            <v>SplineDFA</v>
          </cell>
          <cell r="H68" t="str">
            <v>Y</v>
          </cell>
          <cell r="I68" t="str">
            <v>N</v>
          </cell>
          <cell r="J68">
            <v>154</v>
          </cell>
          <cell r="K68">
            <v>1</v>
          </cell>
          <cell r="L68">
            <v>0.90939999999999999</v>
          </cell>
          <cell r="M68">
            <v>23.7</v>
          </cell>
          <cell r="N68">
            <v>2.7</v>
          </cell>
          <cell r="O68">
            <v>9.06E-2</v>
          </cell>
          <cell r="P68">
            <v>9.06E-2</v>
          </cell>
          <cell r="Q68">
            <v>0</v>
          </cell>
          <cell r="R68" t="str">
            <v>NA</v>
          </cell>
          <cell r="S68" t="str">
            <v>NA</v>
          </cell>
          <cell r="T68">
            <v>61.4</v>
          </cell>
          <cell r="U68">
            <v>5</v>
          </cell>
          <cell r="V68">
            <v>75.099999999999994</v>
          </cell>
          <cell r="W68">
            <v>7.6</v>
          </cell>
          <cell r="X68" t="str">
            <v>NA</v>
          </cell>
          <cell r="Y68" t="str">
            <v>NA</v>
          </cell>
          <cell r="Z68" t="str">
            <v>NA</v>
          </cell>
          <cell r="AA68" t="str">
            <v>NA</v>
          </cell>
        </row>
        <row r="69">
          <cell r="A69">
            <v>45113</v>
          </cell>
          <cell r="B69" t="str">
            <v>A2</v>
          </cell>
          <cell r="C69">
            <v>2</v>
          </cell>
          <cell r="D69">
            <v>3</v>
          </cell>
          <cell r="E69" t="str">
            <v>ARIS.A2.Aim1.Bin2.RB</v>
          </cell>
          <cell r="F69">
            <v>3</v>
          </cell>
          <cell r="G69" t="str">
            <v>SplineDFA</v>
          </cell>
          <cell r="H69" t="str">
            <v>Y</v>
          </cell>
          <cell r="I69" t="str">
            <v>N</v>
          </cell>
          <cell r="J69">
            <v>147</v>
          </cell>
          <cell r="K69">
            <v>1.0001</v>
          </cell>
          <cell r="L69">
            <v>0.70499999999999996</v>
          </cell>
          <cell r="M69">
            <v>23.7</v>
          </cell>
          <cell r="N69">
            <v>2.7</v>
          </cell>
          <cell r="O69">
            <v>0.29509999999999997</v>
          </cell>
          <cell r="P69">
            <v>0.25590000000000002</v>
          </cell>
          <cell r="Q69">
            <v>3.9199999999999999E-2</v>
          </cell>
          <cell r="R69" t="str">
            <v>NA</v>
          </cell>
          <cell r="S69" t="str">
            <v>NA</v>
          </cell>
          <cell r="T69">
            <v>61.4</v>
          </cell>
          <cell r="U69">
            <v>5</v>
          </cell>
          <cell r="V69">
            <v>75.099999999999994</v>
          </cell>
          <cell r="W69">
            <v>7.6</v>
          </cell>
          <cell r="X69" t="str">
            <v>NA</v>
          </cell>
          <cell r="Y69" t="str">
            <v>NA</v>
          </cell>
          <cell r="Z69" t="str">
            <v>NA</v>
          </cell>
          <cell r="AA69" t="str">
            <v>NA</v>
          </cell>
        </row>
        <row r="70">
          <cell r="A70">
            <v>45113</v>
          </cell>
          <cell r="B70" t="str">
            <v>A2</v>
          </cell>
          <cell r="C70">
            <v>3</v>
          </cell>
          <cell r="D70">
            <v>3</v>
          </cell>
          <cell r="E70" t="str">
            <v>ARIS.A2.Aim1.Bin3.RB</v>
          </cell>
          <cell r="F70">
            <v>3</v>
          </cell>
          <cell r="G70" t="str">
            <v>SplineDFA</v>
          </cell>
          <cell r="H70" t="str">
            <v>Y</v>
          </cell>
          <cell r="I70" t="str">
            <v>N</v>
          </cell>
          <cell r="J70">
            <v>89</v>
          </cell>
          <cell r="K70">
            <v>1</v>
          </cell>
          <cell r="L70">
            <v>0.25900000000000001</v>
          </cell>
          <cell r="M70">
            <v>23.7</v>
          </cell>
          <cell r="N70">
            <v>2.7</v>
          </cell>
          <cell r="O70">
            <v>0.74099999999999999</v>
          </cell>
          <cell r="P70">
            <v>0.61609999999999998</v>
          </cell>
          <cell r="Q70">
            <v>0.1249</v>
          </cell>
          <cell r="R70" t="str">
            <v>NA</v>
          </cell>
          <cell r="S70" t="str">
            <v>NA</v>
          </cell>
          <cell r="T70">
            <v>61.4</v>
          </cell>
          <cell r="U70">
            <v>5</v>
          </cell>
          <cell r="V70">
            <v>75.099999999999994</v>
          </cell>
          <cell r="W70">
            <v>7.6</v>
          </cell>
          <cell r="X70" t="str">
            <v>NA</v>
          </cell>
          <cell r="Y70" t="str">
            <v>NA</v>
          </cell>
          <cell r="Z70" t="str">
            <v>NA</v>
          </cell>
          <cell r="AA70" t="str">
            <v>NA</v>
          </cell>
        </row>
        <row r="71">
          <cell r="A71">
            <v>45113</v>
          </cell>
          <cell r="B71" t="str">
            <v>A2</v>
          </cell>
          <cell r="C71">
            <v>4</v>
          </cell>
          <cell r="D71">
            <v>3</v>
          </cell>
          <cell r="E71" t="str">
            <v>ARIS.A2.Aim1.Bin4.RB</v>
          </cell>
          <cell r="F71">
            <v>3</v>
          </cell>
          <cell r="G71" t="str">
            <v>SplineDFA</v>
          </cell>
          <cell r="H71" t="str">
            <v>Y</v>
          </cell>
          <cell r="I71" t="str">
            <v>N</v>
          </cell>
          <cell r="J71">
            <v>89</v>
          </cell>
          <cell r="K71">
            <v>1</v>
          </cell>
          <cell r="L71">
            <v>0.25900000000000001</v>
          </cell>
          <cell r="M71">
            <v>23.7</v>
          </cell>
          <cell r="N71">
            <v>2.7</v>
          </cell>
          <cell r="O71">
            <v>0.74099999999999999</v>
          </cell>
          <cell r="P71">
            <v>0.61609999999999998</v>
          </cell>
          <cell r="Q71">
            <v>0.1249</v>
          </cell>
          <cell r="R71" t="str">
            <v>NA</v>
          </cell>
          <cell r="S71" t="str">
            <v>NA</v>
          </cell>
          <cell r="T71">
            <v>61.4</v>
          </cell>
          <cell r="U71">
            <v>5</v>
          </cell>
          <cell r="V71">
            <v>75.099999999999994</v>
          </cell>
          <cell r="W71">
            <v>7.6</v>
          </cell>
          <cell r="X71" t="str">
            <v>NA</v>
          </cell>
          <cell r="Y71" t="str">
            <v>NA</v>
          </cell>
          <cell r="Z71" t="str">
            <v>NA</v>
          </cell>
          <cell r="AA71" t="str">
            <v>NA</v>
          </cell>
        </row>
        <row r="72">
          <cell r="A72">
            <v>45113</v>
          </cell>
          <cell r="B72" t="str">
            <v>A2</v>
          </cell>
          <cell r="C72">
            <v>1</v>
          </cell>
          <cell r="D72">
            <v>1</v>
          </cell>
          <cell r="E72" t="str">
            <v>ARIS.A2.Aim1.Bin1.RB</v>
          </cell>
          <cell r="F72">
            <v>3</v>
          </cell>
          <cell r="G72" t="str">
            <v>Unweighted</v>
          </cell>
          <cell r="H72" t="str">
            <v>N</v>
          </cell>
          <cell r="I72" t="str">
            <v>Y</v>
          </cell>
          <cell r="J72">
            <v>154</v>
          </cell>
          <cell r="K72">
            <v>1</v>
          </cell>
          <cell r="L72">
            <v>0.93610000000000004</v>
          </cell>
          <cell r="M72">
            <v>19.8</v>
          </cell>
          <cell r="N72">
            <v>6.3</v>
          </cell>
          <cell r="O72">
            <v>6.3899999999999998E-2</v>
          </cell>
          <cell r="P72">
            <v>6.3899999999999998E-2</v>
          </cell>
          <cell r="Q72">
            <v>0</v>
          </cell>
          <cell r="R72" t="str">
            <v>NA</v>
          </cell>
          <cell r="S72" t="str">
            <v>NA</v>
          </cell>
          <cell r="T72">
            <v>61.4</v>
          </cell>
          <cell r="U72">
            <v>5</v>
          </cell>
          <cell r="V72">
            <v>75.099999999999994</v>
          </cell>
          <cell r="W72">
            <v>7.6</v>
          </cell>
          <cell r="X72" t="str">
            <v>NA</v>
          </cell>
          <cell r="Y72" t="str">
            <v>NA</v>
          </cell>
          <cell r="Z72" t="str">
            <v>NA</v>
          </cell>
          <cell r="AA72" t="str">
            <v>NA</v>
          </cell>
        </row>
        <row r="73">
          <cell r="A73">
            <v>45113</v>
          </cell>
          <cell r="B73" t="str">
            <v>A2</v>
          </cell>
          <cell r="C73">
            <v>2</v>
          </cell>
          <cell r="D73">
            <v>3</v>
          </cell>
          <cell r="E73" t="str">
            <v>ARIS.A2.Aim1.Bin2.RB</v>
          </cell>
          <cell r="F73">
            <v>3</v>
          </cell>
          <cell r="G73" t="str">
            <v>Unweighted</v>
          </cell>
          <cell r="H73" t="str">
            <v>N</v>
          </cell>
          <cell r="I73" t="str">
            <v>Y</v>
          </cell>
          <cell r="J73">
            <v>147</v>
          </cell>
          <cell r="K73">
            <v>1</v>
          </cell>
          <cell r="L73">
            <v>0.93679999999999997</v>
          </cell>
          <cell r="M73">
            <v>29.9</v>
          </cell>
          <cell r="N73">
            <v>9.4</v>
          </cell>
          <cell r="O73">
            <v>6.3200000000000006E-2</v>
          </cell>
          <cell r="P73">
            <v>2.9899999999999999E-2</v>
          </cell>
          <cell r="Q73">
            <v>3.3300000000000003E-2</v>
          </cell>
          <cell r="R73" t="str">
            <v>NA</v>
          </cell>
          <cell r="S73" t="str">
            <v>NA</v>
          </cell>
          <cell r="T73">
            <v>61.4</v>
          </cell>
          <cell r="U73">
            <v>5</v>
          </cell>
          <cell r="V73">
            <v>75.099999999999994</v>
          </cell>
          <cell r="W73">
            <v>7.6</v>
          </cell>
          <cell r="X73" t="str">
            <v>NA</v>
          </cell>
          <cell r="Y73" t="str">
            <v>NA</v>
          </cell>
          <cell r="Z73" t="str">
            <v>NA</v>
          </cell>
          <cell r="AA73" t="str">
            <v>NA</v>
          </cell>
        </row>
        <row r="74">
          <cell r="A74">
            <v>45113</v>
          </cell>
          <cell r="B74" t="str">
            <v>A2</v>
          </cell>
          <cell r="C74">
            <v>3</v>
          </cell>
          <cell r="D74">
            <v>3</v>
          </cell>
          <cell r="E74" t="str">
            <v>ARIS.A2.Aim1.Bin3.RB</v>
          </cell>
          <cell r="F74">
            <v>3</v>
          </cell>
          <cell r="G74" t="str">
            <v>Unweighted</v>
          </cell>
          <cell r="H74" t="str">
            <v>N</v>
          </cell>
          <cell r="I74" t="str">
            <v>Y</v>
          </cell>
          <cell r="J74">
            <v>89</v>
          </cell>
          <cell r="K74">
            <v>0.99990000000000001</v>
          </cell>
          <cell r="L74">
            <v>0.76419999999999999</v>
          </cell>
          <cell r="M74">
            <v>38.6</v>
          </cell>
          <cell r="N74">
            <v>8.5</v>
          </cell>
          <cell r="O74">
            <v>0.23569999999999999</v>
          </cell>
          <cell r="P74">
            <v>0.1663</v>
          </cell>
          <cell r="Q74">
            <v>6.9400000000000003E-2</v>
          </cell>
          <cell r="R74" t="str">
            <v>NA</v>
          </cell>
          <cell r="S74" t="str">
            <v>NA</v>
          </cell>
          <cell r="T74">
            <v>61.4</v>
          </cell>
          <cell r="U74">
            <v>5</v>
          </cell>
          <cell r="V74">
            <v>75.099999999999994</v>
          </cell>
          <cell r="W74">
            <v>7.6</v>
          </cell>
          <cell r="X74" t="str">
            <v>NA</v>
          </cell>
          <cell r="Y74" t="str">
            <v>NA</v>
          </cell>
          <cell r="Z74" t="str">
            <v>NA</v>
          </cell>
          <cell r="AA74" t="str">
            <v>NA</v>
          </cell>
        </row>
        <row r="75">
          <cell r="A75">
            <v>45113</v>
          </cell>
          <cell r="B75" t="str">
            <v>A2</v>
          </cell>
          <cell r="C75">
            <v>4</v>
          </cell>
          <cell r="D75">
            <v>3</v>
          </cell>
          <cell r="E75" t="str">
            <v>ARIS.A2.Aim1.Bin4.RB</v>
          </cell>
          <cell r="F75">
            <v>3</v>
          </cell>
          <cell r="G75" t="str">
            <v>Unweighted</v>
          </cell>
          <cell r="H75" t="str">
            <v>N</v>
          </cell>
          <cell r="I75" t="str">
            <v>Y</v>
          </cell>
          <cell r="J75">
            <v>89</v>
          </cell>
          <cell r="K75">
            <v>0.99990000000000001</v>
          </cell>
          <cell r="L75">
            <v>0.76419999999999999</v>
          </cell>
          <cell r="M75">
            <v>38.6</v>
          </cell>
          <cell r="N75">
            <v>8.5</v>
          </cell>
          <cell r="O75">
            <v>0.23569999999999999</v>
          </cell>
          <cell r="P75">
            <v>0.1663</v>
          </cell>
          <cell r="Q75">
            <v>6.9400000000000003E-2</v>
          </cell>
          <cell r="R75" t="str">
            <v>NA</v>
          </cell>
          <cell r="S75" t="str">
            <v>NA</v>
          </cell>
          <cell r="T75">
            <v>61.4</v>
          </cell>
          <cell r="U75">
            <v>5</v>
          </cell>
          <cell r="V75">
            <v>75.099999999999994</v>
          </cell>
          <cell r="W75">
            <v>7.6</v>
          </cell>
          <cell r="X75" t="str">
            <v>NA</v>
          </cell>
          <cell r="Y75" t="str">
            <v>NA</v>
          </cell>
          <cell r="Z75" t="str">
            <v>NA</v>
          </cell>
          <cell r="AA75" t="str">
            <v>NA</v>
          </cell>
        </row>
        <row r="76">
          <cell r="A76">
            <v>45114</v>
          </cell>
          <cell r="B76" t="str">
            <v>A1</v>
          </cell>
          <cell r="C76">
            <v>1</v>
          </cell>
          <cell r="D76">
            <v>1</v>
          </cell>
          <cell r="E76" t="str">
            <v>ARIS.A1.Aim1.Bin1.LB</v>
          </cell>
          <cell r="F76">
            <v>3</v>
          </cell>
          <cell r="G76" t="str">
            <v>SplineDFA</v>
          </cell>
          <cell r="H76" t="str">
            <v>Y</v>
          </cell>
          <cell r="I76" t="str">
            <v>N</v>
          </cell>
          <cell r="J76">
            <v>139</v>
          </cell>
          <cell r="K76">
            <v>1</v>
          </cell>
          <cell r="L76">
            <v>0.93679999999999997</v>
          </cell>
          <cell r="M76">
            <v>23.7</v>
          </cell>
          <cell r="N76">
            <v>2.7</v>
          </cell>
          <cell r="O76">
            <v>6.3200000000000006E-2</v>
          </cell>
          <cell r="P76">
            <v>6.3200000000000006E-2</v>
          </cell>
          <cell r="Q76">
            <v>0</v>
          </cell>
          <cell r="R76" t="str">
            <v>NA</v>
          </cell>
          <cell r="S76" t="str">
            <v>NA</v>
          </cell>
          <cell r="T76">
            <v>61.4</v>
          </cell>
          <cell r="U76">
            <v>5</v>
          </cell>
          <cell r="V76">
            <v>75.099999999999994</v>
          </cell>
          <cell r="W76">
            <v>7.6</v>
          </cell>
          <cell r="X76" t="str">
            <v>NA</v>
          </cell>
          <cell r="Y76" t="str">
            <v>NA</v>
          </cell>
          <cell r="Z76" t="str">
            <v>NA</v>
          </cell>
          <cell r="AA76" t="str">
            <v>NA</v>
          </cell>
        </row>
        <row r="77">
          <cell r="A77">
            <v>45114</v>
          </cell>
          <cell r="B77" t="str">
            <v>A1</v>
          </cell>
          <cell r="C77">
            <v>1</v>
          </cell>
          <cell r="D77">
            <v>2</v>
          </cell>
          <cell r="E77" t="str">
            <v>ARIS.A1.Aim2.Bin1.LB</v>
          </cell>
          <cell r="F77">
            <v>3</v>
          </cell>
          <cell r="G77" t="str">
            <v>SplineDFA</v>
          </cell>
          <cell r="H77" t="str">
            <v>Y</v>
          </cell>
          <cell r="I77" t="str">
            <v>N</v>
          </cell>
          <cell r="J77">
            <v>150</v>
          </cell>
          <cell r="K77">
            <v>1</v>
          </cell>
          <cell r="L77">
            <v>0.99390000000000001</v>
          </cell>
          <cell r="M77">
            <v>23.7</v>
          </cell>
          <cell r="N77">
            <v>2.7</v>
          </cell>
          <cell r="O77">
            <v>6.1000000000000004E-3</v>
          </cell>
          <cell r="P77">
            <v>6.1000000000000004E-3</v>
          </cell>
          <cell r="Q77">
            <v>0</v>
          </cell>
          <cell r="R77" t="str">
            <v>NA</v>
          </cell>
          <cell r="S77" t="str">
            <v>NA</v>
          </cell>
          <cell r="T77">
            <v>61.4</v>
          </cell>
          <cell r="U77">
            <v>5</v>
          </cell>
          <cell r="V77">
            <v>75.099999999999994</v>
          </cell>
          <cell r="W77">
            <v>7.6</v>
          </cell>
          <cell r="X77" t="str">
            <v>NA</v>
          </cell>
          <cell r="Y77" t="str">
            <v>NA</v>
          </cell>
          <cell r="Z77" t="str">
            <v>NA</v>
          </cell>
          <cell r="AA77" t="str">
            <v>NA</v>
          </cell>
        </row>
        <row r="78">
          <cell r="A78">
            <v>45114</v>
          </cell>
          <cell r="B78" t="str">
            <v>A1</v>
          </cell>
          <cell r="C78">
            <v>2</v>
          </cell>
          <cell r="D78">
            <v>3</v>
          </cell>
          <cell r="E78" t="str">
            <v>ARIS.A1.Aim3.Bin2.LB</v>
          </cell>
          <cell r="F78">
            <v>3</v>
          </cell>
          <cell r="G78" t="str">
            <v>SplineDFA</v>
          </cell>
          <cell r="H78" t="str">
            <v>Y</v>
          </cell>
          <cell r="I78" t="str">
            <v>N</v>
          </cell>
          <cell r="J78">
            <v>128</v>
          </cell>
          <cell r="K78">
            <v>1.0001</v>
          </cell>
          <cell r="L78">
            <v>0.68420000000000003</v>
          </cell>
          <cell r="M78">
            <v>23.7</v>
          </cell>
          <cell r="N78">
            <v>2.7</v>
          </cell>
          <cell r="O78">
            <v>0.31590000000000001</v>
          </cell>
          <cell r="P78">
            <v>0.23769999999999999</v>
          </cell>
          <cell r="Q78">
            <v>7.8200000000000006E-2</v>
          </cell>
          <cell r="R78" t="str">
            <v>NA</v>
          </cell>
          <cell r="S78" t="str">
            <v>NA</v>
          </cell>
          <cell r="T78">
            <v>61.4</v>
          </cell>
          <cell r="U78">
            <v>5</v>
          </cell>
          <cell r="V78">
            <v>75.099999999999994</v>
          </cell>
          <cell r="W78">
            <v>7.6</v>
          </cell>
          <cell r="X78" t="str">
            <v>NA</v>
          </cell>
          <cell r="Y78" t="str">
            <v>NA</v>
          </cell>
          <cell r="Z78" t="str">
            <v>NA</v>
          </cell>
          <cell r="AA78" t="str">
            <v>NA</v>
          </cell>
        </row>
        <row r="79">
          <cell r="A79">
            <v>45114</v>
          </cell>
          <cell r="B79" t="str">
            <v>A1</v>
          </cell>
          <cell r="C79">
            <v>3</v>
          </cell>
          <cell r="D79">
            <v>3</v>
          </cell>
          <cell r="E79" t="str">
            <v>ARIS.A1.Aim3.Bin3.LB</v>
          </cell>
          <cell r="F79">
            <v>3</v>
          </cell>
          <cell r="G79" t="str">
            <v>SplineDFA</v>
          </cell>
          <cell r="H79" t="str">
            <v>Y</v>
          </cell>
          <cell r="I79" t="str">
            <v>N</v>
          </cell>
          <cell r="J79">
            <v>65</v>
          </cell>
          <cell r="K79">
            <v>1</v>
          </cell>
          <cell r="L79">
            <v>0.1022</v>
          </cell>
          <cell r="M79">
            <v>23.7</v>
          </cell>
          <cell r="N79">
            <v>2.7</v>
          </cell>
          <cell r="O79">
            <v>0.89780000000000004</v>
          </cell>
          <cell r="P79">
            <v>0.67410000000000003</v>
          </cell>
          <cell r="Q79">
            <v>0.22370000000000001</v>
          </cell>
          <cell r="R79" t="str">
            <v>NA</v>
          </cell>
          <cell r="S79" t="str">
            <v>NA</v>
          </cell>
          <cell r="T79">
            <v>61.4</v>
          </cell>
          <cell r="U79">
            <v>5</v>
          </cell>
          <cell r="V79">
            <v>75.099999999999994</v>
          </cell>
          <cell r="W79">
            <v>7.6</v>
          </cell>
          <cell r="X79" t="str">
            <v>NA</v>
          </cell>
          <cell r="Y79" t="str">
            <v>NA</v>
          </cell>
          <cell r="Z79" t="str">
            <v>NA</v>
          </cell>
          <cell r="AA79" t="str">
            <v>NA</v>
          </cell>
        </row>
        <row r="80">
          <cell r="A80">
            <v>45114</v>
          </cell>
          <cell r="B80" t="str">
            <v>A1</v>
          </cell>
          <cell r="C80">
            <v>4</v>
          </cell>
          <cell r="D80">
            <v>3</v>
          </cell>
          <cell r="E80" t="str">
            <v>ARIS.A1.Aim3.Bin4.LB</v>
          </cell>
          <cell r="F80">
            <v>3</v>
          </cell>
          <cell r="G80" t="str">
            <v>SplineDFA</v>
          </cell>
          <cell r="H80" t="str">
            <v>Y</v>
          </cell>
          <cell r="I80" t="str">
            <v>N</v>
          </cell>
          <cell r="J80">
            <v>65</v>
          </cell>
          <cell r="K80">
            <v>1</v>
          </cell>
          <cell r="L80">
            <v>0.1022</v>
          </cell>
          <cell r="M80">
            <v>23.7</v>
          </cell>
          <cell r="N80">
            <v>2.7</v>
          </cell>
          <cell r="O80">
            <v>0.89780000000000004</v>
          </cell>
          <cell r="P80">
            <v>0.67410000000000003</v>
          </cell>
          <cell r="Q80">
            <v>0.22370000000000001</v>
          </cell>
          <cell r="R80" t="str">
            <v>NA</v>
          </cell>
          <cell r="S80" t="str">
            <v>NA</v>
          </cell>
          <cell r="T80">
            <v>61.4</v>
          </cell>
          <cell r="U80">
            <v>5</v>
          </cell>
          <cell r="V80">
            <v>75.099999999999994</v>
          </cell>
          <cell r="W80">
            <v>7.6</v>
          </cell>
          <cell r="X80" t="str">
            <v>NA</v>
          </cell>
          <cell r="Y80" t="str">
            <v>NA</v>
          </cell>
          <cell r="Z80" t="str">
            <v>NA</v>
          </cell>
          <cell r="AA80" t="str">
            <v>NA</v>
          </cell>
        </row>
        <row r="81">
          <cell r="A81">
            <v>45114</v>
          </cell>
          <cell r="B81" t="str">
            <v>A1</v>
          </cell>
          <cell r="C81">
            <v>1</v>
          </cell>
          <cell r="D81">
            <v>1</v>
          </cell>
          <cell r="E81" t="str">
            <v>ARIS.A1.Aim1.Bin1.LB</v>
          </cell>
          <cell r="F81">
            <v>3</v>
          </cell>
          <cell r="G81" t="str">
            <v>Unweighted</v>
          </cell>
          <cell r="H81" t="str">
            <v>N</v>
          </cell>
          <cell r="I81" t="str">
            <v>Y</v>
          </cell>
          <cell r="J81">
            <v>139</v>
          </cell>
          <cell r="K81">
            <v>1</v>
          </cell>
          <cell r="L81">
            <v>0.93820000000000003</v>
          </cell>
          <cell r="M81">
            <v>22.3</v>
          </cell>
          <cell r="N81">
            <v>5.8</v>
          </cell>
          <cell r="O81">
            <v>6.1800000000000001E-2</v>
          </cell>
          <cell r="P81">
            <v>6.1800000000000001E-2</v>
          </cell>
          <cell r="Q81">
            <v>0</v>
          </cell>
          <cell r="R81" t="str">
            <v>NA</v>
          </cell>
          <cell r="S81" t="str">
            <v>NA</v>
          </cell>
          <cell r="T81">
            <v>61.4</v>
          </cell>
          <cell r="U81">
            <v>5</v>
          </cell>
          <cell r="V81">
            <v>75.099999999999994</v>
          </cell>
          <cell r="W81">
            <v>7.6</v>
          </cell>
          <cell r="X81" t="str">
            <v>NA</v>
          </cell>
          <cell r="Y81" t="str">
            <v>NA</v>
          </cell>
          <cell r="Z81" t="str">
            <v>NA</v>
          </cell>
          <cell r="AA81" t="str">
            <v>NA</v>
          </cell>
        </row>
        <row r="82">
          <cell r="A82">
            <v>45114</v>
          </cell>
          <cell r="B82" t="str">
            <v>A1</v>
          </cell>
          <cell r="C82">
            <v>1</v>
          </cell>
          <cell r="D82">
            <v>2</v>
          </cell>
          <cell r="E82" t="str">
            <v>ARIS.A1.Aim2.Bin1.LB</v>
          </cell>
          <cell r="F82">
            <v>3</v>
          </cell>
          <cell r="G82" t="str">
            <v>Unweighted</v>
          </cell>
          <cell r="H82" t="str">
            <v>N</v>
          </cell>
          <cell r="I82" t="str">
            <v>Y</v>
          </cell>
          <cell r="J82">
            <v>150</v>
          </cell>
          <cell r="K82">
            <v>1</v>
          </cell>
          <cell r="L82">
            <v>0.99439999999999995</v>
          </cell>
          <cell r="M82">
            <v>15.4</v>
          </cell>
          <cell r="N82">
            <v>6.4</v>
          </cell>
          <cell r="O82">
            <v>5.5999999999999999E-3</v>
          </cell>
          <cell r="P82">
            <v>5.5999999999999999E-3</v>
          </cell>
          <cell r="Q82">
            <v>0</v>
          </cell>
          <cell r="R82" t="str">
            <v>NA</v>
          </cell>
          <cell r="S82" t="str">
            <v>NA</v>
          </cell>
          <cell r="T82">
            <v>61.4</v>
          </cell>
          <cell r="U82">
            <v>5</v>
          </cell>
          <cell r="V82">
            <v>75.099999999999994</v>
          </cell>
          <cell r="W82">
            <v>7.6</v>
          </cell>
          <cell r="X82" t="str">
            <v>NA</v>
          </cell>
          <cell r="Y82" t="str">
            <v>NA</v>
          </cell>
          <cell r="Z82" t="str">
            <v>NA</v>
          </cell>
          <cell r="AA82" t="str">
            <v>NA</v>
          </cell>
        </row>
        <row r="83">
          <cell r="A83">
            <v>45114</v>
          </cell>
          <cell r="B83" t="str">
            <v>A1</v>
          </cell>
          <cell r="C83">
            <v>1</v>
          </cell>
          <cell r="D83" t="str">
            <v>1&amp;2</v>
          </cell>
          <cell r="E83" t="str">
            <v>ARIS.A1.Aim1&amp;Aim2.Bin1.LB</v>
          </cell>
          <cell r="F83">
            <v>3</v>
          </cell>
          <cell r="G83" t="str">
            <v>Unweighted</v>
          </cell>
          <cell r="H83" t="str">
            <v>N</v>
          </cell>
          <cell r="I83" t="str">
            <v>Y</v>
          </cell>
          <cell r="J83">
            <v>289</v>
          </cell>
          <cell r="K83">
            <v>1</v>
          </cell>
          <cell r="L83">
            <v>0.96750000000000003</v>
          </cell>
          <cell r="M83">
            <v>18.600000000000001</v>
          </cell>
          <cell r="N83">
            <v>6.9</v>
          </cell>
          <cell r="O83">
            <v>3.2500000000000001E-2</v>
          </cell>
          <cell r="P83">
            <v>3.2500000000000001E-2</v>
          </cell>
          <cell r="Q83">
            <v>0</v>
          </cell>
          <cell r="R83" t="str">
            <v>NA</v>
          </cell>
          <cell r="S83" t="str">
            <v>NA</v>
          </cell>
          <cell r="T83">
            <v>61.4</v>
          </cell>
          <cell r="U83">
            <v>5</v>
          </cell>
          <cell r="V83">
            <v>75.099999999999994</v>
          </cell>
          <cell r="W83">
            <v>7.6</v>
          </cell>
          <cell r="X83" t="str">
            <v>NA</v>
          </cell>
          <cell r="Y83" t="str">
            <v>NA</v>
          </cell>
          <cell r="Z83" t="str">
            <v>NA</v>
          </cell>
          <cell r="AA83" t="str">
            <v>NA</v>
          </cell>
        </row>
        <row r="84">
          <cell r="A84">
            <v>45114</v>
          </cell>
          <cell r="B84" t="str">
            <v>A1</v>
          </cell>
          <cell r="C84">
            <v>2</v>
          </cell>
          <cell r="D84">
            <v>3</v>
          </cell>
          <cell r="E84" t="str">
            <v>ARIS.A1.Aim3.Bin2.LB</v>
          </cell>
          <cell r="F84">
            <v>3</v>
          </cell>
          <cell r="G84" t="str">
            <v>Unweighted</v>
          </cell>
          <cell r="H84" t="str">
            <v>N</v>
          </cell>
          <cell r="I84" t="str">
            <v>Y</v>
          </cell>
          <cell r="J84">
            <v>128</v>
          </cell>
          <cell r="K84">
            <v>1</v>
          </cell>
          <cell r="L84">
            <v>0.82389999999999997</v>
          </cell>
          <cell r="M84">
            <v>32.4</v>
          </cell>
          <cell r="N84">
            <v>7.5</v>
          </cell>
          <cell r="O84">
            <v>0.17610000000000001</v>
          </cell>
          <cell r="P84">
            <v>6.3600000000000004E-2</v>
          </cell>
          <cell r="Q84">
            <v>0.1125</v>
          </cell>
          <cell r="R84" t="str">
            <v>NA</v>
          </cell>
          <cell r="S84" t="str">
            <v>NA</v>
          </cell>
          <cell r="T84">
            <v>61.4</v>
          </cell>
          <cell r="U84">
            <v>5</v>
          </cell>
          <cell r="V84">
            <v>75.099999999999994</v>
          </cell>
          <cell r="W84">
            <v>7.6</v>
          </cell>
          <cell r="X84" t="str">
            <v>NA</v>
          </cell>
          <cell r="Y84" t="str">
            <v>NA</v>
          </cell>
          <cell r="Z84" t="str">
            <v>NA</v>
          </cell>
          <cell r="AA84" t="str">
            <v>NA</v>
          </cell>
        </row>
        <row r="85">
          <cell r="A85">
            <v>45114</v>
          </cell>
          <cell r="B85" t="str">
            <v>A1</v>
          </cell>
          <cell r="C85">
            <v>3</v>
          </cell>
          <cell r="D85">
            <v>3</v>
          </cell>
          <cell r="E85" t="str">
            <v>ARIS.A1.Aim3.Bin3.LB</v>
          </cell>
          <cell r="F85">
            <v>3</v>
          </cell>
          <cell r="G85" t="str">
            <v>Unweighted</v>
          </cell>
          <cell r="H85" t="str">
            <v>N</v>
          </cell>
          <cell r="I85" t="str">
            <v>Y</v>
          </cell>
          <cell r="J85">
            <v>65</v>
          </cell>
          <cell r="K85">
            <v>1</v>
          </cell>
          <cell r="L85">
            <v>0.53439999999999999</v>
          </cell>
          <cell r="M85">
            <v>42.6</v>
          </cell>
          <cell r="N85">
            <v>6.6</v>
          </cell>
          <cell r="O85">
            <v>0.46560000000000001</v>
          </cell>
          <cell r="P85">
            <v>0.154</v>
          </cell>
          <cell r="Q85">
            <v>0.31159999999999999</v>
          </cell>
          <cell r="R85" t="str">
            <v>NA</v>
          </cell>
          <cell r="S85" t="str">
            <v>NA</v>
          </cell>
          <cell r="T85">
            <v>61.4</v>
          </cell>
          <cell r="U85">
            <v>5</v>
          </cell>
          <cell r="V85">
            <v>75.099999999999994</v>
          </cell>
          <cell r="W85">
            <v>7.6</v>
          </cell>
          <cell r="X85" t="str">
            <v>NA</v>
          </cell>
          <cell r="Y85" t="str">
            <v>NA</v>
          </cell>
          <cell r="Z85" t="str">
            <v>NA</v>
          </cell>
          <cell r="AA85" t="str">
            <v>NA</v>
          </cell>
        </row>
        <row r="86">
          <cell r="A86">
            <v>45114</v>
          </cell>
          <cell r="B86" t="str">
            <v>A1</v>
          </cell>
          <cell r="C86">
            <v>4</v>
          </cell>
          <cell r="D86">
            <v>3</v>
          </cell>
          <cell r="E86" t="str">
            <v>ARIS.A1.Aim3.Bin4.LB</v>
          </cell>
          <cell r="F86">
            <v>3</v>
          </cell>
          <cell r="G86" t="str">
            <v>Unweighted</v>
          </cell>
          <cell r="H86" t="str">
            <v>N</v>
          </cell>
          <cell r="I86" t="str">
            <v>Y</v>
          </cell>
          <cell r="J86">
            <v>65</v>
          </cell>
          <cell r="K86">
            <v>1</v>
          </cell>
          <cell r="L86">
            <v>0.53439999999999999</v>
          </cell>
          <cell r="M86">
            <v>42.6</v>
          </cell>
          <cell r="N86">
            <v>6.6</v>
          </cell>
          <cell r="O86">
            <v>0.46560000000000001</v>
          </cell>
          <cell r="P86">
            <v>0.154</v>
          </cell>
          <cell r="Q86">
            <v>0.31159999999999999</v>
          </cell>
          <cell r="R86" t="str">
            <v>NA</v>
          </cell>
          <cell r="S86" t="str">
            <v>NA</v>
          </cell>
          <cell r="T86">
            <v>61.4</v>
          </cell>
          <cell r="U86">
            <v>5</v>
          </cell>
          <cell r="V86">
            <v>75.099999999999994</v>
          </cell>
          <cell r="W86">
            <v>7.6</v>
          </cell>
          <cell r="X86" t="str">
            <v>NA</v>
          </cell>
          <cell r="Y86" t="str">
            <v>NA</v>
          </cell>
          <cell r="Z86" t="str">
            <v>NA</v>
          </cell>
          <cell r="AA86" t="str">
            <v>NA</v>
          </cell>
        </row>
        <row r="87">
          <cell r="A87">
            <v>45114</v>
          </cell>
          <cell r="B87" t="str">
            <v>A2</v>
          </cell>
          <cell r="C87">
            <v>1</v>
          </cell>
          <cell r="D87">
            <v>1</v>
          </cell>
          <cell r="E87" t="str">
            <v>ARIS.A2.Aim1.Bin1.RB</v>
          </cell>
          <cell r="F87">
            <v>3</v>
          </cell>
          <cell r="G87" t="str">
            <v>SplineDFA</v>
          </cell>
          <cell r="H87" t="str">
            <v>Y</v>
          </cell>
          <cell r="I87" t="str">
            <v>N</v>
          </cell>
          <cell r="J87">
            <v>154</v>
          </cell>
          <cell r="K87">
            <v>1</v>
          </cell>
          <cell r="L87">
            <v>0.90939999999999999</v>
          </cell>
          <cell r="M87">
            <v>23.7</v>
          </cell>
          <cell r="N87">
            <v>2.7</v>
          </cell>
          <cell r="O87">
            <v>9.06E-2</v>
          </cell>
          <cell r="P87">
            <v>9.06E-2</v>
          </cell>
          <cell r="Q87">
            <v>0</v>
          </cell>
          <cell r="R87" t="str">
            <v>NA</v>
          </cell>
          <cell r="S87" t="str">
            <v>NA</v>
          </cell>
          <cell r="T87">
            <v>61.4</v>
          </cell>
          <cell r="U87">
            <v>5</v>
          </cell>
          <cell r="V87">
            <v>75.099999999999994</v>
          </cell>
          <cell r="W87">
            <v>7.6</v>
          </cell>
          <cell r="X87" t="str">
            <v>NA</v>
          </cell>
          <cell r="Y87" t="str">
            <v>NA</v>
          </cell>
          <cell r="Z87" t="str">
            <v>NA</v>
          </cell>
          <cell r="AA87" t="str">
            <v>NA</v>
          </cell>
        </row>
        <row r="88">
          <cell r="A88">
            <v>45114</v>
          </cell>
          <cell r="B88" t="str">
            <v>A2</v>
          </cell>
          <cell r="C88">
            <v>2</v>
          </cell>
          <cell r="D88">
            <v>3</v>
          </cell>
          <cell r="E88" t="str">
            <v>ARIS.A2.Aim1.Bin2.RB</v>
          </cell>
          <cell r="F88">
            <v>3</v>
          </cell>
          <cell r="G88" t="str">
            <v>SplineDFA</v>
          </cell>
          <cell r="H88" t="str">
            <v>Y</v>
          </cell>
          <cell r="I88" t="str">
            <v>N</v>
          </cell>
          <cell r="J88">
            <v>147</v>
          </cell>
          <cell r="K88">
            <v>1.0001</v>
          </cell>
          <cell r="L88">
            <v>0.70499999999999996</v>
          </cell>
          <cell r="M88">
            <v>23.7</v>
          </cell>
          <cell r="N88">
            <v>2.7</v>
          </cell>
          <cell r="O88">
            <v>0.29509999999999997</v>
          </cell>
          <cell r="P88">
            <v>0.25590000000000002</v>
          </cell>
          <cell r="Q88">
            <v>3.9199999999999999E-2</v>
          </cell>
          <cell r="R88" t="str">
            <v>NA</v>
          </cell>
          <cell r="S88" t="str">
            <v>NA</v>
          </cell>
          <cell r="T88">
            <v>61.4</v>
          </cell>
          <cell r="U88">
            <v>5</v>
          </cell>
          <cell r="V88">
            <v>75.099999999999994</v>
          </cell>
          <cell r="W88">
            <v>7.6</v>
          </cell>
          <cell r="X88" t="str">
            <v>NA</v>
          </cell>
          <cell r="Y88" t="str">
            <v>NA</v>
          </cell>
          <cell r="Z88" t="str">
            <v>NA</v>
          </cell>
          <cell r="AA88" t="str">
            <v>NA</v>
          </cell>
        </row>
        <row r="89">
          <cell r="A89">
            <v>45114</v>
          </cell>
          <cell r="B89" t="str">
            <v>A2</v>
          </cell>
          <cell r="C89">
            <v>3</v>
          </cell>
          <cell r="D89">
            <v>3</v>
          </cell>
          <cell r="E89" t="str">
            <v>ARIS.A2.Aim1.Bin3.RB</v>
          </cell>
          <cell r="F89">
            <v>3</v>
          </cell>
          <cell r="G89" t="str">
            <v>SplineDFA</v>
          </cell>
          <cell r="H89" t="str">
            <v>Y</v>
          </cell>
          <cell r="I89" t="str">
            <v>N</v>
          </cell>
          <cell r="J89">
            <v>89</v>
          </cell>
          <cell r="K89">
            <v>1</v>
          </cell>
          <cell r="L89">
            <v>0.25900000000000001</v>
          </cell>
          <cell r="M89">
            <v>23.7</v>
          </cell>
          <cell r="N89">
            <v>2.7</v>
          </cell>
          <cell r="O89">
            <v>0.74099999999999999</v>
          </cell>
          <cell r="P89">
            <v>0.61609999999999998</v>
          </cell>
          <cell r="Q89">
            <v>0.1249</v>
          </cell>
          <cell r="R89" t="str">
            <v>NA</v>
          </cell>
          <cell r="S89" t="str">
            <v>NA</v>
          </cell>
          <cell r="T89">
            <v>61.4</v>
          </cell>
          <cell r="U89">
            <v>5</v>
          </cell>
          <cell r="V89">
            <v>75.099999999999994</v>
          </cell>
          <cell r="W89">
            <v>7.6</v>
          </cell>
          <cell r="X89" t="str">
            <v>NA</v>
          </cell>
          <cell r="Y89" t="str">
            <v>NA</v>
          </cell>
          <cell r="Z89" t="str">
            <v>NA</v>
          </cell>
          <cell r="AA89" t="str">
            <v>NA</v>
          </cell>
        </row>
        <row r="90">
          <cell r="A90">
            <v>45114</v>
          </cell>
          <cell r="B90" t="str">
            <v>A2</v>
          </cell>
          <cell r="C90">
            <v>4</v>
          </cell>
          <cell r="D90">
            <v>3</v>
          </cell>
          <cell r="E90" t="str">
            <v>ARIS.A2.Aim1.Bin4.RB</v>
          </cell>
          <cell r="F90">
            <v>3</v>
          </cell>
          <cell r="G90" t="str">
            <v>SplineDFA</v>
          </cell>
          <cell r="H90" t="str">
            <v>Y</v>
          </cell>
          <cell r="I90" t="str">
            <v>N</v>
          </cell>
          <cell r="J90">
            <v>89</v>
          </cell>
          <cell r="K90">
            <v>1</v>
          </cell>
          <cell r="L90">
            <v>0.25900000000000001</v>
          </cell>
          <cell r="M90">
            <v>23.7</v>
          </cell>
          <cell r="N90">
            <v>2.7</v>
          </cell>
          <cell r="O90">
            <v>0.74099999999999999</v>
          </cell>
          <cell r="P90">
            <v>0.61609999999999998</v>
          </cell>
          <cell r="Q90">
            <v>0.1249</v>
          </cell>
          <cell r="R90" t="str">
            <v>NA</v>
          </cell>
          <cell r="S90" t="str">
            <v>NA</v>
          </cell>
          <cell r="T90">
            <v>61.4</v>
          </cell>
          <cell r="U90">
            <v>5</v>
          </cell>
          <cell r="V90">
            <v>75.099999999999994</v>
          </cell>
          <cell r="W90">
            <v>7.6</v>
          </cell>
          <cell r="X90" t="str">
            <v>NA</v>
          </cell>
          <cell r="Y90" t="str">
            <v>NA</v>
          </cell>
          <cell r="Z90" t="str">
            <v>NA</v>
          </cell>
          <cell r="AA90" t="str">
            <v>NA</v>
          </cell>
        </row>
        <row r="91">
          <cell r="A91">
            <v>45114</v>
          </cell>
          <cell r="B91" t="str">
            <v>A2</v>
          </cell>
          <cell r="C91">
            <v>1</v>
          </cell>
          <cell r="D91">
            <v>1</v>
          </cell>
          <cell r="E91" t="str">
            <v>ARIS.A2.Aim1.Bin1.RB</v>
          </cell>
          <cell r="F91">
            <v>3</v>
          </cell>
          <cell r="G91" t="str">
            <v>Unweighted</v>
          </cell>
          <cell r="H91" t="str">
            <v>N</v>
          </cell>
          <cell r="I91" t="str">
            <v>Y</v>
          </cell>
          <cell r="J91">
            <v>154</v>
          </cell>
          <cell r="K91">
            <v>1</v>
          </cell>
          <cell r="L91">
            <v>0.93610000000000004</v>
          </cell>
          <cell r="M91">
            <v>19.8</v>
          </cell>
          <cell r="N91">
            <v>6.3</v>
          </cell>
          <cell r="O91">
            <v>6.3899999999999998E-2</v>
          </cell>
          <cell r="P91">
            <v>6.3899999999999998E-2</v>
          </cell>
          <cell r="Q91">
            <v>0</v>
          </cell>
          <cell r="R91" t="str">
            <v>NA</v>
          </cell>
          <cell r="S91" t="str">
            <v>NA</v>
          </cell>
          <cell r="T91">
            <v>61.4</v>
          </cell>
          <cell r="U91">
            <v>5</v>
          </cell>
          <cell r="V91">
            <v>75.099999999999994</v>
          </cell>
          <cell r="W91">
            <v>7.6</v>
          </cell>
          <cell r="X91" t="str">
            <v>NA</v>
          </cell>
          <cell r="Y91" t="str">
            <v>NA</v>
          </cell>
          <cell r="Z91" t="str">
            <v>NA</v>
          </cell>
          <cell r="AA91" t="str">
            <v>NA</v>
          </cell>
        </row>
        <row r="92">
          <cell r="A92">
            <v>45114</v>
          </cell>
          <cell r="B92" t="str">
            <v>A2</v>
          </cell>
          <cell r="C92">
            <v>2</v>
          </cell>
          <cell r="D92">
            <v>3</v>
          </cell>
          <cell r="E92" t="str">
            <v>ARIS.A2.Aim1.Bin2.RB</v>
          </cell>
          <cell r="F92">
            <v>3</v>
          </cell>
          <cell r="G92" t="str">
            <v>Unweighted</v>
          </cell>
          <cell r="H92" t="str">
            <v>N</v>
          </cell>
          <cell r="I92" t="str">
            <v>Y</v>
          </cell>
          <cell r="J92">
            <v>147</v>
          </cell>
          <cell r="K92">
            <v>1</v>
          </cell>
          <cell r="L92">
            <v>0.93679999999999997</v>
          </cell>
          <cell r="M92">
            <v>29.9</v>
          </cell>
          <cell r="N92">
            <v>9.4</v>
          </cell>
          <cell r="O92">
            <v>6.3200000000000006E-2</v>
          </cell>
          <cell r="P92">
            <v>2.9899999999999999E-2</v>
          </cell>
          <cell r="Q92">
            <v>3.3300000000000003E-2</v>
          </cell>
          <cell r="R92" t="str">
            <v>NA</v>
          </cell>
          <cell r="S92" t="str">
            <v>NA</v>
          </cell>
          <cell r="T92">
            <v>61.4</v>
          </cell>
          <cell r="U92">
            <v>5</v>
          </cell>
          <cell r="V92">
            <v>75.099999999999994</v>
          </cell>
          <cell r="W92">
            <v>7.6</v>
          </cell>
          <cell r="X92" t="str">
            <v>NA</v>
          </cell>
          <cell r="Y92" t="str">
            <v>NA</v>
          </cell>
          <cell r="Z92" t="str">
            <v>NA</v>
          </cell>
          <cell r="AA92" t="str">
            <v>NA</v>
          </cell>
        </row>
        <row r="93">
          <cell r="A93">
            <v>45114</v>
          </cell>
          <cell r="B93" t="str">
            <v>A2</v>
          </cell>
          <cell r="C93">
            <v>3</v>
          </cell>
          <cell r="D93">
            <v>3</v>
          </cell>
          <cell r="E93" t="str">
            <v>ARIS.A2.Aim1.Bin3.RB</v>
          </cell>
          <cell r="F93">
            <v>3</v>
          </cell>
          <cell r="G93" t="str">
            <v>Unweighted</v>
          </cell>
          <cell r="H93" t="str">
            <v>N</v>
          </cell>
          <cell r="I93" t="str">
            <v>Y</v>
          </cell>
          <cell r="J93">
            <v>89</v>
          </cell>
          <cell r="K93">
            <v>0.99990000000000001</v>
          </cell>
          <cell r="L93">
            <v>0.76419999999999999</v>
          </cell>
          <cell r="M93">
            <v>38.6</v>
          </cell>
          <cell r="N93">
            <v>8.5</v>
          </cell>
          <cell r="O93">
            <v>0.23569999999999999</v>
          </cell>
          <cell r="P93">
            <v>0.1663</v>
          </cell>
          <cell r="Q93">
            <v>6.9400000000000003E-2</v>
          </cell>
          <cell r="R93" t="str">
            <v>NA</v>
          </cell>
          <cell r="S93" t="str">
            <v>NA</v>
          </cell>
          <cell r="T93">
            <v>61.4</v>
          </cell>
          <cell r="U93">
            <v>5</v>
          </cell>
          <cell r="V93">
            <v>75.099999999999994</v>
          </cell>
          <cell r="W93">
            <v>7.6</v>
          </cell>
          <cell r="X93" t="str">
            <v>NA</v>
          </cell>
          <cell r="Y93" t="str">
            <v>NA</v>
          </cell>
          <cell r="Z93" t="str">
            <v>NA</v>
          </cell>
          <cell r="AA93" t="str">
            <v>NA</v>
          </cell>
        </row>
        <row r="94">
          <cell r="A94">
            <v>45114</v>
          </cell>
          <cell r="B94" t="str">
            <v>A2</v>
          </cell>
          <cell r="C94">
            <v>4</v>
          </cell>
          <cell r="D94">
            <v>3</v>
          </cell>
          <cell r="E94" t="str">
            <v>ARIS.A2.Aim1.Bin4.RB</v>
          </cell>
          <cell r="F94">
            <v>3</v>
          </cell>
          <cell r="G94" t="str">
            <v>Unweighted</v>
          </cell>
          <cell r="H94" t="str">
            <v>N</v>
          </cell>
          <cell r="I94" t="str">
            <v>Y</v>
          </cell>
          <cell r="J94">
            <v>89</v>
          </cell>
          <cell r="K94">
            <v>0.99990000000000001</v>
          </cell>
          <cell r="L94">
            <v>0.76419999999999999</v>
          </cell>
          <cell r="M94">
            <v>38.6</v>
          </cell>
          <cell r="N94">
            <v>8.5</v>
          </cell>
          <cell r="O94">
            <v>0.23569999999999999</v>
          </cell>
          <cell r="P94">
            <v>0.1663</v>
          </cell>
          <cell r="Q94">
            <v>6.9400000000000003E-2</v>
          </cell>
          <cell r="R94" t="str">
            <v>NA</v>
          </cell>
          <cell r="S94" t="str">
            <v>NA</v>
          </cell>
          <cell r="T94">
            <v>61.4</v>
          </cell>
          <cell r="U94">
            <v>5</v>
          </cell>
          <cell r="V94">
            <v>75.099999999999994</v>
          </cell>
          <cell r="W94">
            <v>7.6</v>
          </cell>
          <cell r="X94" t="str">
            <v>NA</v>
          </cell>
          <cell r="Y94" t="str">
            <v>NA</v>
          </cell>
          <cell r="Z94" t="str">
            <v>NA</v>
          </cell>
          <cell r="AA94" t="str">
            <v>NA</v>
          </cell>
        </row>
        <row r="95">
          <cell r="A95">
            <v>45115</v>
          </cell>
          <cell r="B95" t="str">
            <v>A1</v>
          </cell>
          <cell r="C95">
            <v>1</v>
          </cell>
          <cell r="D95">
            <v>1</v>
          </cell>
          <cell r="E95" t="str">
            <v>ARIS.A1.Aim1.Bin1.LB</v>
          </cell>
          <cell r="F95">
            <v>3</v>
          </cell>
          <cell r="G95" t="str">
            <v>SplineDFA</v>
          </cell>
          <cell r="H95" t="str">
            <v>Y</v>
          </cell>
          <cell r="I95" t="str">
            <v>N</v>
          </cell>
          <cell r="J95">
            <v>139</v>
          </cell>
          <cell r="K95">
            <v>1</v>
          </cell>
          <cell r="L95">
            <v>0.93679999999999997</v>
          </cell>
          <cell r="M95">
            <v>23.7</v>
          </cell>
          <cell r="N95">
            <v>2.7</v>
          </cell>
          <cell r="O95">
            <v>6.3200000000000006E-2</v>
          </cell>
          <cell r="P95">
            <v>6.3200000000000006E-2</v>
          </cell>
          <cell r="Q95">
            <v>0</v>
          </cell>
          <cell r="R95" t="str">
            <v>NA</v>
          </cell>
          <cell r="S95" t="str">
            <v>NA</v>
          </cell>
          <cell r="T95">
            <v>61.4</v>
          </cell>
          <cell r="U95">
            <v>5</v>
          </cell>
          <cell r="V95">
            <v>75.099999999999994</v>
          </cell>
          <cell r="W95">
            <v>7.6</v>
          </cell>
          <cell r="X95" t="str">
            <v>NA</v>
          </cell>
          <cell r="Y95" t="str">
            <v>NA</v>
          </cell>
          <cell r="Z95" t="str">
            <v>NA</v>
          </cell>
          <cell r="AA95" t="str">
            <v>NA</v>
          </cell>
        </row>
        <row r="96">
          <cell r="A96">
            <v>45115</v>
          </cell>
          <cell r="B96" t="str">
            <v>A1</v>
          </cell>
          <cell r="C96">
            <v>1</v>
          </cell>
          <cell r="D96">
            <v>2</v>
          </cell>
          <cell r="E96" t="str">
            <v>ARIS.A1.Aim2.Bin1.LB</v>
          </cell>
          <cell r="F96">
            <v>3</v>
          </cell>
          <cell r="G96" t="str">
            <v>SplineDFA</v>
          </cell>
          <cell r="H96" t="str">
            <v>Y</v>
          </cell>
          <cell r="I96" t="str">
            <v>N</v>
          </cell>
          <cell r="J96">
            <v>150</v>
          </cell>
          <cell r="K96">
            <v>1</v>
          </cell>
          <cell r="L96">
            <v>0.99390000000000001</v>
          </cell>
          <cell r="M96">
            <v>23.7</v>
          </cell>
          <cell r="N96">
            <v>2.7</v>
          </cell>
          <cell r="O96">
            <v>6.1000000000000004E-3</v>
          </cell>
          <cell r="P96">
            <v>6.1000000000000004E-3</v>
          </cell>
          <cell r="Q96">
            <v>0</v>
          </cell>
          <cell r="R96" t="str">
            <v>NA</v>
          </cell>
          <cell r="S96" t="str">
            <v>NA</v>
          </cell>
          <cell r="T96">
            <v>61.4</v>
          </cell>
          <cell r="U96">
            <v>5</v>
          </cell>
          <cell r="V96">
            <v>75.099999999999994</v>
          </cell>
          <cell r="W96">
            <v>7.6</v>
          </cell>
          <cell r="X96" t="str">
            <v>NA</v>
          </cell>
          <cell r="Y96" t="str">
            <v>NA</v>
          </cell>
          <cell r="Z96" t="str">
            <v>NA</v>
          </cell>
          <cell r="AA96" t="str">
            <v>NA</v>
          </cell>
        </row>
        <row r="97">
          <cell r="A97">
            <v>45115</v>
          </cell>
          <cell r="B97" t="str">
            <v>A1</v>
          </cell>
          <cell r="C97">
            <v>2</v>
          </cell>
          <cell r="D97">
            <v>3</v>
          </cell>
          <cell r="E97" t="str">
            <v>ARIS.A1.Aim3.Bin2.LB</v>
          </cell>
          <cell r="F97">
            <v>3</v>
          </cell>
          <cell r="G97" t="str">
            <v>SplineDFA</v>
          </cell>
          <cell r="H97" t="str">
            <v>Y</v>
          </cell>
          <cell r="I97" t="str">
            <v>N</v>
          </cell>
          <cell r="J97">
            <v>128</v>
          </cell>
          <cell r="K97">
            <v>1.0001</v>
          </cell>
          <cell r="L97">
            <v>0.68420000000000003</v>
          </cell>
          <cell r="M97">
            <v>23.7</v>
          </cell>
          <cell r="N97">
            <v>2.7</v>
          </cell>
          <cell r="O97">
            <v>0.31590000000000001</v>
          </cell>
          <cell r="P97">
            <v>0.23769999999999999</v>
          </cell>
          <cell r="Q97">
            <v>7.8200000000000006E-2</v>
          </cell>
          <cell r="R97" t="str">
            <v>NA</v>
          </cell>
          <cell r="S97" t="str">
            <v>NA</v>
          </cell>
          <cell r="T97">
            <v>61.4</v>
          </cell>
          <cell r="U97">
            <v>5</v>
          </cell>
          <cell r="V97">
            <v>75.099999999999994</v>
          </cell>
          <cell r="W97">
            <v>7.6</v>
          </cell>
          <cell r="X97" t="str">
            <v>NA</v>
          </cell>
          <cell r="Y97" t="str">
            <v>NA</v>
          </cell>
          <cell r="Z97" t="str">
            <v>NA</v>
          </cell>
          <cell r="AA97" t="str">
            <v>NA</v>
          </cell>
        </row>
        <row r="98">
          <cell r="A98">
            <v>45115</v>
          </cell>
          <cell r="B98" t="str">
            <v>A1</v>
          </cell>
          <cell r="C98">
            <v>3</v>
          </cell>
          <cell r="D98">
            <v>3</v>
          </cell>
          <cell r="E98" t="str">
            <v>ARIS.A1.Aim3.Bin3.LB</v>
          </cell>
          <cell r="F98">
            <v>3</v>
          </cell>
          <cell r="G98" t="str">
            <v>SplineDFA</v>
          </cell>
          <cell r="H98" t="str">
            <v>Y</v>
          </cell>
          <cell r="I98" t="str">
            <v>N</v>
          </cell>
          <cell r="J98">
            <v>65</v>
          </cell>
          <cell r="K98">
            <v>1</v>
          </cell>
          <cell r="L98">
            <v>0.1022</v>
          </cell>
          <cell r="M98">
            <v>23.7</v>
          </cell>
          <cell r="N98">
            <v>2.7</v>
          </cell>
          <cell r="O98">
            <v>0.89780000000000004</v>
          </cell>
          <cell r="P98">
            <v>0.67410000000000003</v>
          </cell>
          <cell r="Q98">
            <v>0.22370000000000001</v>
          </cell>
          <cell r="R98" t="str">
            <v>NA</v>
          </cell>
          <cell r="S98" t="str">
            <v>NA</v>
          </cell>
          <cell r="T98">
            <v>61.4</v>
          </cell>
          <cell r="U98">
            <v>5</v>
          </cell>
          <cell r="V98">
            <v>75.099999999999994</v>
          </cell>
          <cell r="W98">
            <v>7.6</v>
          </cell>
          <cell r="X98" t="str">
            <v>NA</v>
          </cell>
          <cell r="Y98" t="str">
            <v>NA</v>
          </cell>
          <cell r="Z98" t="str">
            <v>NA</v>
          </cell>
          <cell r="AA98" t="str">
            <v>NA</v>
          </cell>
        </row>
        <row r="99">
          <cell r="A99">
            <v>45115</v>
          </cell>
          <cell r="B99" t="str">
            <v>A1</v>
          </cell>
          <cell r="C99">
            <v>4</v>
          </cell>
          <cell r="D99">
            <v>3</v>
          </cell>
          <cell r="E99" t="str">
            <v>ARIS.A1.Aim3.Bin4.LB</v>
          </cell>
          <cell r="F99">
            <v>3</v>
          </cell>
          <cell r="G99" t="str">
            <v>SplineDFA</v>
          </cell>
          <cell r="H99" t="str">
            <v>Y</v>
          </cell>
          <cell r="I99" t="str">
            <v>N</v>
          </cell>
          <cell r="J99">
            <v>65</v>
          </cell>
          <cell r="K99">
            <v>1</v>
          </cell>
          <cell r="L99">
            <v>0.1022</v>
          </cell>
          <cell r="M99">
            <v>23.7</v>
          </cell>
          <cell r="N99">
            <v>2.7</v>
          </cell>
          <cell r="O99">
            <v>0.89780000000000004</v>
          </cell>
          <cell r="P99">
            <v>0.67410000000000003</v>
          </cell>
          <cell r="Q99">
            <v>0.22370000000000001</v>
          </cell>
          <cell r="R99" t="str">
            <v>NA</v>
          </cell>
          <cell r="S99" t="str">
            <v>NA</v>
          </cell>
          <cell r="T99">
            <v>61.4</v>
          </cell>
          <cell r="U99">
            <v>5</v>
          </cell>
          <cell r="V99">
            <v>75.099999999999994</v>
          </cell>
          <cell r="W99">
            <v>7.6</v>
          </cell>
          <cell r="X99" t="str">
            <v>NA</v>
          </cell>
          <cell r="Y99" t="str">
            <v>NA</v>
          </cell>
          <cell r="Z99" t="str">
            <v>NA</v>
          </cell>
          <cell r="AA99" t="str">
            <v>NA</v>
          </cell>
        </row>
        <row r="100">
          <cell r="A100">
            <v>45115</v>
          </cell>
          <cell r="B100" t="str">
            <v>A1</v>
          </cell>
          <cell r="C100">
            <v>1</v>
          </cell>
          <cell r="D100">
            <v>1</v>
          </cell>
          <cell r="E100" t="str">
            <v>ARIS.A1.Aim1.Bin1.LB</v>
          </cell>
          <cell r="F100">
            <v>3</v>
          </cell>
          <cell r="G100" t="str">
            <v>Unweighted</v>
          </cell>
          <cell r="H100" t="str">
            <v>N</v>
          </cell>
          <cell r="I100" t="str">
            <v>Y</v>
          </cell>
          <cell r="J100">
            <v>139</v>
          </cell>
          <cell r="K100">
            <v>1</v>
          </cell>
          <cell r="L100">
            <v>0.93820000000000003</v>
          </cell>
          <cell r="M100">
            <v>22.3</v>
          </cell>
          <cell r="N100">
            <v>5.8</v>
          </cell>
          <cell r="O100">
            <v>6.1800000000000001E-2</v>
          </cell>
          <cell r="P100">
            <v>6.1800000000000001E-2</v>
          </cell>
          <cell r="Q100">
            <v>0</v>
          </cell>
          <cell r="R100" t="str">
            <v>NA</v>
          </cell>
          <cell r="S100" t="str">
            <v>NA</v>
          </cell>
          <cell r="T100">
            <v>61.4</v>
          </cell>
          <cell r="U100">
            <v>5</v>
          </cell>
          <cell r="V100">
            <v>75.099999999999994</v>
          </cell>
          <cell r="W100">
            <v>7.6</v>
          </cell>
          <cell r="X100" t="str">
            <v>NA</v>
          </cell>
          <cell r="Y100" t="str">
            <v>NA</v>
          </cell>
          <cell r="Z100" t="str">
            <v>NA</v>
          </cell>
          <cell r="AA100" t="str">
            <v>NA</v>
          </cell>
        </row>
        <row r="101">
          <cell r="A101">
            <v>45115</v>
          </cell>
          <cell r="B101" t="str">
            <v>A1</v>
          </cell>
          <cell r="C101">
            <v>1</v>
          </cell>
          <cell r="D101">
            <v>2</v>
          </cell>
          <cell r="E101" t="str">
            <v>ARIS.A1.Aim2.Bin1.LB</v>
          </cell>
          <cell r="F101">
            <v>3</v>
          </cell>
          <cell r="G101" t="str">
            <v>Unweighted</v>
          </cell>
          <cell r="H101" t="str">
            <v>N</v>
          </cell>
          <cell r="I101" t="str">
            <v>Y</v>
          </cell>
          <cell r="J101">
            <v>150</v>
          </cell>
          <cell r="K101">
            <v>1</v>
          </cell>
          <cell r="L101">
            <v>0.99439999999999995</v>
          </cell>
          <cell r="M101">
            <v>15.4</v>
          </cell>
          <cell r="N101">
            <v>6.4</v>
          </cell>
          <cell r="O101">
            <v>5.5999999999999999E-3</v>
          </cell>
          <cell r="P101">
            <v>5.5999999999999999E-3</v>
          </cell>
          <cell r="Q101">
            <v>0</v>
          </cell>
          <cell r="R101" t="str">
            <v>NA</v>
          </cell>
          <cell r="S101" t="str">
            <v>NA</v>
          </cell>
          <cell r="T101">
            <v>61.4</v>
          </cell>
          <cell r="U101">
            <v>5</v>
          </cell>
          <cell r="V101">
            <v>75.099999999999994</v>
          </cell>
          <cell r="W101">
            <v>7.6</v>
          </cell>
          <cell r="X101" t="str">
            <v>NA</v>
          </cell>
          <cell r="Y101" t="str">
            <v>NA</v>
          </cell>
          <cell r="Z101" t="str">
            <v>NA</v>
          </cell>
          <cell r="AA101" t="str">
            <v>NA</v>
          </cell>
        </row>
        <row r="102">
          <cell r="A102">
            <v>45115</v>
          </cell>
          <cell r="B102" t="str">
            <v>A1</v>
          </cell>
          <cell r="C102">
            <v>1</v>
          </cell>
          <cell r="D102" t="str">
            <v>1&amp;2</v>
          </cell>
          <cell r="E102" t="str">
            <v>ARIS.A1.Aim1&amp;Aim2.Bin1.LB</v>
          </cell>
          <cell r="F102">
            <v>3</v>
          </cell>
          <cell r="G102" t="str">
            <v>Unweighted</v>
          </cell>
          <cell r="H102" t="str">
            <v>N</v>
          </cell>
          <cell r="I102" t="str">
            <v>Y</v>
          </cell>
          <cell r="J102">
            <v>289</v>
          </cell>
          <cell r="K102">
            <v>1</v>
          </cell>
          <cell r="L102">
            <v>0.96750000000000003</v>
          </cell>
          <cell r="M102">
            <v>18.600000000000001</v>
          </cell>
          <cell r="N102">
            <v>6.9</v>
          </cell>
          <cell r="O102">
            <v>3.2500000000000001E-2</v>
          </cell>
          <cell r="P102">
            <v>3.2500000000000001E-2</v>
          </cell>
          <cell r="Q102">
            <v>0</v>
          </cell>
          <cell r="R102" t="str">
            <v>NA</v>
          </cell>
          <cell r="S102" t="str">
            <v>NA</v>
          </cell>
          <cell r="T102">
            <v>61.4</v>
          </cell>
          <cell r="U102">
            <v>5</v>
          </cell>
          <cell r="V102">
            <v>75.099999999999994</v>
          </cell>
          <cell r="W102">
            <v>7.6</v>
          </cell>
          <cell r="X102" t="str">
            <v>NA</v>
          </cell>
          <cell r="Y102" t="str">
            <v>NA</v>
          </cell>
          <cell r="Z102" t="str">
            <v>NA</v>
          </cell>
          <cell r="AA102" t="str">
            <v>NA</v>
          </cell>
        </row>
        <row r="103">
          <cell r="A103">
            <v>45115</v>
          </cell>
          <cell r="B103" t="str">
            <v>A1</v>
          </cell>
          <cell r="C103">
            <v>2</v>
          </cell>
          <cell r="D103">
            <v>3</v>
          </cell>
          <cell r="E103" t="str">
            <v>ARIS.A1.Aim3.Bin2.LB</v>
          </cell>
          <cell r="F103">
            <v>3</v>
          </cell>
          <cell r="G103" t="str">
            <v>Unweighted</v>
          </cell>
          <cell r="H103" t="str">
            <v>N</v>
          </cell>
          <cell r="I103" t="str">
            <v>Y</v>
          </cell>
          <cell r="J103">
            <v>128</v>
          </cell>
          <cell r="K103">
            <v>1</v>
          </cell>
          <cell r="L103">
            <v>0.82389999999999997</v>
          </cell>
          <cell r="M103">
            <v>32.4</v>
          </cell>
          <cell r="N103">
            <v>7.5</v>
          </cell>
          <cell r="O103">
            <v>0.17610000000000001</v>
          </cell>
          <cell r="P103">
            <v>6.3600000000000004E-2</v>
          </cell>
          <cell r="Q103">
            <v>0.1125</v>
          </cell>
          <cell r="R103" t="str">
            <v>NA</v>
          </cell>
          <cell r="S103" t="str">
            <v>NA</v>
          </cell>
          <cell r="T103">
            <v>61.4</v>
          </cell>
          <cell r="U103">
            <v>5</v>
          </cell>
          <cell r="V103">
            <v>75.099999999999994</v>
          </cell>
          <cell r="W103">
            <v>7.6</v>
          </cell>
          <cell r="X103" t="str">
            <v>NA</v>
          </cell>
          <cell r="Y103" t="str">
            <v>NA</v>
          </cell>
          <cell r="Z103" t="str">
            <v>NA</v>
          </cell>
          <cell r="AA103" t="str">
            <v>NA</v>
          </cell>
        </row>
        <row r="104">
          <cell r="A104">
            <v>45115</v>
          </cell>
          <cell r="B104" t="str">
            <v>A1</v>
          </cell>
          <cell r="C104">
            <v>3</v>
          </cell>
          <cell r="D104">
            <v>3</v>
          </cell>
          <cell r="E104" t="str">
            <v>ARIS.A1.Aim3.Bin3.LB</v>
          </cell>
          <cell r="F104">
            <v>3</v>
          </cell>
          <cell r="G104" t="str">
            <v>Unweighted</v>
          </cell>
          <cell r="H104" t="str">
            <v>N</v>
          </cell>
          <cell r="I104" t="str">
            <v>Y</v>
          </cell>
          <cell r="J104">
            <v>65</v>
          </cell>
          <cell r="K104">
            <v>1</v>
          </cell>
          <cell r="L104">
            <v>0.53439999999999999</v>
          </cell>
          <cell r="M104">
            <v>42.6</v>
          </cell>
          <cell r="N104">
            <v>6.6</v>
          </cell>
          <cell r="O104">
            <v>0.46560000000000001</v>
          </cell>
          <cell r="P104">
            <v>0.154</v>
          </cell>
          <cell r="Q104">
            <v>0.31159999999999999</v>
          </cell>
          <cell r="R104" t="str">
            <v>NA</v>
          </cell>
          <cell r="S104" t="str">
            <v>NA</v>
          </cell>
          <cell r="T104">
            <v>61.4</v>
          </cell>
          <cell r="U104">
            <v>5</v>
          </cell>
          <cell r="V104">
            <v>75.099999999999994</v>
          </cell>
          <cell r="W104">
            <v>7.6</v>
          </cell>
          <cell r="X104" t="str">
            <v>NA</v>
          </cell>
          <cell r="Y104" t="str">
            <v>NA</v>
          </cell>
          <cell r="Z104" t="str">
            <v>NA</v>
          </cell>
          <cell r="AA104" t="str">
            <v>NA</v>
          </cell>
        </row>
        <row r="105">
          <cell r="A105">
            <v>45115</v>
          </cell>
          <cell r="B105" t="str">
            <v>A1</v>
          </cell>
          <cell r="C105">
            <v>4</v>
          </cell>
          <cell r="D105">
            <v>3</v>
          </cell>
          <cell r="E105" t="str">
            <v>ARIS.A1.Aim3.Bin4.LB</v>
          </cell>
          <cell r="F105">
            <v>3</v>
          </cell>
          <cell r="G105" t="str">
            <v>Unweighted</v>
          </cell>
          <cell r="H105" t="str">
            <v>N</v>
          </cell>
          <cell r="I105" t="str">
            <v>Y</v>
          </cell>
          <cell r="J105">
            <v>65</v>
          </cell>
          <cell r="K105">
            <v>1</v>
          </cell>
          <cell r="L105">
            <v>0.53439999999999999</v>
          </cell>
          <cell r="M105">
            <v>42.6</v>
          </cell>
          <cell r="N105">
            <v>6.6</v>
          </cell>
          <cell r="O105">
            <v>0.46560000000000001</v>
          </cell>
          <cell r="P105">
            <v>0.154</v>
          </cell>
          <cell r="Q105">
            <v>0.31159999999999999</v>
          </cell>
          <cell r="R105" t="str">
            <v>NA</v>
          </cell>
          <cell r="S105" t="str">
            <v>NA</v>
          </cell>
          <cell r="T105">
            <v>61.4</v>
          </cell>
          <cell r="U105">
            <v>5</v>
          </cell>
          <cell r="V105">
            <v>75.099999999999994</v>
          </cell>
          <cell r="W105">
            <v>7.6</v>
          </cell>
          <cell r="X105" t="str">
            <v>NA</v>
          </cell>
          <cell r="Y105" t="str">
            <v>NA</v>
          </cell>
          <cell r="Z105" t="str">
            <v>NA</v>
          </cell>
          <cell r="AA105" t="str">
            <v>NA</v>
          </cell>
        </row>
        <row r="106">
          <cell r="A106">
            <v>45115</v>
          </cell>
          <cell r="B106" t="str">
            <v>A2</v>
          </cell>
          <cell r="C106">
            <v>1</v>
          </cell>
          <cell r="D106">
            <v>1</v>
          </cell>
          <cell r="E106" t="str">
            <v>ARIS.A2.Aim1.Bin1.RB</v>
          </cell>
          <cell r="F106">
            <v>3</v>
          </cell>
          <cell r="G106" t="str">
            <v>SplineDFA</v>
          </cell>
          <cell r="H106" t="str">
            <v>Y</v>
          </cell>
          <cell r="I106" t="str">
            <v>N</v>
          </cell>
          <cell r="J106">
            <v>154</v>
          </cell>
          <cell r="K106">
            <v>1</v>
          </cell>
          <cell r="L106">
            <v>0.90939999999999999</v>
          </cell>
          <cell r="M106">
            <v>23.7</v>
          </cell>
          <cell r="N106">
            <v>2.7</v>
          </cell>
          <cell r="O106">
            <v>9.06E-2</v>
          </cell>
          <cell r="P106">
            <v>9.06E-2</v>
          </cell>
          <cell r="Q106">
            <v>0</v>
          </cell>
          <cell r="R106" t="str">
            <v>NA</v>
          </cell>
          <cell r="S106" t="str">
            <v>NA</v>
          </cell>
          <cell r="T106">
            <v>61.4</v>
          </cell>
          <cell r="U106">
            <v>5</v>
          </cell>
          <cell r="V106">
            <v>75.099999999999994</v>
          </cell>
          <cell r="W106">
            <v>7.6</v>
          </cell>
          <cell r="X106" t="str">
            <v>NA</v>
          </cell>
          <cell r="Y106" t="str">
            <v>NA</v>
          </cell>
          <cell r="Z106" t="str">
            <v>NA</v>
          </cell>
          <cell r="AA106" t="str">
            <v>NA</v>
          </cell>
        </row>
        <row r="107">
          <cell r="A107">
            <v>45115</v>
          </cell>
          <cell r="B107" t="str">
            <v>A2</v>
          </cell>
          <cell r="C107">
            <v>2</v>
          </cell>
          <cell r="D107">
            <v>3</v>
          </cell>
          <cell r="E107" t="str">
            <v>ARIS.A2.Aim1.Bin2.RB</v>
          </cell>
          <cell r="F107">
            <v>3</v>
          </cell>
          <cell r="G107" t="str">
            <v>SplineDFA</v>
          </cell>
          <cell r="H107" t="str">
            <v>Y</v>
          </cell>
          <cell r="I107" t="str">
            <v>N</v>
          </cell>
          <cell r="J107">
            <v>147</v>
          </cell>
          <cell r="K107">
            <v>1.0001</v>
          </cell>
          <cell r="L107">
            <v>0.70499999999999996</v>
          </cell>
          <cell r="M107">
            <v>23.7</v>
          </cell>
          <cell r="N107">
            <v>2.7</v>
          </cell>
          <cell r="O107">
            <v>0.29509999999999997</v>
          </cell>
          <cell r="P107">
            <v>0.25590000000000002</v>
          </cell>
          <cell r="Q107">
            <v>3.9199999999999999E-2</v>
          </cell>
          <cell r="R107" t="str">
            <v>NA</v>
          </cell>
          <cell r="S107" t="str">
            <v>NA</v>
          </cell>
          <cell r="T107">
            <v>61.4</v>
          </cell>
          <cell r="U107">
            <v>5</v>
          </cell>
          <cell r="V107">
            <v>75.099999999999994</v>
          </cell>
          <cell r="W107">
            <v>7.6</v>
          </cell>
          <cell r="X107" t="str">
            <v>NA</v>
          </cell>
          <cell r="Y107" t="str">
            <v>NA</v>
          </cell>
          <cell r="Z107" t="str">
            <v>NA</v>
          </cell>
          <cell r="AA107" t="str">
            <v>NA</v>
          </cell>
        </row>
        <row r="108">
          <cell r="A108">
            <v>45115</v>
          </cell>
          <cell r="B108" t="str">
            <v>A2</v>
          </cell>
          <cell r="C108">
            <v>3</v>
          </cell>
          <cell r="D108">
            <v>3</v>
          </cell>
          <cell r="E108" t="str">
            <v>ARIS.A2.Aim1.Bin3.RB</v>
          </cell>
          <cell r="F108">
            <v>3</v>
          </cell>
          <cell r="G108" t="str">
            <v>SplineDFA</v>
          </cell>
          <cell r="H108" t="str">
            <v>Y</v>
          </cell>
          <cell r="I108" t="str">
            <v>N</v>
          </cell>
          <cell r="J108">
            <v>89</v>
          </cell>
          <cell r="K108">
            <v>1</v>
          </cell>
          <cell r="L108">
            <v>0.25900000000000001</v>
          </cell>
          <cell r="M108">
            <v>23.7</v>
          </cell>
          <cell r="N108">
            <v>2.7</v>
          </cell>
          <cell r="O108">
            <v>0.74099999999999999</v>
          </cell>
          <cell r="P108">
            <v>0.61609999999999998</v>
          </cell>
          <cell r="Q108">
            <v>0.1249</v>
          </cell>
          <cell r="R108" t="str">
            <v>NA</v>
          </cell>
          <cell r="S108" t="str">
            <v>NA</v>
          </cell>
          <cell r="T108">
            <v>61.4</v>
          </cell>
          <cell r="U108">
            <v>5</v>
          </cell>
          <cell r="V108">
            <v>75.099999999999994</v>
          </cell>
          <cell r="W108">
            <v>7.6</v>
          </cell>
          <cell r="X108" t="str">
            <v>NA</v>
          </cell>
          <cell r="Y108" t="str">
            <v>NA</v>
          </cell>
          <cell r="Z108" t="str">
            <v>NA</v>
          </cell>
          <cell r="AA108" t="str">
            <v>NA</v>
          </cell>
        </row>
        <row r="109">
          <cell r="A109">
            <v>45115</v>
          </cell>
          <cell r="B109" t="str">
            <v>A2</v>
          </cell>
          <cell r="C109">
            <v>4</v>
          </cell>
          <cell r="D109">
            <v>3</v>
          </cell>
          <cell r="E109" t="str">
            <v>ARIS.A2.Aim1.Bin4.RB</v>
          </cell>
          <cell r="F109">
            <v>3</v>
          </cell>
          <cell r="G109" t="str">
            <v>SplineDFA</v>
          </cell>
          <cell r="H109" t="str">
            <v>Y</v>
          </cell>
          <cell r="I109" t="str">
            <v>N</v>
          </cell>
          <cell r="J109">
            <v>89</v>
          </cell>
          <cell r="K109">
            <v>1</v>
          </cell>
          <cell r="L109">
            <v>0.25900000000000001</v>
          </cell>
          <cell r="M109">
            <v>23.7</v>
          </cell>
          <cell r="N109">
            <v>2.7</v>
          </cell>
          <cell r="O109">
            <v>0.74099999999999999</v>
          </cell>
          <cell r="P109">
            <v>0.61609999999999998</v>
          </cell>
          <cell r="Q109">
            <v>0.1249</v>
          </cell>
          <cell r="R109" t="str">
            <v>NA</v>
          </cell>
          <cell r="S109" t="str">
            <v>NA</v>
          </cell>
          <cell r="T109">
            <v>61.4</v>
          </cell>
          <cell r="U109">
            <v>5</v>
          </cell>
          <cell r="V109">
            <v>75.099999999999994</v>
          </cell>
          <cell r="W109">
            <v>7.6</v>
          </cell>
          <cell r="X109" t="str">
            <v>NA</v>
          </cell>
          <cell r="Y109" t="str">
            <v>NA</v>
          </cell>
          <cell r="Z109" t="str">
            <v>NA</v>
          </cell>
          <cell r="AA109" t="str">
            <v>NA</v>
          </cell>
        </row>
        <row r="110">
          <cell r="A110">
            <v>45115</v>
          </cell>
          <cell r="B110" t="str">
            <v>A2</v>
          </cell>
          <cell r="C110">
            <v>1</v>
          </cell>
          <cell r="D110">
            <v>1</v>
          </cell>
          <cell r="E110" t="str">
            <v>ARIS.A2.Aim1.Bin1.RB</v>
          </cell>
          <cell r="F110">
            <v>3</v>
          </cell>
          <cell r="G110" t="str">
            <v>Unweighted</v>
          </cell>
          <cell r="H110" t="str">
            <v>N</v>
          </cell>
          <cell r="I110" t="str">
            <v>Y</v>
          </cell>
          <cell r="J110">
            <v>154</v>
          </cell>
          <cell r="K110">
            <v>1</v>
          </cell>
          <cell r="L110">
            <v>0.93610000000000004</v>
          </cell>
          <cell r="M110">
            <v>19.8</v>
          </cell>
          <cell r="N110">
            <v>6.3</v>
          </cell>
          <cell r="O110">
            <v>6.3899999999999998E-2</v>
          </cell>
          <cell r="P110">
            <v>6.3899999999999998E-2</v>
          </cell>
          <cell r="Q110">
            <v>0</v>
          </cell>
          <cell r="R110" t="str">
            <v>NA</v>
          </cell>
          <cell r="S110" t="str">
            <v>NA</v>
          </cell>
          <cell r="T110">
            <v>61.4</v>
          </cell>
          <cell r="U110">
            <v>5</v>
          </cell>
          <cell r="V110">
            <v>75.099999999999994</v>
          </cell>
          <cell r="W110">
            <v>7.6</v>
          </cell>
          <cell r="X110" t="str">
            <v>NA</v>
          </cell>
          <cell r="Y110" t="str">
            <v>NA</v>
          </cell>
          <cell r="Z110" t="str">
            <v>NA</v>
          </cell>
          <cell r="AA110" t="str">
            <v>NA</v>
          </cell>
        </row>
        <row r="111">
          <cell r="A111">
            <v>45115</v>
          </cell>
          <cell r="B111" t="str">
            <v>A2</v>
          </cell>
          <cell r="C111">
            <v>2</v>
          </cell>
          <cell r="D111">
            <v>3</v>
          </cell>
          <cell r="E111" t="str">
            <v>ARIS.A2.Aim1.Bin2.RB</v>
          </cell>
          <cell r="F111">
            <v>3</v>
          </cell>
          <cell r="G111" t="str">
            <v>Unweighted</v>
          </cell>
          <cell r="H111" t="str">
            <v>N</v>
          </cell>
          <cell r="I111" t="str">
            <v>Y</v>
          </cell>
          <cell r="J111">
            <v>147</v>
          </cell>
          <cell r="K111">
            <v>1</v>
          </cell>
          <cell r="L111">
            <v>0.93679999999999997</v>
          </cell>
          <cell r="M111">
            <v>29.9</v>
          </cell>
          <cell r="N111">
            <v>9.4</v>
          </cell>
          <cell r="O111">
            <v>6.3200000000000006E-2</v>
          </cell>
          <cell r="P111">
            <v>2.9899999999999999E-2</v>
          </cell>
          <cell r="Q111">
            <v>3.3300000000000003E-2</v>
          </cell>
          <cell r="R111" t="str">
            <v>NA</v>
          </cell>
          <cell r="S111" t="str">
            <v>NA</v>
          </cell>
          <cell r="T111">
            <v>61.4</v>
          </cell>
          <cell r="U111">
            <v>5</v>
          </cell>
          <cell r="V111">
            <v>75.099999999999994</v>
          </cell>
          <cell r="W111">
            <v>7.6</v>
          </cell>
          <cell r="X111" t="str">
            <v>NA</v>
          </cell>
          <cell r="Y111" t="str">
            <v>NA</v>
          </cell>
          <cell r="Z111" t="str">
            <v>NA</v>
          </cell>
          <cell r="AA111" t="str">
            <v>NA</v>
          </cell>
        </row>
        <row r="112">
          <cell r="A112">
            <v>45115</v>
          </cell>
          <cell r="B112" t="str">
            <v>A2</v>
          </cell>
          <cell r="C112">
            <v>3</v>
          </cell>
          <cell r="D112">
            <v>3</v>
          </cell>
          <cell r="E112" t="str">
            <v>ARIS.A2.Aim1.Bin3.RB</v>
          </cell>
          <cell r="F112">
            <v>3</v>
          </cell>
          <cell r="G112" t="str">
            <v>Unweighted</v>
          </cell>
          <cell r="H112" t="str">
            <v>N</v>
          </cell>
          <cell r="I112" t="str">
            <v>Y</v>
          </cell>
          <cell r="J112">
            <v>89</v>
          </cell>
          <cell r="K112">
            <v>0.99990000000000001</v>
          </cell>
          <cell r="L112">
            <v>0.76419999999999999</v>
          </cell>
          <cell r="M112">
            <v>38.6</v>
          </cell>
          <cell r="N112">
            <v>8.5</v>
          </cell>
          <cell r="O112">
            <v>0.23569999999999999</v>
          </cell>
          <cell r="P112">
            <v>0.1663</v>
          </cell>
          <cell r="Q112">
            <v>6.9400000000000003E-2</v>
          </cell>
          <cell r="R112" t="str">
            <v>NA</v>
          </cell>
          <cell r="S112" t="str">
            <v>NA</v>
          </cell>
          <cell r="T112">
            <v>61.4</v>
          </cell>
          <cell r="U112">
            <v>5</v>
          </cell>
          <cell r="V112">
            <v>75.099999999999994</v>
          </cell>
          <cell r="W112">
            <v>7.6</v>
          </cell>
          <cell r="X112" t="str">
            <v>NA</v>
          </cell>
          <cell r="Y112" t="str">
            <v>NA</v>
          </cell>
          <cell r="Z112" t="str">
            <v>NA</v>
          </cell>
          <cell r="AA112" t="str">
            <v>NA</v>
          </cell>
        </row>
        <row r="113">
          <cell r="A113">
            <v>45115</v>
          </cell>
          <cell r="B113" t="str">
            <v>A2</v>
          </cell>
          <cell r="C113">
            <v>4</v>
          </cell>
          <cell r="D113">
            <v>3</v>
          </cell>
          <cell r="E113" t="str">
            <v>ARIS.A2.Aim1.Bin4.RB</v>
          </cell>
          <cell r="F113">
            <v>3</v>
          </cell>
          <cell r="G113" t="str">
            <v>Unweighted</v>
          </cell>
          <cell r="H113" t="str">
            <v>N</v>
          </cell>
          <cell r="I113" t="str">
            <v>Y</v>
          </cell>
          <cell r="J113">
            <v>89</v>
          </cell>
          <cell r="K113">
            <v>0.99990000000000001</v>
          </cell>
          <cell r="L113">
            <v>0.76419999999999999</v>
          </cell>
          <cell r="M113">
            <v>38.6</v>
          </cell>
          <cell r="N113">
            <v>8.5</v>
          </cell>
          <cell r="O113">
            <v>0.23569999999999999</v>
          </cell>
          <cell r="P113">
            <v>0.1663</v>
          </cell>
          <cell r="Q113">
            <v>6.9400000000000003E-2</v>
          </cell>
          <cell r="R113" t="str">
            <v>NA</v>
          </cell>
          <cell r="S113" t="str">
            <v>NA</v>
          </cell>
          <cell r="T113">
            <v>61.4</v>
          </cell>
          <cell r="U113">
            <v>5</v>
          </cell>
          <cell r="V113">
            <v>75.099999999999994</v>
          </cell>
          <cell r="W113">
            <v>7.6</v>
          </cell>
          <cell r="X113" t="str">
            <v>NA</v>
          </cell>
          <cell r="Y113" t="str">
            <v>NA</v>
          </cell>
          <cell r="Z113" t="str">
            <v>NA</v>
          </cell>
          <cell r="AA113" t="str">
            <v>NA</v>
          </cell>
        </row>
        <row r="114">
          <cell r="A114">
            <v>45116</v>
          </cell>
          <cell r="B114" t="str">
            <v>A1</v>
          </cell>
          <cell r="C114">
            <v>1</v>
          </cell>
          <cell r="D114">
            <v>1</v>
          </cell>
          <cell r="E114" t="str">
            <v>ARIS.A1.Aim1.Bin1.LB</v>
          </cell>
          <cell r="F114">
            <v>3</v>
          </cell>
          <cell r="G114" t="str">
            <v>SplineDFA</v>
          </cell>
          <cell r="H114" t="str">
            <v>Y</v>
          </cell>
          <cell r="I114" t="str">
            <v>N</v>
          </cell>
          <cell r="J114">
            <v>124</v>
          </cell>
          <cell r="K114">
            <v>1</v>
          </cell>
          <cell r="L114">
            <v>0.99509999999999998</v>
          </cell>
          <cell r="M114">
            <v>23.7</v>
          </cell>
          <cell r="N114">
            <v>2.7</v>
          </cell>
          <cell r="O114">
            <v>4.8999999999999998E-3</v>
          </cell>
          <cell r="P114">
            <v>4.8999999999999998E-3</v>
          </cell>
          <cell r="Q114">
            <v>0</v>
          </cell>
          <cell r="R114" t="str">
            <v>NA</v>
          </cell>
          <cell r="S114" t="str">
            <v>NA</v>
          </cell>
          <cell r="T114">
            <v>61.4</v>
          </cell>
          <cell r="U114">
            <v>5</v>
          </cell>
          <cell r="V114">
            <v>75.099999999999994</v>
          </cell>
          <cell r="W114">
            <v>7.6</v>
          </cell>
          <cell r="X114" t="str">
            <v>NA</v>
          </cell>
          <cell r="Y114" t="str">
            <v>NA</v>
          </cell>
          <cell r="Z114" t="str">
            <v>NA</v>
          </cell>
          <cell r="AA114" t="str">
            <v>NA</v>
          </cell>
        </row>
        <row r="115">
          <cell r="A115">
            <v>45116</v>
          </cell>
          <cell r="B115" t="str">
            <v>A1</v>
          </cell>
          <cell r="C115">
            <v>1</v>
          </cell>
          <cell r="D115">
            <v>2</v>
          </cell>
          <cell r="E115" t="str">
            <v>ARIS.A1.Aim2.Bin1.LB</v>
          </cell>
          <cell r="F115">
            <v>3</v>
          </cell>
          <cell r="G115" t="str">
            <v>SplineDFA</v>
          </cell>
          <cell r="H115" t="str">
            <v>Y</v>
          </cell>
          <cell r="I115" t="str">
            <v>N</v>
          </cell>
          <cell r="J115">
            <v>145</v>
          </cell>
          <cell r="K115">
            <v>1</v>
          </cell>
          <cell r="L115">
            <v>0.9456</v>
          </cell>
          <cell r="M115">
            <v>23.7</v>
          </cell>
          <cell r="N115">
            <v>2.7</v>
          </cell>
          <cell r="O115">
            <v>5.4399999999999997E-2</v>
          </cell>
          <cell r="P115">
            <v>4.0399999999999998E-2</v>
          </cell>
          <cell r="Q115">
            <v>1.4E-2</v>
          </cell>
          <cell r="R115" t="str">
            <v>NA</v>
          </cell>
          <cell r="S115" t="str">
            <v>NA</v>
          </cell>
          <cell r="T115">
            <v>61.4</v>
          </cell>
          <cell r="U115">
            <v>5</v>
          </cell>
          <cell r="V115">
            <v>75.099999999999994</v>
          </cell>
          <cell r="W115">
            <v>7.6</v>
          </cell>
          <cell r="X115" t="str">
            <v>NA</v>
          </cell>
          <cell r="Y115" t="str">
            <v>NA</v>
          </cell>
          <cell r="Z115" t="str">
            <v>NA</v>
          </cell>
          <cell r="AA115" t="str">
            <v>NA</v>
          </cell>
        </row>
        <row r="116">
          <cell r="A116">
            <v>45116</v>
          </cell>
          <cell r="B116" t="str">
            <v>A1</v>
          </cell>
          <cell r="C116">
            <v>2</v>
          </cell>
          <cell r="D116">
            <v>3</v>
          </cell>
          <cell r="E116" t="str">
            <v>ARIS.A1.Aim3.Bin2.LB</v>
          </cell>
          <cell r="F116">
            <v>3</v>
          </cell>
          <cell r="G116" t="str">
            <v>SplineDFA</v>
          </cell>
          <cell r="H116" t="str">
            <v>Y</v>
          </cell>
          <cell r="I116" t="str">
            <v>N</v>
          </cell>
          <cell r="J116">
            <v>153</v>
          </cell>
          <cell r="K116">
            <v>1</v>
          </cell>
          <cell r="L116">
            <v>0.65849999999999997</v>
          </cell>
          <cell r="M116">
            <v>23.7</v>
          </cell>
          <cell r="N116">
            <v>2.7</v>
          </cell>
          <cell r="O116">
            <v>0.34150000000000003</v>
          </cell>
          <cell r="P116">
            <v>0.25280000000000002</v>
          </cell>
          <cell r="Q116">
            <v>8.8700000000000001E-2</v>
          </cell>
          <cell r="R116" t="str">
            <v>NA</v>
          </cell>
          <cell r="S116" t="str">
            <v>NA</v>
          </cell>
          <cell r="T116">
            <v>61.4</v>
          </cell>
          <cell r="U116">
            <v>5</v>
          </cell>
          <cell r="V116">
            <v>75.099999999999994</v>
          </cell>
          <cell r="W116">
            <v>7.6</v>
          </cell>
          <cell r="X116" t="str">
            <v>NA</v>
          </cell>
          <cell r="Y116" t="str">
            <v>NA</v>
          </cell>
          <cell r="Z116" t="str">
            <v>NA</v>
          </cell>
          <cell r="AA116" t="str">
            <v>NA</v>
          </cell>
        </row>
        <row r="117">
          <cell r="A117">
            <v>45116</v>
          </cell>
          <cell r="B117" t="str">
            <v>A1</v>
          </cell>
          <cell r="C117">
            <v>3</v>
          </cell>
          <cell r="D117">
            <v>3</v>
          </cell>
          <cell r="E117" t="str">
            <v>ARIS.A1.Aim3.Bin3.LB</v>
          </cell>
          <cell r="F117">
            <v>3</v>
          </cell>
          <cell r="G117" t="str">
            <v>SplineDFA</v>
          </cell>
          <cell r="H117" t="str">
            <v>Y</v>
          </cell>
          <cell r="I117" t="str">
            <v>N</v>
          </cell>
          <cell r="J117">
            <v>122</v>
          </cell>
          <cell r="K117">
            <v>1</v>
          </cell>
          <cell r="L117">
            <v>0.25559999999999999</v>
          </cell>
          <cell r="M117">
            <v>23.7</v>
          </cell>
          <cell r="N117">
            <v>2.7</v>
          </cell>
          <cell r="O117">
            <v>0.74439999999999995</v>
          </cell>
          <cell r="P117">
            <v>0.40050000000000002</v>
          </cell>
          <cell r="Q117">
            <v>0.34389999999999998</v>
          </cell>
          <cell r="R117" t="str">
            <v>NA</v>
          </cell>
          <cell r="S117" t="str">
            <v>NA</v>
          </cell>
          <cell r="T117">
            <v>61.4</v>
          </cell>
          <cell r="U117">
            <v>5</v>
          </cell>
          <cell r="V117">
            <v>75.099999999999994</v>
          </cell>
          <cell r="W117">
            <v>7.6</v>
          </cell>
          <cell r="X117" t="str">
            <v>NA</v>
          </cell>
          <cell r="Y117" t="str">
            <v>NA</v>
          </cell>
          <cell r="Z117" t="str">
            <v>NA</v>
          </cell>
          <cell r="AA117" t="str">
            <v>NA</v>
          </cell>
        </row>
        <row r="118">
          <cell r="A118">
            <v>45116</v>
          </cell>
          <cell r="B118" t="str">
            <v>A1</v>
          </cell>
          <cell r="C118">
            <v>4</v>
          </cell>
          <cell r="D118">
            <v>3</v>
          </cell>
          <cell r="E118" t="str">
            <v>ARIS.A1.Aim3.Bin4.LB</v>
          </cell>
          <cell r="F118">
            <v>3</v>
          </cell>
          <cell r="G118" t="str">
            <v>SplineDFA</v>
          </cell>
          <cell r="H118" t="str">
            <v>Y</v>
          </cell>
          <cell r="I118" t="str">
            <v>N</v>
          </cell>
          <cell r="J118">
            <v>122</v>
          </cell>
          <cell r="K118">
            <v>1</v>
          </cell>
          <cell r="L118">
            <v>0.25559999999999999</v>
          </cell>
          <cell r="M118">
            <v>23.7</v>
          </cell>
          <cell r="N118">
            <v>2.7</v>
          </cell>
          <cell r="O118">
            <v>0.74439999999999995</v>
          </cell>
          <cell r="P118">
            <v>0.40050000000000002</v>
          </cell>
          <cell r="Q118">
            <v>0.34389999999999998</v>
          </cell>
          <cell r="R118" t="str">
            <v>NA</v>
          </cell>
          <cell r="S118" t="str">
            <v>NA</v>
          </cell>
          <cell r="T118">
            <v>61.4</v>
          </cell>
          <cell r="U118">
            <v>5</v>
          </cell>
          <cell r="V118">
            <v>75.099999999999994</v>
          </cell>
          <cell r="W118">
            <v>7.6</v>
          </cell>
          <cell r="X118" t="str">
            <v>NA</v>
          </cell>
          <cell r="Y118" t="str">
            <v>NA</v>
          </cell>
          <cell r="Z118" t="str">
            <v>NA</v>
          </cell>
          <cell r="AA118" t="str">
            <v>NA</v>
          </cell>
        </row>
        <row r="119">
          <cell r="A119">
            <v>45116</v>
          </cell>
          <cell r="B119" t="str">
            <v>A1</v>
          </cell>
          <cell r="C119">
            <v>1</v>
          </cell>
          <cell r="D119">
            <v>1</v>
          </cell>
          <cell r="E119" t="str">
            <v>ARIS.A1.Aim1.Bin1.LB</v>
          </cell>
          <cell r="F119">
            <v>3</v>
          </cell>
          <cell r="G119" t="str">
            <v>Unweighted</v>
          </cell>
          <cell r="H119" t="str">
            <v>N</v>
          </cell>
          <cell r="I119" t="str">
            <v>Y</v>
          </cell>
          <cell r="J119">
            <v>124</v>
          </cell>
          <cell r="K119">
            <v>1</v>
          </cell>
          <cell r="L119">
            <v>0.99219999999999997</v>
          </cell>
          <cell r="M119">
            <v>20.3</v>
          </cell>
          <cell r="N119">
            <v>6.7</v>
          </cell>
          <cell r="O119">
            <v>7.7999999999999996E-3</v>
          </cell>
          <cell r="P119">
            <v>7.7999999999999996E-3</v>
          </cell>
          <cell r="Q119">
            <v>0</v>
          </cell>
          <cell r="R119" t="str">
            <v>NA</v>
          </cell>
          <cell r="S119" t="str">
            <v>NA</v>
          </cell>
          <cell r="T119">
            <v>61.4</v>
          </cell>
          <cell r="U119">
            <v>5</v>
          </cell>
          <cell r="V119">
            <v>75.099999999999994</v>
          </cell>
          <cell r="W119">
            <v>7.6</v>
          </cell>
          <cell r="X119" t="str">
            <v>NA</v>
          </cell>
          <cell r="Y119" t="str">
            <v>NA</v>
          </cell>
          <cell r="Z119" t="str">
            <v>NA</v>
          </cell>
          <cell r="AA119" t="str">
            <v>NA</v>
          </cell>
        </row>
        <row r="120">
          <cell r="A120">
            <v>45116</v>
          </cell>
          <cell r="B120" t="str">
            <v>A1</v>
          </cell>
          <cell r="C120">
            <v>1</v>
          </cell>
          <cell r="D120">
            <v>2</v>
          </cell>
          <cell r="E120" t="str">
            <v>ARIS.A1.Aim2.Bin1.LB</v>
          </cell>
          <cell r="F120">
            <v>3</v>
          </cell>
          <cell r="G120" t="str">
            <v>Unweighted</v>
          </cell>
          <cell r="H120" t="str">
            <v>N</v>
          </cell>
          <cell r="I120" t="str">
            <v>Y</v>
          </cell>
          <cell r="J120">
            <v>145</v>
          </cell>
          <cell r="K120">
            <v>1</v>
          </cell>
          <cell r="L120">
            <v>0.98150000000000004</v>
          </cell>
          <cell r="M120">
            <v>17.3</v>
          </cell>
          <cell r="N120">
            <v>6.8</v>
          </cell>
          <cell r="O120">
            <v>1.8499999999999999E-2</v>
          </cell>
          <cell r="P120">
            <v>1.8499999999999999E-2</v>
          </cell>
          <cell r="Q120">
            <v>0</v>
          </cell>
          <cell r="R120" t="str">
            <v>NA</v>
          </cell>
          <cell r="S120" t="str">
            <v>NA</v>
          </cell>
          <cell r="T120">
            <v>61.4</v>
          </cell>
          <cell r="U120">
            <v>5</v>
          </cell>
          <cell r="V120">
            <v>75.099999999999994</v>
          </cell>
          <cell r="W120">
            <v>7.6</v>
          </cell>
          <cell r="X120" t="str">
            <v>NA</v>
          </cell>
          <cell r="Y120" t="str">
            <v>NA</v>
          </cell>
          <cell r="Z120" t="str">
            <v>NA</v>
          </cell>
          <cell r="AA120" t="str">
            <v>NA</v>
          </cell>
        </row>
        <row r="121">
          <cell r="A121">
            <v>45116</v>
          </cell>
          <cell r="B121" t="str">
            <v>A1</v>
          </cell>
          <cell r="C121">
            <v>1</v>
          </cell>
          <cell r="D121" t="str">
            <v>1&amp;2</v>
          </cell>
          <cell r="E121" t="str">
            <v>ARIS.A1.Aim1&amp;Aim2.Bin1.LB</v>
          </cell>
          <cell r="F121">
            <v>3</v>
          </cell>
          <cell r="G121" t="str">
            <v>Unweighted</v>
          </cell>
          <cell r="H121" t="str">
            <v>N</v>
          </cell>
          <cell r="I121" t="str">
            <v>Y</v>
          </cell>
          <cell r="J121">
            <v>269</v>
          </cell>
          <cell r="K121">
            <v>1</v>
          </cell>
          <cell r="L121">
            <v>0.98499999999999999</v>
          </cell>
          <cell r="M121">
            <v>18.7</v>
          </cell>
          <cell r="N121">
            <v>6.9</v>
          </cell>
          <cell r="O121">
            <v>1.4999999999999999E-2</v>
          </cell>
          <cell r="P121">
            <v>1.4999999999999999E-2</v>
          </cell>
          <cell r="Q121">
            <v>0</v>
          </cell>
          <cell r="R121" t="str">
            <v>NA</v>
          </cell>
          <cell r="S121" t="str">
            <v>NA</v>
          </cell>
          <cell r="T121">
            <v>61.4</v>
          </cell>
          <cell r="U121">
            <v>5</v>
          </cell>
          <cell r="V121">
            <v>75.099999999999994</v>
          </cell>
          <cell r="W121">
            <v>7.6</v>
          </cell>
          <cell r="X121" t="str">
            <v>NA</v>
          </cell>
          <cell r="Y121" t="str">
            <v>NA</v>
          </cell>
          <cell r="Z121" t="str">
            <v>NA</v>
          </cell>
          <cell r="AA121" t="str">
            <v>NA</v>
          </cell>
        </row>
        <row r="122">
          <cell r="A122">
            <v>45116</v>
          </cell>
          <cell r="B122" t="str">
            <v>A1</v>
          </cell>
          <cell r="C122">
            <v>2</v>
          </cell>
          <cell r="D122">
            <v>3</v>
          </cell>
          <cell r="E122" t="str">
            <v>ARIS.A1.Aim3.Bin2.LB</v>
          </cell>
          <cell r="F122">
            <v>3</v>
          </cell>
          <cell r="G122" t="str">
            <v>Unweighted</v>
          </cell>
          <cell r="H122" t="str">
            <v>N</v>
          </cell>
          <cell r="I122" t="str">
            <v>Y</v>
          </cell>
          <cell r="J122">
            <v>153</v>
          </cell>
          <cell r="K122">
            <v>1</v>
          </cell>
          <cell r="L122">
            <v>0.78720000000000001</v>
          </cell>
          <cell r="M122">
            <v>31.3</v>
          </cell>
          <cell r="N122">
            <v>8.1</v>
          </cell>
          <cell r="O122">
            <v>0.21279999999999999</v>
          </cell>
          <cell r="P122">
            <v>0.1053</v>
          </cell>
          <cell r="Q122">
            <v>0.1075</v>
          </cell>
          <cell r="R122" t="str">
            <v>NA</v>
          </cell>
          <cell r="S122" t="str">
            <v>NA</v>
          </cell>
          <cell r="T122">
            <v>61.4</v>
          </cell>
          <cell r="U122">
            <v>5</v>
          </cell>
          <cell r="V122">
            <v>75.099999999999994</v>
          </cell>
          <cell r="W122">
            <v>7.6</v>
          </cell>
          <cell r="X122" t="str">
            <v>NA</v>
          </cell>
          <cell r="Y122" t="str">
            <v>NA</v>
          </cell>
          <cell r="Z122" t="str">
            <v>NA</v>
          </cell>
          <cell r="AA122" t="str">
            <v>NA</v>
          </cell>
        </row>
        <row r="123">
          <cell r="A123">
            <v>45116</v>
          </cell>
          <cell r="B123" t="str">
            <v>A1</v>
          </cell>
          <cell r="C123">
            <v>3</v>
          </cell>
          <cell r="D123">
            <v>3</v>
          </cell>
          <cell r="E123" t="str">
            <v>ARIS.A1.Aim3.Bin3.LB</v>
          </cell>
          <cell r="F123">
            <v>3</v>
          </cell>
          <cell r="G123" t="str">
            <v>Unweighted</v>
          </cell>
          <cell r="H123" t="str">
            <v>N</v>
          </cell>
          <cell r="I123" t="str">
            <v>Y</v>
          </cell>
          <cell r="J123">
            <v>122</v>
          </cell>
          <cell r="K123">
            <v>1</v>
          </cell>
          <cell r="L123">
            <v>0.64049999999999996</v>
          </cell>
          <cell r="M123">
            <v>41.7</v>
          </cell>
          <cell r="N123">
            <v>8.6</v>
          </cell>
          <cell r="O123">
            <v>0.35949999999999999</v>
          </cell>
          <cell r="P123">
            <v>0</v>
          </cell>
          <cell r="Q123">
            <v>0.35949999999999999</v>
          </cell>
          <cell r="R123" t="str">
            <v>NA</v>
          </cell>
          <cell r="S123" t="str">
            <v>NA</v>
          </cell>
          <cell r="T123">
            <v>61.4</v>
          </cell>
          <cell r="U123">
            <v>5</v>
          </cell>
          <cell r="V123">
            <v>75.099999999999994</v>
          </cell>
          <cell r="W123">
            <v>7.6</v>
          </cell>
          <cell r="X123" t="str">
            <v>NA</v>
          </cell>
          <cell r="Y123" t="str">
            <v>NA</v>
          </cell>
          <cell r="Z123" t="str">
            <v>NA</v>
          </cell>
          <cell r="AA123" t="str">
            <v>NA</v>
          </cell>
        </row>
        <row r="124">
          <cell r="A124">
            <v>45116</v>
          </cell>
          <cell r="B124" t="str">
            <v>A1</v>
          </cell>
          <cell r="C124">
            <v>4</v>
          </cell>
          <cell r="D124">
            <v>3</v>
          </cell>
          <cell r="E124" t="str">
            <v>ARIS.A1.Aim3.Bin4.LB</v>
          </cell>
          <cell r="F124">
            <v>3</v>
          </cell>
          <cell r="G124" t="str">
            <v>Unweighted</v>
          </cell>
          <cell r="H124" t="str">
            <v>N</v>
          </cell>
          <cell r="I124" t="str">
            <v>Y</v>
          </cell>
          <cell r="J124">
            <v>122</v>
          </cell>
          <cell r="K124">
            <v>1</v>
          </cell>
          <cell r="L124">
            <v>0.64049999999999996</v>
          </cell>
          <cell r="M124">
            <v>41.7</v>
          </cell>
          <cell r="N124">
            <v>8.6</v>
          </cell>
          <cell r="O124">
            <v>0.35949999999999999</v>
          </cell>
          <cell r="P124">
            <v>0</v>
          </cell>
          <cell r="Q124">
            <v>0.35949999999999999</v>
          </cell>
          <cell r="R124" t="str">
            <v>NA</v>
          </cell>
          <cell r="S124" t="str">
            <v>NA</v>
          </cell>
          <cell r="T124">
            <v>61.4</v>
          </cell>
          <cell r="U124">
            <v>5</v>
          </cell>
          <cell r="V124">
            <v>75.099999999999994</v>
          </cell>
          <cell r="W124">
            <v>7.6</v>
          </cell>
          <cell r="X124" t="str">
            <v>NA</v>
          </cell>
          <cell r="Y124" t="str">
            <v>NA</v>
          </cell>
          <cell r="Z124" t="str">
            <v>NA</v>
          </cell>
          <cell r="AA124" t="str">
            <v>NA</v>
          </cell>
        </row>
        <row r="125">
          <cell r="A125">
            <v>45116</v>
          </cell>
          <cell r="B125" t="str">
            <v>A2</v>
          </cell>
          <cell r="C125">
            <v>1</v>
          </cell>
          <cell r="D125">
            <v>1</v>
          </cell>
          <cell r="E125" t="str">
            <v>ARIS.A2.Aim1.Bin1.RB</v>
          </cell>
          <cell r="F125">
            <v>3</v>
          </cell>
          <cell r="G125" t="str">
            <v>Unweighted</v>
          </cell>
          <cell r="H125" t="str">
            <v>N</v>
          </cell>
          <cell r="I125" t="str">
            <v>Y</v>
          </cell>
          <cell r="J125">
            <v>154</v>
          </cell>
          <cell r="K125">
            <v>1</v>
          </cell>
          <cell r="L125">
            <v>0.93610000000000004</v>
          </cell>
          <cell r="M125">
            <v>19.8</v>
          </cell>
          <cell r="N125">
            <v>6.3</v>
          </cell>
          <cell r="O125">
            <v>6.3899999999999998E-2</v>
          </cell>
          <cell r="P125">
            <v>6.3899999999999998E-2</v>
          </cell>
          <cell r="Q125">
            <v>0</v>
          </cell>
          <cell r="R125" t="str">
            <v>NA</v>
          </cell>
          <cell r="S125" t="str">
            <v>NA</v>
          </cell>
          <cell r="T125">
            <v>61.4</v>
          </cell>
          <cell r="U125">
            <v>5</v>
          </cell>
          <cell r="V125">
            <v>75.099999999999994</v>
          </cell>
          <cell r="W125">
            <v>7.6</v>
          </cell>
          <cell r="X125" t="str">
            <v>NA</v>
          </cell>
          <cell r="Y125" t="str">
            <v>NA</v>
          </cell>
          <cell r="Z125" t="str">
            <v>NA</v>
          </cell>
          <cell r="AA125" t="str">
            <v>NA</v>
          </cell>
        </row>
        <row r="126">
          <cell r="A126">
            <v>45116</v>
          </cell>
          <cell r="B126" t="str">
            <v>A2</v>
          </cell>
          <cell r="C126">
            <v>2</v>
          </cell>
          <cell r="D126">
            <v>1</v>
          </cell>
          <cell r="E126" t="str">
            <v>ARIS.A2.Aim1.Bin2.RB</v>
          </cell>
          <cell r="F126">
            <v>3</v>
          </cell>
          <cell r="G126" t="str">
            <v>Unweighted</v>
          </cell>
          <cell r="H126" t="str">
            <v>N</v>
          </cell>
          <cell r="I126" t="str">
            <v>Y</v>
          </cell>
          <cell r="J126">
            <v>147</v>
          </cell>
          <cell r="K126">
            <v>1</v>
          </cell>
          <cell r="L126">
            <v>0.93679999999999997</v>
          </cell>
          <cell r="M126">
            <v>29.9</v>
          </cell>
          <cell r="N126">
            <v>9.4</v>
          </cell>
          <cell r="O126">
            <v>6.3200000000000006E-2</v>
          </cell>
          <cell r="P126">
            <v>2.9899999999999999E-2</v>
          </cell>
          <cell r="Q126">
            <v>3.3300000000000003E-2</v>
          </cell>
          <cell r="R126" t="str">
            <v>NA</v>
          </cell>
          <cell r="S126" t="str">
            <v>NA</v>
          </cell>
          <cell r="T126">
            <v>61.4</v>
          </cell>
          <cell r="U126">
            <v>5</v>
          </cell>
          <cell r="V126">
            <v>75.099999999999994</v>
          </cell>
          <cell r="W126">
            <v>7.6</v>
          </cell>
          <cell r="X126" t="str">
            <v>NA</v>
          </cell>
          <cell r="Y126" t="str">
            <v>NA</v>
          </cell>
          <cell r="Z126" t="str">
            <v>NA</v>
          </cell>
          <cell r="AA126" t="str">
            <v>NA</v>
          </cell>
        </row>
        <row r="127">
          <cell r="A127">
            <v>45116</v>
          </cell>
          <cell r="B127" t="str">
            <v>A2</v>
          </cell>
          <cell r="C127">
            <v>3</v>
          </cell>
          <cell r="D127">
            <v>1</v>
          </cell>
          <cell r="E127" t="str">
            <v>ARIS.A2.Aim1.Bin3.RB</v>
          </cell>
          <cell r="F127">
            <v>3</v>
          </cell>
          <cell r="G127" t="str">
            <v>Unweighted</v>
          </cell>
          <cell r="H127" t="str">
            <v>N</v>
          </cell>
          <cell r="I127" t="str">
            <v>Y</v>
          </cell>
          <cell r="J127">
            <v>89</v>
          </cell>
          <cell r="K127">
            <v>0.99990000000000001</v>
          </cell>
          <cell r="L127">
            <v>0.76419999999999999</v>
          </cell>
          <cell r="M127">
            <v>38.6</v>
          </cell>
          <cell r="N127">
            <v>8.5</v>
          </cell>
          <cell r="O127">
            <v>0.23569999999999999</v>
          </cell>
          <cell r="P127">
            <v>0.1663</v>
          </cell>
          <cell r="Q127">
            <v>6.9400000000000003E-2</v>
          </cell>
          <cell r="R127" t="str">
            <v>NA</v>
          </cell>
          <cell r="S127" t="str">
            <v>NA</v>
          </cell>
          <cell r="T127">
            <v>61.4</v>
          </cell>
          <cell r="U127">
            <v>5</v>
          </cell>
          <cell r="V127">
            <v>75.099999999999994</v>
          </cell>
          <cell r="W127">
            <v>7.6</v>
          </cell>
          <cell r="X127" t="str">
            <v>NA</v>
          </cell>
          <cell r="Y127" t="str">
            <v>NA</v>
          </cell>
          <cell r="Z127" t="str">
            <v>NA</v>
          </cell>
          <cell r="AA127" t="str">
            <v>NA</v>
          </cell>
        </row>
        <row r="128">
          <cell r="A128">
            <v>45116</v>
          </cell>
          <cell r="B128" t="str">
            <v>A2</v>
          </cell>
          <cell r="C128">
            <v>4</v>
          </cell>
          <cell r="D128">
            <v>1</v>
          </cell>
          <cell r="E128" t="str">
            <v>ARIS.A2.Aim1.Bin4.RB</v>
          </cell>
          <cell r="F128">
            <v>3</v>
          </cell>
          <cell r="G128" t="str">
            <v>Unweighted</v>
          </cell>
          <cell r="H128" t="str">
            <v>N</v>
          </cell>
          <cell r="I128" t="str">
            <v>Y</v>
          </cell>
          <cell r="J128">
            <v>89</v>
          </cell>
          <cell r="K128">
            <v>0.99990000000000001</v>
          </cell>
          <cell r="L128">
            <v>0.76419999999999999</v>
          </cell>
          <cell r="M128">
            <v>38.6</v>
          </cell>
          <cell r="N128">
            <v>8.5</v>
          </cell>
          <cell r="O128">
            <v>0.23569999999999999</v>
          </cell>
          <cell r="P128">
            <v>0.1663</v>
          </cell>
          <cell r="Q128">
            <v>6.9400000000000003E-2</v>
          </cell>
          <cell r="R128" t="str">
            <v>NA</v>
          </cell>
          <cell r="S128" t="str">
            <v>NA</v>
          </cell>
          <cell r="T128">
            <v>61.4</v>
          </cell>
          <cell r="U128">
            <v>5</v>
          </cell>
          <cell r="V128">
            <v>75.099999999999994</v>
          </cell>
          <cell r="W128">
            <v>7.6</v>
          </cell>
          <cell r="X128" t="str">
            <v>NA</v>
          </cell>
          <cell r="Y128" t="str">
            <v>NA</v>
          </cell>
          <cell r="Z128" t="str">
            <v>NA</v>
          </cell>
          <cell r="AA128" t="str">
            <v>NA</v>
          </cell>
        </row>
        <row r="129">
          <cell r="A129">
            <v>45116</v>
          </cell>
          <cell r="B129" t="str">
            <v>A2</v>
          </cell>
          <cell r="C129">
            <v>1</v>
          </cell>
          <cell r="D129">
            <v>1</v>
          </cell>
          <cell r="E129" t="str">
            <v>ARIS.A2.Aim1.Bin1.RB</v>
          </cell>
          <cell r="F129">
            <v>3</v>
          </cell>
          <cell r="G129" t="str">
            <v>SplineDFA</v>
          </cell>
          <cell r="H129" t="str">
            <v>Y</v>
          </cell>
          <cell r="I129" t="str">
            <v>N</v>
          </cell>
          <cell r="J129">
            <v>154</v>
          </cell>
          <cell r="K129">
            <v>1</v>
          </cell>
          <cell r="L129">
            <v>0.90939999999999999</v>
          </cell>
          <cell r="M129">
            <v>23.7</v>
          </cell>
          <cell r="N129">
            <v>2.7</v>
          </cell>
          <cell r="O129">
            <v>9.06E-2</v>
          </cell>
          <cell r="P129">
            <v>9.06E-2</v>
          </cell>
          <cell r="Q129">
            <v>0</v>
          </cell>
          <cell r="R129" t="str">
            <v>NA</v>
          </cell>
          <cell r="S129" t="str">
            <v>NA</v>
          </cell>
          <cell r="T129">
            <v>61.4</v>
          </cell>
          <cell r="U129">
            <v>5</v>
          </cell>
          <cell r="V129">
            <v>75.099999999999994</v>
          </cell>
          <cell r="W129">
            <v>7.6</v>
          </cell>
          <cell r="X129" t="str">
            <v>NA</v>
          </cell>
          <cell r="Y129" t="str">
            <v>NA</v>
          </cell>
          <cell r="Z129" t="str">
            <v>NA</v>
          </cell>
          <cell r="AA129" t="str">
            <v>NA</v>
          </cell>
        </row>
        <row r="130">
          <cell r="A130">
            <v>45116</v>
          </cell>
          <cell r="B130" t="str">
            <v>A2</v>
          </cell>
          <cell r="C130">
            <v>2</v>
          </cell>
          <cell r="D130">
            <v>1</v>
          </cell>
          <cell r="E130" t="str">
            <v>ARIS.A2.Aim1.Bin2.RB</v>
          </cell>
          <cell r="F130">
            <v>3</v>
          </cell>
          <cell r="G130" t="str">
            <v>SplineDFA</v>
          </cell>
          <cell r="H130" t="str">
            <v>Y</v>
          </cell>
          <cell r="I130" t="str">
            <v>N</v>
          </cell>
          <cell r="J130">
            <v>147</v>
          </cell>
          <cell r="K130">
            <v>1.0001</v>
          </cell>
          <cell r="L130">
            <v>0.70499999999999996</v>
          </cell>
          <cell r="M130">
            <v>23.7</v>
          </cell>
          <cell r="N130">
            <v>2.7</v>
          </cell>
          <cell r="O130">
            <v>0.29509999999999997</v>
          </cell>
          <cell r="P130">
            <v>0.25590000000000002</v>
          </cell>
          <cell r="Q130">
            <v>3.9199999999999999E-2</v>
          </cell>
          <cell r="R130" t="str">
            <v>NA</v>
          </cell>
          <cell r="S130" t="str">
            <v>NA</v>
          </cell>
          <cell r="T130">
            <v>61.4</v>
          </cell>
          <cell r="U130">
            <v>5</v>
          </cell>
          <cell r="V130">
            <v>75.099999999999994</v>
          </cell>
          <cell r="W130">
            <v>7.6</v>
          </cell>
          <cell r="X130" t="str">
            <v>NA</v>
          </cell>
          <cell r="Y130" t="str">
            <v>NA</v>
          </cell>
          <cell r="Z130" t="str">
            <v>NA</v>
          </cell>
          <cell r="AA130" t="str">
            <v>NA</v>
          </cell>
        </row>
        <row r="131">
          <cell r="A131">
            <v>45116</v>
          </cell>
          <cell r="B131" t="str">
            <v>A2</v>
          </cell>
          <cell r="C131">
            <v>3</v>
          </cell>
          <cell r="D131">
            <v>1</v>
          </cell>
          <cell r="E131" t="str">
            <v>ARIS.A2.Aim1.Bin3.RB</v>
          </cell>
          <cell r="F131">
            <v>3</v>
          </cell>
          <cell r="G131" t="str">
            <v>SplineDFA</v>
          </cell>
          <cell r="H131" t="str">
            <v>Y</v>
          </cell>
          <cell r="I131" t="str">
            <v>N</v>
          </cell>
          <cell r="J131">
            <v>89</v>
          </cell>
          <cell r="K131">
            <v>1</v>
          </cell>
          <cell r="L131">
            <v>0.25900000000000001</v>
          </cell>
          <cell r="M131">
            <v>23.7</v>
          </cell>
          <cell r="N131">
            <v>2.7</v>
          </cell>
          <cell r="O131">
            <v>0.74099999999999999</v>
          </cell>
          <cell r="P131">
            <v>0.61609999999999998</v>
          </cell>
          <cell r="Q131">
            <v>0.1249</v>
          </cell>
          <cell r="R131" t="str">
            <v>NA</v>
          </cell>
          <cell r="S131" t="str">
            <v>NA</v>
          </cell>
          <cell r="T131">
            <v>61.4</v>
          </cell>
          <cell r="U131">
            <v>5</v>
          </cell>
          <cell r="V131">
            <v>75.099999999999994</v>
          </cell>
          <cell r="W131">
            <v>7.6</v>
          </cell>
          <cell r="X131" t="str">
            <v>NA</v>
          </cell>
          <cell r="Y131" t="str">
            <v>NA</v>
          </cell>
          <cell r="Z131" t="str">
            <v>NA</v>
          </cell>
          <cell r="AA131" t="str">
            <v>NA</v>
          </cell>
        </row>
        <row r="132">
          <cell r="A132">
            <v>45116</v>
          </cell>
          <cell r="B132" t="str">
            <v>A2</v>
          </cell>
          <cell r="C132">
            <v>4</v>
          </cell>
          <cell r="D132">
            <v>1</v>
          </cell>
          <cell r="E132" t="str">
            <v>ARIS.A2.Aim1.Bin4.RB</v>
          </cell>
          <cell r="F132">
            <v>3</v>
          </cell>
          <cell r="G132" t="str">
            <v>SplineDFA</v>
          </cell>
          <cell r="H132" t="str">
            <v>Y</v>
          </cell>
          <cell r="I132" t="str">
            <v>N</v>
          </cell>
          <cell r="J132">
            <v>89</v>
          </cell>
          <cell r="K132">
            <v>1</v>
          </cell>
          <cell r="L132">
            <v>0.25900000000000001</v>
          </cell>
          <cell r="M132">
            <v>23.7</v>
          </cell>
          <cell r="N132">
            <v>2.7</v>
          </cell>
          <cell r="O132">
            <v>0.74099999999999999</v>
          </cell>
          <cell r="P132">
            <v>0.61609999999999998</v>
          </cell>
          <cell r="Q132">
            <v>0.1249</v>
          </cell>
          <cell r="R132" t="str">
            <v>NA</v>
          </cell>
          <cell r="S132" t="str">
            <v>NA</v>
          </cell>
          <cell r="T132">
            <v>61.4</v>
          </cell>
          <cell r="U132">
            <v>5</v>
          </cell>
          <cell r="V132">
            <v>75.099999999999994</v>
          </cell>
          <cell r="W132">
            <v>7.6</v>
          </cell>
          <cell r="X132" t="str">
            <v>NA</v>
          </cell>
          <cell r="Y132" t="str">
            <v>NA</v>
          </cell>
          <cell r="Z132" t="str">
            <v>NA</v>
          </cell>
          <cell r="AA132" t="str">
            <v>NA</v>
          </cell>
        </row>
        <row r="133">
          <cell r="A133">
            <v>45117</v>
          </cell>
          <cell r="B133" t="str">
            <v>A1</v>
          </cell>
          <cell r="C133">
            <v>1</v>
          </cell>
          <cell r="D133">
            <v>1</v>
          </cell>
          <cell r="E133" t="str">
            <v>ARIS.A1.Aim1.Bin1.LB</v>
          </cell>
          <cell r="F133">
            <v>3</v>
          </cell>
          <cell r="G133" t="str">
            <v>SplineDFA</v>
          </cell>
          <cell r="H133" t="str">
            <v>Y</v>
          </cell>
          <cell r="I133" t="str">
            <v>N</v>
          </cell>
          <cell r="J133">
            <v>124</v>
          </cell>
          <cell r="K133">
            <v>1</v>
          </cell>
          <cell r="L133">
            <v>0.99509999999999998</v>
          </cell>
          <cell r="M133">
            <v>23.7</v>
          </cell>
          <cell r="N133">
            <v>2.7</v>
          </cell>
          <cell r="O133">
            <v>4.8999999999999998E-3</v>
          </cell>
          <cell r="P133">
            <v>4.8999999999999998E-3</v>
          </cell>
          <cell r="Q133">
            <v>0</v>
          </cell>
          <cell r="R133" t="str">
            <v>NA</v>
          </cell>
          <cell r="S133" t="str">
            <v>NA</v>
          </cell>
          <cell r="T133">
            <v>61.4</v>
          </cell>
          <cell r="U133">
            <v>5</v>
          </cell>
          <cell r="V133">
            <v>75.099999999999994</v>
          </cell>
          <cell r="W133">
            <v>7.6</v>
          </cell>
          <cell r="X133" t="str">
            <v>NA</v>
          </cell>
          <cell r="Y133" t="str">
            <v>NA</v>
          </cell>
          <cell r="Z133" t="str">
            <v>NA</v>
          </cell>
          <cell r="AA133" t="str">
            <v>NA</v>
          </cell>
        </row>
        <row r="134">
          <cell r="A134">
            <v>45117</v>
          </cell>
          <cell r="B134" t="str">
            <v>A1</v>
          </cell>
          <cell r="C134">
            <v>1</v>
          </cell>
          <cell r="D134">
            <v>2</v>
          </cell>
          <cell r="E134" t="str">
            <v>ARIS.A1.Aim2.Bin1.LB</v>
          </cell>
          <cell r="F134">
            <v>3</v>
          </cell>
          <cell r="G134" t="str">
            <v>SplineDFA</v>
          </cell>
          <cell r="H134" t="str">
            <v>Y</v>
          </cell>
          <cell r="I134" t="str">
            <v>N</v>
          </cell>
          <cell r="J134">
            <v>145</v>
          </cell>
          <cell r="K134">
            <v>1</v>
          </cell>
          <cell r="L134">
            <v>0.9456</v>
          </cell>
          <cell r="M134">
            <v>23.7</v>
          </cell>
          <cell r="N134">
            <v>2.7</v>
          </cell>
          <cell r="O134">
            <v>5.4399999999999997E-2</v>
          </cell>
          <cell r="P134">
            <v>4.0399999999999998E-2</v>
          </cell>
          <cell r="Q134">
            <v>1.4E-2</v>
          </cell>
          <cell r="R134" t="str">
            <v>NA</v>
          </cell>
          <cell r="S134" t="str">
            <v>NA</v>
          </cell>
          <cell r="T134">
            <v>61.4</v>
          </cell>
          <cell r="U134">
            <v>5</v>
          </cell>
          <cell r="V134">
            <v>75.099999999999994</v>
          </cell>
          <cell r="W134">
            <v>7.6</v>
          </cell>
          <cell r="X134" t="str">
            <v>NA</v>
          </cell>
          <cell r="Y134" t="str">
            <v>NA</v>
          </cell>
          <cell r="Z134" t="str">
            <v>NA</v>
          </cell>
          <cell r="AA134" t="str">
            <v>NA</v>
          </cell>
        </row>
        <row r="135">
          <cell r="A135">
            <v>45117</v>
          </cell>
          <cell r="B135" t="str">
            <v>A1</v>
          </cell>
          <cell r="C135">
            <v>2</v>
          </cell>
          <cell r="D135">
            <v>3</v>
          </cell>
          <cell r="E135" t="str">
            <v>ARIS.A1.Aim3.Bin2.LB</v>
          </cell>
          <cell r="F135">
            <v>3</v>
          </cell>
          <cell r="G135" t="str">
            <v>SplineDFA</v>
          </cell>
          <cell r="H135" t="str">
            <v>Y</v>
          </cell>
          <cell r="I135" t="str">
            <v>N</v>
          </cell>
          <cell r="J135">
            <v>153</v>
          </cell>
          <cell r="K135">
            <v>1</v>
          </cell>
          <cell r="L135">
            <v>0.65849999999999997</v>
          </cell>
          <cell r="M135">
            <v>23.7</v>
          </cell>
          <cell r="N135">
            <v>2.7</v>
          </cell>
          <cell r="O135">
            <v>0.34150000000000003</v>
          </cell>
          <cell r="P135">
            <v>0.25280000000000002</v>
          </cell>
          <cell r="Q135">
            <v>8.8700000000000001E-2</v>
          </cell>
          <cell r="R135" t="str">
            <v>NA</v>
          </cell>
          <cell r="S135" t="str">
            <v>NA</v>
          </cell>
          <cell r="T135">
            <v>61.4</v>
          </cell>
          <cell r="U135">
            <v>5</v>
          </cell>
          <cell r="V135">
            <v>75.099999999999994</v>
          </cell>
          <cell r="W135">
            <v>7.6</v>
          </cell>
          <cell r="X135" t="str">
            <v>NA</v>
          </cell>
          <cell r="Y135" t="str">
            <v>NA</v>
          </cell>
          <cell r="Z135" t="str">
            <v>NA</v>
          </cell>
          <cell r="AA135" t="str">
            <v>NA</v>
          </cell>
        </row>
        <row r="136">
          <cell r="A136">
            <v>45117</v>
          </cell>
          <cell r="B136" t="str">
            <v>A1</v>
          </cell>
          <cell r="C136">
            <v>3</v>
          </cell>
          <cell r="D136">
            <v>3</v>
          </cell>
          <cell r="E136" t="str">
            <v>ARIS.A1.Aim3.Bin3.LB</v>
          </cell>
          <cell r="F136">
            <v>3</v>
          </cell>
          <cell r="G136" t="str">
            <v>SplineDFA</v>
          </cell>
          <cell r="H136" t="str">
            <v>Y</v>
          </cell>
          <cell r="I136" t="str">
            <v>N</v>
          </cell>
          <cell r="J136">
            <v>122</v>
          </cell>
          <cell r="K136">
            <v>1</v>
          </cell>
          <cell r="L136">
            <v>0.25559999999999999</v>
          </cell>
          <cell r="M136">
            <v>23.7</v>
          </cell>
          <cell r="N136">
            <v>2.7</v>
          </cell>
          <cell r="O136">
            <v>0.74439999999999995</v>
          </cell>
          <cell r="P136">
            <v>0.40050000000000002</v>
          </cell>
          <cell r="Q136">
            <v>0.34389999999999998</v>
          </cell>
          <cell r="R136" t="str">
            <v>NA</v>
          </cell>
          <cell r="S136" t="str">
            <v>NA</v>
          </cell>
          <cell r="T136">
            <v>61.4</v>
          </cell>
          <cell r="U136">
            <v>5</v>
          </cell>
          <cell r="V136">
            <v>75.099999999999994</v>
          </cell>
          <cell r="W136">
            <v>7.6</v>
          </cell>
          <cell r="X136" t="str">
            <v>NA</v>
          </cell>
          <cell r="Y136" t="str">
            <v>NA</v>
          </cell>
          <cell r="Z136" t="str">
            <v>NA</v>
          </cell>
          <cell r="AA136" t="str">
            <v>NA</v>
          </cell>
        </row>
        <row r="137">
          <cell r="A137">
            <v>45117</v>
          </cell>
          <cell r="B137" t="str">
            <v>A1</v>
          </cell>
          <cell r="C137">
            <v>4</v>
          </cell>
          <cell r="D137">
            <v>3</v>
          </cell>
          <cell r="E137" t="str">
            <v>ARIS.A1.Aim3.Bin4.LB</v>
          </cell>
          <cell r="F137">
            <v>3</v>
          </cell>
          <cell r="G137" t="str">
            <v>SplineDFA</v>
          </cell>
          <cell r="H137" t="str">
            <v>Y</v>
          </cell>
          <cell r="I137" t="str">
            <v>N</v>
          </cell>
          <cell r="J137">
            <v>122</v>
          </cell>
          <cell r="K137">
            <v>1</v>
          </cell>
          <cell r="L137">
            <v>0.25559999999999999</v>
          </cell>
          <cell r="M137">
            <v>23.7</v>
          </cell>
          <cell r="N137">
            <v>2.7</v>
          </cell>
          <cell r="O137">
            <v>0.74439999999999995</v>
          </cell>
          <cell r="P137">
            <v>0.40050000000000002</v>
          </cell>
          <cell r="Q137">
            <v>0.34389999999999998</v>
          </cell>
          <cell r="R137" t="str">
            <v>NA</v>
          </cell>
          <cell r="S137" t="str">
            <v>NA</v>
          </cell>
          <cell r="T137">
            <v>61.4</v>
          </cell>
          <cell r="U137">
            <v>5</v>
          </cell>
          <cell r="V137">
            <v>75.099999999999994</v>
          </cell>
          <cell r="W137">
            <v>7.6</v>
          </cell>
          <cell r="X137" t="str">
            <v>NA</v>
          </cell>
          <cell r="Y137" t="str">
            <v>NA</v>
          </cell>
          <cell r="Z137" t="str">
            <v>NA</v>
          </cell>
          <cell r="AA137" t="str">
            <v>NA</v>
          </cell>
        </row>
        <row r="138">
          <cell r="A138">
            <v>45117</v>
          </cell>
          <cell r="B138" t="str">
            <v>A1</v>
          </cell>
          <cell r="C138">
            <v>1</v>
          </cell>
          <cell r="D138">
            <v>1</v>
          </cell>
          <cell r="E138" t="str">
            <v>ARIS.A1.Aim1.Bin1.LB</v>
          </cell>
          <cell r="F138">
            <v>3</v>
          </cell>
          <cell r="G138" t="str">
            <v>Unweighted</v>
          </cell>
          <cell r="H138" t="str">
            <v>N</v>
          </cell>
          <cell r="I138" t="str">
            <v>Y</v>
          </cell>
          <cell r="J138">
            <v>124</v>
          </cell>
          <cell r="K138">
            <v>1</v>
          </cell>
          <cell r="L138">
            <v>0.99219999999999997</v>
          </cell>
          <cell r="M138">
            <v>20.3</v>
          </cell>
          <cell r="N138">
            <v>6.7</v>
          </cell>
          <cell r="O138">
            <v>7.7999999999999996E-3</v>
          </cell>
          <cell r="P138">
            <v>7.7999999999999996E-3</v>
          </cell>
          <cell r="Q138">
            <v>0</v>
          </cell>
          <cell r="R138" t="str">
            <v>NA</v>
          </cell>
          <cell r="S138" t="str">
            <v>NA</v>
          </cell>
          <cell r="T138">
            <v>61.4</v>
          </cell>
          <cell r="U138">
            <v>5</v>
          </cell>
          <cell r="V138">
            <v>75.099999999999994</v>
          </cell>
          <cell r="W138">
            <v>7.6</v>
          </cell>
          <cell r="X138" t="str">
            <v>NA</v>
          </cell>
          <cell r="Y138" t="str">
            <v>NA</v>
          </cell>
          <cell r="Z138" t="str">
            <v>NA</v>
          </cell>
          <cell r="AA138" t="str">
            <v>NA</v>
          </cell>
        </row>
        <row r="139">
          <cell r="A139">
            <v>45117</v>
          </cell>
          <cell r="B139" t="str">
            <v>A1</v>
          </cell>
          <cell r="C139">
            <v>1</v>
          </cell>
          <cell r="D139">
            <v>2</v>
          </cell>
          <cell r="E139" t="str">
            <v>ARIS.A1.Aim2.Bin1.LB</v>
          </cell>
          <cell r="F139">
            <v>3</v>
          </cell>
          <cell r="G139" t="str">
            <v>Unweighted</v>
          </cell>
          <cell r="H139" t="str">
            <v>N</v>
          </cell>
          <cell r="I139" t="str">
            <v>Y</v>
          </cell>
          <cell r="J139">
            <v>145</v>
          </cell>
          <cell r="K139">
            <v>1</v>
          </cell>
          <cell r="L139">
            <v>0.98150000000000004</v>
          </cell>
          <cell r="M139">
            <v>17.3</v>
          </cell>
          <cell r="N139">
            <v>6.8</v>
          </cell>
          <cell r="O139">
            <v>1.8499999999999999E-2</v>
          </cell>
          <cell r="P139">
            <v>1.8499999999999999E-2</v>
          </cell>
          <cell r="Q139">
            <v>0</v>
          </cell>
          <cell r="R139" t="str">
            <v>NA</v>
          </cell>
          <cell r="S139" t="str">
            <v>NA</v>
          </cell>
          <cell r="T139">
            <v>61.4</v>
          </cell>
          <cell r="U139">
            <v>5</v>
          </cell>
          <cell r="V139">
            <v>75.099999999999994</v>
          </cell>
          <cell r="W139">
            <v>7.6</v>
          </cell>
          <cell r="X139" t="str">
            <v>NA</v>
          </cell>
          <cell r="Y139" t="str">
            <v>NA</v>
          </cell>
          <cell r="Z139" t="str">
            <v>NA</v>
          </cell>
          <cell r="AA139" t="str">
            <v>NA</v>
          </cell>
        </row>
        <row r="140">
          <cell r="A140">
            <v>45117</v>
          </cell>
          <cell r="B140" t="str">
            <v>A1</v>
          </cell>
          <cell r="C140">
            <v>1</v>
          </cell>
          <cell r="D140" t="str">
            <v>1&amp;2</v>
          </cell>
          <cell r="E140" t="str">
            <v>ARIS.A1.Aim1&amp;Aim2.Bin1.LB</v>
          </cell>
          <cell r="F140">
            <v>3</v>
          </cell>
          <cell r="G140" t="str">
            <v>Unweighted</v>
          </cell>
          <cell r="H140" t="str">
            <v>N</v>
          </cell>
          <cell r="I140" t="str">
            <v>Y</v>
          </cell>
          <cell r="J140">
            <v>269</v>
          </cell>
          <cell r="K140">
            <v>1</v>
          </cell>
          <cell r="L140">
            <v>0.98499999999999999</v>
          </cell>
          <cell r="M140">
            <v>18.7</v>
          </cell>
          <cell r="N140">
            <v>6.9</v>
          </cell>
          <cell r="O140">
            <v>1.4999999999999999E-2</v>
          </cell>
          <cell r="P140">
            <v>1.4999999999999999E-2</v>
          </cell>
          <cell r="Q140">
            <v>0</v>
          </cell>
          <cell r="R140" t="str">
            <v>NA</v>
          </cell>
          <cell r="S140" t="str">
            <v>NA</v>
          </cell>
          <cell r="T140">
            <v>61.4</v>
          </cell>
          <cell r="U140">
            <v>5</v>
          </cell>
          <cell r="V140">
            <v>75.099999999999994</v>
          </cell>
          <cell r="W140">
            <v>7.6</v>
          </cell>
          <cell r="X140" t="str">
            <v>NA</v>
          </cell>
          <cell r="Y140" t="str">
            <v>NA</v>
          </cell>
          <cell r="Z140" t="str">
            <v>NA</v>
          </cell>
          <cell r="AA140" t="str">
            <v>NA</v>
          </cell>
        </row>
        <row r="141">
          <cell r="A141">
            <v>45117</v>
          </cell>
          <cell r="B141" t="str">
            <v>A1</v>
          </cell>
          <cell r="C141">
            <v>2</v>
          </cell>
          <cell r="D141">
            <v>3</v>
          </cell>
          <cell r="E141" t="str">
            <v>ARIS.A1.Aim3.Bin2.LB</v>
          </cell>
          <cell r="F141">
            <v>3</v>
          </cell>
          <cell r="G141" t="str">
            <v>Unweighted</v>
          </cell>
          <cell r="H141" t="str">
            <v>N</v>
          </cell>
          <cell r="I141" t="str">
            <v>Y</v>
          </cell>
          <cell r="J141">
            <v>153</v>
          </cell>
          <cell r="K141">
            <v>1</v>
          </cell>
          <cell r="L141">
            <v>0.78720000000000001</v>
          </cell>
          <cell r="M141">
            <v>31.3</v>
          </cell>
          <cell r="N141">
            <v>8.1</v>
          </cell>
          <cell r="O141">
            <v>0.21279999999999999</v>
          </cell>
          <cell r="P141">
            <v>0.1053</v>
          </cell>
          <cell r="Q141">
            <v>0.1075</v>
          </cell>
          <cell r="R141" t="str">
            <v>NA</v>
          </cell>
          <cell r="S141" t="str">
            <v>NA</v>
          </cell>
          <cell r="T141">
            <v>61.4</v>
          </cell>
          <cell r="U141">
            <v>5</v>
          </cell>
          <cell r="V141">
            <v>75.099999999999994</v>
          </cell>
          <cell r="W141">
            <v>7.6</v>
          </cell>
          <cell r="X141" t="str">
            <v>NA</v>
          </cell>
          <cell r="Y141" t="str">
            <v>NA</v>
          </cell>
          <cell r="Z141" t="str">
            <v>NA</v>
          </cell>
          <cell r="AA141" t="str">
            <v>NA</v>
          </cell>
        </row>
        <row r="142">
          <cell r="A142">
            <v>45117</v>
          </cell>
          <cell r="B142" t="str">
            <v>A1</v>
          </cell>
          <cell r="C142">
            <v>3</v>
          </cell>
          <cell r="D142">
            <v>3</v>
          </cell>
          <cell r="E142" t="str">
            <v>ARIS.A1.Aim3.Bin3.LB</v>
          </cell>
          <cell r="F142">
            <v>3</v>
          </cell>
          <cell r="G142" t="str">
            <v>Unweighted</v>
          </cell>
          <cell r="H142" t="str">
            <v>N</v>
          </cell>
          <cell r="I142" t="str">
            <v>Y</v>
          </cell>
          <cell r="J142">
            <v>122</v>
          </cell>
          <cell r="K142">
            <v>1</v>
          </cell>
          <cell r="L142">
            <v>0.64049999999999996</v>
          </cell>
          <cell r="M142">
            <v>41.7</v>
          </cell>
          <cell r="N142">
            <v>8.6</v>
          </cell>
          <cell r="O142">
            <v>0.35949999999999999</v>
          </cell>
          <cell r="P142">
            <v>0</v>
          </cell>
          <cell r="Q142">
            <v>0.35949999999999999</v>
          </cell>
          <cell r="R142" t="str">
            <v>NA</v>
          </cell>
          <cell r="S142" t="str">
            <v>NA</v>
          </cell>
          <cell r="T142">
            <v>61.4</v>
          </cell>
          <cell r="U142">
            <v>5</v>
          </cell>
          <cell r="V142">
            <v>75.099999999999994</v>
          </cell>
          <cell r="W142">
            <v>7.6</v>
          </cell>
          <cell r="X142" t="str">
            <v>NA</v>
          </cell>
          <cell r="Y142" t="str">
            <v>NA</v>
          </cell>
          <cell r="Z142" t="str">
            <v>NA</v>
          </cell>
          <cell r="AA142" t="str">
            <v>NA</v>
          </cell>
        </row>
        <row r="143">
          <cell r="A143">
            <v>45117</v>
          </cell>
          <cell r="B143" t="str">
            <v>A1</v>
          </cell>
          <cell r="C143">
            <v>4</v>
          </cell>
          <cell r="D143">
            <v>3</v>
          </cell>
          <cell r="E143" t="str">
            <v>ARIS.A1.Aim3.Bin4.LB</v>
          </cell>
          <cell r="F143">
            <v>3</v>
          </cell>
          <cell r="G143" t="str">
            <v>Unweighted</v>
          </cell>
          <cell r="H143" t="str">
            <v>N</v>
          </cell>
          <cell r="I143" t="str">
            <v>Y</v>
          </cell>
          <cell r="J143">
            <v>122</v>
          </cell>
          <cell r="K143">
            <v>1</v>
          </cell>
          <cell r="L143">
            <v>0.64049999999999996</v>
          </cell>
          <cell r="M143">
            <v>41.7</v>
          </cell>
          <cell r="N143">
            <v>8.6</v>
          </cell>
          <cell r="O143">
            <v>0.35949999999999999</v>
          </cell>
          <cell r="P143">
            <v>0</v>
          </cell>
          <cell r="Q143">
            <v>0.35949999999999999</v>
          </cell>
          <cell r="R143" t="str">
            <v>NA</v>
          </cell>
          <cell r="S143" t="str">
            <v>NA</v>
          </cell>
          <cell r="T143">
            <v>61.4</v>
          </cell>
          <cell r="U143">
            <v>5</v>
          </cell>
          <cell r="V143">
            <v>75.099999999999994</v>
          </cell>
          <cell r="W143">
            <v>7.6</v>
          </cell>
          <cell r="X143" t="str">
            <v>NA</v>
          </cell>
          <cell r="Y143" t="str">
            <v>NA</v>
          </cell>
          <cell r="Z143" t="str">
            <v>NA</v>
          </cell>
          <cell r="AA143" t="str">
            <v>NA</v>
          </cell>
        </row>
        <row r="144">
          <cell r="A144">
            <v>45117</v>
          </cell>
          <cell r="B144" t="str">
            <v>A2</v>
          </cell>
          <cell r="C144">
            <v>1</v>
          </cell>
          <cell r="D144">
            <v>1</v>
          </cell>
          <cell r="E144" t="str">
            <v>ARIS.A2.Aim1.Bin1.RB</v>
          </cell>
          <cell r="F144">
            <v>3</v>
          </cell>
          <cell r="G144" t="str">
            <v>Unweighted</v>
          </cell>
          <cell r="H144" t="str">
            <v>N</v>
          </cell>
          <cell r="I144" t="str">
            <v>Y</v>
          </cell>
          <cell r="J144">
            <v>154</v>
          </cell>
          <cell r="K144">
            <v>1</v>
          </cell>
          <cell r="L144">
            <v>0.93610000000000004</v>
          </cell>
          <cell r="M144">
            <v>19.8</v>
          </cell>
          <cell r="N144">
            <v>6.3</v>
          </cell>
          <cell r="O144">
            <v>6.3899999999999998E-2</v>
          </cell>
          <cell r="P144">
            <v>6.3899999999999998E-2</v>
          </cell>
          <cell r="Q144">
            <v>0</v>
          </cell>
          <cell r="R144" t="str">
            <v>NA</v>
          </cell>
          <cell r="S144" t="str">
            <v>NA</v>
          </cell>
          <cell r="T144">
            <v>61.4</v>
          </cell>
          <cell r="U144">
            <v>5</v>
          </cell>
          <cell r="V144">
            <v>75.099999999999994</v>
          </cell>
          <cell r="W144">
            <v>7.6</v>
          </cell>
          <cell r="X144" t="str">
            <v>NA</v>
          </cell>
          <cell r="Y144" t="str">
            <v>NA</v>
          </cell>
          <cell r="Z144" t="str">
            <v>NA</v>
          </cell>
          <cell r="AA144" t="str">
            <v>NA</v>
          </cell>
        </row>
        <row r="145">
          <cell r="A145">
            <v>45117</v>
          </cell>
          <cell r="B145" t="str">
            <v>A2</v>
          </cell>
          <cell r="C145">
            <v>2</v>
          </cell>
          <cell r="D145">
            <v>1</v>
          </cell>
          <cell r="E145" t="str">
            <v>ARIS.A2.Aim1.Bin2.RB</v>
          </cell>
          <cell r="F145">
            <v>3</v>
          </cell>
          <cell r="G145" t="str">
            <v>Unweighted</v>
          </cell>
          <cell r="H145" t="str">
            <v>N</v>
          </cell>
          <cell r="I145" t="str">
            <v>Y</v>
          </cell>
          <cell r="J145">
            <v>147</v>
          </cell>
          <cell r="K145">
            <v>1</v>
          </cell>
          <cell r="L145">
            <v>0.93679999999999997</v>
          </cell>
          <cell r="M145">
            <v>29.9</v>
          </cell>
          <cell r="N145">
            <v>9.4</v>
          </cell>
          <cell r="O145">
            <v>6.3200000000000006E-2</v>
          </cell>
          <cell r="P145">
            <v>2.9899999999999999E-2</v>
          </cell>
          <cell r="Q145">
            <v>3.3300000000000003E-2</v>
          </cell>
          <cell r="R145" t="str">
            <v>NA</v>
          </cell>
          <cell r="S145" t="str">
            <v>NA</v>
          </cell>
          <cell r="T145">
            <v>61.4</v>
          </cell>
          <cell r="U145">
            <v>5</v>
          </cell>
          <cell r="V145">
            <v>75.099999999999994</v>
          </cell>
          <cell r="W145">
            <v>7.6</v>
          </cell>
          <cell r="X145" t="str">
            <v>NA</v>
          </cell>
          <cell r="Y145" t="str">
            <v>NA</v>
          </cell>
          <cell r="Z145" t="str">
            <v>NA</v>
          </cell>
          <cell r="AA145" t="str">
            <v>NA</v>
          </cell>
        </row>
        <row r="146">
          <cell r="A146">
            <v>45117</v>
          </cell>
          <cell r="B146" t="str">
            <v>A2</v>
          </cell>
          <cell r="C146">
            <v>3</v>
          </cell>
          <cell r="D146">
            <v>1</v>
          </cell>
          <cell r="E146" t="str">
            <v>ARIS.A2.Aim1.Bin3.RB</v>
          </cell>
          <cell r="F146">
            <v>3</v>
          </cell>
          <cell r="G146" t="str">
            <v>Unweighted</v>
          </cell>
          <cell r="H146" t="str">
            <v>N</v>
          </cell>
          <cell r="I146" t="str">
            <v>Y</v>
          </cell>
          <cell r="J146">
            <v>89</v>
          </cell>
          <cell r="K146">
            <v>0.99990000000000001</v>
          </cell>
          <cell r="L146">
            <v>0.76419999999999999</v>
          </cell>
          <cell r="M146">
            <v>38.6</v>
          </cell>
          <cell r="N146">
            <v>8.5</v>
          </cell>
          <cell r="O146">
            <v>0.23569999999999999</v>
          </cell>
          <cell r="P146">
            <v>0.1663</v>
          </cell>
          <cell r="Q146">
            <v>6.9400000000000003E-2</v>
          </cell>
          <cell r="R146" t="str">
            <v>NA</v>
          </cell>
          <cell r="S146" t="str">
            <v>NA</v>
          </cell>
          <cell r="T146">
            <v>61.4</v>
          </cell>
          <cell r="U146">
            <v>5</v>
          </cell>
          <cell r="V146">
            <v>75.099999999999994</v>
          </cell>
          <cell r="W146">
            <v>7.6</v>
          </cell>
          <cell r="X146" t="str">
            <v>NA</v>
          </cell>
          <cell r="Y146" t="str">
            <v>NA</v>
          </cell>
          <cell r="Z146" t="str">
            <v>NA</v>
          </cell>
          <cell r="AA146" t="str">
            <v>NA</v>
          </cell>
        </row>
        <row r="147">
          <cell r="A147">
            <v>45117</v>
          </cell>
          <cell r="B147" t="str">
            <v>A2</v>
          </cell>
          <cell r="C147">
            <v>4</v>
          </cell>
          <cell r="D147">
            <v>1</v>
          </cell>
          <cell r="E147" t="str">
            <v>ARIS.A2.Aim1.Bin4.RB</v>
          </cell>
          <cell r="F147">
            <v>3</v>
          </cell>
          <cell r="G147" t="str">
            <v>Unweighted</v>
          </cell>
          <cell r="H147" t="str">
            <v>N</v>
          </cell>
          <cell r="I147" t="str">
            <v>Y</v>
          </cell>
          <cell r="J147">
            <v>89</v>
          </cell>
          <cell r="K147">
            <v>0.99990000000000001</v>
          </cell>
          <cell r="L147">
            <v>0.76419999999999999</v>
          </cell>
          <cell r="M147">
            <v>38.6</v>
          </cell>
          <cell r="N147">
            <v>8.5</v>
          </cell>
          <cell r="O147">
            <v>0.23569999999999999</v>
          </cell>
          <cell r="P147">
            <v>0.1663</v>
          </cell>
          <cell r="Q147">
            <v>6.9400000000000003E-2</v>
          </cell>
          <cell r="R147" t="str">
            <v>NA</v>
          </cell>
          <cell r="S147" t="str">
            <v>NA</v>
          </cell>
          <cell r="T147">
            <v>61.4</v>
          </cell>
          <cell r="U147">
            <v>5</v>
          </cell>
          <cell r="V147">
            <v>75.099999999999994</v>
          </cell>
          <cell r="W147">
            <v>7.6</v>
          </cell>
          <cell r="X147" t="str">
            <v>NA</v>
          </cell>
          <cell r="Y147" t="str">
            <v>NA</v>
          </cell>
          <cell r="Z147" t="str">
            <v>NA</v>
          </cell>
          <cell r="AA147" t="str">
            <v>NA</v>
          </cell>
        </row>
        <row r="148">
          <cell r="A148">
            <v>45117</v>
          </cell>
          <cell r="B148" t="str">
            <v>A2</v>
          </cell>
          <cell r="C148">
            <v>1</v>
          </cell>
          <cell r="D148">
            <v>1</v>
          </cell>
          <cell r="E148" t="str">
            <v>ARIS.A2.Aim1.Bin1.RB</v>
          </cell>
          <cell r="F148">
            <v>3</v>
          </cell>
          <cell r="G148" t="str">
            <v>SplineDFA</v>
          </cell>
          <cell r="H148" t="str">
            <v>Y</v>
          </cell>
          <cell r="I148" t="str">
            <v>N</v>
          </cell>
          <cell r="J148">
            <v>154</v>
          </cell>
          <cell r="K148">
            <v>1</v>
          </cell>
          <cell r="L148">
            <v>0.90939999999999999</v>
          </cell>
          <cell r="M148">
            <v>23.7</v>
          </cell>
          <cell r="N148">
            <v>2.7</v>
          </cell>
          <cell r="O148">
            <v>9.06E-2</v>
          </cell>
          <cell r="P148">
            <v>9.06E-2</v>
          </cell>
          <cell r="Q148">
            <v>0</v>
          </cell>
          <cell r="R148" t="str">
            <v>NA</v>
          </cell>
          <cell r="S148" t="str">
            <v>NA</v>
          </cell>
          <cell r="T148">
            <v>61.4</v>
          </cell>
          <cell r="U148">
            <v>5</v>
          </cell>
          <cell r="V148">
            <v>75.099999999999994</v>
          </cell>
          <cell r="W148">
            <v>7.6</v>
          </cell>
          <cell r="X148" t="str">
            <v>NA</v>
          </cell>
          <cell r="Y148" t="str">
            <v>NA</v>
          </cell>
          <cell r="Z148" t="str">
            <v>NA</v>
          </cell>
          <cell r="AA148" t="str">
            <v>NA</v>
          </cell>
        </row>
        <row r="149">
          <cell r="A149">
            <v>45117</v>
          </cell>
          <cell r="B149" t="str">
            <v>A2</v>
          </cell>
          <cell r="C149">
            <v>2</v>
          </cell>
          <cell r="D149">
            <v>1</v>
          </cell>
          <cell r="E149" t="str">
            <v>ARIS.A2.Aim1.Bin2.RB</v>
          </cell>
          <cell r="F149">
            <v>3</v>
          </cell>
          <cell r="G149" t="str">
            <v>SplineDFA</v>
          </cell>
          <cell r="H149" t="str">
            <v>Y</v>
          </cell>
          <cell r="I149" t="str">
            <v>N</v>
          </cell>
          <cell r="J149">
            <v>147</v>
          </cell>
          <cell r="K149">
            <v>1.0001</v>
          </cell>
          <cell r="L149">
            <v>0.70499999999999996</v>
          </cell>
          <cell r="M149">
            <v>23.7</v>
          </cell>
          <cell r="N149">
            <v>2.7</v>
          </cell>
          <cell r="O149">
            <v>0.29509999999999997</v>
          </cell>
          <cell r="P149">
            <v>0.25590000000000002</v>
          </cell>
          <cell r="Q149">
            <v>3.9199999999999999E-2</v>
          </cell>
          <cell r="R149" t="str">
            <v>NA</v>
          </cell>
          <cell r="S149" t="str">
            <v>NA</v>
          </cell>
          <cell r="T149">
            <v>61.4</v>
          </cell>
          <cell r="U149">
            <v>5</v>
          </cell>
          <cell r="V149">
            <v>75.099999999999994</v>
          </cell>
          <cell r="W149">
            <v>7.6</v>
          </cell>
          <cell r="X149" t="str">
            <v>NA</v>
          </cell>
          <cell r="Y149" t="str">
            <v>NA</v>
          </cell>
          <cell r="Z149" t="str">
            <v>NA</v>
          </cell>
          <cell r="AA149" t="str">
            <v>NA</v>
          </cell>
        </row>
        <row r="150">
          <cell r="A150">
            <v>45117</v>
          </cell>
          <cell r="B150" t="str">
            <v>A2</v>
          </cell>
          <cell r="C150">
            <v>3</v>
          </cell>
          <cell r="D150">
            <v>1</v>
          </cell>
          <cell r="E150" t="str">
            <v>ARIS.A2.Aim1.Bin3.RB</v>
          </cell>
          <cell r="F150">
            <v>3</v>
          </cell>
          <cell r="G150" t="str">
            <v>SplineDFA</v>
          </cell>
          <cell r="H150" t="str">
            <v>Y</v>
          </cell>
          <cell r="I150" t="str">
            <v>N</v>
          </cell>
          <cell r="J150">
            <v>89</v>
          </cell>
          <cell r="K150">
            <v>1</v>
          </cell>
          <cell r="L150">
            <v>0.25900000000000001</v>
          </cell>
          <cell r="M150">
            <v>23.7</v>
          </cell>
          <cell r="N150">
            <v>2.7</v>
          </cell>
          <cell r="O150">
            <v>0.74099999999999999</v>
          </cell>
          <cell r="P150">
            <v>0.61609999999999998</v>
          </cell>
          <cell r="Q150">
            <v>0.1249</v>
          </cell>
          <cell r="R150" t="str">
            <v>NA</v>
          </cell>
          <cell r="S150" t="str">
            <v>NA</v>
          </cell>
          <cell r="T150">
            <v>61.4</v>
          </cell>
          <cell r="U150">
            <v>5</v>
          </cell>
          <cell r="V150">
            <v>75.099999999999994</v>
          </cell>
          <cell r="W150">
            <v>7.6</v>
          </cell>
          <cell r="X150" t="str">
            <v>NA</v>
          </cell>
          <cell r="Y150" t="str">
            <v>NA</v>
          </cell>
          <cell r="Z150" t="str">
            <v>NA</v>
          </cell>
          <cell r="AA150" t="str">
            <v>NA</v>
          </cell>
        </row>
        <row r="151">
          <cell r="A151">
            <v>45117</v>
          </cell>
          <cell r="B151" t="str">
            <v>A2</v>
          </cell>
          <cell r="C151">
            <v>4</v>
          </cell>
          <cell r="D151">
            <v>1</v>
          </cell>
          <cell r="E151" t="str">
            <v>ARIS.A2.Aim1.Bin4.RB</v>
          </cell>
          <cell r="F151">
            <v>3</v>
          </cell>
          <cell r="G151" t="str">
            <v>SplineDFA</v>
          </cell>
          <cell r="H151" t="str">
            <v>Y</v>
          </cell>
          <cell r="I151" t="str">
            <v>N</v>
          </cell>
          <cell r="J151">
            <v>89</v>
          </cell>
          <cell r="K151">
            <v>1</v>
          </cell>
          <cell r="L151">
            <v>0.25900000000000001</v>
          </cell>
          <cell r="M151">
            <v>23.7</v>
          </cell>
          <cell r="N151">
            <v>2.7</v>
          </cell>
          <cell r="O151">
            <v>0.74099999999999999</v>
          </cell>
          <cell r="P151">
            <v>0.61609999999999998</v>
          </cell>
          <cell r="Q151">
            <v>0.1249</v>
          </cell>
          <cell r="R151" t="str">
            <v>NA</v>
          </cell>
          <cell r="S151" t="str">
            <v>NA</v>
          </cell>
          <cell r="T151">
            <v>61.4</v>
          </cell>
          <cell r="U151">
            <v>5</v>
          </cell>
          <cell r="V151">
            <v>75.099999999999994</v>
          </cell>
          <cell r="W151">
            <v>7.6</v>
          </cell>
          <cell r="X151" t="str">
            <v>NA</v>
          </cell>
          <cell r="Y151" t="str">
            <v>NA</v>
          </cell>
          <cell r="Z151" t="str">
            <v>NA</v>
          </cell>
          <cell r="AA151" t="str">
            <v>NA</v>
          </cell>
        </row>
        <row r="152">
          <cell r="A152">
            <v>45118</v>
          </cell>
          <cell r="B152" t="str">
            <v>A1</v>
          </cell>
          <cell r="C152">
            <v>1</v>
          </cell>
          <cell r="D152">
            <v>1</v>
          </cell>
          <cell r="E152" t="str">
            <v>ARIS.A1.Aim1.Bin1.LB</v>
          </cell>
          <cell r="F152">
            <v>3</v>
          </cell>
          <cell r="G152" t="str">
            <v>SplineDFA</v>
          </cell>
          <cell r="H152" t="str">
            <v>Y</v>
          </cell>
          <cell r="I152" t="str">
            <v>N</v>
          </cell>
          <cell r="J152">
            <v>117</v>
          </cell>
          <cell r="K152">
            <v>1</v>
          </cell>
          <cell r="L152">
            <v>0.96360000000000001</v>
          </cell>
          <cell r="M152">
            <v>23.7</v>
          </cell>
          <cell r="N152">
            <v>2.7</v>
          </cell>
          <cell r="O152">
            <v>3.6400000000000002E-2</v>
          </cell>
          <cell r="P152">
            <v>3.6400000000000002E-2</v>
          </cell>
          <cell r="Q152">
            <v>0</v>
          </cell>
          <cell r="R152" t="str">
            <v>NA</v>
          </cell>
          <cell r="S152" t="str">
            <v>NA</v>
          </cell>
          <cell r="T152">
            <v>61.4</v>
          </cell>
          <cell r="U152">
            <v>5</v>
          </cell>
          <cell r="V152">
            <v>75.099999999999994</v>
          </cell>
          <cell r="W152">
            <v>7.6</v>
          </cell>
          <cell r="X152" t="str">
            <v>NA</v>
          </cell>
          <cell r="Y152" t="str">
            <v>NA</v>
          </cell>
          <cell r="Z152" t="str">
            <v>NA</v>
          </cell>
          <cell r="AA152" t="str">
            <v>NA</v>
          </cell>
        </row>
        <row r="153">
          <cell r="A153">
            <v>45118</v>
          </cell>
          <cell r="B153" t="str">
            <v>A1</v>
          </cell>
          <cell r="C153">
            <v>1</v>
          </cell>
          <cell r="D153">
            <v>2</v>
          </cell>
          <cell r="E153" t="str">
            <v>ARIS.A1.Aim2.Bin1.LB</v>
          </cell>
          <cell r="F153">
            <v>3</v>
          </cell>
          <cell r="G153" t="str">
            <v>SplineDFA</v>
          </cell>
          <cell r="H153" t="str">
            <v>Y</v>
          </cell>
          <cell r="I153" t="str">
            <v>N</v>
          </cell>
          <cell r="J153">
            <v>110</v>
          </cell>
          <cell r="K153">
            <v>1</v>
          </cell>
          <cell r="L153">
            <v>0.97170000000000001</v>
          </cell>
          <cell r="M153">
            <v>23.7</v>
          </cell>
          <cell r="N153">
            <v>2.7</v>
          </cell>
          <cell r="O153">
            <v>2.8299999999999999E-2</v>
          </cell>
          <cell r="P153">
            <v>2.8299999999999999E-2</v>
          </cell>
          <cell r="Q153">
            <v>0</v>
          </cell>
          <cell r="R153" t="str">
            <v>NA</v>
          </cell>
          <cell r="S153" t="str">
            <v>NA</v>
          </cell>
          <cell r="T153">
            <v>61.4</v>
          </cell>
          <cell r="U153">
            <v>5</v>
          </cell>
          <cell r="V153">
            <v>75.099999999999994</v>
          </cell>
          <cell r="W153">
            <v>7.6</v>
          </cell>
          <cell r="X153" t="str">
            <v>NA</v>
          </cell>
          <cell r="Y153" t="str">
            <v>NA</v>
          </cell>
          <cell r="Z153" t="str">
            <v>NA</v>
          </cell>
          <cell r="AA153" t="str">
            <v>NA</v>
          </cell>
        </row>
        <row r="154">
          <cell r="A154">
            <v>45118</v>
          </cell>
          <cell r="B154" t="str">
            <v>A1</v>
          </cell>
          <cell r="C154">
            <v>2</v>
          </cell>
          <cell r="D154">
            <v>3</v>
          </cell>
          <cell r="E154" t="str">
            <v>ARIS.A1.Aim3.Bin2.LB</v>
          </cell>
          <cell r="F154">
            <v>3</v>
          </cell>
          <cell r="G154" t="str">
            <v>SplineDFA</v>
          </cell>
          <cell r="H154" t="str">
            <v>Y</v>
          </cell>
          <cell r="I154" t="str">
            <v>N</v>
          </cell>
          <cell r="J154">
            <v>112</v>
          </cell>
          <cell r="K154">
            <v>1</v>
          </cell>
          <cell r="L154">
            <v>0.68379999999999996</v>
          </cell>
          <cell r="M154">
            <v>23.7</v>
          </cell>
          <cell r="N154">
            <v>2.7</v>
          </cell>
          <cell r="O154">
            <v>0.31619999999999998</v>
          </cell>
          <cell r="P154">
            <v>0.2581</v>
          </cell>
          <cell r="Q154">
            <v>5.8099999999999999E-2</v>
          </cell>
          <cell r="R154" t="str">
            <v>NA</v>
          </cell>
          <cell r="S154" t="str">
            <v>NA</v>
          </cell>
          <cell r="T154">
            <v>61.4</v>
          </cell>
          <cell r="U154">
            <v>5</v>
          </cell>
          <cell r="V154">
            <v>75.099999999999994</v>
          </cell>
          <cell r="W154">
            <v>7.6</v>
          </cell>
          <cell r="X154" t="str">
            <v>NA</v>
          </cell>
          <cell r="Y154" t="str">
            <v>NA</v>
          </cell>
          <cell r="Z154" t="str">
            <v>NA</v>
          </cell>
          <cell r="AA154" t="str">
            <v>NA</v>
          </cell>
        </row>
        <row r="155">
          <cell r="A155">
            <v>45118</v>
          </cell>
          <cell r="B155" t="str">
            <v>A1</v>
          </cell>
          <cell r="C155">
            <v>3</v>
          </cell>
          <cell r="D155">
            <v>3</v>
          </cell>
          <cell r="E155" t="str">
            <v>ARIS.A1.Aim3.Bin3.LB</v>
          </cell>
          <cell r="F155">
            <v>3</v>
          </cell>
          <cell r="G155" t="str">
            <v>SplineDFA</v>
          </cell>
          <cell r="H155" t="str">
            <v>Y</v>
          </cell>
          <cell r="I155" t="str">
            <v>N</v>
          </cell>
          <cell r="J155">
            <v>84</v>
          </cell>
          <cell r="K155">
            <v>1</v>
          </cell>
          <cell r="L155">
            <v>0.22689999999999999</v>
          </cell>
          <cell r="M155">
            <v>23.7</v>
          </cell>
          <cell r="N155">
            <v>2.7</v>
          </cell>
          <cell r="O155">
            <v>0.77310000000000001</v>
          </cell>
          <cell r="P155">
            <v>0.53939999999999999</v>
          </cell>
          <cell r="Q155">
            <v>0.23369999999999999</v>
          </cell>
          <cell r="R155" t="str">
            <v>NA</v>
          </cell>
          <cell r="S155" t="str">
            <v>NA</v>
          </cell>
          <cell r="T155">
            <v>61.4</v>
          </cell>
          <cell r="U155">
            <v>5</v>
          </cell>
          <cell r="V155">
            <v>75.099999999999994</v>
          </cell>
          <cell r="W155">
            <v>7.6</v>
          </cell>
          <cell r="X155" t="str">
            <v>NA</v>
          </cell>
          <cell r="Y155" t="str">
            <v>NA</v>
          </cell>
          <cell r="Z155" t="str">
            <v>NA</v>
          </cell>
          <cell r="AA155" t="str">
            <v>NA</v>
          </cell>
        </row>
        <row r="156">
          <cell r="A156">
            <v>45118</v>
          </cell>
          <cell r="B156" t="str">
            <v>A1</v>
          </cell>
          <cell r="C156">
            <v>4</v>
          </cell>
          <cell r="D156">
            <v>3</v>
          </cell>
          <cell r="E156" t="str">
            <v>ARIS.A1.Aim3.Bin4.LB</v>
          </cell>
          <cell r="F156">
            <v>3</v>
          </cell>
          <cell r="G156" t="str">
            <v>SplineDFA</v>
          </cell>
          <cell r="H156" t="str">
            <v>Y</v>
          </cell>
          <cell r="I156" t="str">
            <v>N</v>
          </cell>
          <cell r="J156">
            <v>84</v>
          </cell>
          <cell r="K156">
            <v>1</v>
          </cell>
          <cell r="L156">
            <v>0.22689999999999999</v>
          </cell>
          <cell r="M156">
            <v>23.7</v>
          </cell>
          <cell r="N156">
            <v>2.7</v>
          </cell>
          <cell r="O156">
            <v>0.77310000000000001</v>
          </cell>
          <cell r="P156">
            <v>0.53939999999999999</v>
          </cell>
          <cell r="Q156">
            <v>0.23369999999999999</v>
          </cell>
          <cell r="R156" t="str">
            <v>NA</v>
          </cell>
          <cell r="S156" t="str">
            <v>NA</v>
          </cell>
          <cell r="T156">
            <v>61.4</v>
          </cell>
          <cell r="U156">
            <v>5</v>
          </cell>
          <cell r="V156">
            <v>75.099999999999994</v>
          </cell>
          <cell r="W156">
            <v>7.6</v>
          </cell>
          <cell r="X156" t="str">
            <v>NA</v>
          </cell>
          <cell r="Y156" t="str">
            <v>NA</v>
          </cell>
          <cell r="Z156" t="str">
            <v>NA</v>
          </cell>
          <cell r="AA156" t="str">
            <v>NA</v>
          </cell>
        </row>
        <row r="157">
          <cell r="A157">
            <v>45118</v>
          </cell>
          <cell r="B157" t="str">
            <v>A1</v>
          </cell>
          <cell r="C157">
            <v>1</v>
          </cell>
          <cell r="D157">
            <v>1</v>
          </cell>
          <cell r="E157" t="str">
            <v>ARIS.A1.Aim1.Bin1.LB</v>
          </cell>
          <cell r="F157">
            <v>3</v>
          </cell>
          <cell r="G157" t="str">
            <v>Unweighted</v>
          </cell>
          <cell r="H157" t="str">
            <v>N</v>
          </cell>
          <cell r="I157" t="str">
            <v>Y</v>
          </cell>
          <cell r="J157">
            <v>117</v>
          </cell>
          <cell r="K157">
            <v>1</v>
          </cell>
          <cell r="L157">
            <v>0.94950000000000001</v>
          </cell>
          <cell r="M157">
            <v>21</v>
          </cell>
          <cell r="N157">
            <v>6.1</v>
          </cell>
          <cell r="O157">
            <v>5.0500000000000003E-2</v>
          </cell>
          <cell r="P157">
            <v>5.0500000000000003E-2</v>
          </cell>
          <cell r="Q157">
            <v>0</v>
          </cell>
          <cell r="R157" t="str">
            <v>NA</v>
          </cell>
          <cell r="S157" t="str">
            <v>NA</v>
          </cell>
          <cell r="T157">
            <v>61.4</v>
          </cell>
          <cell r="U157">
            <v>5</v>
          </cell>
          <cell r="V157">
            <v>75.099999999999994</v>
          </cell>
          <cell r="W157">
            <v>7.6</v>
          </cell>
          <cell r="X157" t="str">
            <v>NA</v>
          </cell>
          <cell r="Y157" t="str">
            <v>NA</v>
          </cell>
          <cell r="Z157" t="str">
            <v>NA</v>
          </cell>
          <cell r="AA157" t="str">
            <v>NA</v>
          </cell>
        </row>
        <row r="158">
          <cell r="A158">
            <v>45118</v>
          </cell>
          <cell r="B158" t="str">
            <v>A1</v>
          </cell>
          <cell r="C158">
            <v>1</v>
          </cell>
          <cell r="D158">
            <v>2</v>
          </cell>
          <cell r="E158" t="str">
            <v>ARIS.A1.Aim2.Bin1.LB</v>
          </cell>
          <cell r="F158">
            <v>3</v>
          </cell>
          <cell r="G158" t="str">
            <v>Unweighted</v>
          </cell>
          <cell r="H158" t="str">
            <v>N</v>
          </cell>
          <cell r="I158" t="str">
            <v>Y</v>
          </cell>
          <cell r="J158">
            <v>110</v>
          </cell>
          <cell r="K158">
            <v>1</v>
          </cell>
          <cell r="L158">
            <v>0.9748</v>
          </cell>
          <cell r="M158">
            <v>15.7</v>
          </cell>
          <cell r="N158">
            <v>5.3</v>
          </cell>
          <cell r="O158">
            <v>2.52E-2</v>
          </cell>
          <cell r="P158">
            <v>2.52E-2</v>
          </cell>
          <cell r="Q158">
            <v>0</v>
          </cell>
          <cell r="R158" t="str">
            <v>NA</v>
          </cell>
          <cell r="S158" t="str">
            <v>NA</v>
          </cell>
          <cell r="T158">
            <v>61.4</v>
          </cell>
          <cell r="U158">
            <v>5</v>
          </cell>
          <cell r="V158">
            <v>75.099999999999994</v>
          </cell>
          <cell r="W158">
            <v>7.6</v>
          </cell>
          <cell r="X158" t="str">
            <v>NA</v>
          </cell>
          <cell r="Y158" t="str">
            <v>NA</v>
          </cell>
          <cell r="Z158" t="str">
            <v>NA</v>
          </cell>
          <cell r="AA158" t="str">
            <v>NA</v>
          </cell>
        </row>
        <row r="159">
          <cell r="A159">
            <v>45118</v>
          </cell>
          <cell r="B159" t="str">
            <v>A1</v>
          </cell>
          <cell r="C159">
            <v>1</v>
          </cell>
          <cell r="D159" t="str">
            <v>1&amp;2</v>
          </cell>
          <cell r="E159" t="str">
            <v>ARIS.A1.Aim1&amp;Aim2.Bin1.LB</v>
          </cell>
          <cell r="F159">
            <v>3</v>
          </cell>
          <cell r="G159" t="str">
            <v>Unweighted</v>
          </cell>
          <cell r="H159" t="str">
            <v>N</v>
          </cell>
          <cell r="I159" t="str">
            <v>Y</v>
          </cell>
          <cell r="J159">
            <v>227</v>
          </cell>
          <cell r="K159">
            <v>1</v>
          </cell>
          <cell r="L159">
            <v>0.96230000000000004</v>
          </cell>
          <cell r="M159">
            <v>18.5</v>
          </cell>
          <cell r="N159">
            <v>6.3</v>
          </cell>
          <cell r="O159">
            <v>3.7699999999999997E-2</v>
          </cell>
          <cell r="P159">
            <v>3.7699999999999997E-2</v>
          </cell>
          <cell r="Q159">
            <v>0</v>
          </cell>
          <cell r="R159" t="str">
            <v>NA</v>
          </cell>
          <cell r="S159" t="str">
            <v>NA</v>
          </cell>
          <cell r="T159">
            <v>61.4</v>
          </cell>
          <cell r="U159">
            <v>5</v>
          </cell>
          <cell r="V159">
            <v>75.099999999999994</v>
          </cell>
          <cell r="W159">
            <v>7.6</v>
          </cell>
          <cell r="X159" t="str">
            <v>NA</v>
          </cell>
          <cell r="Y159" t="str">
            <v>NA</v>
          </cell>
          <cell r="Z159" t="str">
            <v>NA</v>
          </cell>
          <cell r="AA159" t="str">
            <v>NA</v>
          </cell>
        </row>
        <row r="160">
          <cell r="A160">
            <v>45118</v>
          </cell>
          <cell r="B160" t="str">
            <v>A1</v>
          </cell>
          <cell r="C160">
            <v>2</v>
          </cell>
          <cell r="D160">
            <v>3</v>
          </cell>
          <cell r="E160" t="str">
            <v>ARIS.A1.Aim3.Bin2.LB</v>
          </cell>
          <cell r="F160">
            <v>3</v>
          </cell>
          <cell r="G160" t="str">
            <v>Unweighted</v>
          </cell>
          <cell r="H160" t="str">
            <v>N</v>
          </cell>
          <cell r="I160" t="str">
            <v>Y</v>
          </cell>
          <cell r="J160">
            <v>112</v>
          </cell>
          <cell r="K160">
            <v>1</v>
          </cell>
          <cell r="L160">
            <v>0.81189999999999996</v>
          </cell>
          <cell r="M160">
            <v>30.2</v>
          </cell>
          <cell r="N160">
            <v>8.3000000000000007</v>
          </cell>
          <cell r="O160">
            <v>0.18809999999999999</v>
          </cell>
          <cell r="P160">
            <v>0.1207</v>
          </cell>
          <cell r="Q160">
            <v>6.7400000000000002E-2</v>
          </cell>
          <cell r="R160" t="str">
            <v>NA</v>
          </cell>
          <cell r="S160" t="str">
            <v>NA</v>
          </cell>
          <cell r="T160">
            <v>61.4</v>
          </cell>
          <cell r="U160">
            <v>5</v>
          </cell>
          <cell r="V160">
            <v>75.099999999999994</v>
          </cell>
          <cell r="W160">
            <v>7.6</v>
          </cell>
          <cell r="X160" t="str">
            <v>NA</v>
          </cell>
          <cell r="Y160" t="str">
            <v>NA</v>
          </cell>
          <cell r="Z160" t="str">
            <v>NA</v>
          </cell>
          <cell r="AA160" t="str">
            <v>NA</v>
          </cell>
        </row>
        <row r="161">
          <cell r="A161">
            <v>45118</v>
          </cell>
          <cell r="B161" t="str">
            <v>A1</v>
          </cell>
          <cell r="C161">
            <v>3</v>
          </cell>
          <cell r="D161">
            <v>3</v>
          </cell>
          <cell r="E161" t="str">
            <v>ARIS.A1.Aim3.Bin3.LB</v>
          </cell>
          <cell r="F161">
            <v>3</v>
          </cell>
          <cell r="G161" t="str">
            <v>Unweighted</v>
          </cell>
          <cell r="H161" t="str">
            <v>N</v>
          </cell>
          <cell r="I161" t="str">
            <v>Y</v>
          </cell>
          <cell r="J161">
            <v>84</v>
          </cell>
          <cell r="K161">
            <v>1</v>
          </cell>
          <cell r="L161">
            <v>0.51910000000000001</v>
          </cell>
          <cell r="M161">
            <v>41.9</v>
          </cell>
          <cell r="N161">
            <v>9.3000000000000007</v>
          </cell>
          <cell r="O161">
            <v>0.48089999999999999</v>
          </cell>
          <cell r="P161">
            <v>0.1865</v>
          </cell>
          <cell r="Q161">
            <v>0.2944</v>
          </cell>
          <cell r="R161" t="str">
            <v>NA</v>
          </cell>
          <cell r="S161" t="str">
            <v>NA</v>
          </cell>
          <cell r="T161">
            <v>61.4</v>
          </cell>
          <cell r="U161">
            <v>5</v>
          </cell>
          <cell r="V161">
            <v>75.099999999999994</v>
          </cell>
          <cell r="W161">
            <v>7.6</v>
          </cell>
          <cell r="X161" t="str">
            <v>NA</v>
          </cell>
          <cell r="Y161" t="str">
            <v>NA</v>
          </cell>
          <cell r="Z161" t="str">
            <v>NA</v>
          </cell>
          <cell r="AA161" t="str">
            <v>NA</v>
          </cell>
        </row>
        <row r="162">
          <cell r="A162">
            <v>45118</v>
          </cell>
          <cell r="B162" t="str">
            <v>A1</v>
          </cell>
          <cell r="C162">
            <v>4</v>
          </cell>
          <cell r="D162">
            <v>3</v>
          </cell>
          <cell r="E162" t="str">
            <v>ARIS.A1.Aim3.Bin4.LB</v>
          </cell>
          <cell r="F162">
            <v>3</v>
          </cell>
          <cell r="G162" t="str">
            <v>Unweighted</v>
          </cell>
          <cell r="H162" t="str">
            <v>N</v>
          </cell>
          <cell r="I162" t="str">
            <v>Y</v>
          </cell>
          <cell r="J162">
            <v>84</v>
          </cell>
          <cell r="K162">
            <v>1</v>
          </cell>
          <cell r="L162">
            <v>0.51910000000000001</v>
          </cell>
          <cell r="M162">
            <v>41.9</v>
          </cell>
          <cell r="N162">
            <v>9.3000000000000007</v>
          </cell>
          <cell r="O162">
            <v>0.48089999999999999</v>
          </cell>
          <cell r="P162">
            <v>0.1865</v>
          </cell>
          <cell r="Q162">
            <v>0.2944</v>
          </cell>
          <cell r="R162" t="str">
            <v>NA</v>
          </cell>
          <cell r="S162" t="str">
            <v>NA</v>
          </cell>
          <cell r="T162">
            <v>61.4</v>
          </cell>
          <cell r="U162">
            <v>5</v>
          </cell>
          <cell r="V162">
            <v>75.099999999999994</v>
          </cell>
          <cell r="W162">
            <v>7.6</v>
          </cell>
          <cell r="X162" t="str">
            <v>NA</v>
          </cell>
          <cell r="Y162" t="str">
            <v>NA</v>
          </cell>
          <cell r="Z162" t="str">
            <v>NA</v>
          </cell>
          <cell r="AA162" t="str">
            <v>NA</v>
          </cell>
        </row>
        <row r="163">
          <cell r="A163">
            <v>45118</v>
          </cell>
          <cell r="B163" t="str">
            <v>A2</v>
          </cell>
          <cell r="C163">
            <v>1</v>
          </cell>
          <cell r="D163">
            <v>1</v>
          </cell>
          <cell r="E163" t="str">
            <v>ARIS.A2.Aim1.Bin1.RB</v>
          </cell>
          <cell r="F163">
            <v>3</v>
          </cell>
          <cell r="G163" t="str">
            <v>Unweighted</v>
          </cell>
          <cell r="H163" t="str">
            <v>N</v>
          </cell>
          <cell r="I163" t="str">
            <v>Y</v>
          </cell>
          <cell r="J163">
            <v>154</v>
          </cell>
          <cell r="K163">
            <v>1</v>
          </cell>
          <cell r="L163">
            <v>0.93610000000000004</v>
          </cell>
          <cell r="M163">
            <v>19.8</v>
          </cell>
          <cell r="N163">
            <v>6.3</v>
          </cell>
          <cell r="O163">
            <v>6.3899999999999998E-2</v>
          </cell>
          <cell r="P163">
            <v>6.3899999999999998E-2</v>
          </cell>
          <cell r="Q163">
            <v>0</v>
          </cell>
          <cell r="R163" t="str">
            <v>NA</v>
          </cell>
          <cell r="S163" t="str">
            <v>NA</v>
          </cell>
          <cell r="T163">
            <v>61.4</v>
          </cell>
          <cell r="U163">
            <v>5</v>
          </cell>
          <cell r="V163">
            <v>75.099999999999994</v>
          </cell>
          <cell r="W163">
            <v>7.6</v>
          </cell>
          <cell r="X163" t="str">
            <v>NA</v>
          </cell>
          <cell r="Y163" t="str">
            <v>NA</v>
          </cell>
          <cell r="Z163" t="str">
            <v>NA</v>
          </cell>
          <cell r="AA163" t="str">
            <v>NA</v>
          </cell>
        </row>
        <row r="164">
          <cell r="A164">
            <v>45118</v>
          </cell>
          <cell r="B164" t="str">
            <v>A2</v>
          </cell>
          <cell r="C164">
            <v>2</v>
          </cell>
          <cell r="D164">
            <v>1</v>
          </cell>
          <cell r="E164" t="str">
            <v>ARIS.A2.Aim1.Bin2.RB</v>
          </cell>
          <cell r="F164">
            <v>3</v>
          </cell>
          <cell r="G164" t="str">
            <v>Unweighted</v>
          </cell>
          <cell r="H164" t="str">
            <v>N</v>
          </cell>
          <cell r="I164" t="str">
            <v>Y</v>
          </cell>
          <cell r="J164">
            <v>147</v>
          </cell>
          <cell r="K164">
            <v>1</v>
          </cell>
          <cell r="L164">
            <v>0.93679999999999997</v>
          </cell>
          <cell r="M164">
            <v>29.9</v>
          </cell>
          <cell r="N164">
            <v>9.4</v>
          </cell>
          <cell r="O164">
            <v>6.3200000000000006E-2</v>
          </cell>
          <cell r="P164">
            <v>2.9899999999999999E-2</v>
          </cell>
          <cell r="Q164">
            <v>3.3300000000000003E-2</v>
          </cell>
          <cell r="R164" t="str">
            <v>NA</v>
          </cell>
          <cell r="S164" t="str">
            <v>NA</v>
          </cell>
          <cell r="T164">
            <v>61.4</v>
          </cell>
          <cell r="U164">
            <v>5</v>
          </cell>
          <cell r="V164">
            <v>75.099999999999994</v>
          </cell>
          <cell r="W164">
            <v>7.6</v>
          </cell>
          <cell r="X164" t="str">
            <v>NA</v>
          </cell>
          <cell r="Y164" t="str">
            <v>NA</v>
          </cell>
          <cell r="Z164" t="str">
            <v>NA</v>
          </cell>
          <cell r="AA164" t="str">
            <v>NA</v>
          </cell>
        </row>
        <row r="165">
          <cell r="A165">
            <v>45118</v>
          </cell>
          <cell r="B165" t="str">
            <v>A2</v>
          </cell>
          <cell r="C165">
            <v>3</v>
          </cell>
          <cell r="D165">
            <v>1</v>
          </cell>
          <cell r="E165" t="str">
            <v>ARIS.A2.Aim1.Bin3.RB</v>
          </cell>
          <cell r="F165">
            <v>3</v>
          </cell>
          <cell r="G165" t="str">
            <v>Unweighted</v>
          </cell>
          <cell r="H165" t="str">
            <v>N</v>
          </cell>
          <cell r="I165" t="str">
            <v>Y</v>
          </cell>
          <cell r="J165">
            <v>89</v>
          </cell>
          <cell r="K165">
            <v>0.99990000000000001</v>
          </cell>
          <cell r="L165">
            <v>0.76419999999999999</v>
          </cell>
          <cell r="M165">
            <v>38.6</v>
          </cell>
          <cell r="N165">
            <v>8.5</v>
          </cell>
          <cell r="O165">
            <v>0.23569999999999999</v>
          </cell>
          <cell r="P165">
            <v>0.1663</v>
          </cell>
          <cell r="Q165">
            <v>6.9400000000000003E-2</v>
          </cell>
          <cell r="R165" t="str">
            <v>NA</v>
          </cell>
          <cell r="S165" t="str">
            <v>NA</v>
          </cell>
          <cell r="T165">
            <v>61.4</v>
          </cell>
          <cell r="U165">
            <v>5</v>
          </cell>
          <cell r="V165">
            <v>75.099999999999994</v>
          </cell>
          <cell r="W165">
            <v>7.6</v>
          </cell>
          <cell r="X165" t="str">
            <v>NA</v>
          </cell>
          <cell r="Y165" t="str">
            <v>NA</v>
          </cell>
          <cell r="Z165" t="str">
            <v>NA</v>
          </cell>
          <cell r="AA165" t="str">
            <v>NA</v>
          </cell>
        </row>
        <row r="166">
          <cell r="A166">
            <v>45118</v>
          </cell>
          <cell r="B166" t="str">
            <v>A2</v>
          </cell>
          <cell r="C166">
            <v>4</v>
          </cell>
          <cell r="D166">
            <v>1</v>
          </cell>
          <cell r="E166" t="str">
            <v>ARIS.A2.Aim1.Bin4.RB</v>
          </cell>
          <cell r="F166">
            <v>3</v>
          </cell>
          <cell r="G166" t="str">
            <v>Unweighted</v>
          </cell>
          <cell r="H166" t="str">
            <v>N</v>
          </cell>
          <cell r="I166" t="str">
            <v>Y</v>
          </cell>
          <cell r="J166">
            <v>89</v>
          </cell>
          <cell r="K166">
            <v>0.99990000000000001</v>
          </cell>
          <cell r="L166">
            <v>0.76419999999999999</v>
          </cell>
          <cell r="M166">
            <v>38.6</v>
          </cell>
          <cell r="N166">
            <v>8.5</v>
          </cell>
          <cell r="O166">
            <v>0.23569999999999999</v>
          </cell>
          <cell r="P166">
            <v>0.1663</v>
          </cell>
          <cell r="Q166">
            <v>6.9400000000000003E-2</v>
          </cell>
          <cell r="R166" t="str">
            <v>NA</v>
          </cell>
          <cell r="S166" t="str">
            <v>NA</v>
          </cell>
          <cell r="T166">
            <v>61.4</v>
          </cell>
          <cell r="U166">
            <v>5</v>
          </cell>
          <cell r="V166">
            <v>75.099999999999994</v>
          </cell>
          <cell r="W166">
            <v>7.6</v>
          </cell>
          <cell r="X166" t="str">
            <v>NA</v>
          </cell>
          <cell r="Y166" t="str">
            <v>NA</v>
          </cell>
          <cell r="Z166" t="str">
            <v>NA</v>
          </cell>
          <cell r="AA166" t="str">
            <v>NA</v>
          </cell>
        </row>
        <row r="167">
          <cell r="A167">
            <v>45118</v>
          </cell>
          <cell r="B167" t="str">
            <v>A2</v>
          </cell>
          <cell r="C167">
            <v>1</v>
          </cell>
          <cell r="D167">
            <v>1</v>
          </cell>
          <cell r="E167" t="str">
            <v>ARIS.A2.Aim1.Bin1.RB</v>
          </cell>
          <cell r="F167">
            <v>3</v>
          </cell>
          <cell r="G167" t="str">
            <v>SplineDFA</v>
          </cell>
          <cell r="H167" t="str">
            <v>Y</v>
          </cell>
          <cell r="I167" t="str">
            <v>N</v>
          </cell>
          <cell r="J167">
            <v>154</v>
          </cell>
          <cell r="K167">
            <v>1</v>
          </cell>
          <cell r="L167">
            <v>0.90939999999999999</v>
          </cell>
          <cell r="M167">
            <v>23.7</v>
          </cell>
          <cell r="N167">
            <v>2.7</v>
          </cell>
          <cell r="O167">
            <v>9.06E-2</v>
          </cell>
          <cell r="P167">
            <v>9.06E-2</v>
          </cell>
          <cell r="Q167">
            <v>0</v>
          </cell>
          <cell r="R167" t="str">
            <v>NA</v>
          </cell>
          <cell r="S167" t="str">
            <v>NA</v>
          </cell>
          <cell r="T167">
            <v>61.4</v>
          </cell>
          <cell r="U167">
            <v>5</v>
          </cell>
          <cell r="V167">
            <v>75.099999999999994</v>
          </cell>
          <cell r="W167">
            <v>7.6</v>
          </cell>
          <cell r="X167" t="str">
            <v>NA</v>
          </cell>
          <cell r="Y167" t="str">
            <v>NA</v>
          </cell>
          <cell r="Z167" t="str">
            <v>NA</v>
          </cell>
          <cell r="AA167" t="str">
            <v>NA</v>
          </cell>
        </row>
        <row r="168">
          <cell r="A168">
            <v>45118</v>
          </cell>
          <cell r="B168" t="str">
            <v>A2</v>
          </cell>
          <cell r="C168">
            <v>2</v>
          </cell>
          <cell r="D168">
            <v>1</v>
          </cell>
          <cell r="E168" t="str">
            <v>ARIS.A2.Aim1.Bin2.RB</v>
          </cell>
          <cell r="F168">
            <v>3</v>
          </cell>
          <cell r="G168" t="str">
            <v>SplineDFA</v>
          </cell>
          <cell r="H168" t="str">
            <v>Y</v>
          </cell>
          <cell r="I168" t="str">
            <v>N</v>
          </cell>
          <cell r="J168">
            <v>147</v>
          </cell>
          <cell r="K168">
            <v>1.0001</v>
          </cell>
          <cell r="L168">
            <v>0.70499999999999996</v>
          </cell>
          <cell r="M168">
            <v>23.7</v>
          </cell>
          <cell r="N168">
            <v>2.7</v>
          </cell>
          <cell r="O168">
            <v>0.29509999999999997</v>
          </cell>
          <cell r="P168">
            <v>0.25590000000000002</v>
          </cell>
          <cell r="Q168">
            <v>3.9199999999999999E-2</v>
          </cell>
          <cell r="R168" t="str">
            <v>NA</v>
          </cell>
          <cell r="S168" t="str">
            <v>NA</v>
          </cell>
          <cell r="T168">
            <v>61.4</v>
          </cell>
          <cell r="U168">
            <v>5</v>
          </cell>
          <cell r="V168">
            <v>75.099999999999994</v>
          </cell>
          <cell r="W168">
            <v>7.6</v>
          </cell>
          <cell r="X168" t="str">
            <v>NA</v>
          </cell>
          <cell r="Y168" t="str">
            <v>NA</v>
          </cell>
          <cell r="Z168" t="str">
            <v>NA</v>
          </cell>
          <cell r="AA168" t="str">
            <v>NA</v>
          </cell>
        </row>
        <row r="169">
          <cell r="A169">
            <v>45118</v>
          </cell>
          <cell r="B169" t="str">
            <v>A2</v>
          </cell>
          <cell r="C169">
            <v>3</v>
          </cell>
          <cell r="D169">
            <v>1</v>
          </cell>
          <cell r="E169" t="str">
            <v>ARIS.A2.Aim1.Bin3.RB</v>
          </cell>
          <cell r="F169">
            <v>3</v>
          </cell>
          <cell r="G169" t="str">
            <v>SplineDFA</v>
          </cell>
          <cell r="H169" t="str">
            <v>Y</v>
          </cell>
          <cell r="I169" t="str">
            <v>N</v>
          </cell>
          <cell r="J169">
            <v>89</v>
          </cell>
          <cell r="K169">
            <v>1</v>
          </cell>
          <cell r="L169">
            <v>0.25900000000000001</v>
          </cell>
          <cell r="M169">
            <v>23.7</v>
          </cell>
          <cell r="N169">
            <v>2.7</v>
          </cell>
          <cell r="O169">
            <v>0.74099999999999999</v>
          </cell>
          <cell r="P169">
            <v>0.61609999999999998</v>
          </cell>
          <cell r="Q169">
            <v>0.1249</v>
          </cell>
          <cell r="R169" t="str">
            <v>NA</v>
          </cell>
          <cell r="S169" t="str">
            <v>NA</v>
          </cell>
          <cell r="T169">
            <v>61.4</v>
          </cell>
          <cell r="U169">
            <v>5</v>
          </cell>
          <cell r="V169">
            <v>75.099999999999994</v>
          </cell>
          <cell r="W169">
            <v>7.6</v>
          </cell>
          <cell r="X169" t="str">
            <v>NA</v>
          </cell>
          <cell r="Y169" t="str">
            <v>NA</v>
          </cell>
          <cell r="Z169" t="str">
            <v>NA</v>
          </cell>
          <cell r="AA169" t="str">
            <v>NA</v>
          </cell>
        </row>
        <row r="170">
          <cell r="A170">
            <v>45118</v>
          </cell>
          <cell r="B170" t="str">
            <v>A2</v>
          </cell>
          <cell r="C170">
            <v>4</v>
          </cell>
          <cell r="D170">
            <v>1</v>
          </cell>
          <cell r="E170" t="str">
            <v>ARIS.A2.Aim1.Bin4.RB</v>
          </cell>
          <cell r="F170">
            <v>3</v>
          </cell>
          <cell r="G170" t="str">
            <v>SplineDFA</v>
          </cell>
          <cell r="H170" t="str">
            <v>Y</v>
          </cell>
          <cell r="I170" t="str">
            <v>N</v>
          </cell>
          <cell r="J170">
            <v>89</v>
          </cell>
          <cell r="K170">
            <v>1</v>
          </cell>
          <cell r="L170">
            <v>0.25900000000000001</v>
          </cell>
          <cell r="M170">
            <v>23.7</v>
          </cell>
          <cell r="N170">
            <v>2.7</v>
          </cell>
          <cell r="O170">
            <v>0.74099999999999999</v>
          </cell>
          <cell r="P170">
            <v>0.61609999999999998</v>
          </cell>
          <cell r="Q170">
            <v>0.1249</v>
          </cell>
          <cell r="R170" t="str">
            <v>NA</v>
          </cell>
          <cell r="S170" t="str">
            <v>NA</v>
          </cell>
          <cell r="T170">
            <v>61.4</v>
          </cell>
          <cell r="U170">
            <v>5</v>
          </cell>
          <cell r="V170">
            <v>75.099999999999994</v>
          </cell>
          <cell r="W170">
            <v>7.6</v>
          </cell>
          <cell r="X170" t="str">
            <v>NA</v>
          </cell>
          <cell r="Y170" t="str">
            <v>NA</v>
          </cell>
          <cell r="Z170" t="str">
            <v>NA</v>
          </cell>
          <cell r="AA170" t="str">
            <v>NA</v>
          </cell>
        </row>
        <row r="171">
          <cell r="A171">
            <v>45119</v>
          </cell>
          <cell r="B171" t="str">
            <v>A1</v>
          </cell>
          <cell r="C171">
            <v>1</v>
          </cell>
          <cell r="D171">
            <v>1</v>
          </cell>
          <cell r="E171" t="str">
            <v>ARIS.A1.Aim1.Bin1.LB</v>
          </cell>
          <cell r="F171">
            <v>3</v>
          </cell>
          <cell r="G171" t="str">
            <v>SplineDFA</v>
          </cell>
          <cell r="H171" t="str">
            <v>Y</v>
          </cell>
          <cell r="I171" t="str">
            <v>N</v>
          </cell>
          <cell r="J171">
            <v>94</v>
          </cell>
          <cell r="K171">
            <v>1</v>
          </cell>
          <cell r="L171">
            <v>0.93579999999999997</v>
          </cell>
          <cell r="M171">
            <v>23.7</v>
          </cell>
          <cell r="N171">
            <v>2.7</v>
          </cell>
          <cell r="O171">
            <v>6.4199999999999993E-2</v>
          </cell>
          <cell r="P171">
            <v>6.0400000000000002E-2</v>
          </cell>
          <cell r="Q171">
            <v>3.8E-3</v>
          </cell>
          <cell r="R171" t="str">
            <v>NA</v>
          </cell>
          <cell r="S171" t="str">
            <v>NA</v>
          </cell>
          <cell r="T171">
            <v>61.4</v>
          </cell>
          <cell r="U171">
            <v>5</v>
          </cell>
          <cell r="V171">
            <v>75.099999999999994</v>
          </cell>
          <cell r="W171">
            <v>7.6</v>
          </cell>
          <cell r="X171" t="str">
            <v>NA</v>
          </cell>
          <cell r="Y171" t="str">
            <v>NA</v>
          </cell>
          <cell r="Z171" t="str">
            <v>NA</v>
          </cell>
          <cell r="AA171" t="str">
            <v>NA</v>
          </cell>
        </row>
        <row r="172">
          <cell r="A172">
            <v>45119</v>
          </cell>
          <cell r="B172" t="str">
            <v>A1</v>
          </cell>
          <cell r="C172">
            <v>1</v>
          </cell>
          <cell r="D172">
            <v>2</v>
          </cell>
          <cell r="E172" t="str">
            <v>ARIS.A1.Aim2.Bin1.LB</v>
          </cell>
          <cell r="F172">
            <v>3</v>
          </cell>
          <cell r="G172" t="str">
            <v>SplineDFA</v>
          </cell>
          <cell r="H172" t="str">
            <v>Y</v>
          </cell>
          <cell r="I172" t="str">
            <v>N</v>
          </cell>
          <cell r="J172">
            <v>65</v>
          </cell>
          <cell r="K172">
            <v>1</v>
          </cell>
          <cell r="L172">
            <v>0.85170000000000001</v>
          </cell>
          <cell r="M172">
            <v>23.7</v>
          </cell>
          <cell r="N172">
            <v>2.7</v>
          </cell>
          <cell r="O172">
            <v>0.14829999999999999</v>
          </cell>
          <cell r="P172">
            <v>0.14829999999999999</v>
          </cell>
          <cell r="Q172">
            <v>0</v>
          </cell>
          <cell r="R172" t="str">
            <v>NA</v>
          </cell>
          <cell r="S172" t="str">
            <v>NA</v>
          </cell>
          <cell r="T172">
            <v>61.4</v>
          </cell>
          <cell r="U172">
            <v>5</v>
          </cell>
          <cell r="V172">
            <v>75.099999999999994</v>
          </cell>
          <cell r="W172">
            <v>7.6</v>
          </cell>
          <cell r="X172" t="str">
            <v>NA</v>
          </cell>
          <cell r="Y172" t="str">
            <v>NA</v>
          </cell>
          <cell r="Z172" t="str">
            <v>NA</v>
          </cell>
          <cell r="AA172" t="str">
            <v>NA</v>
          </cell>
        </row>
        <row r="173">
          <cell r="A173">
            <v>45119</v>
          </cell>
          <cell r="B173" t="str">
            <v>A1</v>
          </cell>
          <cell r="C173">
            <v>2</v>
          </cell>
          <cell r="D173">
            <v>3</v>
          </cell>
          <cell r="E173" t="str">
            <v>ARIS.A1.Aim3.Bin2.LB</v>
          </cell>
          <cell r="F173">
            <v>3</v>
          </cell>
          <cell r="G173" t="str">
            <v>SplineDFA</v>
          </cell>
          <cell r="H173" t="str">
            <v>Y</v>
          </cell>
          <cell r="I173" t="str">
            <v>N</v>
          </cell>
          <cell r="J173">
            <v>107</v>
          </cell>
          <cell r="K173">
            <v>1</v>
          </cell>
          <cell r="L173">
            <v>0.56330000000000002</v>
          </cell>
          <cell r="M173">
            <v>23.7</v>
          </cell>
          <cell r="N173">
            <v>2.7</v>
          </cell>
          <cell r="O173">
            <v>0.43669999999999998</v>
          </cell>
          <cell r="P173">
            <v>0.3387</v>
          </cell>
          <cell r="Q173">
            <v>9.8000000000000004E-2</v>
          </cell>
          <cell r="R173" t="str">
            <v>NA</v>
          </cell>
          <cell r="S173" t="str">
            <v>NA</v>
          </cell>
          <cell r="T173">
            <v>61.4</v>
          </cell>
          <cell r="U173">
            <v>5</v>
          </cell>
          <cell r="V173">
            <v>75.099999999999994</v>
          </cell>
          <cell r="W173">
            <v>7.6</v>
          </cell>
          <cell r="X173" t="str">
            <v>NA</v>
          </cell>
          <cell r="Y173" t="str">
            <v>NA</v>
          </cell>
          <cell r="Z173" t="str">
            <v>NA</v>
          </cell>
          <cell r="AA173" t="str">
            <v>NA</v>
          </cell>
        </row>
        <row r="174">
          <cell r="A174">
            <v>45119</v>
          </cell>
          <cell r="B174" t="str">
            <v>A1</v>
          </cell>
          <cell r="C174">
            <v>3</v>
          </cell>
          <cell r="D174">
            <v>3</v>
          </cell>
          <cell r="E174" t="str">
            <v>ARIS.A1.Aim3.Bin3.LB</v>
          </cell>
          <cell r="F174">
            <v>3</v>
          </cell>
          <cell r="G174" t="str">
            <v>SplineDFA</v>
          </cell>
          <cell r="H174" t="str">
            <v>Y</v>
          </cell>
          <cell r="I174" t="str">
            <v>N</v>
          </cell>
          <cell r="J174">
            <v>92</v>
          </cell>
          <cell r="K174">
            <v>1</v>
          </cell>
          <cell r="L174">
            <v>0.16819999999999999</v>
          </cell>
          <cell r="M174">
            <v>23.7</v>
          </cell>
          <cell r="N174">
            <v>2.7</v>
          </cell>
          <cell r="O174">
            <v>0.83179999999999998</v>
          </cell>
          <cell r="P174">
            <v>0.42549999999999999</v>
          </cell>
          <cell r="Q174">
            <v>0.40629999999999999</v>
          </cell>
          <cell r="R174" t="str">
            <v>NA</v>
          </cell>
          <cell r="S174" t="str">
            <v>NA</v>
          </cell>
          <cell r="T174">
            <v>61.4</v>
          </cell>
          <cell r="U174">
            <v>5</v>
          </cell>
          <cell r="V174">
            <v>75.099999999999994</v>
          </cell>
          <cell r="W174">
            <v>7.6</v>
          </cell>
          <cell r="X174" t="str">
            <v>NA</v>
          </cell>
          <cell r="Y174" t="str">
            <v>NA</v>
          </cell>
          <cell r="Z174" t="str">
            <v>NA</v>
          </cell>
          <cell r="AA174" t="str">
            <v>NA</v>
          </cell>
        </row>
        <row r="175">
          <cell r="A175">
            <v>45119</v>
          </cell>
          <cell r="B175" t="str">
            <v>A1</v>
          </cell>
          <cell r="C175">
            <v>4</v>
          </cell>
          <cell r="D175">
            <v>3</v>
          </cell>
          <cell r="E175" t="str">
            <v>ARIS.A1.Aim3.Bin4.LB</v>
          </cell>
          <cell r="F175">
            <v>3</v>
          </cell>
          <cell r="G175" t="str">
            <v>SplineDFA</v>
          </cell>
          <cell r="H175" t="str">
            <v>Y</v>
          </cell>
          <cell r="I175" t="str">
            <v>N</v>
          </cell>
          <cell r="J175">
            <v>92</v>
          </cell>
          <cell r="K175">
            <v>1</v>
          </cell>
          <cell r="L175">
            <v>0.16819999999999999</v>
          </cell>
          <cell r="M175">
            <v>23.7</v>
          </cell>
          <cell r="N175">
            <v>2.7</v>
          </cell>
          <cell r="O175">
            <v>0.83179999999999998</v>
          </cell>
          <cell r="P175">
            <v>0.42549999999999999</v>
          </cell>
          <cell r="Q175">
            <v>0.40629999999999999</v>
          </cell>
          <cell r="R175" t="str">
            <v>NA</v>
          </cell>
          <cell r="S175" t="str">
            <v>NA</v>
          </cell>
          <cell r="T175">
            <v>61.4</v>
          </cell>
          <cell r="U175">
            <v>5</v>
          </cell>
          <cell r="V175">
            <v>75.099999999999994</v>
          </cell>
          <cell r="W175">
            <v>7.6</v>
          </cell>
          <cell r="X175" t="str">
            <v>NA</v>
          </cell>
          <cell r="Y175" t="str">
            <v>NA</v>
          </cell>
          <cell r="Z175" t="str">
            <v>NA</v>
          </cell>
          <cell r="AA175" t="str">
            <v>NA</v>
          </cell>
        </row>
        <row r="176">
          <cell r="A176">
            <v>45119</v>
          </cell>
          <cell r="B176" t="str">
            <v>A1</v>
          </cell>
          <cell r="C176">
            <v>1</v>
          </cell>
          <cell r="D176">
            <v>1</v>
          </cell>
          <cell r="E176" t="str">
            <v>ARIS.A1.Aim1.Bin1.LB</v>
          </cell>
          <cell r="F176">
            <v>3</v>
          </cell>
          <cell r="G176" t="str">
            <v>Unweighted</v>
          </cell>
          <cell r="H176" t="str">
            <v>N</v>
          </cell>
          <cell r="I176" t="str">
            <v>Y</v>
          </cell>
          <cell r="J176">
            <v>94</v>
          </cell>
          <cell r="K176">
            <v>1</v>
          </cell>
          <cell r="L176">
            <v>0.96719999999999995</v>
          </cell>
          <cell r="M176">
            <v>20.399999999999999</v>
          </cell>
          <cell r="N176">
            <v>9</v>
          </cell>
          <cell r="O176">
            <v>3.2800000000000003E-2</v>
          </cell>
          <cell r="P176">
            <v>2.4899999999999999E-2</v>
          </cell>
          <cell r="Q176">
            <v>7.9000000000000008E-3</v>
          </cell>
          <cell r="R176" t="str">
            <v>NA</v>
          </cell>
          <cell r="S176" t="str">
            <v>NA</v>
          </cell>
          <cell r="T176">
            <v>61.4</v>
          </cell>
          <cell r="U176">
            <v>5</v>
          </cell>
          <cell r="V176">
            <v>75.099999999999994</v>
          </cell>
          <cell r="W176">
            <v>7.6</v>
          </cell>
          <cell r="X176" t="str">
            <v>NA</v>
          </cell>
          <cell r="Y176" t="str">
            <v>NA</v>
          </cell>
          <cell r="Z176" t="str">
            <v>NA</v>
          </cell>
          <cell r="AA176" t="str">
            <v>NA</v>
          </cell>
        </row>
        <row r="177">
          <cell r="A177">
            <v>45119</v>
          </cell>
          <cell r="B177" t="str">
            <v>A1</v>
          </cell>
          <cell r="C177">
            <v>1</v>
          </cell>
          <cell r="D177">
            <v>2</v>
          </cell>
          <cell r="E177" t="str">
            <v>ARIS.A1.Aim2.Bin1.LB</v>
          </cell>
          <cell r="F177">
            <v>3</v>
          </cell>
          <cell r="G177" t="str">
            <v>Unweighted</v>
          </cell>
          <cell r="H177" t="str">
            <v>N</v>
          </cell>
          <cell r="I177" t="str">
            <v>Y</v>
          </cell>
          <cell r="J177">
            <v>65</v>
          </cell>
          <cell r="K177">
            <v>1</v>
          </cell>
          <cell r="L177">
            <v>0.93140000000000001</v>
          </cell>
          <cell r="M177">
            <v>15.8</v>
          </cell>
          <cell r="N177">
            <v>7.7</v>
          </cell>
          <cell r="O177">
            <v>6.8599999999999994E-2</v>
          </cell>
          <cell r="P177">
            <v>6.8599999999999994E-2</v>
          </cell>
          <cell r="Q177">
            <v>0</v>
          </cell>
          <cell r="R177" t="str">
            <v>NA</v>
          </cell>
          <cell r="S177" t="str">
            <v>NA</v>
          </cell>
          <cell r="T177">
            <v>61.4</v>
          </cell>
          <cell r="U177">
            <v>5</v>
          </cell>
          <cell r="V177">
            <v>75.099999999999994</v>
          </cell>
          <cell r="W177">
            <v>7.6</v>
          </cell>
          <cell r="X177" t="str">
            <v>NA</v>
          </cell>
          <cell r="Y177" t="str">
            <v>NA</v>
          </cell>
          <cell r="Z177" t="str">
            <v>NA</v>
          </cell>
          <cell r="AA177" t="str">
            <v>NA</v>
          </cell>
        </row>
        <row r="178">
          <cell r="A178">
            <v>45119</v>
          </cell>
          <cell r="B178" t="str">
            <v>A1</v>
          </cell>
          <cell r="C178">
            <v>1</v>
          </cell>
          <cell r="D178" t="str">
            <v>1&amp;2</v>
          </cell>
          <cell r="E178" t="str">
            <v>ARIS.A1.Aim1&amp;Aim2.Bin1.LB</v>
          </cell>
          <cell r="F178">
            <v>3</v>
          </cell>
          <cell r="G178" t="str">
            <v>Unweighted</v>
          </cell>
          <cell r="H178" t="str">
            <v>N</v>
          </cell>
          <cell r="I178" t="str">
            <v>Y</v>
          </cell>
          <cell r="J178">
            <v>159</v>
          </cell>
          <cell r="K178">
            <v>1</v>
          </cell>
          <cell r="L178">
            <v>0.96109999999999995</v>
          </cell>
          <cell r="M178">
            <v>19</v>
          </cell>
          <cell r="N178">
            <v>8.8000000000000007</v>
          </cell>
          <cell r="O178">
            <v>3.8899999999999997E-2</v>
          </cell>
          <cell r="P178">
            <v>3.7999999999999999E-2</v>
          </cell>
          <cell r="Q178">
            <v>8.9999999999999998E-4</v>
          </cell>
          <cell r="R178" t="str">
            <v>NA</v>
          </cell>
          <cell r="S178" t="str">
            <v>NA</v>
          </cell>
          <cell r="T178">
            <v>61.4</v>
          </cell>
          <cell r="U178">
            <v>5</v>
          </cell>
          <cell r="V178">
            <v>75.099999999999994</v>
          </cell>
          <cell r="W178">
            <v>7.6</v>
          </cell>
          <cell r="X178" t="str">
            <v>NA</v>
          </cell>
          <cell r="Y178" t="str">
            <v>NA</v>
          </cell>
          <cell r="Z178" t="str">
            <v>NA</v>
          </cell>
          <cell r="AA178" t="str">
            <v>NA</v>
          </cell>
        </row>
        <row r="179">
          <cell r="A179">
            <v>45119</v>
          </cell>
          <cell r="B179" t="str">
            <v>A1</v>
          </cell>
          <cell r="C179">
            <v>2</v>
          </cell>
          <cell r="D179">
            <v>3</v>
          </cell>
          <cell r="E179" t="str">
            <v>ARIS.A1.Aim3.Bin2.LB</v>
          </cell>
          <cell r="F179">
            <v>3</v>
          </cell>
          <cell r="G179" t="str">
            <v>Unweighted</v>
          </cell>
          <cell r="H179" t="str">
            <v>N</v>
          </cell>
          <cell r="I179" t="str">
            <v>Y</v>
          </cell>
          <cell r="J179">
            <v>107</v>
          </cell>
          <cell r="K179">
            <v>1</v>
          </cell>
          <cell r="L179">
            <v>0.70109999999999995</v>
          </cell>
          <cell r="M179">
            <v>31.3</v>
          </cell>
          <cell r="N179">
            <v>11.1</v>
          </cell>
          <cell r="O179">
            <v>0.2989</v>
          </cell>
          <cell r="P179">
            <v>0.17610000000000001</v>
          </cell>
          <cell r="Q179">
            <v>0.12280000000000001</v>
          </cell>
          <cell r="R179" t="str">
            <v>NA</v>
          </cell>
          <cell r="S179" t="str">
            <v>NA</v>
          </cell>
          <cell r="T179">
            <v>61.4</v>
          </cell>
          <cell r="U179">
            <v>5</v>
          </cell>
          <cell r="V179">
            <v>75.099999999999994</v>
          </cell>
          <cell r="W179">
            <v>7.6</v>
          </cell>
          <cell r="X179" t="str">
            <v>NA</v>
          </cell>
          <cell r="Y179" t="str">
            <v>NA</v>
          </cell>
          <cell r="Z179" t="str">
            <v>NA</v>
          </cell>
          <cell r="AA179" t="str">
            <v>NA</v>
          </cell>
        </row>
        <row r="180">
          <cell r="A180">
            <v>45119</v>
          </cell>
          <cell r="B180" t="str">
            <v>A1</v>
          </cell>
          <cell r="C180">
            <v>3</v>
          </cell>
          <cell r="D180">
            <v>3</v>
          </cell>
          <cell r="E180" t="str">
            <v>ARIS.A1.Aim3.Bin3.LB</v>
          </cell>
          <cell r="F180">
            <v>3</v>
          </cell>
          <cell r="G180" t="str">
            <v>Unweighted</v>
          </cell>
          <cell r="H180" t="str">
            <v>N</v>
          </cell>
          <cell r="I180" t="str">
            <v>Y</v>
          </cell>
          <cell r="J180">
            <v>92</v>
          </cell>
          <cell r="K180">
            <v>1</v>
          </cell>
          <cell r="L180">
            <v>0.37619999999999998</v>
          </cell>
          <cell r="M180">
            <v>37.9</v>
          </cell>
          <cell r="N180">
            <v>8.8000000000000007</v>
          </cell>
          <cell r="O180">
            <v>0.62380000000000002</v>
          </cell>
          <cell r="P180">
            <v>0.1195</v>
          </cell>
          <cell r="Q180">
            <v>0.50429999999999997</v>
          </cell>
          <cell r="R180" t="str">
            <v>NA</v>
          </cell>
          <cell r="S180" t="str">
            <v>NA</v>
          </cell>
          <cell r="T180">
            <v>61.4</v>
          </cell>
          <cell r="U180">
            <v>5</v>
          </cell>
          <cell r="V180">
            <v>75.099999999999994</v>
          </cell>
          <cell r="W180">
            <v>7.6</v>
          </cell>
          <cell r="X180" t="str">
            <v>NA</v>
          </cell>
          <cell r="Y180" t="str">
            <v>NA</v>
          </cell>
          <cell r="Z180" t="str">
            <v>NA</v>
          </cell>
          <cell r="AA180" t="str">
            <v>NA</v>
          </cell>
        </row>
        <row r="181">
          <cell r="A181">
            <v>45119</v>
          </cell>
          <cell r="B181" t="str">
            <v>A1</v>
          </cell>
          <cell r="C181">
            <v>4</v>
          </cell>
          <cell r="D181">
            <v>3</v>
          </cell>
          <cell r="E181" t="str">
            <v>ARIS.A1.Aim3.Bin4.LB</v>
          </cell>
          <cell r="F181">
            <v>3</v>
          </cell>
          <cell r="G181" t="str">
            <v>Unweighted</v>
          </cell>
          <cell r="H181" t="str">
            <v>N</v>
          </cell>
          <cell r="I181" t="str">
            <v>Y</v>
          </cell>
          <cell r="J181">
            <v>92</v>
          </cell>
          <cell r="K181">
            <v>1</v>
          </cell>
          <cell r="L181">
            <v>0.37619999999999998</v>
          </cell>
          <cell r="M181">
            <v>37.9</v>
          </cell>
          <cell r="N181">
            <v>8.8000000000000007</v>
          </cell>
          <cell r="O181">
            <v>0.62380000000000002</v>
          </cell>
          <cell r="P181">
            <v>0.1195</v>
          </cell>
          <cell r="Q181">
            <v>0.50429999999999997</v>
          </cell>
          <cell r="R181" t="str">
            <v>NA</v>
          </cell>
          <cell r="S181" t="str">
            <v>NA</v>
          </cell>
          <cell r="T181">
            <v>61.4</v>
          </cell>
          <cell r="U181">
            <v>5</v>
          </cell>
          <cell r="V181">
            <v>75.099999999999994</v>
          </cell>
          <cell r="W181">
            <v>7.6</v>
          </cell>
          <cell r="X181" t="str">
            <v>NA</v>
          </cell>
          <cell r="Y181" t="str">
            <v>NA</v>
          </cell>
          <cell r="Z181" t="str">
            <v>NA</v>
          </cell>
          <cell r="AA181" t="str">
            <v>NA</v>
          </cell>
        </row>
        <row r="182">
          <cell r="A182">
            <v>45119</v>
          </cell>
          <cell r="B182" t="str">
            <v>A2</v>
          </cell>
          <cell r="C182">
            <v>1</v>
          </cell>
          <cell r="D182">
            <v>1</v>
          </cell>
          <cell r="E182" t="str">
            <v>ARIS.A2.Aim1.Bin1.RB</v>
          </cell>
          <cell r="F182">
            <v>3</v>
          </cell>
          <cell r="G182" t="str">
            <v>Unweighted</v>
          </cell>
          <cell r="H182" t="str">
            <v>N</v>
          </cell>
          <cell r="I182" t="str">
            <v>Y</v>
          </cell>
          <cell r="J182">
            <v>134</v>
          </cell>
          <cell r="K182">
            <v>1</v>
          </cell>
          <cell r="L182">
            <v>0.92820000000000003</v>
          </cell>
          <cell r="M182">
            <v>16.7</v>
          </cell>
          <cell r="N182">
            <v>7.5</v>
          </cell>
          <cell r="O182">
            <v>7.1800000000000003E-2</v>
          </cell>
          <cell r="P182">
            <v>7.1800000000000003E-2</v>
          </cell>
          <cell r="Q182">
            <v>0</v>
          </cell>
          <cell r="R182" t="str">
            <v>NA</v>
          </cell>
          <cell r="S182" t="str">
            <v>NA</v>
          </cell>
          <cell r="T182">
            <v>61.4</v>
          </cell>
          <cell r="U182">
            <v>5</v>
          </cell>
          <cell r="V182">
            <v>75.099999999999994</v>
          </cell>
          <cell r="W182">
            <v>7.6</v>
          </cell>
          <cell r="X182" t="str">
            <v>NA</v>
          </cell>
          <cell r="Y182" t="str">
            <v>NA</v>
          </cell>
          <cell r="Z182" t="str">
            <v>NA</v>
          </cell>
          <cell r="AA182" t="str">
            <v>NA</v>
          </cell>
        </row>
        <row r="183">
          <cell r="A183">
            <v>45119</v>
          </cell>
          <cell r="B183" t="str">
            <v>A2</v>
          </cell>
          <cell r="C183">
            <v>2</v>
          </cell>
          <cell r="D183">
            <v>1</v>
          </cell>
          <cell r="E183" t="str">
            <v>ARIS.A2.Aim1.Bin2.RB</v>
          </cell>
          <cell r="F183">
            <v>3</v>
          </cell>
          <cell r="G183" t="str">
            <v>Unweighted</v>
          </cell>
          <cell r="H183" t="str">
            <v>N</v>
          </cell>
          <cell r="I183" t="str">
            <v>Y</v>
          </cell>
          <cell r="J183">
            <v>150</v>
          </cell>
          <cell r="K183">
            <v>1.0001</v>
          </cell>
          <cell r="L183">
            <v>0.95299999999999996</v>
          </cell>
          <cell r="M183">
            <v>26.2</v>
          </cell>
          <cell r="N183">
            <v>11.7</v>
          </cell>
          <cell r="O183">
            <v>4.7100000000000003E-2</v>
          </cell>
          <cell r="P183">
            <v>3.7100000000000001E-2</v>
          </cell>
          <cell r="Q183">
            <v>0.01</v>
          </cell>
          <cell r="R183" t="str">
            <v>NA</v>
          </cell>
          <cell r="S183" t="str">
            <v>NA</v>
          </cell>
          <cell r="T183">
            <v>61.4</v>
          </cell>
          <cell r="U183">
            <v>5</v>
          </cell>
          <cell r="V183">
            <v>75.099999999999994</v>
          </cell>
          <cell r="W183">
            <v>7.6</v>
          </cell>
          <cell r="X183" t="str">
            <v>NA</v>
          </cell>
          <cell r="Y183" t="str">
            <v>NA</v>
          </cell>
          <cell r="Z183" t="str">
            <v>NA</v>
          </cell>
          <cell r="AA183" t="str">
            <v>NA</v>
          </cell>
        </row>
        <row r="184">
          <cell r="A184">
            <v>45119</v>
          </cell>
          <cell r="B184" t="str">
            <v>A2</v>
          </cell>
          <cell r="C184">
            <v>3</v>
          </cell>
          <cell r="D184">
            <v>1</v>
          </cell>
          <cell r="E184" t="str">
            <v>ARIS.A2.Aim1.Bin3.RB</v>
          </cell>
          <cell r="F184">
            <v>3</v>
          </cell>
          <cell r="G184" t="str">
            <v>Unweighted</v>
          </cell>
          <cell r="H184" t="str">
            <v>N</v>
          </cell>
          <cell r="I184" t="str">
            <v>Y</v>
          </cell>
          <cell r="J184">
            <v>119</v>
          </cell>
          <cell r="K184">
            <v>1.0001</v>
          </cell>
          <cell r="L184">
            <v>0.8639</v>
          </cell>
          <cell r="M184">
            <v>32.4</v>
          </cell>
          <cell r="N184">
            <v>10.199999999999999</v>
          </cell>
          <cell r="O184">
            <v>0.13619999999999999</v>
          </cell>
          <cell r="P184">
            <v>0.1009</v>
          </cell>
          <cell r="Q184">
            <v>3.5299999999999998E-2</v>
          </cell>
          <cell r="R184" t="str">
            <v>NA</v>
          </cell>
          <cell r="S184" t="str">
            <v>NA</v>
          </cell>
          <cell r="T184">
            <v>61.4</v>
          </cell>
          <cell r="U184">
            <v>5</v>
          </cell>
          <cell r="V184">
            <v>75.099999999999994</v>
          </cell>
          <cell r="W184">
            <v>7.6</v>
          </cell>
          <cell r="X184" t="str">
            <v>NA</v>
          </cell>
          <cell r="Y184" t="str">
            <v>NA</v>
          </cell>
          <cell r="Z184" t="str">
            <v>NA</v>
          </cell>
          <cell r="AA184" t="str">
            <v>NA</v>
          </cell>
        </row>
        <row r="185">
          <cell r="A185">
            <v>45119</v>
          </cell>
          <cell r="B185" t="str">
            <v>A2</v>
          </cell>
          <cell r="C185">
            <v>4</v>
          </cell>
          <cell r="D185">
            <v>1</v>
          </cell>
          <cell r="E185" t="str">
            <v>ARIS.A2.Aim1.Bin4.RB</v>
          </cell>
          <cell r="F185">
            <v>3</v>
          </cell>
          <cell r="G185" t="str">
            <v>Unweighted</v>
          </cell>
          <cell r="H185" t="str">
            <v>N</v>
          </cell>
          <cell r="I185" t="str">
            <v>Y</v>
          </cell>
          <cell r="J185">
            <v>119</v>
          </cell>
          <cell r="K185">
            <v>1.0001</v>
          </cell>
          <cell r="L185">
            <v>0.8639</v>
          </cell>
          <cell r="M185">
            <v>32.4</v>
          </cell>
          <cell r="N185">
            <v>10.199999999999999</v>
          </cell>
          <cell r="O185">
            <v>0.13619999999999999</v>
          </cell>
          <cell r="P185">
            <v>0.1009</v>
          </cell>
          <cell r="Q185">
            <v>3.5299999999999998E-2</v>
          </cell>
          <cell r="R185" t="str">
            <v>NA</v>
          </cell>
          <cell r="S185" t="str">
            <v>NA</v>
          </cell>
          <cell r="T185">
            <v>61.4</v>
          </cell>
          <cell r="U185">
            <v>5</v>
          </cell>
          <cell r="V185">
            <v>75.099999999999994</v>
          </cell>
          <cell r="W185">
            <v>7.6</v>
          </cell>
          <cell r="X185" t="str">
            <v>NA</v>
          </cell>
          <cell r="Y185" t="str">
            <v>NA</v>
          </cell>
          <cell r="Z185" t="str">
            <v>NA</v>
          </cell>
          <cell r="AA185" t="str">
            <v>NA</v>
          </cell>
        </row>
        <row r="186">
          <cell r="A186">
            <v>45119</v>
          </cell>
          <cell r="B186" t="str">
            <v>A2</v>
          </cell>
          <cell r="C186">
            <v>1</v>
          </cell>
          <cell r="D186">
            <v>1</v>
          </cell>
          <cell r="E186" t="str">
            <v>ARIS.A2.Aim1.Bin1.RB</v>
          </cell>
          <cell r="F186">
            <v>3</v>
          </cell>
          <cell r="G186" t="str">
            <v>SplineDFA</v>
          </cell>
          <cell r="H186" t="str">
            <v>Y</v>
          </cell>
          <cell r="I186" t="str">
            <v>N</v>
          </cell>
          <cell r="J186">
            <v>134</v>
          </cell>
          <cell r="K186">
            <v>1</v>
          </cell>
          <cell r="L186">
            <v>0.94499999999999995</v>
          </cell>
          <cell r="M186">
            <v>23.7</v>
          </cell>
          <cell r="N186">
            <v>2.7</v>
          </cell>
          <cell r="O186">
            <v>5.5E-2</v>
          </cell>
          <cell r="P186">
            <v>5.5E-2</v>
          </cell>
          <cell r="Q186">
            <v>0</v>
          </cell>
          <cell r="R186" t="str">
            <v>NA</v>
          </cell>
          <cell r="S186" t="str">
            <v>NA</v>
          </cell>
          <cell r="T186">
            <v>61.4</v>
          </cell>
          <cell r="U186">
            <v>5</v>
          </cell>
          <cell r="V186">
            <v>75.099999999999994</v>
          </cell>
          <cell r="W186">
            <v>7.6</v>
          </cell>
          <cell r="X186" t="str">
            <v>NA</v>
          </cell>
          <cell r="Y186" t="str">
            <v>NA</v>
          </cell>
          <cell r="Z186" t="str">
            <v>NA</v>
          </cell>
          <cell r="AA186" t="str">
            <v>NA</v>
          </cell>
        </row>
        <row r="187">
          <cell r="A187">
            <v>45119</v>
          </cell>
          <cell r="B187" t="str">
            <v>A2</v>
          </cell>
          <cell r="C187">
            <v>2</v>
          </cell>
          <cell r="D187">
            <v>1</v>
          </cell>
          <cell r="E187" t="str">
            <v>ARIS.A2.Aim1.Bin2.RB</v>
          </cell>
          <cell r="F187">
            <v>3</v>
          </cell>
          <cell r="G187" t="str">
            <v>SplineDFA</v>
          </cell>
          <cell r="H187" t="str">
            <v>Y</v>
          </cell>
          <cell r="I187" t="str">
            <v>N</v>
          </cell>
          <cell r="J187">
            <v>150</v>
          </cell>
          <cell r="K187">
            <v>1.0001</v>
          </cell>
          <cell r="L187">
            <v>0.7792</v>
          </cell>
          <cell r="M187">
            <v>23.7</v>
          </cell>
          <cell r="N187">
            <v>2.7</v>
          </cell>
          <cell r="O187">
            <v>0.22090000000000001</v>
          </cell>
          <cell r="P187">
            <v>0.20219999999999999</v>
          </cell>
          <cell r="Q187">
            <v>1.8700000000000001E-2</v>
          </cell>
          <cell r="R187" t="str">
            <v>NA</v>
          </cell>
          <cell r="S187" t="str">
            <v>NA</v>
          </cell>
          <cell r="T187">
            <v>61.4</v>
          </cell>
          <cell r="U187">
            <v>5</v>
          </cell>
          <cell r="V187">
            <v>75.099999999999994</v>
          </cell>
          <cell r="W187">
            <v>7.6</v>
          </cell>
          <cell r="X187" t="str">
            <v>NA</v>
          </cell>
          <cell r="Y187" t="str">
            <v>NA</v>
          </cell>
          <cell r="Z187" t="str">
            <v>NA</v>
          </cell>
          <cell r="AA187" t="str">
            <v>NA</v>
          </cell>
        </row>
        <row r="188">
          <cell r="A188">
            <v>45119</v>
          </cell>
          <cell r="B188" t="str">
            <v>A2</v>
          </cell>
          <cell r="C188">
            <v>3</v>
          </cell>
          <cell r="D188">
            <v>1</v>
          </cell>
          <cell r="E188" t="str">
            <v>ARIS.A2.Aim1.Bin3.RB</v>
          </cell>
          <cell r="F188">
            <v>3</v>
          </cell>
          <cell r="G188" t="str">
            <v>SplineDFA</v>
          </cell>
          <cell r="H188" t="str">
            <v>Y</v>
          </cell>
          <cell r="I188" t="str">
            <v>N</v>
          </cell>
          <cell r="J188">
            <v>119</v>
          </cell>
          <cell r="K188">
            <v>1.0001</v>
          </cell>
          <cell r="L188">
            <v>0.55759999999999998</v>
          </cell>
          <cell r="M188">
            <v>23.7</v>
          </cell>
          <cell r="N188">
            <v>2.7</v>
          </cell>
          <cell r="O188">
            <v>0.4425</v>
          </cell>
          <cell r="P188">
            <v>0.39069999999999999</v>
          </cell>
          <cell r="Q188">
            <v>5.1799999999999999E-2</v>
          </cell>
          <cell r="R188" t="str">
            <v>NA</v>
          </cell>
          <cell r="S188" t="str">
            <v>NA</v>
          </cell>
          <cell r="T188">
            <v>61.4</v>
          </cell>
          <cell r="U188">
            <v>5</v>
          </cell>
          <cell r="V188">
            <v>75.099999999999994</v>
          </cell>
          <cell r="W188">
            <v>7.6</v>
          </cell>
          <cell r="X188" t="str">
            <v>NA</v>
          </cell>
          <cell r="Y188" t="str">
            <v>NA</v>
          </cell>
          <cell r="Z188" t="str">
            <v>NA</v>
          </cell>
          <cell r="AA188" t="str">
            <v>NA</v>
          </cell>
        </row>
        <row r="189">
          <cell r="A189">
            <v>45119</v>
          </cell>
          <cell r="B189" t="str">
            <v>A2</v>
          </cell>
          <cell r="C189">
            <v>4</v>
          </cell>
          <cell r="D189">
            <v>1</v>
          </cell>
          <cell r="E189" t="str">
            <v>ARIS.A2.Aim1.Bin4.RB</v>
          </cell>
          <cell r="F189">
            <v>3</v>
          </cell>
          <cell r="G189" t="str">
            <v>SplineDFA</v>
          </cell>
          <cell r="H189" t="str">
            <v>Y</v>
          </cell>
          <cell r="I189" t="str">
            <v>N</v>
          </cell>
          <cell r="J189">
            <v>119</v>
          </cell>
          <cell r="K189">
            <v>1.0001</v>
          </cell>
          <cell r="L189">
            <v>0.55759999999999998</v>
          </cell>
          <cell r="M189">
            <v>23.7</v>
          </cell>
          <cell r="N189">
            <v>2.7</v>
          </cell>
          <cell r="O189">
            <v>0.4425</v>
          </cell>
          <cell r="P189">
            <v>0.39069999999999999</v>
          </cell>
          <cell r="Q189">
            <v>5.1799999999999999E-2</v>
          </cell>
          <cell r="R189" t="str">
            <v>NA</v>
          </cell>
          <cell r="S189" t="str">
            <v>NA</v>
          </cell>
          <cell r="T189">
            <v>61.4</v>
          </cell>
          <cell r="U189">
            <v>5</v>
          </cell>
          <cell r="V189">
            <v>75.099999999999994</v>
          </cell>
          <cell r="W189">
            <v>7.6</v>
          </cell>
          <cell r="X189" t="str">
            <v>NA</v>
          </cell>
          <cell r="Y189" t="str">
            <v>NA</v>
          </cell>
          <cell r="Z189" t="str">
            <v>NA</v>
          </cell>
          <cell r="AA189" t="str">
            <v>NA</v>
          </cell>
        </row>
        <row r="190">
          <cell r="A190">
            <v>45119</v>
          </cell>
          <cell r="B190" t="str">
            <v>A1</v>
          </cell>
          <cell r="C190">
            <v>1</v>
          </cell>
          <cell r="D190">
            <v>1</v>
          </cell>
          <cell r="E190" t="str">
            <v>ARIS.A1.Aim1.Bin1.LB</v>
          </cell>
          <cell r="F190">
            <v>4</v>
          </cell>
          <cell r="G190" t="str">
            <v>Unweighted</v>
          </cell>
          <cell r="H190" t="str">
            <v>N</v>
          </cell>
          <cell r="I190" t="str">
            <v>N</v>
          </cell>
          <cell r="J190">
            <v>94</v>
          </cell>
          <cell r="K190">
            <v>1</v>
          </cell>
          <cell r="L190">
            <v>0.90029999999999999</v>
          </cell>
          <cell r="M190">
            <v>19</v>
          </cell>
          <cell r="N190">
            <v>7.5</v>
          </cell>
          <cell r="O190">
            <v>9.9699999999999997E-2</v>
          </cell>
          <cell r="P190">
            <v>2.4799999999999999E-2</v>
          </cell>
          <cell r="Q190">
            <v>7.9000000000000008E-3</v>
          </cell>
          <cell r="R190" t="str">
            <v>NA</v>
          </cell>
          <cell r="S190">
            <v>6.7000000000000004E-2</v>
          </cell>
          <cell r="T190">
            <v>61.4</v>
          </cell>
          <cell r="U190">
            <v>5</v>
          </cell>
          <cell r="V190">
            <v>75.099999999999994</v>
          </cell>
          <cell r="W190">
            <v>7.6</v>
          </cell>
          <cell r="X190" t="str">
            <v>NA</v>
          </cell>
          <cell r="Y190" t="str">
            <v>NA</v>
          </cell>
          <cell r="Z190">
            <v>39.1</v>
          </cell>
          <cell r="AA190">
            <v>3.5</v>
          </cell>
        </row>
        <row r="191">
          <cell r="A191">
            <v>45119</v>
          </cell>
          <cell r="B191" t="str">
            <v>A1</v>
          </cell>
          <cell r="C191">
            <v>1</v>
          </cell>
          <cell r="D191">
            <v>2</v>
          </cell>
          <cell r="E191" t="str">
            <v>ARIS.A1.Aim2.Bin1.LB</v>
          </cell>
          <cell r="F191">
            <v>4</v>
          </cell>
          <cell r="G191" t="str">
            <v>Unweighted</v>
          </cell>
          <cell r="H191" t="str">
            <v>N</v>
          </cell>
          <cell r="I191" t="str">
            <v>N</v>
          </cell>
          <cell r="J191">
            <v>65</v>
          </cell>
          <cell r="K191">
            <v>1</v>
          </cell>
          <cell r="L191">
            <v>0.8518</v>
          </cell>
          <cell r="M191">
            <v>14.4</v>
          </cell>
          <cell r="N191">
            <v>5.3</v>
          </cell>
          <cell r="O191">
            <v>0.1482</v>
          </cell>
          <cell r="P191">
            <v>4.3400000000000001E-2</v>
          </cell>
          <cell r="Q191">
            <v>0</v>
          </cell>
          <cell r="R191" t="str">
            <v>NA</v>
          </cell>
          <cell r="S191">
            <v>0.1048</v>
          </cell>
          <cell r="T191">
            <v>61.4</v>
          </cell>
          <cell r="U191">
            <v>5</v>
          </cell>
          <cell r="V191">
            <v>75.099999999999994</v>
          </cell>
          <cell r="W191">
            <v>7.6</v>
          </cell>
          <cell r="X191" t="str">
            <v>NA</v>
          </cell>
          <cell r="Y191" t="str">
            <v>NA</v>
          </cell>
          <cell r="Z191">
            <v>39.1</v>
          </cell>
          <cell r="AA191">
            <v>3.5</v>
          </cell>
        </row>
        <row r="192">
          <cell r="A192">
            <v>45119</v>
          </cell>
          <cell r="B192" t="str">
            <v>A1</v>
          </cell>
          <cell r="C192">
            <v>1</v>
          </cell>
          <cell r="D192" t="str">
            <v>1&amp;2</v>
          </cell>
          <cell r="E192" t="str">
            <v>ARIS.A1.Aim1&amp;Aim2.Bin1.LB</v>
          </cell>
          <cell r="F192">
            <v>4</v>
          </cell>
          <cell r="G192" t="str">
            <v>Unweighted</v>
          </cell>
          <cell r="H192" t="str">
            <v>N</v>
          </cell>
          <cell r="I192" t="str">
            <v>N</v>
          </cell>
          <cell r="J192">
            <v>159</v>
          </cell>
          <cell r="K192">
            <v>1</v>
          </cell>
          <cell r="L192">
            <v>0.91930000000000001</v>
          </cell>
          <cell r="M192">
            <v>23.7</v>
          </cell>
          <cell r="N192">
            <v>9.6</v>
          </cell>
          <cell r="O192">
            <v>8.0699999999999994E-2</v>
          </cell>
          <cell r="P192">
            <v>5.2499999999999998E-2</v>
          </cell>
          <cell r="Q192">
            <v>0</v>
          </cell>
          <cell r="R192" t="str">
            <v>NA</v>
          </cell>
          <cell r="S192">
            <v>2.8199999999999999E-2</v>
          </cell>
          <cell r="T192">
            <v>61.4</v>
          </cell>
          <cell r="U192">
            <v>5</v>
          </cell>
          <cell r="V192">
            <v>75.099999999999994</v>
          </cell>
          <cell r="W192">
            <v>7.6</v>
          </cell>
          <cell r="X192" t="str">
            <v>NA</v>
          </cell>
          <cell r="Y192" t="str">
            <v>NA</v>
          </cell>
          <cell r="Z192">
            <v>39.1</v>
          </cell>
          <cell r="AA192">
            <v>3.5</v>
          </cell>
        </row>
        <row r="193">
          <cell r="A193">
            <v>45119</v>
          </cell>
          <cell r="B193" t="str">
            <v>A1</v>
          </cell>
          <cell r="C193">
            <v>2</v>
          </cell>
          <cell r="D193">
            <v>3</v>
          </cell>
          <cell r="E193" t="str">
            <v>ARIS.A1.Aim3.Bin2.LB</v>
          </cell>
          <cell r="F193">
            <v>4</v>
          </cell>
          <cell r="G193" t="str">
            <v>Unweighted</v>
          </cell>
          <cell r="H193" t="str">
            <v>N</v>
          </cell>
          <cell r="I193" t="str">
            <v>N</v>
          </cell>
          <cell r="J193">
            <v>107</v>
          </cell>
          <cell r="K193">
            <v>1</v>
          </cell>
          <cell r="L193">
            <v>0.42670000000000002</v>
          </cell>
          <cell r="M193">
            <v>23.9</v>
          </cell>
          <cell r="N193">
            <v>5.7</v>
          </cell>
          <cell r="O193">
            <v>0.57330000000000003</v>
          </cell>
          <cell r="P193">
            <v>0.22489999999999999</v>
          </cell>
          <cell r="Q193">
            <v>0.11559999999999999</v>
          </cell>
          <cell r="R193" t="str">
            <v>NA</v>
          </cell>
          <cell r="S193">
            <v>0.23280000000000001</v>
          </cell>
          <cell r="T193">
            <v>61.4</v>
          </cell>
          <cell r="U193">
            <v>5</v>
          </cell>
          <cell r="V193">
            <v>75.099999999999994</v>
          </cell>
          <cell r="W193">
            <v>7.6</v>
          </cell>
          <cell r="X193" t="str">
            <v>NA</v>
          </cell>
          <cell r="Y193" t="str">
            <v>NA</v>
          </cell>
          <cell r="Z193">
            <v>39.1</v>
          </cell>
          <cell r="AA193">
            <v>3.5</v>
          </cell>
        </row>
        <row r="194">
          <cell r="A194">
            <v>45119</v>
          </cell>
          <cell r="B194" t="str">
            <v>A1</v>
          </cell>
          <cell r="C194">
            <v>3</v>
          </cell>
          <cell r="D194">
            <v>3</v>
          </cell>
          <cell r="E194" t="str">
            <v>ARIS.A1.Aim3.Bin3.LB</v>
          </cell>
          <cell r="F194">
            <v>4</v>
          </cell>
          <cell r="G194" t="str">
            <v>Unweighted</v>
          </cell>
          <cell r="H194" t="str">
            <v>N</v>
          </cell>
          <cell r="I194" t="str">
            <v>N</v>
          </cell>
          <cell r="J194">
            <v>92</v>
          </cell>
          <cell r="K194">
            <v>0.99990000000000001</v>
          </cell>
          <cell r="L194">
            <v>0.37269999999999998</v>
          </cell>
          <cell r="M194">
            <v>38.200000000000003</v>
          </cell>
          <cell r="N194">
            <v>8.9</v>
          </cell>
          <cell r="O194">
            <v>0.62719999999999998</v>
          </cell>
          <cell r="P194">
            <v>0.11070000000000001</v>
          </cell>
          <cell r="Q194">
            <v>0.51649999999999996</v>
          </cell>
          <cell r="R194" t="str">
            <v>NA</v>
          </cell>
          <cell r="S194">
            <v>0</v>
          </cell>
          <cell r="T194">
            <v>61.4</v>
          </cell>
          <cell r="U194">
            <v>5</v>
          </cell>
          <cell r="V194">
            <v>75.099999999999994</v>
          </cell>
          <cell r="W194">
            <v>7.6</v>
          </cell>
          <cell r="X194" t="str">
            <v>NA</v>
          </cell>
          <cell r="Y194" t="str">
            <v>NA</v>
          </cell>
          <cell r="Z194">
            <v>39.1</v>
          </cell>
          <cell r="AA194">
            <v>3.5</v>
          </cell>
        </row>
        <row r="195">
          <cell r="A195">
            <v>45119</v>
          </cell>
          <cell r="B195" t="str">
            <v>A1</v>
          </cell>
          <cell r="C195">
            <v>4</v>
          </cell>
          <cell r="D195">
            <v>3</v>
          </cell>
          <cell r="E195" t="str">
            <v>ARIS.A1.Aim3.Bin4.LB</v>
          </cell>
          <cell r="F195">
            <v>4</v>
          </cell>
          <cell r="G195" t="str">
            <v>Unweighted</v>
          </cell>
          <cell r="H195" t="str">
            <v>N</v>
          </cell>
          <cell r="I195" t="str">
            <v>N</v>
          </cell>
          <cell r="J195">
            <v>92</v>
          </cell>
          <cell r="K195">
            <v>0.99990000000000001</v>
          </cell>
          <cell r="L195">
            <v>0.37269999999999998</v>
          </cell>
          <cell r="M195">
            <v>38.200000000000003</v>
          </cell>
          <cell r="N195">
            <v>8.9</v>
          </cell>
          <cell r="O195">
            <v>0.62719999999999998</v>
          </cell>
          <cell r="P195">
            <v>0.11070000000000001</v>
          </cell>
          <cell r="Q195">
            <v>0.51649999999999996</v>
          </cell>
          <cell r="R195" t="str">
            <v>NA</v>
          </cell>
          <cell r="S195">
            <v>0</v>
          </cell>
          <cell r="T195">
            <v>61.4</v>
          </cell>
          <cell r="U195">
            <v>5</v>
          </cell>
          <cell r="V195">
            <v>75.099999999999994</v>
          </cell>
          <cell r="W195">
            <v>7.6</v>
          </cell>
          <cell r="X195" t="str">
            <v>NA</v>
          </cell>
          <cell r="Y195" t="str">
            <v>NA</v>
          </cell>
          <cell r="Z195">
            <v>39.1</v>
          </cell>
          <cell r="AA195">
            <v>3.5</v>
          </cell>
        </row>
        <row r="196">
          <cell r="A196">
            <v>45119</v>
          </cell>
          <cell r="B196" t="str">
            <v>A2</v>
          </cell>
          <cell r="C196">
            <v>1</v>
          </cell>
          <cell r="D196">
            <v>1</v>
          </cell>
          <cell r="E196" t="str">
            <v>ARIS.A2.Aim1.Bin1.RB</v>
          </cell>
          <cell r="F196">
            <v>4</v>
          </cell>
          <cell r="G196" t="str">
            <v>Unweighted</v>
          </cell>
          <cell r="H196" t="str">
            <v>N</v>
          </cell>
          <cell r="I196" t="str">
            <v>N</v>
          </cell>
          <cell r="J196">
            <v>134</v>
          </cell>
          <cell r="K196">
            <v>0.99990000000000001</v>
          </cell>
          <cell r="L196">
            <v>0.88400000000000001</v>
          </cell>
          <cell r="M196">
            <v>15.9</v>
          </cell>
          <cell r="N196">
            <v>6.7</v>
          </cell>
          <cell r="O196">
            <v>0.1159</v>
          </cell>
          <cell r="P196">
            <v>3.0499999999999999E-2</v>
          </cell>
          <cell r="Q196">
            <v>0</v>
          </cell>
          <cell r="R196" t="str">
            <v>NA</v>
          </cell>
          <cell r="S196">
            <v>8.5400000000000004E-2</v>
          </cell>
          <cell r="T196">
            <v>61.4</v>
          </cell>
          <cell r="U196">
            <v>5</v>
          </cell>
          <cell r="V196">
            <v>75.099999999999994</v>
          </cell>
          <cell r="W196">
            <v>7.6</v>
          </cell>
          <cell r="X196" t="str">
            <v>NA</v>
          </cell>
          <cell r="Y196" t="str">
            <v>NA</v>
          </cell>
          <cell r="Z196">
            <v>39.1</v>
          </cell>
          <cell r="AA196">
            <v>3.5</v>
          </cell>
        </row>
        <row r="197">
          <cell r="A197">
            <v>45119</v>
          </cell>
          <cell r="B197" t="str">
            <v>A2</v>
          </cell>
          <cell r="C197">
            <v>2</v>
          </cell>
          <cell r="D197">
            <v>1</v>
          </cell>
          <cell r="E197" t="str">
            <v>ARIS.A2.Aim1.Bin2.RB</v>
          </cell>
          <cell r="F197">
            <v>4</v>
          </cell>
          <cell r="G197" t="str">
            <v>Unweighted</v>
          </cell>
          <cell r="H197" t="str">
            <v>N</v>
          </cell>
          <cell r="I197" t="str">
            <v>N</v>
          </cell>
          <cell r="J197">
            <v>150</v>
          </cell>
          <cell r="K197">
            <v>1</v>
          </cell>
          <cell r="L197">
            <v>0.94689999999999996</v>
          </cell>
          <cell r="M197">
            <v>25.1</v>
          </cell>
          <cell r="N197">
            <v>12.4</v>
          </cell>
          <cell r="O197">
            <v>5.3100000000000001E-2</v>
          </cell>
          <cell r="P197">
            <v>3.7699999999999997E-2</v>
          </cell>
          <cell r="Q197">
            <v>1.54E-2</v>
          </cell>
          <cell r="R197" t="str">
            <v>NA</v>
          </cell>
          <cell r="S197">
            <v>0</v>
          </cell>
          <cell r="T197">
            <v>61.4</v>
          </cell>
          <cell r="U197">
            <v>5</v>
          </cell>
          <cell r="V197">
            <v>75.099999999999994</v>
          </cell>
          <cell r="W197">
            <v>7.6</v>
          </cell>
          <cell r="X197" t="str">
            <v>NA</v>
          </cell>
          <cell r="Y197" t="str">
            <v>NA</v>
          </cell>
          <cell r="Z197">
            <v>39.1</v>
          </cell>
          <cell r="AA197">
            <v>3.5</v>
          </cell>
        </row>
        <row r="198">
          <cell r="A198">
            <v>45119</v>
          </cell>
          <cell r="B198" t="str">
            <v>A2</v>
          </cell>
          <cell r="C198">
            <v>3</v>
          </cell>
          <cell r="D198">
            <v>1</v>
          </cell>
          <cell r="E198" t="str">
            <v>ARIS.A2.Aim1.Bin3.RB</v>
          </cell>
          <cell r="F198">
            <v>4</v>
          </cell>
          <cell r="G198" t="str">
            <v>Unweighted</v>
          </cell>
          <cell r="H198" t="str">
            <v>N</v>
          </cell>
          <cell r="I198" t="str">
            <v>N</v>
          </cell>
          <cell r="J198">
            <v>119</v>
          </cell>
          <cell r="K198">
            <v>1</v>
          </cell>
          <cell r="L198">
            <v>0.83109999999999995</v>
          </cell>
          <cell r="M198">
            <v>31.6</v>
          </cell>
          <cell r="N198">
            <v>10.6</v>
          </cell>
          <cell r="O198">
            <v>0.16889999999999999</v>
          </cell>
          <cell r="P198">
            <v>0.13009999999999999</v>
          </cell>
          <cell r="Q198">
            <v>3.8800000000000001E-2</v>
          </cell>
          <cell r="R198" t="str">
            <v>NA</v>
          </cell>
          <cell r="S198">
            <v>0</v>
          </cell>
          <cell r="T198">
            <v>61.4</v>
          </cell>
          <cell r="U198">
            <v>5</v>
          </cell>
          <cell r="V198">
            <v>75.099999999999994</v>
          </cell>
          <cell r="W198">
            <v>7.6</v>
          </cell>
          <cell r="X198" t="str">
            <v>NA</v>
          </cell>
          <cell r="Y198" t="str">
            <v>NA</v>
          </cell>
          <cell r="Z198">
            <v>39.1</v>
          </cell>
          <cell r="AA198">
            <v>3.5</v>
          </cell>
        </row>
        <row r="199">
          <cell r="A199">
            <v>45119</v>
          </cell>
          <cell r="B199" t="str">
            <v>A2</v>
          </cell>
          <cell r="C199">
            <v>4</v>
          </cell>
          <cell r="D199">
            <v>1</v>
          </cell>
          <cell r="E199" t="str">
            <v>ARIS.A2.Aim1.Bin4.RB</v>
          </cell>
          <cell r="F199">
            <v>4</v>
          </cell>
          <cell r="G199" t="str">
            <v>Unweighted</v>
          </cell>
          <cell r="H199" t="str">
            <v>N</v>
          </cell>
          <cell r="I199" t="str">
            <v>N</v>
          </cell>
          <cell r="J199">
            <v>119</v>
          </cell>
          <cell r="K199">
            <v>1</v>
          </cell>
          <cell r="L199">
            <v>0.83109999999999995</v>
          </cell>
          <cell r="M199">
            <v>31.6</v>
          </cell>
          <cell r="N199">
            <v>10.6</v>
          </cell>
          <cell r="O199">
            <v>0.16889999999999999</v>
          </cell>
          <cell r="P199">
            <v>0.13009999999999999</v>
          </cell>
          <cell r="Q199">
            <v>3.8800000000000001E-2</v>
          </cell>
          <cell r="R199" t="str">
            <v>NA</v>
          </cell>
          <cell r="S199">
            <v>0</v>
          </cell>
          <cell r="T199">
            <v>61.4</v>
          </cell>
          <cell r="U199">
            <v>5</v>
          </cell>
          <cell r="V199">
            <v>75.099999999999994</v>
          </cell>
          <cell r="W199">
            <v>7.6</v>
          </cell>
          <cell r="X199" t="str">
            <v>NA</v>
          </cell>
          <cell r="Y199" t="str">
            <v>NA</v>
          </cell>
          <cell r="Z199">
            <v>39.1</v>
          </cell>
          <cell r="AA199">
            <v>3.5</v>
          </cell>
        </row>
        <row r="200">
          <cell r="A200">
            <v>45120</v>
          </cell>
          <cell r="B200" t="str">
            <v>A1</v>
          </cell>
          <cell r="C200">
            <v>1</v>
          </cell>
          <cell r="D200">
            <v>1</v>
          </cell>
          <cell r="E200" t="str">
            <v>ARIS.A1.Aim1.Bin1.LB</v>
          </cell>
          <cell r="F200">
            <v>3</v>
          </cell>
          <cell r="G200" t="str">
            <v>SplineDFA</v>
          </cell>
          <cell r="H200" t="str">
            <v>Y</v>
          </cell>
          <cell r="I200" t="str">
            <v>N</v>
          </cell>
          <cell r="J200">
            <v>122</v>
          </cell>
          <cell r="K200">
            <v>1</v>
          </cell>
          <cell r="L200">
            <v>0.9103</v>
          </cell>
          <cell r="M200">
            <v>23.7</v>
          </cell>
          <cell r="N200">
            <v>2.7</v>
          </cell>
          <cell r="O200">
            <v>8.9700000000000002E-2</v>
          </cell>
          <cell r="P200">
            <v>8.1500000000000003E-2</v>
          </cell>
          <cell r="Q200">
            <v>8.2000000000000007E-3</v>
          </cell>
          <cell r="R200" t="str">
            <v>NA</v>
          </cell>
          <cell r="S200" t="str">
            <v>NA</v>
          </cell>
          <cell r="T200">
            <v>61.4</v>
          </cell>
          <cell r="U200">
            <v>5</v>
          </cell>
          <cell r="V200">
            <v>75.099999999999994</v>
          </cell>
          <cell r="W200">
            <v>7.6</v>
          </cell>
          <cell r="X200" t="str">
            <v>NA</v>
          </cell>
          <cell r="Y200" t="str">
            <v>NA</v>
          </cell>
          <cell r="Z200" t="str">
            <v>NA</v>
          </cell>
          <cell r="AA200" t="str">
            <v>NA</v>
          </cell>
        </row>
        <row r="201">
          <cell r="A201">
            <v>45120</v>
          </cell>
          <cell r="B201" t="str">
            <v>A1</v>
          </cell>
          <cell r="C201">
            <v>1</v>
          </cell>
          <cell r="D201">
            <v>2</v>
          </cell>
          <cell r="E201" t="str">
            <v>ARIS.A1.Aim2.Bin1.LB</v>
          </cell>
          <cell r="F201">
            <v>3</v>
          </cell>
          <cell r="G201" t="str">
            <v>SplineDFA</v>
          </cell>
          <cell r="H201" t="str">
            <v>Y</v>
          </cell>
          <cell r="I201" t="str">
            <v>N</v>
          </cell>
          <cell r="J201">
            <v>114</v>
          </cell>
          <cell r="K201">
            <v>1</v>
          </cell>
          <cell r="L201">
            <v>0.93289999999999995</v>
          </cell>
          <cell r="M201">
            <v>23.7</v>
          </cell>
          <cell r="N201">
            <v>2.7</v>
          </cell>
          <cell r="O201">
            <v>6.7100000000000007E-2</v>
          </cell>
          <cell r="P201">
            <v>6.7100000000000007E-2</v>
          </cell>
          <cell r="Q201">
            <v>0</v>
          </cell>
          <cell r="R201" t="str">
            <v>NA</v>
          </cell>
          <cell r="S201" t="str">
            <v>NA</v>
          </cell>
          <cell r="T201">
            <v>61.4</v>
          </cell>
          <cell r="U201">
            <v>5</v>
          </cell>
          <cell r="V201">
            <v>75.099999999999994</v>
          </cell>
          <cell r="W201">
            <v>7.6</v>
          </cell>
          <cell r="X201" t="str">
            <v>NA</v>
          </cell>
          <cell r="Y201" t="str">
            <v>NA</v>
          </cell>
          <cell r="Z201" t="str">
            <v>NA</v>
          </cell>
          <cell r="AA201" t="str">
            <v>NA</v>
          </cell>
        </row>
        <row r="202">
          <cell r="A202">
            <v>45120</v>
          </cell>
          <cell r="B202" t="str">
            <v>A1</v>
          </cell>
          <cell r="C202">
            <v>2</v>
          </cell>
          <cell r="D202">
            <v>3</v>
          </cell>
          <cell r="E202" t="str">
            <v>ARIS.A1.Aim3.Bin2.LB</v>
          </cell>
          <cell r="F202">
            <v>3</v>
          </cell>
          <cell r="G202" t="str">
            <v>SplineDFA</v>
          </cell>
          <cell r="H202" t="str">
            <v>Y</v>
          </cell>
          <cell r="I202" t="str">
            <v>N</v>
          </cell>
          <cell r="J202">
            <v>126</v>
          </cell>
          <cell r="K202">
            <v>0.99990000000000001</v>
          </cell>
          <cell r="L202">
            <v>0.39439999999999997</v>
          </cell>
          <cell r="M202">
            <v>23.7</v>
          </cell>
          <cell r="N202">
            <v>2.7</v>
          </cell>
          <cell r="O202">
            <v>0.60550000000000004</v>
          </cell>
          <cell r="P202">
            <v>0.49330000000000002</v>
          </cell>
          <cell r="Q202">
            <v>0.11219999999999999</v>
          </cell>
          <cell r="R202" t="str">
            <v>NA</v>
          </cell>
          <cell r="S202" t="str">
            <v>NA</v>
          </cell>
          <cell r="T202">
            <v>61.4</v>
          </cell>
          <cell r="U202">
            <v>5</v>
          </cell>
          <cell r="V202">
            <v>75.099999999999994</v>
          </cell>
          <cell r="W202">
            <v>7.6</v>
          </cell>
          <cell r="X202" t="str">
            <v>NA</v>
          </cell>
          <cell r="Y202" t="str">
            <v>NA</v>
          </cell>
          <cell r="Z202" t="str">
            <v>NA</v>
          </cell>
          <cell r="AA202" t="str">
            <v>NA</v>
          </cell>
        </row>
        <row r="203">
          <cell r="A203">
            <v>45120</v>
          </cell>
          <cell r="B203" t="str">
            <v>A1</v>
          </cell>
          <cell r="C203">
            <v>3</v>
          </cell>
          <cell r="D203">
            <v>3</v>
          </cell>
          <cell r="E203" t="str">
            <v>ARIS.A1.Aim3.Bin3.LB</v>
          </cell>
          <cell r="F203">
            <v>3</v>
          </cell>
          <cell r="G203" t="str">
            <v>SplineDFA</v>
          </cell>
          <cell r="H203" t="str">
            <v>Y</v>
          </cell>
          <cell r="I203" t="str">
            <v>N</v>
          </cell>
          <cell r="J203">
            <v>54</v>
          </cell>
          <cell r="K203">
            <v>1</v>
          </cell>
          <cell r="L203">
            <v>0.1004</v>
          </cell>
          <cell r="M203">
            <v>23.7</v>
          </cell>
          <cell r="N203">
            <v>2.7</v>
          </cell>
          <cell r="O203">
            <v>0.89959999999999996</v>
          </cell>
          <cell r="P203">
            <v>0.5121</v>
          </cell>
          <cell r="Q203">
            <v>0.38750000000000001</v>
          </cell>
          <cell r="R203" t="str">
            <v>NA</v>
          </cell>
          <cell r="S203" t="str">
            <v>NA</v>
          </cell>
          <cell r="T203">
            <v>61.4</v>
          </cell>
          <cell r="U203">
            <v>5</v>
          </cell>
          <cell r="V203">
            <v>75.099999999999994</v>
          </cell>
          <cell r="W203">
            <v>7.6</v>
          </cell>
          <cell r="X203" t="str">
            <v>NA</v>
          </cell>
          <cell r="Y203" t="str">
            <v>NA</v>
          </cell>
          <cell r="Z203" t="str">
            <v>NA</v>
          </cell>
          <cell r="AA203" t="str">
            <v>NA</v>
          </cell>
        </row>
        <row r="204">
          <cell r="A204">
            <v>45120</v>
          </cell>
          <cell r="B204" t="str">
            <v>A1</v>
          </cell>
          <cell r="C204">
            <v>4</v>
          </cell>
          <cell r="D204">
            <v>3</v>
          </cell>
          <cell r="E204" t="str">
            <v>ARIS.A1.Aim3.Bin4.LB</v>
          </cell>
          <cell r="F204">
            <v>3</v>
          </cell>
          <cell r="G204" t="str">
            <v>SplineDFA</v>
          </cell>
          <cell r="H204" t="str">
            <v>Y</v>
          </cell>
          <cell r="I204" t="str">
            <v>N</v>
          </cell>
          <cell r="J204">
            <v>54</v>
          </cell>
          <cell r="K204">
            <v>1</v>
          </cell>
          <cell r="L204">
            <v>0.1004</v>
          </cell>
          <cell r="M204">
            <v>23.7</v>
          </cell>
          <cell r="N204">
            <v>2.7</v>
          </cell>
          <cell r="O204">
            <v>0.89959999999999996</v>
          </cell>
          <cell r="P204">
            <v>0.5121</v>
          </cell>
          <cell r="Q204">
            <v>0.38750000000000001</v>
          </cell>
          <cell r="R204" t="str">
            <v>NA</v>
          </cell>
          <cell r="S204" t="str">
            <v>NA</v>
          </cell>
          <cell r="T204">
            <v>61.4</v>
          </cell>
          <cell r="U204">
            <v>5</v>
          </cell>
          <cell r="V204">
            <v>75.099999999999994</v>
          </cell>
          <cell r="W204">
            <v>7.6</v>
          </cell>
          <cell r="X204" t="str">
            <v>NA</v>
          </cell>
          <cell r="Y204" t="str">
            <v>NA</v>
          </cell>
          <cell r="Z204" t="str">
            <v>NA</v>
          </cell>
          <cell r="AA204" t="str">
            <v>NA</v>
          </cell>
        </row>
        <row r="205">
          <cell r="A205">
            <v>45120</v>
          </cell>
          <cell r="B205" t="str">
            <v>A1</v>
          </cell>
          <cell r="C205">
            <v>1</v>
          </cell>
          <cell r="D205">
            <v>1</v>
          </cell>
          <cell r="E205" t="str">
            <v>ARIS.A1.Aim1.Bin1.LB</v>
          </cell>
          <cell r="F205">
            <v>3</v>
          </cell>
          <cell r="G205" t="str">
            <v>Unweighted</v>
          </cell>
          <cell r="H205" t="str">
            <v>N</v>
          </cell>
          <cell r="I205" t="str">
            <v>Y</v>
          </cell>
          <cell r="J205">
            <v>122</v>
          </cell>
          <cell r="K205">
            <v>1</v>
          </cell>
          <cell r="L205">
            <v>0.97130000000000005</v>
          </cell>
          <cell r="M205">
            <v>24</v>
          </cell>
          <cell r="N205">
            <v>9.1</v>
          </cell>
          <cell r="O205">
            <v>2.87E-2</v>
          </cell>
          <cell r="P205">
            <v>2.3800000000000002E-2</v>
          </cell>
          <cell r="Q205">
            <v>4.8999999999999998E-3</v>
          </cell>
          <cell r="R205" t="str">
            <v>NA</v>
          </cell>
          <cell r="S205" t="str">
            <v>NA</v>
          </cell>
          <cell r="T205">
            <v>61.4</v>
          </cell>
          <cell r="U205">
            <v>5</v>
          </cell>
          <cell r="V205">
            <v>75.099999999999994</v>
          </cell>
          <cell r="W205">
            <v>7.6</v>
          </cell>
          <cell r="X205" t="str">
            <v>NA</v>
          </cell>
          <cell r="Y205" t="str">
            <v>NA</v>
          </cell>
          <cell r="Z205" t="str">
            <v>NA</v>
          </cell>
          <cell r="AA205" t="str">
            <v>NA</v>
          </cell>
        </row>
        <row r="206">
          <cell r="A206">
            <v>45120</v>
          </cell>
          <cell r="B206" t="str">
            <v>A1</v>
          </cell>
          <cell r="C206">
            <v>1</v>
          </cell>
          <cell r="D206">
            <v>2</v>
          </cell>
          <cell r="E206" t="str">
            <v>ARIS.A1.Aim2.Bin1.LB</v>
          </cell>
          <cell r="F206">
            <v>3</v>
          </cell>
          <cell r="G206" t="str">
            <v>Unweighted</v>
          </cell>
          <cell r="H206" t="str">
            <v>N</v>
          </cell>
          <cell r="I206" t="str">
            <v>Y</v>
          </cell>
          <cell r="J206">
            <v>114</v>
          </cell>
          <cell r="K206">
            <v>1</v>
          </cell>
          <cell r="L206">
            <v>0.89959999999999996</v>
          </cell>
          <cell r="M206">
            <v>19.899999999999999</v>
          </cell>
          <cell r="N206">
            <v>6.7</v>
          </cell>
          <cell r="O206">
            <v>0.1004</v>
          </cell>
          <cell r="P206">
            <v>0.1004</v>
          </cell>
          <cell r="Q206">
            <v>0</v>
          </cell>
          <cell r="R206" t="str">
            <v>NA</v>
          </cell>
          <cell r="S206" t="str">
            <v>NA</v>
          </cell>
          <cell r="T206">
            <v>61.4</v>
          </cell>
          <cell r="U206">
            <v>5</v>
          </cell>
          <cell r="V206">
            <v>75.099999999999994</v>
          </cell>
          <cell r="W206">
            <v>7.6</v>
          </cell>
          <cell r="X206" t="str">
            <v>NA</v>
          </cell>
          <cell r="Y206" t="str">
            <v>NA</v>
          </cell>
          <cell r="Z206" t="str">
            <v>NA</v>
          </cell>
          <cell r="AA206" t="str">
            <v>NA</v>
          </cell>
        </row>
        <row r="207">
          <cell r="A207">
            <v>45120</v>
          </cell>
          <cell r="B207" t="str">
            <v>A1</v>
          </cell>
          <cell r="C207">
            <v>1</v>
          </cell>
          <cell r="D207" t="str">
            <v>1&amp;2</v>
          </cell>
          <cell r="E207" t="str">
            <v>ARIS.A1.Aim1&amp;Aim2.Bin1.LB</v>
          </cell>
          <cell r="F207">
            <v>3</v>
          </cell>
          <cell r="G207" t="str">
            <v>Unweighted</v>
          </cell>
          <cell r="H207" t="str">
            <v>N</v>
          </cell>
          <cell r="I207" t="str">
            <v>Y</v>
          </cell>
          <cell r="J207">
            <v>236</v>
          </cell>
          <cell r="K207">
            <v>1</v>
          </cell>
          <cell r="L207">
            <v>0.92490000000000006</v>
          </cell>
          <cell r="M207">
            <v>21.4</v>
          </cell>
          <cell r="N207">
            <v>7.7</v>
          </cell>
          <cell r="O207">
            <v>7.51E-2</v>
          </cell>
          <cell r="P207">
            <v>7.51E-2</v>
          </cell>
          <cell r="Q207">
            <v>0</v>
          </cell>
          <cell r="R207" t="str">
            <v>NA</v>
          </cell>
          <cell r="S207" t="str">
            <v>NA</v>
          </cell>
          <cell r="T207">
            <v>61.4</v>
          </cell>
          <cell r="U207">
            <v>5</v>
          </cell>
          <cell r="V207">
            <v>75.099999999999994</v>
          </cell>
          <cell r="W207">
            <v>7.6</v>
          </cell>
          <cell r="X207" t="str">
            <v>NA</v>
          </cell>
          <cell r="Y207" t="str">
            <v>NA</v>
          </cell>
          <cell r="Z207" t="str">
            <v>NA</v>
          </cell>
          <cell r="AA207" t="str">
            <v>NA</v>
          </cell>
        </row>
        <row r="208">
          <cell r="A208">
            <v>45120</v>
          </cell>
          <cell r="B208" t="str">
            <v>A1</v>
          </cell>
          <cell r="C208">
            <v>2</v>
          </cell>
          <cell r="D208">
            <v>3</v>
          </cell>
          <cell r="E208" t="str">
            <v>ARIS.A1.Aim3.Bin2.LB</v>
          </cell>
          <cell r="F208">
            <v>3</v>
          </cell>
          <cell r="G208" t="str">
            <v>Unweighted</v>
          </cell>
          <cell r="H208" t="str">
            <v>N</v>
          </cell>
          <cell r="I208" t="str">
            <v>Y</v>
          </cell>
          <cell r="J208">
            <v>126</v>
          </cell>
          <cell r="K208">
            <v>1</v>
          </cell>
          <cell r="L208">
            <v>0.71889999999999998</v>
          </cell>
          <cell r="M208">
            <v>35.799999999999997</v>
          </cell>
          <cell r="N208">
            <v>8.6</v>
          </cell>
          <cell r="O208">
            <v>0.28110000000000002</v>
          </cell>
          <cell r="P208">
            <v>0.1457</v>
          </cell>
          <cell r="Q208">
            <v>0.13539999999999999</v>
          </cell>
          <cell r="R208" t="str">
            <v>NA</v>
          </cell>
          <cell r="S208" t="str">
            <v>NA</v>
          </cell>
          <cell r="T208">
            <v>61.4</v>
          </cell>
          <cell r="U208">
            <v>5</v>
          </cell>
          <cell r="V208">
            <v>75.099999999999994</v>
          </cell>
          <cell r="W208">
            <v>7.6</v>
          </cell>
          <cell r="X208" t="str">
            <v>NA</v>
          </cell>
          <cell r="Y208" t="str">
            <v>NA</v>
          </cell>
          <cell r="Z208" t="str">
            <v>NA</v>
          </cell>
          <cell r="AA208" t="str">
            <v>NA</v>
          </cell>
        </row>
        <row r="209">
          <cell r="A209">
            <v>45120</v>
          </cell>
          <cell r="B209" t="str">
            <v>A1</v>
          </cell>
          <cell r="C209">
            <v>3</v>
          </cell>
          <cell r="D209">
            <v>3</v>
          </cell>
          <cell r="E209" t="str">
            <v>ARIS.A1.Aim3.Bin3.LB</v>
          </cell>
          <cell r="F209">
            <v>3</v>
          </cell>
          <cell r="G209" t="str">
            <v>Unweighted</v>
          </cell>
          <cell r="H209" t="str">
            <v>N</v>
          </cell>
          <cell r="I209" t="str">
            <v>Y</v>
          </cell>
          <cell r="J209">
            <v>54</v>
          </cell>
          <cell r="K209">
            <v>1</v>
          </cell>
          <cell r="L209">
            <v>0.35570000000000002</v>
          </cell>
          <cell r="M209">
            <v>39.5</v>
          </cell>
          <cell r="N209">
            <v>6.8</v>
          </cell>
          <cell r="O209">
            <v>0.64429999999999998</v>
          </cell>
          <cell r="P209">
            <v>0.18190000000000001</v>
          </cell>
          <cell r="Q209">
            <v>0.46239999999999998</v>
          </cell>
          <cell r="R209" t="str">
            <v>NA</v>
          </cell>
          <cell r="S209" t="str">
            <v>NA</v>
          </cell>
          <cell r="T209">
            <v>61.4</v>
          </cell>
          <cell r="U209">
            <v>5</v>
          </cell>
          <cell r="V209">
            <v>75.099999999999994</v>
          </cell>
          <cell r="W209">
            <v>7.6</v>
          </cell>
          <cell r="X209" t="str">
            <v>NA</v>
          </cell>
          <cell r="Y209" t="str">
            <v>NA</v>
          </cell>
          <cell r="Z209" t="str">
            <v>NA</v>
          </cell>
          <cell r="AA209" t="str">
            <v>NA</v>
          </cell>
        </row>
        <row r="210">
          <cell r="A210">
            <v>45120</v>
          </cell>
          <cell r="B210" t="str">
            <v>A1</v>
          </cell>
          <cell r="C210">
            <v>4</v>
          </cell>
          <cell r="D210">
            <v>3</v>
          </cell>
          <cell r="E210" t="str">
            <v>ARIS.A1.Aim3.Bin4.LB</v>
          </cell>
          <cell r="F210">
            <v>3</v>
          </cell>
          <cell r="G210" t="str">
            <v>Unweighted</v>
          </cell>
          <cell r="H210" t="str">
            <v>N</v>
          </cell>
          <cell r="I210" t="str">
            <v>Y</v>
          </cell>
          <cell r="J210">
            <v>54</v>
          </cell>
          <cell r="K210">
            <v>1</v>
          </cell>
          <cell r="L210">
            <v>0.35570000000000002</v>
          </cell>
          <cell r="M210">
            <v>39.5</v>
          </cell>
          <cell r="N210">
            <v>6.8</v>
          </cell>
          <cell r="O210">
            <v>0.64429999999999998</v>
          </cell>
          <cell r="P210">
            <v>0.18190000000000001</v>
          </cell>
          <cell r="Q210">
            <v>0.46239999999999998</v>
          </cell>
          <cell r="R210" t="str">
            <v>NA</v>
          </cell>
          <cell r="S210" t="str">
            <v>NA</v>
          </cell>
          <cell r="T210">
            <v>61.4</v>
          </cell>
          <cell r="U210">
            <v>5</v>
          </cell>
          <cell r="V210">
            <v>75.099999999999994</v>
          </cell>
          <cell r="W210">
            <v>7.6</v>
          </cell>
          <cell r="X210" t="str">
            <v>NA</v>
          </cell>
          <cell r="Y210" t="str">
            <v>NA</v>
          </cell>
          <cell r="Z210" t="str">
            <v>NA</v>
          </cell>
          <cell r="AA210" t="str">
            <v>NA</v>
          </cell>
        </row>
        <row r="211">
          <cell r="A211">
            <v>45120</v>
          </cell>
          <cell r="B211" t="str">
            <v>A2</v>
          </cell>
          <cell r="C211">
            <v>1</v>
          </cell>
          <cell r="D211">
            <v>1</v>
          </cell>
          <cell r="E211" t="str">
            <v>ARIS.A2.Aim1.Bin1.RB</v>
          </cell>
          <cell r="F211">
            <v>3</v>
          </cell>
          <cell r="G211" t="str">
            <v>Unweighted</v>
          </cell>
          <cell r="H211" t="str">
            <v>N</v>
          </cell>
          <cell r="I211" t="str">
            <v>Y</v>
          </cell>
          <cell r="J211">
            <v>134</v>
          </cell>
          <cell r="K211">
            <v>1</v>
          </cell>
          <cell r="L211">
            <v>0.92820000000000003</v>
          </cell>
          <cell r="M211">
            <v>16.7</v>
          </cell>
          <cell r="N211">
            <v>7.5</v>
          </cell>
          <cell r="O211">
            <v>7.1800000000000003E-2</v>
          </cell>
          <cell r="P211">
            <v>7.1800000000000003E-2</v>
          </cell>
          <cell r="Q211">
            <v>0</v>
          </cell>
          <cell r="R211" t="str">
            <v>NA</v>
          </cell>
          <cell r="S211" t="str">
            <v>NA</v>
          </cell>
          <cell r="T211">
            <v>61.4</v>
          </cell>
          <cell r="U211">
            <v>5</v>
          </cell>
          <cell r="V211">
            <v>75.099999999999994</v>
          </cell>
          <cell r="W211">
            <v>7.6</v>
          </cell>
          <cell r="X211" t="str">
            <v>NA</v>
          </cell>
          <cell r="Y211" t="str">
            <v>NA</v>
          </cell>
          <cell r="Z211" t="str">
            <v>NA</v>
          </cell>
          <cell r="AA211" t="str">
            <v>NA</v>
          </cell>
        </row>
        <row r="212">
          <cell r="A212">
            <v>45120</v>
          </cell>
          <cell r="B212" t="str">
            <v>A2</v>
          </cell>
          <cell r="C212">
            <v>2</v>
          </cell>
          <cell r="D212">
            <v>1</v>
          </cell>
          <cell r="E212" t="str">
            <v>ARIS.A2.Aim1.Bin2.RB</v>
          </cell>
          <cell r="F212">
            <v>3</v>
          </cell>
          <cell r="G212" t="str">
            <v>Unweighted</v>
          </cell>
          <cell r="H212" t="str">
            <v>N</v>
          </cell>
          <cell r="I212" t="str">
            <v>Y</v>
          </cell>
          <cell r="J212">
            <v>150</v>
          </cell>
          <cell r="K212">
            <v>1.0001</v>
          </cell>
          <cell r="L212">
            <v>0.95299999999999996</v>
          </cell>
          <cell r="M212">
            <v>26.2</v>
          </cell>
          <cell r="N212">
            <v>11.7</v>
          </cell>
          <cell r="O212">
            <v>4.7100000000000003E-2</v>
          </cell>
          <cell r="P212">
            <v>3.7100000000000001E-2</v>
          </cell>
          <cell r="Q212">
            <v>0.01</v>
          </cell>
          <cell r="R212" t="str">
            <v>NA</v>
          </cell>
          <cell r="S212" t="str">
            <v>NA</v>
          </cell>
          <cell r="T212">
            <v>61.4</v>
          </cell>
          <cell r="U212">
            <v>5</v>
          </cell>
          <cell r="V212">
            <v>75.099999999999994</v>
          </cell>
          <cell r="W212">
            <v>7.6</v>
          </cell>
          <cell r="X212" t="str">
            <v>NA</v>
          </cell>
          <cell r="Y212" t="str">
            <v>NA</v>
          </cell>
          <cell r="Z212" t="str">
            <v>NA</v>
          </cell>
          <cell r="AA212" t="str">
            <v>NA</v>
          </cell>
        </row>
        <row r="213">
          <cell r="A213">
            <v>45120</v>
          </cell>
          <cell r="B213" t="str">
            <v>A2</v>
          </cell>
          <cell r="C213">
            <v>3</v>
          </cell>
          <cell r="D213">
            <v>1</v>
          </cell>
          <cell r="E213" t="str">
            <v>ARIS.A2.Aim1.Bin3.RB</v>
          </cell>
          <cell r="F213">
            <v>3</v>
          </cell>
          <cell r="G213" t="str">
            <v>Unweighted</v>
          </cell>
          <cell r="H213" t="str">
            <v>N</v>
          </cell>
          <cell r="I213" t="str">
            <v>Y</v>
          </cell>
          <cell r="J213">
            <v>119</v>
          </cell>
          <cell r="K213">
            <v>1.0001</v>
          </cell>
          <cell r="L213">
            <v>0.8639</v>
          </cell>
          <cell r="M213">
            <v>32.4</v>
          </cell>
          <cell r="N213">
            <v>10.199999999999999</v>
          </cell>
          <cell r="O213">
            <v>0.13619999999999999</v>
          </cell>
          <cell r="P213">
            <v>0.1009</v>
          </cell>
          <cell r="Q213">
            <v>3.5299999999999998E-2</v>
          </cell>
          <cell r="R213" t="str">
            <v>NA</v>
          </cell>
          <cell r="S213" t="str">
            <v>NA</v>
          </cell>
          <cell r="T213">
            <v>61.4</v>
          </cell>
          <cell r="U213">
            <v>5</v>
          </cell>
          <cell r="V213">
            <v>75.099999999999994</v>
          </cell>
          <cell r="W213">
            <v>7.6</v>
          </cell>
          <cell r="X213" t="str">
            <v>NA</v>
          </cell>
          <cell r="Y213" t="str">
            <v>NA</v>
          </cell>
          <cell r="Z213" t="str">
            <v>NA</v>
          </cell>
          <cell r="AA213" t="str">
            <v>NA</v>
          </cell>
        </row>
        <row r="214">
          <cell r="A214">
            <v>45120</v>
          </cell>
          <cell r="B214" t="str">
            <v>A2</v>
          </cell>
          <cell r="C214">
            <v>4</v>
          </cell>
          <cell r="D214">
            <v>1</v>
          </cell>
          <cell r="E214" t="str">
            <v>ARIS.A2.Aim1.Bin4.RB</v>
          </cell>
          <cell r="F214">
            <v>3</v>
          </cell>
          <cell r="G214" t="str">
            <v>Unweighted</v>
          </cell>
          <cell r="H214" t="str">
            <v>N</v>
          </cell>
          <cell r="I214" t="str">
            <v>Y</v>
          </cell>
          <cell r="J214">
            <v>119</v>
          </cell>
          <cell r="K214">
            <v>1.0001</v>
          </cell>
          <cell r="L214">
            <v>0.8639</v>
          </cell>
          <cell r="M214">
            <v>32.4</v>
          </cell>
          <cell r="N214">
            <v>10.199999999999999</v>
          </cell>
          <cell r="O214">
            <v>0.13619999999999999</v>
          </cell>
          <cell r="P214">
            <v>0.1009</v>
          </cell>
          <cell r="Q214">
            <v>3.5299999999999998E-2</v>
          </cell>
          <cell r="R214" t="str">
            <v>NA</v>
          </cell>
          <cell r="S214" t="str">
            <v>NA</v>
          </cell>
          <cell r="T214">
            <v>61.4</v>
          </cell>
          <cell r="U214">
            <v>5</v>
          </cell>
          <cell r="V214">
            <v>75.099999999999994</v>
          </cell>
          <cell r="W214">
            <v>7.6</v>
          </cell>
          <cell r="X214" t="str">
            <v>NA</v>
          </cell>
          <cell r="Y214" t="str">
            <v>NA</v>
          </cell>
          <cell r="Z214" t="str">
            <v>NA</v>
          </cell>
          <cell r="AA214" t="str">
            <v>NA</v>
          </cell>
        </row>
        <row r="215">
          <cell r="A215">
            <v>45120</v>
          </cell>
          <cell r="B215" t="str">
            <v>A2</v>
          </cell>
          <cell r="C215">
            <v>1</v>
          </cell>
          <cell r="D215">
            <v>1</v>
          </cell>
          <cell r="E215" t="str">
            <v>ARIS.A2.Aim1.Bin1.RB</v>
          </cell>
          <cell r="F215">
            <v>3</v>
          </cell>
          <cell r="G215" t="str">
            <v>SplineDFA</v>
          </cell>
          <cell r="H215" t="str">
            <v>Y</v>
          </cell>
          <cell r="I215" t="str">
            <v>N</v>
          </cell>
          <cell r="J215">
            <v>134</v>
          </cell>
          <cell r="K215">
            <v>1</v>
          </cell>
          <cell r="L215">
            <v>0.94499999999999995</v>
          </cell>
          <cell r="M215">
            <v>23.7</v>
          </cell>
          <cell r="N215">
            <v>2.7</v>
          </cell>
          <cell r="O215">
            <v>5.5E-2</v>
          </cell>
          <cell r="P215">
            <v>5.5E-2</v>
          </cell>
          <cell r="Q215">
            <v>0</v>
          </cell>
          <cell r="R215" t="str">
            <v>NA</v>
          </cell>
          <cell r="S215" t="str">
            <v>NA</v>
          </cell>
          <cell r="T215">
            <v>61.4</v>
          </cell>
          <cell r="U215">
            <v>5</v>
          </cell>
          <cell r="V215">
            <v>75.099999999999994</v>
          </cell>
          <cell r="W215">
            <v>7.6</v>
          </cell>
          <cell r="X215" t="str">
            <v>NA</v>
          </cell>
          <cell r="Y215" t="str">
            <v>NA</v>
          </cell>
          <cell r="Z215" t="str">
            <v>NA</v>
          </cell>
          <cell r="AA215" t="str">
            <v>NA</v>
          </cell>
        </row>
        <row r="216">
          <cell r="A216">
            <v>45120</v>
          </cell>
          <cell r="B216" t="str">
            <v>A2</v>
          </cell>
          <cell r="C216">
            <v>2</v>
          </cell>
          <cell r="D216">
            <v>1</v>
          </cell>
          <cell r="E216" t="str">
            <v>ARIS.A2.Aim1.Bin2.RB</v>
          </cell>
          <cell r="F216">
            <v>3</v>
          </cell>
          <cell r="G216" t="str">
            <v>SplineDFA</v>
          </cell>
          <cell r="H216" t="str">
            <v>Y</v>
          </cell>
          <cell r="I216" t="str">
            <v>N</v>
          </cell>
          <cell r="J216">
            <v>150</v>
          </cell>
          <cell r="K216">
            <v>1.0001</v>
          </cell>
          <cell r="L216">
            <v>0.7792</v>
          </cell>
          <cell r="M216">
            <v>23.7</v>
          </cell>
          <cell r="N216">
            <v>2.7</v>
          </cell>
          <cell r="O216">
            <v>0.22090000000000001</v>
          </cell>
          <cell r="P216">
            <v>0.20219999999999999</v>
          </cell>
          <cell r="Q216">
            <v>1.8700000000000001E-2</v>
          </cell>
          <cell r="R216" t="str">
            <v>NA</v>
          </cell>
          <cell r="S216" t="str">
            <v>NA</v>
          </cell>
          <cell r="T216">
            <v>61.4</v>
          </cell>
          <cell r="U216">
            <v>5</v>
          </cell>
          <cell r="V216">
            <v>75.099999999999994</v>
          </cell>
          <cell r="W216">
            <v>7.6</v>
          </cell>
          <cell r="X216" t="str">
            <v>NA</v>
          </cell>
          <cell r="Y216" t="str">
            <v>NA</v>
          </cell>
          <cell r="Z216" t="str">
            <v>NA</v>
          </cell>
          <cell r="AA216" t="str">
            <v>NA</v>
          </cell>
        </row>
        <row r="217">
          <cell r="A217">
            <v>45120</v>
          </cell>
          <cell r="B217" t="str">
            <v>A2</v>
          </cell>
          <cell r="C217">
            <v>3</v>
          </cell>
          <cell r="D217">
            <v>1</v>
          </cell>
          <cell r="E217" t="str">
            <v>ARIS.A2.Aim1.Bin3.RB</v>
          </cell>
          <cell r="F217">
            <v>3</v>
          </cell>
          <cell r="G217" t="str">
            <v>SplineDFA</v>
          </cell>
          <cell r="H217" t="str">
            <v>Y</v>
          </cell>
          <cell r="I217" t="str">
            <v>N</v>
          </cell>
          <cell r="J217">
            <v>119</v>
          </cell>
          <cell r="K217">
            <v>1.0001</v>
          </cell>
          <cell r="L217">
            <v>0.55759999999999998</v>
          </cell>
          <cell r="M217">
            <v>23.7</v>
          </cell>
          <cell r="N217">
            <v>2.7</v>
          </cell>
          <cell r="O217">
            <v>0.4425</v>
          </cell>
          <cell r="P217">
            <v>0.39069999999999999</v>
          </cell>
          <cell r="Q217">
            <v>5.1799999999999999E-2</v>
          </cell>
          <cell r="R217" t="str">
            <v>NA</v>
          </cell>
          <cell r="S217" t="str">
            <v>NA</v>
          </cell>
          <cell r="T217">
            <v>61.4</v>
          </cell>
          <cell r="U217">
            <v>5</v>
          </cell>
          <cell r="V217">
            <v>75.099999999999994</v>
          </cell>
          <cell r="W217">
            <v>7.6</v>
          </cell>
          <cell r="X217" t="str">
            <v>NA</v>
          </cell>
          <cell r="Y217" t="str">
            <v>NA</v>
          </cell>
          <cell r="Z217" t="str">
            <v>NA</v>
          </cell>
          <cell r="AA217" t="str">
            <v>NA</v>
          </cell>
        </row>
        <row r="218">
          <cell r="A218">
            <v>45120</v>
          </cell>
          <cell r="B218" t="str">
            <v>A2</v>
          </cell>
          <cell r="C218">
            <v>4</v>
          </cell>
          <cell r="D218">
            <v>1</v>
          </cell>
          <cell r="E218" t="str">
            <v>ARIS.A2.Aim1.Bin4.RB</v>
          </cell>
          <cell r="F218">
            <v>3</v>
          </cell>
          <cell r="G218" t="str">
            <v>SplineDFA</v>
          </cell>
          <cell r="H218" t="str">
            <v>Y</v>
          </cell>
          <cell r="I218" t="str">
            <v>N</v>
          </cell>
          <cell r="J218">
            <v>119</v>
          </cell>
          <cell r="K218">
            <v>1.0001</v>
          </cell>
          <cell r="L218">
            <v>0.55759999999999998</v>
          </cell>
          <cell r="M218">
            <v>23.7</v>
          </cell>
          <cell r="N218">
            <v>2.7</v>
          </cell>
          <cell r="O218">
            <v>0.4425</v>
          </cell>
          <cell r="P218">
            <v>0.39069999999999999</v>
          </cell>
          <cell r="Q218">
            <v>5.1799999999999999E-2</v>
          </cell>
          <cell r="R218" t="str">
            <v>NA</v>
          </cell>
          <cell r="S218" t="str">
            <v>NA</v>
          </cell>
          <cell r="T218">
            <v>61.4</v>
          </cell>
          <cell r="U218">
            <v>5</v>
          </cell>
          <cell r="V218">
            <v>75.099999999999994</v>
          </cell>
          <cell r="W218">
            <v>7.6</v>
          </cell>
          <cell r="X218" t="str">
            <v>NA</v>
          </cell>
          <cell r="Y218" t="str">
            <v>NA</v>
          </cell>
          <cell r="Z218" t="str">
            <v>NA</v>
          </cell>
          <cell r="AA218" t="str">
            <v>NA</v>
          </cell>
        </row>
        <row r="219">
          <cell r="A219">
            <v>45120</v>
          </cell>
          <cell r="B219" t="str">
            <v>A1</v>
          </cell>
          <cell r="C219">
            <v>1</v>
          </cell>
          <cell r="D219">
            <v>1</v>
          </cell>
          <cell r="E219" t="str">
            <v>ARIS.A1.Aim1.Bin1.LB</v>
          </cell>
          <cell r="F219">
            <v>4</v>
          </cell>
          <cell r="G219" t="str">
            <v>Unweighted</v>
          </cell>
          <cell r="H219" t="str">
            <v>N</v>
          </cell>
          <cell r="I219" t="str">
            <v>N</v>
          </cell>
          <cell r="J219">
            <v>122</v>
          </cell>
          <cell r="K219">
            <v>0.99990000000000001</v>
          </cell>
          <cell r="L219">
            <v>0.97</v>
          </cell>
          <cell r="M219">
            <v>23.8</v>
          </cell>
          <cell r="N219">
            <v>8.6999999999999993</v>
          </cell>
          <cell r="O219">
            <v>2.9899999999999999E-2</v>
          </cell>
          <cell r="P219">
            <v>2.8799999999999999E-2</v>
          </cell>
          <cell r="Q219">
            <v>1.1000000000000001E-3</v>
          </cell>
          <cell r="R219" t="str">
            <v>NA</v>
          </cell>
          <cell r="S219">
            <v>0</v>
          </cell>
          <cell r="T219">
            <v>61.4</v>
          </cell>
          <cell r="U219">
            <v>5</v>
          </cell>
          <cell r="V219">
            <v>75.099999999999994</v>
          </cell>
          <cell r="W219">
            <v>7.6</v>
          </cell>
          <cell r="X219" t="str">
            <v>NA</v>
          </cell>
          <cell r="Y219" t="str">
            <v>NA</v>
          </cell>
          <cell r="Z219">
            <v>39.1</v>
          </cell>
          <cell r="AA219">
            <v>3.5</v>
          </cell>
        </row>
        <row r="220">
          <cell r="A220">
            <v>45120</v>
          </cell>
          <cell r="B220" t="str">
            <v>A1</v>
          </cell>
          <cell r="C220">
            <v>1</v>
          </cell>
          <cell r="D220">
            <v>2</v>
          </cell>
          <cell r="E220" t="str">
            <v>ARIS.A1.Aim2.Bin1.LB</v>
          </cell>
          <cell r="F220">
            <v>4</v>
          </cell>
          <cell r="G220" t="str">
            <v>Unweighted</v>
          </cell>
          <cell r="H220" t="str">
            <v>N</v>
          </cell>
          <cell r="I220" t="str">
            <v>N</v>
          </cell>
          <cell r="J220">
            <v>114</v>
          </cell>
          <cell r="K220">
            <v>1</v>
          </cell>
          <cell r="L220">
            <v>0.82089999999999996</v>
          </cell>
          <cell r="M220">
            <v>18.7</v>
          </cell>
          <cell r="N220">
            <v>5.5</v>
          </cell>
          <cell r="O220">
            <v>0.17910000000000001</v>
          </cell>
          <cell r="P220">
            <v>4.3700000000000003E-2</v>
          </cell>
          <cell r="Q220">
            <v>0</v>
          </cell>
          <cell r="R220" t="str">
            <v>NA</v>
          </cell>
          <cell r="S220">
            <v>0.13539999999999999</v>
          </cell>
          <cell r="T220">
            <v>61.4</v>
          </cell>
          <cell r="U220">
            <v>5</v>
          </cell>
          <cell r="V220">
            <v>75.099999999999994</v>
          </cell>
          <cell r="W220">
            <v>7.6</v>
          </cell>
          <cell r="X220" t="str">
            <v>NA</v>
          </cell>
          <cell r="Y220" t="str">
            <v>NA</v>
          </cell>
          <cell r="Z220">
            <v>39.1</v>
          </cell>
          <cell r="AA220">
            <v>3.5</v>
          </cell>
        </row>
        <row r="221">
          <cell r="A221">
            <v>45120</v>
          </cell>
          <cell r="B221" t="str">
            <v>A1</v>
          </cell>
          <cell r="C221">
            <v>1</v>
          </cell>
          <cell r="D221" t="str">
            <v>1&amp;2</v>
          </cell>
          <cell r="E221" t="str">
            <v>ARIS.A1.Aim1&amp;Aim2.Bin1.LB</v>
          </cell>
          <cell r="F221">
            <v>4</v>
          </cell>
          <cell r="G221" t="str">
            <v>Unweighted</v>
          </cell>
          <cell r="H221" t="str">
            <v>N</v>
          </cell>
          <cell r="I221" t="str">
            <v>N</v>
          </cell>
          <cell r="J221">
            <v>236</v>
          </cell>
          <cell r="K221">
            <v>1</v>
          </cell>
          <cell r="L221">
            <v>0.78410000000000002</v>
          </cell>
          <cell r="M221">
            <v>23.7</v>
          </cell>
          <cell r="N221">
            <v>7.4</v>
          </cell>
          <cell r="O221">
            <v>0.21590000000000001</v>
          </cell>
          <cell r="P221">
            <v>3.7400000000000003E-2</v>
          </cell>
          <cell r="Q221">
            <v>0</v>
          </cell>
          <cell r="R221" t="str">
            <v>NA</v>
          </cell>
          <cell r="S221">
            <v>0.17849999999999999</v>
          </cell>
          <cell r="T221">
            <v>61.4</v>
          </cell>
          <cell r="U221">
            <v>5</v>
          </cell>
          <cell r="V221">
            <v>75.099999999999994</v>
          </cell>
          <cell r="W221">
            <v>7.6</v>
          </cell>
          <cell r="X221" t="str">
            <v>NA</v>
          </cell>
          <cell r="Y221" t="str">
            <v>NA</v>
          </cell>
          <cell r="Z221">
            <v>39.1</v>
          </cell>
          <cell r="AA221">
            <v>3.5</v>
          </cell>
        </row>
        <row r="222">
          <cell r="A222">
            <v>45120</v>
          </cell>
          <cell r="B222" t="str">
            <v>A1</v>
          </cell>
          <cell r="C222">
            <v>2</v>
          </cell>
          <cell r="D222">
            <v>3</v>
          </cell>
          <cell r="E222" t="str">
            <v>ARIS.A1.Aim3.Bin2.LB</v>
          </cell>
          <cell r="F222">
            <v>4</v>
          </cell>
          <cell r="G222" t="str">
            <v>Unweighted</v>
          </cell>
          <cell r="H222" t="str">
            <v>N</v>
          </cell>
          <cell r="I222" t="str">
            <v>N</v>
          </cell>
          <cell r="J222">
            <v>126</v>
          </cell>
          <cell r="K222">
            <v>1</v>
          </cell>
          <cell r="L222">
            <v>0.28820000000000001</v>
          </cell>
          <cell r="M222">
            <v>27.6</v>
          </cell>
          <cell r="N222">
            <v>4.3</v>
          </cell>
          <cell r="O222">
            <v>0.71179999999999999</v>
          </cell>
          <cell r="P222">
            <v>0.20039999999999999</v>
          </cell>
          <cell r="Q222">
            <v>0.1239</v>
          </cell>
          <cell r="R222" t="str">
            <v>NA</v>
          </cell>
          <cell r="S222">
            <v>0.38750000000000001</v>
          </cell>
          <cell r="T222">
            <v>61.4</v>
          </cell>
          <cell r="U222">
            <v>5</v>
          </cell>
          <cell r="V222">
            <v>75.099999999999994</v>
          </cell>
          <cell r="W222">
            <v>7.6</v>
          </cell>
          <cell r="X222" t="str">
            <v>NA</v>
          </cell>
          <cell r="Y222" t="str">
            <v>NA</v>
          </cell>
          <cell r="Z222">
            <v>39.1</v>
          </cell>
          <cell r="AA222">
            <v>3.5</v>
          </cell>
        </row>
        <row r="223">
          <cell r="A223">
            <v>45120</v>
          </cell>
          <cell r="B223" t="str">
            <v>A1</v>
          </cell>
          <cell r="C223">
            <v>3</v>
          </cell>
          <cell r="D223">
            <v>3</v>
          </cell>
          <cell r="E223" t="str">
            <v>ARIS.A1.Aim3.Bin3.LB</v>
          </cell>
          <cell r="F223">
            <v>4</v>
          </cell>
          <cell r="G223" t="str">
            <v>Unweighted</v>
          </cell>
          <cell r="H223" t="str">
            <v>N</v>
          </cell>
          <cell r="I223" t="str">
            <v>N</v>
          </cell>
          <cell r="J223">
            <v>54</v>
          </cell>
          <cell r="K223">
            <v>1</v>
          </cell>
          <cell r="L223">
            <v>3.8800000000000001E-2</v>
          </cell>
          <cell r="M223">
            <v>28.2</v>
          </cell>
          <cell r="N223">
            <v>1.3</v>
          </cell>
          <cell r="O223">
            <v>0.96120000000000005</v>
          </cell>
          <cell r="P223">
            <v>0.2157</v>
          </cell>
          <cell r="Q223">
            <v>0.45639999999999997</v>
          </cell>
          <cell r="R223" t="str">
            <v>NA</v>
          </cell>
          <cell r="S223">
            <v>0.28910000000000002</v>
          </cell>
          <cell r="T223">
            <v>61.4</v>
          </cell>
          <cell r="U223">
            <v>5</v>
          </cell>
          <cell r="V223">
            <v>75.099999999999994</v>
          </cell>
          <cell r="W223">
            <v>7.6</v>
          </cell>
          <cell r="X223" t="str">
            <v>NA</v>
          </cell>
          <cell r="Y223" t="str">
            <v>NA</v>
          </cell>
          <cell r="Z223">
            <v>39.1</v>
          </cell>
          <cell r="AA223">
            <v>3.5</v>
          </cell>
        </row>
        <row r="224">
          <cell r="A224">
            <v>45120</v>
          </cell>
          <cell r="B224" t="str">
            <v>A1</v>
          </cell>
          <cell r="C224">
            <v>4</v>
          </cell>
          <cell r="D224">
            <v>3</v>
          </cell>
          <cell r="E224" t="str">
            <v>ARIS.A1.Aim3.Bin4.LB</v>
          </cell>
          <cell r="F224">
            <v>4</v>
          </cell>
          <cell r="G224" t="str">
            <v>Unweighted</v>
          </cell>
          <cell r="H224" t="str">
            <v>N</v>
          </cell>
          <cell r="I224" t="str">
            <v>N</v>
          </cell>
          <cell r="J224">
            <v>54</v>
          </cell>
          <cell r="K224">
            <v>1</v>
          </cell>
          <cell r="L224">
            <v>3.8800000000000001E-2</v>
          </cell>
          <cell r="M224">
            <v>28.2</v>
          </cell>
          <cell r="N224">
            <v>1.3</v>
          </cell>
          <cell r="O224">
            <v>0.96120000000000005</v>
          </cell>
          <cell r="P224">
            <v>0.2157</v>
          </cell>
          <cell r="Q224">
            <v>0.45639999999999997</v>
          </cell>
          <cell r="R224" t="str">
            <v>NA</v>
          </cell>
          <cell r="S224">
            <v>0.28910000000000002</v>
          </cell>
          <cell r="T224">
            <v>61.4</v>
          </cell>
          <cell r="U224">
            <v>5</v>
          </cell>
          <cell r="V224">
            <v>75.099999999999994</v>
          </cell>
          <cell r="W224">
            <v>7.6</v>
          </cell>
          <cell r="X224" t="str">
            <v>NA</v>
          </cell>
          <cell r="Y224" t="str">
            <v>NA</v>
          </cell>
          <cell r="Z224">
            <v>39.1</v>
          </cell>
          <cell r="AA224">
            <v>3.5</v>
          </cell>
        </row>
        <row r="225">
          <cell r="A225">
            <v>45120</v>
          </cell>
          <cell r="B225" t="str">
            <v>A2</v>
          </cell>
          <cell r="C225">
            <v>1</v>
          </cell>
          <cell r="D225">
            <v>1</v>
          </cell>
          <cell r="E225" t="str">
            <v>ARIS.A2.Aim1.Bin1.RB</v>
          </cell>
          <cell r="F225">
            <v>4</v>
          </cell>
          <cell r="G225" t="str">
            <v>Unweighted</v>
          </cell>
          <cell r="H225" t="str">
            <v>N</v>
          </cell>
          <cell r="I225" t="str">
            <v>N</v>
          </cell>
          <cell r="J225">
            <v>134</v>
          </cell>
          <cell r="K225">
            <v>0.99990000000000001</v>
          </cell>
          <cell r="L225">
            <v>0.88400000000000001</v>
          </cell>
          <cell r="M225">
            <v>15.9</v>
          </cell>
          <cell r="N225">
            <v>6.7</v>
          </cell>
          <cell r="O225">
            <v>0.1159</v>
          </cell>
          <cell r="P225">
            <v>3.0499999999999999E-2</v>
          </cell>
          <cell r="Q225">
            <v>0</v>
          </cell>
          <cell r="R225" t="str">
            <v>NA</v>
          </cell>
          <cell r="S225">
            <v>8.5400000000000004E-2</v>
          </cell>
          <cell r="T225">
            <v>61.4</v>
          </cell>
          <cell r="U225">
            <v>5</v>
          </cell>
          <cell r="V225">
            <v>75.099999999999994</v>
          </cell>
          <cell r="W225">
            <v>7.6</v>
          </cell>
          <cell r="X225" t="str">
            <v>NA</v>
          </cell>
          <cell r="Y225" t="str">
            <v>NA</v>
          </cell>
          <cell r="Z225">
            <v>39.1</v>
          </cell>
          <cell r="AA225">
            <v>3.5</v>
          </cell>
        </row>
        <row r="226">
          <cell r="A226">
            <v>45120</v>
          </cell>
          <cell r="B226" t="str">
            <v>A2</v>
          </cell>
          <cell r="C226">
            <v>2</v>
          </cell>
          <cell r="D226">
            <v>1</v>
          </cell>
          <cell r="E226" t="str">
            <v>ARIS.A2.Aim1.Bin2.RB</v>
          </cell>
          <cell r="F226">
            <v>4</v>
          </cell>
          <cell r="G226" t="str">
            <v>Unweighted</v>
          </cell>
          <cell r="H226" t="str">
            <v>N</v>
          </cell>
          <cell r="I226" t="str">
            <v>N</v>
          </cell>
          <cell r="J226">
            <v>150</v>
          </cell>
          <cell r="K226">
            <v>1</v>
          </cell>
          <cell r="L226">
            <v>0.94689999999999996</v>
          </cell>
          <cell r="M226">
            <v>25.1</v>
          </cell>
          <cell r="N226">
            <v>12.4</v>
          </cell>
          <cell r="O226">
            <v>5.3100000000000001E-2</v>
          </cell>
          <cell r="P226">
            <v>3.7699999999999997E-2</v>
          </cell>
          <cell r="Q226">
            <v>1.54E-2</v>
          </cell>
          <cell r="R226" t="str">
            <v>NA</v>
          </cell>
          <cell r="S226">
            <v>0</v>
          </cell>
          <cell r="T226">
            <v>61.4</v>
          </cell>
          <cell r="U226">
            <v>5</v>
          </cell>
          <cell r="V226">
            <v>75.099999999999994</v>
          </cell>
          <cell r="W226">
            <v>7.6</v>
          </cell>
          <cell r="X226" t="str">
            <v>NA</v>
          </cell>
          <cell r="Y226" t="str">
            <v>NA</v>
          </cell>
          <cell r="Z226">
            <v>39.1</v>
          </cell>
          <cell r="AA226">
            <v>3.5</v>
          </cell>
        </row>
        <row r="227">
          <cell r="A227">
            <v>45120</v>
          </cell>
          <cell r="B227" t="str">
            <v>A2</v>
          </cell>
          <cell r="C227">
            <v>3</v>
          </cell>
          <cell r="D227">
            <v>1</v>
          </cell>
          <cell r="E227" t="str">
            <v>ARIS.A2.Aim1.Bin3.RB</v>
          </cell>
          <cell r="F227">
            <v>4</v>
          </cell>
          <cell r="G227" t="str">
            <v>Unweighted</v>
          </cell>
          <cell r="H227" t="str">
            <v>N</v>
          </cell>
          <cell r="I227" t="str">
            <v>N</v>
          </cell>
          <cell r="J227">
            <v>119</v>
          </cell>
          <cell r="K227">
            <v>1</v>
          </cell>
          <cell r="L227">
            <v>0.83109999999999995</v>
          </cell>
          <cell r="M227">
            <v>31.6</v>
          </cell>
          <cell r="N227">
            <v>10.6</v>
          </cell>
          <cell r="O227">
            <v>0.16889999999999999</v>
          </cell>
          <cell r="P227">
            <v>0.13009999999999999</v>
          </cell>
          <cell r="Q227">
            <v>3.8800000000000001E-2</v>
          </cell>
          <cell r="R227" t="str">
            <v>NA</v>
          </cell>
          <cell r="S227">
            <v>0</v>
          </cell>
          <cell r="T227">
            <v>61.4</v>
          </cell>
          <cell r="U227">
            <v>5</v>
          </cell>
          <cell r="V227">
            <v>75.099999999999994</v>
          </cell>
          <cell r="W227">
            <v>7.6</v>
          </cell>
          <cell r="X227" t="str">
            <v>NA</v>
          </cell>
          <cell r="Y227" t="str">
            <v>NA</v>
          </cell>
          <cell r="Z227">
            <v>39.1</v>
          </cell>
          <cell r="AA227">
            <v>3.5</v>
          </cell>
        </row>
        <row r="228">
          <cell r="A228">
            <v>45120</v>
          </cell>
          <cell r="B228" t="str">
            <v>A2</v>
          </cell>
          <cell r="C228">
            <v>4</v>
          </cell>
          <cell r="D228">
            <v>1</v>
          </cell>
          <cell r="E228" t="str">
            <v>ARIS.A2.Aim1.Bin4.RB</v>
          </cell>
          <cell r="F228">
            <v>4</v>
          </cell>
          <cell r="G228" t="str">
            <v>Unweighted</v>
          </cell>
          <cell r="H228" t="str">
            <v>N</v>
          </cell>
          <cell r="I228" t="str">
            <v>N</v>
          </cell>
          <cell r="J228">
            <v>119</v>
          </cell>
          <cell r="K228">
            <v>1</v>
          </cell>
          <cell r="L228">
            <v>0.83109999999999995</v>
          </cell>
          <cell r="M228">
            <v>31.6</v>
          </cell>
          <cell r="N228">
            <v>10.6</v>
          </cell>
          <cell r="O228">
            <v>0.16889999999999999</v>
          </cell>
          <cell r="P228">
            <v>0.13009999999999999</v>
          </cell>
          <cell r="Q228">
            <v>3.8800000000000001E-2</v>
          </cell>
          <cell r="R228" t="str">
            <v>NA</v>
          </cell>
          <cell r="S228">
            <v>0</v>
          </cell>
          <cell r="T228">
            <v>61.4</v>
          </cell>
          <cell r="U228">
            <v>5</v>
          </cell>
          <cell r="V228">
            <v>75.099999999999994</v>
          </cell>
          <cell r="W228">
            <v>7.6</v>
          </cell>
          <cell r="X228" t="str">
            <v>NA</v>
          </cell>
          <cell r="Y228" t="str">
            <v>NA</v>
          </cell>
          <cell r="Z228">
            <v>39.1</v>
          </cell>
          <cell r="AA228">
            <v>3.5</v>
          </cell>
        </row>
        <row r="229">
          <cell r="A229">
            <v>45121</v>
          </cell>
          <cell r="B229" t="str">
            <v>A1</v>
          </cell>
          <cell r="C229">
            <v>1</v>
          </cell>
          <cell r="D229">
            <v>1</v>
          </cell>
          <cell r="E229" t="str">
            <v>ARIS.A1.Aim1.Bin1.LB</v>
          </cell>
          <cell r="F229">
            <v>3</v>
          </cell>
          <cell r="G229" t="str">
            <v>SplineDFA</v>
          </cell>
          <cell r="H229" t="str">
            <v>Y</v>
          </cell>
          <cell r="I229" t="str">
            <v>N</v>
          </cell>
          <cell r="J229">
            <v>70</v>
          </cell>
          <cell r="K229">
            <v>1</v>
          </cell>
          <cell r="L229">
            <v>0.97009999999999996</v>
          </cell>
          <cell r="M229">
            <v>23.7</v>
          </cell>
          <cell r="N229">
            <v>2.7</v>
          </cell>
          <cell r="O229">
            <v>2.9899999999999999E-2</v>
          </cell>
          <cell r="P229">
            <v>2.0199999999999999E-2</v>
          </cell>
          <cell r="Q229">
            <v>9.7000000000000003E-3</v>
          </cell>
          <cell r="R229" t="str">
            <v>NA</v>
          </cell>
          <cell r="S229" t="str">
            <v>NA</v>
          </cell>
          <cell r="T229">
            <v>59.2</v>
          </cell>
          <cell r="U229">
            <v>4.8</v>
          </cell>
          <cell r="V229">
            <v>75.099999999999994</v>
          </cell>
          <cell r="W229">
            <v>7.6</v>
          </cell>
          <cell r="X229" t="str">
            <v>NA</v>
          </cell>
          <cell r="Y229" t="str">
            <v>NA</v>
          </cell>
          <cell r="Z229" t="str">
            <v>NA</v>
          </cell>
          <cell r="AA229" t="str">
            <v>NA</v>
          </cell>
        </row>
        <row r="230">
          <cell r="A230">
            <v>45121</v>
          </cell>
          <cell r="B230" t="str">
            <v>A1</v>
          </cell>
          <cell r="C230">
            <v>1</v>
          </cell>
          <cell r="D230">
            <v>2</v>
          </cell>
          <cell r="E230" t="str">
            <v>ARIS.A1.Aim2.Bin1.LB</v>
          </cell>
          <cell r="F230">
            <v>3</v>
          </cell>
          <cell r="G230" t="str">
            <v>SplineDFA</v>
          </cell>
          <cell r="H230" t="str">
            <v>Y</v>
          </cell>
          <cell r="I230" t="str">
            <v>N</v>
          </cell>
          <cell r="J230">
            <v>103</v>
          </cell>
          <cell r="K230">
            <v>1</v>
          </cell>
          <cell r="L230">
            <v>0.95850000000000002</v>
          </cell>
          <cell r="M230">
            <v>23.7</v>
          </cell>
          <cell r="N230">
            <v>2.7</v>
          </cell>
          <cell r="O230">
            <v>4.1500000000000002E-2</v>
          </cell>
          <cell r="P230">
            <v>3.1199999999999999E-2</v>
          </cell>
          <cell r="Q230">
            <v>1.03E-2</v>
          </cell>
          <cell r="R230" t="str">
            <v>NA</v>
          </cell>
          <cell r="S230" t="str">
            <v>NA</v>
          </cell>
          <cell r="T230">
            <v>59.2</v>
          </cell>
          <cell r="U230">
            <v>4.8</v>
          </cell>
          <cell r="V230">
            <v>75.099999999999994</v>
          </cell>
          <cell r="W230">
            <v>7.6</v>
          </cell>
          <cell r="X230" t="str">
            <v>NA</v>
          </cell>
          <cell r="Y230" t="str">
            <v>NA</v>
          </cell>
          <cell r="Z230" t="str">
            <v>NA</v>
          </cell>
          <cell r="AA230" t="str">
            <v>NA</v>
          </cell>
        </row>
        <row r="231">
          <cell r="A231">
            <v>45121</v>
          </cell>
          <cell r="B231" t="str">
            <v>A1</v>
          </cell>
          <cell r="C231">
            <v>2</v>
          </cell>
          <cell r="D231">
            <v>3</v>
          </cell>
          <cell r="E231" t="str">
            <v>ARIS.A1.Aim3.Bin2.LB</v>
          </cell>
          <cell r="F231">
            <v>3</v>
          </cell>
          <cell r="G231" t="str">
            <v>SplineDFA</v>
          </cell>
          <cell r="H231" t="str">
            <v>Y</v>
          </cell>
          <cell r="I231" t="str">
            <v>N</v>
          </cell>
          <cell r="J231">
            <v>83</v>
          </cell>
          <cell r="K231">
            <v>0.99990000000000001</v>
          </cell>
          <cell r="L231">
            <v>0.47689999999999999</v>
          </cell>
          <cell r="M231">
            <v>23.7</v>
          </cell>
          <cell r="N231">
            <v>2.7</v>
          </cell>
          <cell r="O231">
            <v>0.52300000000000002</v>
          </cell>
          <cell r="P231">
            <v>0.43430000000000002</v>
          </cell>
          <cell r="Q231">
            <v>8.8700000000000001E-2</v>
          </cell>
          <cell r="R231" t="str">
            <v>NA</v>
          </cell>
          <cell r="S231" t="str">
            <v>NA</v>
          </cell>
          <cell r="T231">
            <v>59.2</v>
          </cell>
          <cell r="U231">
            <v>4.8</v>
          </cell>
          <cell r="V231">
            <v>75.099999999999994</v>
          </cell>
          <cell r="W231">
            <v>7.6</v>
          </cell>
          <cell r="X231" t="str">
            <v>NA</v>
          </cell>
          <cell r="Y231" t="str">
            <v>NA</v>
          </cell>
          <cell r="Z231" t="str">
            <v>NA</v>
          </cell>
          <cell r="AA231" t="str">
            <v>NA</v>
          </cell>
        </row>
        <row r="232">
          <cell r="A232">
            <v>45121</v>
          </cell>
          <cell r="B232" t="str">
            <v>A1</v>
          </cell>
          <cell r="C232">
            <v>3</v>
          </cell>
          <cell r="D232">
            <v>3</v>
          </cell>
          <cell r="E232" t="str">
            <v>ARIS.A1.Aim3.Bin3.LB</v>
          </cell>
          <cell r="F232">
            <v>3</v>
          </cell>
          <cell r="G232" t="str">
            <v>SplineDFA</v>
          </cell>
          <cell r="H232" t="str">
            <v>Y</v>
          </cell>
          <cell r="I232" t="str">
            <v>N</v>
          </cell>
          <cell r="J232">
            <v>61</v>
          </cell>
          <cell r="K232">
            <v>1</v>
          </cell>
          <cell r="L232">
            <v>0.14480000000000001</v>
          </cell>
          <cell r="M232">
            <v>23.7</v>
          </cell>
          <cell r="N232">
            <v>2.7</v>
          </cell>
          <cell r="O232">
            <v>0.85519999999999996</v>
          </cell>
          <cell r="P232">
            <v>0.56010000000000004</v>
          </cell>
          <cell r="Q232">
            <v>0.29509999999999997</v>
          </cell>
          <cell r="R232" t="str">
            <v>NA</v>
          </cell>
          <cell r="S232" t="str">
            <v>NA</v>
          </cell>
          <cell r="T232">
            <v>59.2</v>
          </cell>
          <cell r="U232">
            <v>4.8</v>
          </cell>
          <cell r="V232">
            <v>75.099999999999994</v>
          </cell>
          <cell r="W232">
            <v>7.6</v>
          </cell>
          <cell r="X232" t="str">
            <v>NA</v>
          </cell>
          <cell r="Y232" t="str">
            <v>NA</v>
          </cell>
          <cell r="Z232" t="str">
            <v>NA</v>
          </cell>
          <cell r="AA232" t="str">
            <v>NA</v>
          </cell>
        </row>
        <row r="233">
          <cell r="A233">
            <v>45121</v>
          </cell>
          <cell r="B233" t="str">
            <v>A1</v>
          </cell>
          <cell r="C233">
            <v>4</v>
          </cell>
          <cell r="D233">
            <v>3</v>
          </cell>
          <cell r="E233" t="str">
            <v>ARIS.A1.Aim3.Bin4.LB</v>
          </cell>
          <cell r="F233">
            <v>3</v>
          </cell>
          <cell r="G233" t="str">
            <v>SplineDFA</v>
          </cell>
          <cell r="H233" t="str">
            <v>Y</v>
          </cell>
          <cell r="I233" t="str">
            <v>N</v>
          </cell>
          <cell r="J233">
            <v>61</v>
          </cell>
          <cell r="K233">
            <v>1</v>
          </cell>
          <cell r="L233">
            <v>0.14480000000000001</v>
          </cell>
          <cell r="M233">
            <v>23.7</v>
          </cell>
          <cell r="N233">
            <v>2.7</v>
          </cell>
          <cell r="O233">
            <v>0.85519999999999996</v>
          </cell>
          <cell r="P233">
            <v>0.56010000000000004</v>
          </cell>
          <cell r="Q233">
            <v>0.29509999999999997</v>
          </cell>
          <cell r="R233" t="str">
            <v>NA</v>
          </cell>
          <cell r="S233" t="str">
            <v>NA</v>
          </cell>
          <cell r="T233">
            <v>59.2</v>
          </cell>
          <cell r="U233">
            <v>4.8</v>
          </cell>
          <cell r="V233">
            <v>75.099999999999994</v>
          </cell>
          <cell r="W233">
            <v>7.6</v>
          </cell>
          <cell r="X233" t="str">
            <v>NA</v>
          </cell>
          <cell r="Y233" t="str">
            <v>NA</v>
          </cell>
          <cell r="Z233" t="str">
            <v>NA</v>
          </cell>
          <cell r="AA233" t="str">
            <v>NA</v>
          </cell>
        </row>
        <row r="234">
          <cell r="A234">
            <v>45121</v>
          </cell>
          <cell r="B234" t="str">
            <v>A1</v>
          </cell>
          <cell r="C234">
            <v>1</v>
          </cell>
          <cell r="D234">
            <v>1</v>
          </cell>
          <cell r="E234" t="str">
            <v>ARIS.A1.Aim1.Bin1.LB</v>
          </cell>
          <cell r="F234">
            <v>3</v>
          </cell>
          <cell r="G234" t="str">
            <v>Unweighted</v>
          </cell>
          <cell r="H234" t="str">
            <v>N</v>
          </cell>
          <cell r="I234" t="str">
            <v>Y</v>
          </cell>
          <cell r="J234">
            <v>70</v>
          </cell>
          <cell r="K234">
            <v>1</v>
          </cell>
          <cell r="L234">
            <v>0.94610000000000005</v>
          </cell>
          <cell r="M234">
            <v>20.100000000000001</v>
          </cell>
          <cell r="N234">
            <v>6.5</v>
          </cell>
          <cell r="O234">
            <v>5.3900000000000003E-2</v>
          </cell>
          <cell r="P234">
            <v>5.3900000000000003E-2</v>
          </cell>
          <cell r="Q234">
            <v>0</v>
          </cell>
          <cell r="R234" t="str">
            <v>NA</v>
          </cell>
          <cell r="S234" t="str">
            <v>NA</v>
          </cell>
          <cell r="T234">
            <v>59.2</v>
          </cell>
          <cell r="U234">
            <v>4.8</v>
          </cell>
          <cell r="V234">
            <v>75.099999999999994</v>
          </cell>
          <cell r="W234">
            <v>7.6</v>
          </cell>
          <cell r="X234" t="str">
            <v>NA</v>
          </cell>
          <cell r="Y234" t="str">
            <v>NA</v>
          </cell>
          <cell r="Z234" t="str">
            <v>NA</v>
          </cell>
          <cell r="AA234" t="str">
            <v>NA</v>
          </cell>
        </row>
        <row r="235">
          <cell r="A235">
            <v>45121</v>
          </cell>
          <cell r="B235" t="str">
            <v>A1</v>
          </cell>
          <cell r="C235">
            <v>1</v>
          </cell>
          <cell r="D235">
            <v>2</v>
          </cell>
          <cell r="E235" t="str">
            <v>ARIS.A1.Aim2.Bin1.LB</v>
          </cell>
          <cell r="F235">
            <v>3</v>
          </cell>
          <cell r="G235" t="str">
            <v>Unweighted</v>
          </cell>
          <cell r="H235" t="str">
            <v>N</v>
          </cell>
          <cell r="I235" t="str">
            <v>Y</v>
          </cell>
          <cell r="J235">
            <v>103</v>
          </cell>
          <cell r="K235">
            <v>1</v>
          </cell>
          <cell r="L235">
            <v>0.94730000000000003</v>
          </cell>
          <cell r="M235">
            <v>16.3</v>
          </cell>
          <cell r="N235">
            <v>6.4</v>
          </cell>
          <cell r="O235">
            <v>5.2699999999999997E-2</v>
          </cell>
          <cell r="P235">
            <v>5.2699999999999997E-2</v>
          </cell>
          <cell r="Q235">
            <v>0</v>
          </cell>
          <cell r="R235" t="str">
            <v>NA</v>
          </cell>
          <cell r="S235" t="str">
            <v>NA</v>
          </cell>
          <cell r="T235">
            <v>59.2</v>
          </cell>
          <cell r="U235">
            <v>4.8</v>
          </cell>
          <cell r="V235">
            <v>75.099999999999994</v>
          </cell>
          <cell r="W235">
            <v>7.6</v>
          </cell>
          <cell r="X235" t="str">
            <v>NA</v>
          </cell>
          <cell r="Y235" t="str">
            <v>NA</v>
          </cell>
          <cell r="Z235" t="str">
            <v>NA</v>
          </cell>
          <cell r="AA235" t="str">
            <v>NA</v>
          </cell>
        </row>
        <row r="236">
          <cell r="A236">
            <v>45121</v>
          </cell>
          <cell r="B236" t="str">
            <v>A1</v>
          </cell>
          <cell r="C236">
            <v>1</v>
          </cell>
          <cell r="D236" t="str">
            <v>1&amp;2</v>
          </cell>
          <cell r="E236" t="str">
            <v>ARIS.A1.Aim1&amp;Aim2.Bin1.LB</v>
          </cell>
          <cell r="F236">
            <v>3</v>
          </cell>
          <cell r="G236" t="str">
            <v>Unweighted</v>
          </cell>
          <cell r="H236" t="str">
            <v>N</v>
          </cell>
          <cell r="I236" t="str">
            <v>Y</v>
          </cell>
          <cell r="J236">
            <v>173</v>
          </cell>
          <cell r="K236">
            <v>1</v>
          </cell>
          <cell r="L236">
            <v>0.94679999999999997</v>
          </cell>
          <cell r="M236">
            <v>17.8</v>
          </cell>
          <cell r="N236">
            <v>6.8</v>
          </cell>
          <cell r="O236">
            <v>5.3199999999999997E-2</v>
          </cell>
          <cell r="P236">
            <v>5.3199999999999997E-2</v>
          </cell>
          <cell r="Q236">
            <v>0</v>
          </cell>
          <cell r="R236" t="str">
            <v>NA</v>
          </cell>
          <cell r="S236" t="str">
            <v>NA</v>
          </cell>
          <cell r="T236">
            <v>59.2</v>
          </cell>
          <cell r="U236">
            <v>4.8</v>
          </cell>
          <cell r="V236">
            <v>75.099999999999994</v>
          </cell>
          <cell r="W236">
            <v>7.6</v>
          </cell>
          <cell r="X236" t="str">
            <v>NA</v>
          </cell>
          <cell r="Y236" t="str">
            <v>NA</v>
          </cell>
          <cell r="Z236" t="str">
            <v>NA</v>
          </cell>
          <cell r="AA236" t="str">
            <v>NA</v>
          </cell>
        </row>
        <row r="237">
          <cell r="A237">
            <v>45121</v>
          </cell>
          <cell r="B237" t="str">
            <v>A1</v>
          </cell>
          <cell r="C237">
            <v>2</v>
          </cell>
          <cell r="D237">
            <v>3</v>
          </cell>
          <cell r="E237" t="str">
            <v>ARIS.A1.Aim3.Bin2.LB</v>
          </cell>
          <cell r="F237">
            <v>3</v>
          </cell>
          <cell r="G237" t="str">
            <v>Unweighted</v>
          </cell>
          <cell r="H237" t="str">
            <v>N</v>
          </cell>
          <cell r="I237" t="str">
            <v>Y</v>
          </cell>
          <cell r="J237">
            <v>83</v>
          </cell>
          <cell r="K237">
            <v>1</v>
          </cell>
          <cell r="L237">
            <v>0.62839999999999996</v>
          </cell>
          <cell r="M237">
            <v>30.4</v>
          </cell>
          <cell r="N237">
            <v>9.1</v>
          </cell>
          <cell r="O237">
            <v>0.37159999999999999</v>
          </cell>
          <cell r="P237">
            <v>0.27039999999999997</v>
          </cell>
          <cell r="Q237">
            <v>0.1012</v>
          </cell>
          <cell r="R237" t="str">
            <v>NA</v>
          </cell>
          <cell r="S237" t="str">
            <v>NA</v>
          </cell>
          <cell r="T237">
            <v>59.2</v>
          </cell>
          <cell r="U237">
            <v>4.8</v>
          </cell>
          <cell r="V237">
            <v>75.099999999999994</v>
          </cell>
          <cell r="W237">
            <v>7.6</v>
          </cell>
          <cell r="X237" t="str">
            <v>NA</v>
          </cell>
          <cell r="Y237" t="str">
            <v>NA</v>
          </cell>
          <cell r="Z237" t="str">
            <v>NA</v>
          </cell>
          <cell r="AA237" t="str">
            <v>NA</v>
          </cell>
        </row>
        <row r="238">
          <cell r="A238">
            <v>45121</v>
          </cell>
          <cell r="B238" t="str">
            <v>A1</v>
          </cell>
          <cell r="C238">
            <v>3</v>
          </cell>
          <cell r="D238">
            <v>3</v>
          </cell>
          <cell r="E238" t="str">
            <v>ARIS.A1.Aim3.Bin3.LB</v>
          </cell>
          <cell r="F238">
            <v>3</v>
          </cell>
          <cell r="G238" t="str">
            <v>Unweighted</v>
          </cell>
          <cell r="H238" t="str">
            <v>N</v>
          </cell>
          <cell r="I238" t="str">
            <v>Y</v>
          </cell>
          <cell r="J238">
            <v>61</v>
          </cell>
          <cell r="K238">
            <v>0.99990000000000001</v>
          </cell>
          <cell r="L238">
            <v>0.45729999999999998</v>
          </cell>
          <cell r="M238">
            <v>23.7</v>
          </cell>
          <cell r="N238">
            <v>18.100000000000001</v>
          </cell>
          <cell r="O238">
            <v>0.54259999999999997</v>
          </cell>
          <cell r="P238">
            <v>0.29430000000000001</v>
          </cell>
          <cell r="Q238">
            <v>0.24829999999999999</v>
          </cell>
          <cell r="R238" t="str">
            <v>NA</v>
          </cell>
          <cell r="S238" t="str">
            <v>NA</v>
          </cell>
          <cell r="T238">
            <v>59.2</v>
          </cell>
          <cell r="U238">
            <v>4.8</v>
          </cell>
          <cell r="V238">
            <v>75.099999999999994</v>
          </cell>
          <cell r="W238">
            <v>7.6</v>
          </cell>
          <cell r="X238" t="str">
            <v>NA</v>
          </cell>
          <cell r="Y238" t="str">
            <v>NA</v>
          </cell>
          <cell r="Z238" t="str">
            <v>NA</v>
          </cell>
          <cell r="AA238" t="str">
            <v>NA</v>
          </cell>
        </row>
        <row r="239">
          <cell r="A239">
            <v>45121</v>
          </cell>
          <cell r="B239" t="str">
            <v>A1</v>
          </cell>
          <cell r="C239">
            <v>4</v>
          </cell>
          <cell r="D239">
            <v>3</v>
          </cell>
          <cell r="E239" t="str">
            <v>ARIS.A1.Aim3.Bin4.LB</v>
          </cell>
          <cell r="F239">
            <v>3</v>
          </cell>
          <cell r="G239" t="str">
            <v>Unweighted</v>
          </cell>
          <cell r="H239" t="str">
            <v>N</v>
          </cell>
          <cell r="I239" t="str">
            <v>Y</v>
          </cell>
          <cell r="J239">
            <v>61</v>
          </cell>
          <cell r="K239">
            <v>0.99990000000000001</v>
          </cell>
          <cell r="L239">
            <v>0.45729999999999998</v>
          </cell>
          <cell r="M239">
            <v>23.7</v>
          </cell>
          <cell r="N239">
            <v>18.100000000000001</v>
          </cell>
          <cell r="O239">
            <v>0.54259999999999997</v>
          </cell>
          <cell r="P239">
            <v>0.29430000000000001</v>
          </cell>
          <cell r="Q239">
            <v>0.24829999999999999</v>
          </cell>
          <cell r="R239" t="str">
            <v>NA</v>
          </cell>
          <cell r="S239" t="str">
            <v>NA</v>
          </cell>
          <cell r="T239">
            <v>59.2</v>
          </cell>
          <cell r="U239">
            <v>4.8</v>
          </cell>
          <cell r="V239">
            <v>75.099999999999994</v>
          </cell>
          <cell r="W239">
            <v>7.6</v>
          </cell>
          <cell r="X239" t="str">
            <v>NA</v>
          </cell>
          <cell r="Y239" t="str">
            <v>NA</v>
          </cell>
          <cell r="Z239" t="str">
            <v>NA</v>
          </cell>
          <cell r="AA239" t="str">
            <v>NA</v>
          </cell>
        </row>
        <row r="240">
          <cell r="A240">
            <v>45121</v>
          </cell>
          <cell r="B240" t="str">
            <v>A2</v>
          </cell>
          <cell r="C240">
            <v>1</v>
          </cell>
          <cell r="D240">
            <v>1</v>
          </cell>
          <cell r="E240" t="str">
            <v>ARIS.A2.Aim1.Bin1.RB</v>
          </cell>
          <cell r="F240">
            <v>3</v>
          </cell>
          <cell r="G240" t="str">
            <v>Unweighted</v>
          </cell>
          <cell r="H240" t="str">
            <v>N</v>
          </cell>
          <cell r="I240" t="str">
            <v>Y</v>
          </cell>
          <cell r="J240">
            <v>117</v>
          </cell>
          <cell r="K240">
            <v>1</v>
          </cell>
          <cell r="L240">
            <v>0.98299999999999998</v>
          </cell>
          <cell r="M240">
            <v>18.100000000000001</v>
          </cell>
          <cell r="N240">
            <v>6.4</v>
          </cell>
          <cell r="O240">
            <v>1.7000000000000001E-2</v>
          </cell>
          <cell r="P240">
            <v>1.7000000000000001E-2</v>
          </cell>
          <cell r="Q240">
            <v>0</v>
          </cell>
          <cell r="R240" t="str">
            <v>NA</v>
          </cell>
          <cell r="S240" t="str">
            <v>NA</v>
          </cell>
          <cell r="T240">
            <v>59.2</v>
          </cell>
          <cell r="U240">
            <v>4.8</v>
          </cell>
          <cell r="V240">
            <v>75.099999999999994</v>
          </cell>
          <cell r="W240">
            <v>7.6</v>
          </cell>
          <cell r="X240" t="str">
            <v>NA</v>
          </cell>
          <cell r="Y240" t="str">
            <v>NA</v>
          </cell>
          <cell r="Z240" t="str">
            <v>NA</v>
          </cell>
          <cell r="AA240" t="str">
            <v>NA</v>
          </cell>
        </row>
        <row r="241">
          <cell r="A241">
            <v>45121</v>
          </cell>
          <cell r="B241" t="str">
            <v>A2</v>
          </cell>
          <cell r="C241">
            <v>2</v>
          </cell>
          <cell r="D241">
            <v>1</v>
          </cell>
          <cell r="E241" t="str">
            <v>ARIS.A2.Aim1.Bin2.RB</v>
          </cell>
          <cell r="F241">
            <v>3</v>
          </cell>
          <cell r="G241" t="str">
            <v>Unweighted</v>
          </cell>
          <cell r="H241" t="str">
            <v>N</v>
          </cell>
          <cell r="I241" t="str">
            <v>Y</v>
          </cell>
          <cell r="J241">
            <v>133</v>
          </cell>
          <cell r="K241">
            <v>1.0001</v>
          </cell>
          <cell r="L241">
            <v>0.92090000000000005</v>
          </cell>
          <cell r="M241">
            <v>31</v>
          </cell>
          <cell r="N241">
            <v>10</v>
          </cell>
          <cell r="O241">
            <v>7.9200000000000007E-2</v>
          </cell>
          <cell r="P241">
            <v>4.87E-2</v>
          </cell>
          <cell r="Q241">
            <v>3.0499999999999999E-2</v>
          </cell>
          <cell r="R241" t="str">
            <v>NA</v>
          </cell>
          <cell r="S241" t="str">
            <v>NA</v>
          </cell>
          <cell r="T241">
            <v>59.2</v>
          </cell>
          <cell r="U241">
            <v>4.8</v>
          </cell>
          <cell r="V241">
            <v>75.099999999999994</v>
          </cell>
          <cell r="W241">
            <v>7.6</v>
          </cell>
          <cell r="X241" t="str">
            <v>NA</v>
          </cell>
          <cell r="Y241" t="str">
            <v>NA</v>
          </cell>
          <cell r="Z241" t="str">
            <v>NA</v>
          </cell>
          <cell r="AA241" t="str">
            <v>NA</v>
          </cell>
        </row>
        <row r="242">
          <cell r="A242">
            <v>45121</v>
          </cell>
          <cell r="B242" t="str">
            <v>A2</v>
          </cell>
          <cell r="C242">
            <v>3</v>
          </cell>
          <cell r="D242">
            <v>1</v>
          </cell>
          <cell r="E242" t="str">
            <v>ARIS.A2.Aim1.Bin3.RB</v>
          </cell>
          <cell r="F242">
            <v>3</v>
          </cell>
          <cell r="G242" t="str">
            <v>Unweighted</v>
          </cell>
          <cell r="H242" t="str">
            <v>N</v>
          </cell>
          <cell r="I242" t="str">
            <v>Y</v>
          </cell>
          <cell r="J242">
            <v>62</v>
          </cell>
          <cell r="K242">
            <v>1</v>
          </cell>
          <cell r="L242">
            <v>0.55200000000000005</v>
          </cell>
          <cell r="M242">
            <v>23.7</v>
          </cell>
          <cell r="N242">
            <v>15.9</v>
          </cell>
          <cell r="O242">
            <v>0.44800000000000001</v>
          </cell>
          <cell r="P242">
            <v>0.2402</v>
          </cell>
          <cell r="Q242">
            <v>0.20780000000000001</v>
          </cell>
          <cell r="R242" t="str">
            <v>NA</v>
          </cell>
          <cell r="S242" t="str">
            <v>NA</v>
          </cell>
          <cell r="T242">
            <v>59.2</v>
          </cell>
          <cell r="U242">
            <v>4.8</v>
          </cell>
          <cell r="V242">
            <v>75.099999999999994</v>
          </cell>
          <cell r="W242">
            <v>7.6</v>
          </cell>
          <cell r="X242" t="str">
            <v>NA</v>
          </cell>
          <cell r="Y242" t="str">
            <v>NA</v>
          </cell>
          <cell r="Z242" t="str">
            <v>NA</v>
          </cell>
          <cell r="AA242" t="str">
            <v>NA</v>
          </cell>
        </row>
        <row r="243">
          <cell r="A243">
            <v>45121</v>
          </cell>
          <cell r="B243" t="str">
            <v>A2</v>
          </cell>
          <cell r="C243">
            <v>4</v>
          </cell>
          <cell r="D243">
            <v>1</v>
          </cell>
          <cell r="E243" t="str">
            <v>ARIS.A2.Aim1.Bin4.RB</v>
          </cell>
          <cell r="F243">
            <v>3</v>
          </cell>
          <cell r="G243" t="str">
            <v>Unweighted</v>
          </cell>
          <cell r="H243" t="str">
            <v>N</v>
          </cell>
          <cell r="I243" t="str">
            <v>Y</v>
          </cell>
          <cell r="J243">
            <v>62</v>
          </cell>
          <cell r="K243">
            <v>1</v>
          </cell>
          <cell r="L243">
            <v>0.55200000000000005</v>
          </cell>
          <cell r="M243">
            <v>23.7</v>
          </cell>
          <cell r="N243">
            <v>15.9</v>
          </cell>
          <cell r="O243">
            <v>0.44800000000000001</v>
          </cell>
          <cell r="P243">
            <v>0.2402</v>
          </cell>
          <cell r="Q243">
            <v>0.20780000000000001</v>
          </cell>
          <cell r="R243" t="str">
            <v>NA</v>
          </cell>
          <cell r="S243" t="str">
            <v>NA</v>
          </cell>
          <cell r="T243">
            <v>59.2</v>
          </cell>
          <cell r="U243">
            <v>4.8</v>
          </cell>
          <cell r="V243">
            <v>75.099999999999994</v>
          </cell>
          <cell r="W243">
            <v>7.6</v>
          </cell>
          <cell r="X243" t="str">
            <v>NA</v>
          </cell>
          <cell r="Y243" t="str">
            <v>NA</v>
          </cell>
          <cell r="Z243" t="str">
            <v>NA</v>
          </cell>
          <cell r="AA243" t="str">
            <v>NA</v>
          </cell>
        </row>
        <row r="244">
          <cell r="A244">
            <v>45121</v>
          </cell>
          <cell r="B244" t="str">
            <v>A2</v>
          </cell>
          <cell r="C244">
            <v>1</v>
          </cell>
          <cell r="D244">
            <v>1</v>
          </cell>
          <cell r="E244" t="str">
            <v>ARIS.A2.Aim1.Bin1.RB</v>
          </cell>
          <cell r="F244">
            <v>3</v>
          </cell>
          <cell r="G244" t="str">
            <v>SplineDFA</v>
          </cell>
          <cell r="H244" t="str">
            <v>Y</v>
          </cell>
          <cell r="I244" t="str">
            <v>N</v>
          </cell>
          <cell r="J244">
            <v>117</v>
          </cell>
          <cell r="K244">
            <v>1</v>
          </cell>
          <cell r="L244">
            <v>0.96679999999999999</v>
          </cell>
          <cell r="M244">
            <v>23.7</v>
          </cell>
          <cell r="N244">
            <v>2.7</v>
          </cell>
          <cell r="O244">
            <v>3.32E-2</v>
          </cell>
          <cell r="P244">
            <v>3.32E-2</v>
          </cell>
          <cell r="Q244">
            <v>0</v>
          </cell>
          <cell r="R244" t="str">
            <v>NA</v>
          </cell>
          <cell r="S244" t="str">
            <v>NA</v>
          </cell>
          <cell r="T244">
            <v>59.2</v>
          </cell>
          <cell r="U244">
            <v>4.8</v>
          </cell>
          <cell r="V244">
            <v>75.099999999999994</v>
          </cell>
          <cell r="W244">
            <v>7.6</v>
          </cell>
          <cell r="X244" t="str">
            <v>NA</v>
          </cell>
          <cell r="Y244" t="str">
            <v>NA</v>
          </cell>
          <cell r="Z244" t="str">
            <v>NA</v>
          </cell>
          <cell r="AA244" t="str">
            <v>NA</v>
          </cell>
        </row>
        <row r="245">
          <cell r="A245">
            <v>45121</v>
          </cell>
          <cell r="B245" t="str">
            <v>A2</v>
          </cell>
          <cell r="C245">
            <v>2</v>
          </cell>
          <cell r="D245">
            <v>1</v>
          </cell>
          <cell r="E245" t="str">
            <v>ARIS.A2.Aim1.Bin2.RB</v>
          </cell>
          <cell r="F245">
            <v>3</v>
          </cell>
          <cell r="G245" t="str">
            <v>SplineDFA</v>
          </cell>
          <cell r="H245" t="str">
            <v>Y</v>
          </cell>
          <cell r="I245" t="str">
            <v>N</v>
          </cell>
          <cell r="J245">
            <v>133</v>
          </cell>
          <cell r="K245">
            <v>1</v>
          </cell>
          <cell r="L245">
            <v>0.73650000000000004</v>
          </cell>
          <cell r="M245">
            <v>23.7</v>
          </cell>
          <cell r="N245">
            <v>2.7</v>
          </cell>
          <cell r="O245">
            <v>0.26350000000000001</v>
          </cell>
          <cell r="P245">
            <v>0.24079999999999999</v>
          </cell>
          <cell r="Q245">
            <v>2.2700000000000001E-2</v>
          </cell>
          <cell r="R245" t="str">
            <v>NA</v>
          </cell>
          <cell r="S245" t="str">
            <v>NA</v>
          </cell>
          <cell r="T245">
            <v>59.2</v>
          </cell>
          <cell r="U245">
            <v>4.8</v>
          </cell>
          <cell r="V245">
            <v>75.099999999999994</v>
          </cell>
          <cell r="W245">
            <v>7.6</v>
          </cell>
          <cell r="X245" t="str">
            <v>NA</v>
          </cell>
          <cell r="Y245" t="str">
            <v>NA</v>
          </cell>
          <cell r="Z245" t="str">
            <v>NA</v>
          </cell>
          <cell r="AA245" t="str">
            <v>NA</v>
          </cell>
        </row>
        <row r="246">
          <cell r="A246">
            <v>45121</v>
          </cell>
          <cell r="B246" t="str">
            <v>A2</v>
          </cell>
          <cell r="C246">
            <v>3</v>
          </cell>
          <cell r="D246">
            <v>1</v>
          </cell>
          <cell r="E246" t="str">
            <v>ARIS.A2.Aim1.Bin3.RB</v>
          </cell>
          <cell r="F246">
            <v>3</v>
          </cell>
          <cell r="G246" t="str">
            <v>SplineDFA</v>
          </cell>
          <cell r="H246" t="str">
            <v>Y</v>
          </cell>
          <cell r="I246" t="str">
            <v>N</v>
          </cell>
          <cell r="J246">
            <v>62</v>
          </cell>
          <cell r="K246">
            <v>1</v>
          </cell>
          <cell r="L246">
            <v>0.34</v>
          </cell>
          <cell r="M246">
            <v>23.7</v>
          </cell>
          <cell r="N246">
            <v>2.7</v>
          </cell>
          <cell r="O246">
            <v>0.66</v>
          </cell>
          <cell r="P246">
            <v>0.52880000000000005</v>
          </cell>
          <cell r="Q246">
            <v>0.13120000000000001</v>
          </cell>
          <cell r="R246" t="str">
            <v>NA</v>
          </cell>
          <cell r="S246" t="str">
            <v>NA</v>
          </cell>
          <cell r="T246">
            <v>59.2</v>
          </cell>
          <cell r="U246">
            <v>4.8</v>
          </cell>
          <cell r="V246">
            <v>75.099999999999994</v>
          </cell>
          <cell r="W246">
            <v>7.6</v>
          </cell>
          <cell r="X246" t="str">
            <v>NA</v>
          </cell>
          <cell r="Y246" t="str">
            <v>NA</v>
          </cell>
          <cell r="Z246" t="str">
            <v>NA</v>
          </cell>
          <cell r="AA246" t="str">
            <v>NA</v>
          </cell>
        </row>
        <row r="247">
          <cell r="A247">
            <v>45121</v>
          </cell>
          <cell r="B247" t="str">
            <v>A2</v>
          </cell>
          <cell r="C247">
            <v>4</v>
          </cell>
          <cell r="D247">
            <v>1</v>
          </cell>
          <cell r="E247" t="str">
            <v>ARIS.A2.Aim1.Bin4.RB</v>
          </cell>
          <cell r="F247">
            <v>3</v>
          </cell>
          <cell r="G247" t="str">
            <v>SplineDFA</v>
          </cell>
          <cell r="H247" t="str">
            <v>Y</v>
          </cell>
          <cell r="I247" t="str">
            <v>N</v>
          </cell>
          <cell r="J247">
            <v>62</v>
          </cell>
          <cell r="K247">
            <v>1</v>
          </cell>
          <cell r="L247">
            <v>0.34</v>
          </cell>
          <cell r="M247">
            <v>23.7</v>
          </cell>
          <cell r="N247">
            <v>2.7</v>
          </cell>
          <cell r="O247">
            <v>0.66</v>
          </cell>
          <cell r="P247">
            <v>0.52880000000000005</v>
          </cell>
          <cell r="Q247">
            <v>0.13120000000000001</v>
          </cell>
          <cell r="R247" t="str">
            <v>NA</v>
          </cell>
          <cell r="S247" t="str">
            <v>NA</v>
          </cell>
          <cell r="T247">
            <v>59.2</v>
          </cell>
          <cell r="U247">
            <v>4.8</v>
          </cell>
          <cell r="V247">
            <v>75.099999999999994</v>
          </cell>
          <cell r="W247">
            <v>7.6</v>
          </cell>
          <cell r="X247" t="str">
            <v>NA</v>
          </cell>
          <cell r="Y247" t="str">
            <v>NA</v>
          </cell>
          <cell r="Z247" t="str">
            <v>NA</v>
          </cell>
          <cell r="AA247" t="str">
            <v>NA</v>
          </cell>
        </row>
        <row r="248">
          <cell r="A248">
            <v>45121</v>
          </cell>
          <cell r="B248" t="str">
            <v>A1</v>
          </cell>
          <cell r="C248">
            <v>1</v>
          </cell>
          <cell r="D248">
            <v>1</v>
          </cell>
          <cell r="E248" t="str">
            <v>ARIS.A1.Aim1.Bin1.LB</v>
          </cell>
          <cell r="F248">
            <v>4</v>
          </cell>
          <cell r="G248" t="str">
            <v>Unweighted</v>
          </cell>
          <cell r="H248" t="str">
            <v>N</v>
          </cell>
          <cell r="I248" t="str">
            <v>N</v>
          </cell>
          <cell r="J248">
            <v>70</v>
          </cell>
          <cell r="K248">
            <v>1</v>
          </cell>
          <cell r="L248">
            <v>0.88470000000000004</v>
          </cell>
          <cell r="M248">
            <v>19.2</v>
          </cell>
          <cell r="N248">
            <v>5.7</v>
          </cell>
          <cell r="O248">
            <v>0.1153</v>
          </cell>
          <cell r="P248">
            <v>3.9899999999999998E-2</v>
          </cell>
          <cell r="Q248">
            <v>0</v>
          </cell>
          <cell r="R248" t="str">
            <v>NA</v>
          </cell>
          <cell r="S248">
            <v>7.5399999999999995E-2</v>
          </cell>
          <cell r="T248">
            <v>59.2</v>
          </cell>
          <cell r="U248">
            <v>4.8</v>
          </cell>
          <cell r="V248">
            <v>75.099999999999994</v>
          </cell>
          <cell r="W248">
            <v>7.6</v>
          </cell>
          <cell r="X248" t="str">
            <v>NA</v>
          </cell>
          <cell r="Y248" t="str">
            <v>NA</v>
          </cell>
          <cell r="Z248">
            <v>39.1</v>
          </cell>
          <cell r="AA248">
            <v>3.5</v>
          </cell>
        </row>
        <row r="249">
          <cell r="A249">
            <v>45121</v>
          </cell>
          <cell r="B249" t="str">
            <v>A1</v>
          </cell>
          <cell r="C249">
            <v>1</v>
          </cell>
          <cell r="D249">
            <v>2</v>
          </cell>
          <cell r="E249" t="str">
            <v>ARIS.A1.Aim2.Bin1.LB</v>
          </cell>
          <cell r="F249">
            <v>4</v>
          </cell>
          <cell r="G249" t="str">
            <v>Unweighted</v>
          </cell>
          <cell r="H249" t="str">
            <v>N</v>
          </cell>
          <cell r="I249" t="str">
            <v>N</v>
          </cell>
          <cell r="J249">
            <v>103</v>
          </cell>
          <cell r="K249">
            <v>1</v>
          </cell>
          <cell r="L249">
            <v>0.89900000000000002</v>
          </cell>
          <cell r="M249">
            <v>15.5</v>
          </cell>
          <cell r="N249">
            <v>5.4</v>
          </cell>
          <cell r="O249">
            <v>0.10100000000000001</v>
          </cell>
          <cell r="P249">
            <v>2.87E-2</v>
          </cell>
          <cell r="Q249">
            <v>0</v>
          </cell>
          <cell r="R249" t="str">
            <v>NA</v>
          </cell>
          <cell r="S249">
            <v>7.2300000000000003E-2</v>
          </cell>
          <cell r="T249">
            <v>59.2</v>
          </cell>
          <cell r="U249">
            <v>4.8</v>
          </cell>
          <cell r="V249">
            <v>75.099999999999994</v>
          </cell>
          <cell r="W249">
            <v>7.6</v>
          </cell>
          <cell r="X249" t="str">
            <v>NA</v>
          </cell>
          <cell r="Y249" t="str">
            <v>NA</v>
          </cell>
          <cell r="Z249">
            <v>39.1</v>
          </cell>
          <cell r="AA249">
            <v>3.5</v>
          </cell>
        </row>
        <row r="250">
          <cell r="A250">
            <v>45121</v>
          </cell>
          <cell r="B250" t="str">
            <v>A1</v>
          </cell>
          <cell r="C250">
            <v>1</v>
          </cell>
          <cell r="D250" t="str">
            <v>1&amp;2</v>
          </cell>
          <cell r="E250" t="str">
            <v>ARIS.A1.Aim1&amp;Aim2.Bin1.LB</v>
          </cell>
          <cell r="F250">
            <v>4</v>
          </cell>
          <cell r="G250" t="str">
            <v>Unweighted</v>
          </cell>
          <cell r="H250" t="str">
            <v>N</v>
          </cell>
          <cell r="I250" t="str">
            <v>N</v>
          </cell>
          <cell r="J250">
            <v>173</v>
          </cell>
          <cell r="K250">
            <v>1</v>
          </cell>
          <cell r="L250">
            <v>0.92290000000000005</v>
          </cell>
          <cell r="M250">
            <v>23.7</v>
          </cell>
          <cell r="N250">
            <v>9.1</v>
          </cell>
          <cell r="O250">
            <v>7.7100000000000002E-2</v>
          </cell>
          <cell r="P250">
            <v>3.8199999999999998E-2</v>
          </cell>
          <cell r="Q250">
            <v>0</v>
          </cell>
          <cell r="R250" t="str">
            <v>NA</v>
          </cell>
          <cell r="S250">
            <v>3.8899999999999997E-2</v>
          </cell>
          <cell r="T250">
            <v>59.2</v>
          </cell>
          <cell r="U250">
            <v>4.8</v>
          </cell>
          <cell r="V250">
            <v>75.099999999999994</v>
          </cell>
          <cell r="W250">
            <v>7.6</v>
          </cell>
          <cell r="X250" t="str">
            <v>NA</v>
          </cell>
          <cell r="Y250" t="str">
            <v>NA</v>
          </cell>
          <cell r="Z250">
            <v>39.1</v>
          </cell>
          <cell r="AA250">
            <v>3.5</v>
          </cell>
        </row>
        <row r="251">
          <cell r="A251">
            <v>45121</v>
          </cell>
          <cell r="B251" t="str">
            <v>A1</v>
          </cell>
          <cell r="C251">
            <v>2</v>
          </cell>
          <cell r="D251">
            <v>3</v>
          </cell>
          <cell r="E251" t="str">
            <v>ARIS.A1.Aim3.Bin2.LB</v>
          </cell>
          <cell r="F251">
            <v>4</v>
          </cell>
          <cell r="G251" t="str">
            <v>Unweighted</v>
          </cell>
          <cell r="H251" t="str">
            <v>N</v>
          </cell>
          <cell r="I251" t="str">
            <v>N</v>
          </cell>
          <cell r="J251">
            <v>83</v>
          </cell>
          <cell r="K251">
            <v>1</v>
          </cell>
          <cell r="L251">
            <v>0.3987</v>
          </cell>
          <cell r="M251">
            <v>25.2</v>
          </cell>
          <cell r="N251">
            <v>6.6</v>
          </cell>
          <cell r="O251">
            <v>0.60129999999999995</v>
          </cell>
          <cell r="P251">
            <v>0.2787</v>
          </cell>
          <cell r="Q251">
            <v>0.1</v>
          </cell>
          <cell r="R251" t="str">
            <v>NA</v>
          </cell>
          <cell r="S251">
            <v>0.22259999999999999</v>
          </cell>
          <cell r="T251">
            <v>59.2</v>
          </cell>
          <cell r="U251">
            <v>4.8</v>
          </cell>
          <cell r="V251">
            <v>75.099999999999994</v>
          </cell>
          <cell r="W251">
            <v>7.6</v>
          </cell>
          <cell r="X251" t="str">
            <v>NA</v>
          </cell>
          <cell r="Y251" t="str">
            <v>NA</v>
          </cell>
          <cell r="Z251">
            <v>39.1</v>
          </cell>
          <cell r="AA251">
            <v>3.5</v>
          </cell>
        </row>
        <row r="252">
          <cell r="A252">
            <v>45121</v>
          </cell>
          <cell r="B252" t="str">
            <v>A1</v>
          </cell>
          <cell r="C252">
            <v>3</v>
          </cell>
          <cell r="D252">
            <v>3</v>
          </cell>
          <cell r="E252" t="str">
            <v>ARIS.A1.Aim3.Bin3.LB</v>
          </cell>
          <cell r="F252">
            <v>4</v>
          </cell>
          <cell r="G252" t="str">
            <v>Unweighted</v>
          </cell>
          <cell r="H252" t="str">
            <v>N</v>
          </cell>
          <cell r="I252" t="str">
            <v>N</v>
          </cell>
          <cell r="J252">
            <v>61</v>
          </cell>
          <cell r="K252">
            <v>1</v>
          </cell>
          <cell r="L252">
            <v>0.12839999999999999</v>
          </cell>
          <cell r="M252">
            <v>24.9</v>
          </cell>
          <cell r="N252">
            <v>4.2</v>
          </cell>
          <cell r="O252">
            <v>0.87160000000000004</v>
          </cell>
          <cell r="P252">
            <v>0.33650000000000002</v>
          </cell>
          <cell r="Q252">
            <v>0.24740000000000001</v>
          </cell>
          <cell r="R252" t="str">
            <v>NA</v>
          </cell>
          <cell r="S252">
            <v>0.28770000000000001</v>
          </cell>
          <cell r="T252">
            <v>59.2</v>
          </cell>
          <cell r="U252">
            <v>4.8</v>
          </cell>
          <cell r="V252">
            <v>75.099999999999994</v>
          </cell>
          <cell r="W252">
            <v>7.6</v>
          </cell>
          <cell r="X252" t="str">
            <v>NA</v>
          </cell>
          <cell r="Y252" t="str">
            <v>NA</v>
          </cell>
          <cell r="Z252">
            <v>39.1</v>
          </cell>
          <cell r="AA252">
            <v>3.5</v>
          </cell>
        </row>
        <row r="253">
          <cell r="A253">
            <v>45121</v>
          </cell>
          <cell r="B253" t="str">
            <v>A1</v>
          </cell>
          <cell r="C253">
            <v>4</v>
          </cell>
          <cell r="D253">
            <v>3</v>
          </cell>
          <cell r="E253" t="str">
            <v>ARIS.A1.Aim3.Bin4.LB</v>
          </cell>
          <cell r="F253">
            <v>4</v>
          </cell>
          <cell r="G253" t="str">
            <v>Unweighted</v>
          </cell>
          <cell r="H253" t="str">
            <v>N</v>
          </cell>
          <cell r="I253" t="str">
            <v>N</v>
          </cell>
          <cell r="J253">
            <v>61</v>
          </cell>
          <cell r="K253">
            <v>1</v>
          </cell>
          <cell r="L253">
            <v>0.12839999999999999</v>
          </cell>
          <cell r="M253">
            <v>24.9</v>
          </cell>
          <cell r="N253">
            <v>4.2</v>
          </cell>
          <cell r="O253">
            <v>0.87160000000000004</v>
          </cell>
          <cell r="P253">
            <v>0.33650000000000002</v>
          </cell>
          <cell r="Q253">
            <v>0.24740000000000001</v>
          </cell>
          <cell r="R253" t="str">
            <v>NA</v>
          </cell>
          <cell r="S253">
            <v>0.28770000000000001</v>
          </cell>
          <cell r="T253">
            <v>59.2</v>
          </cell>
          <cell r="U253">
            <v>4.8</v>
          </cell>
          <cell r="V253">
            <v>75.099999999999994</v>
          </cell>
          <cell r="W253">
            <v>7.6</v>
          </cell>
          <cell r="X253" t="str">
            <v>NA</v>
          </cell>
          <cell r="Y253" t="str">
            <v>NA</v>
          </cell>
          <cell r="Z253">
            <v>39.1</v>
          </cell>
          <cell r="AA253">
            <v>3.5</v>
          </cell>
        </row>
        <row r="254">
          <cell r="A254">
            <v>45121</v>
          </cell>
          <cell r="B254" t="str">
            <v>A2</v>
          </cell>
          <cell r="C254">
            <v>1</v>
          </cell>
          <cell r="D254">
            <v>1</v>
          </cell>
          <cell r="E254" t="str">
            <v>ARIS.A2.Aim1.Bin1.RB</v>
          </cell>
          <cell r="F254">
            <v>4</v>
          </cell>
          <cell r="G254" t="str">
            <v>Unweighted</v>
          </cell>
          <cell r="H254" t="str">
            <v>N</v>
          </cell>
          <cell r="I254" t="str">
            <v>N</v>
          </cell>
          <cell r="J254">
            <v>117</v>
          </cell>
          <cell r="K254">
            <v>1.0001</v>
          </cell>
          <cell r="L254">
            <v>0.9496</v>
          </cell>
          <cell r="M254">
            <v>17.600000000000001</v>
          </cell>
          <cell r="N254">
            <v>5.9</v>
          </cell>
          <cell r="O254">
            <v>5.0500000000000003E-2</v>
          </cell>
          <cell r="P254">
            <v>4.0000000000000002E-4</v>
          </cell>
          <cell r="Q254">
            <v>0</v>
          </cell>
          <cell r="R254" t="str">
            <v>NA</v>
          </cell>
          <cell r="S254">
            <v>5.0099999999999999E-2</v>
          </cell>
          <cell r="T254">
            <v>59.2</v>
          </cell>
          <cell r="U254">
            <v>4.8</v>
          </cell>
          <cell r="V254">
            <v>75.099999999999994</v>
          </cell>
          <cell r="W254">
            <v>7.6</v>
          </cell>
          <cell r="X254" t="str">
            <v>NA</v>
          </cell>
          <cell r="Y254" t="str">
            <v>NA</v>
          </cell>
          <cell r="Z254">
            <v>39.1</v>
          </cell>
          <cell r="AA254">
            <v>3.5</v>
          </cell>
        </row>
        <row r="255">
          <cell r="A255">
            <v>45121</v>
          </cell>
          <cell r="B255" t="str">
            <v>A2</v>
          </cell>
          <cell r="C255">
            <v>2</v>
          </cell>
          <cell r="D255">
            <v>1</v>
          </cell>
          <cell r="E255" t="str">
            <v>ARIS.A2.Aim1.Bin2.RB</v>
          </cell>
          <cell r="F255">
            <v>4</v>
          </cell>
          <cell r="G255" t="str">
            <v>Unweighted</v>
          </cell>
          <cell r="H255" t="str">
            <v>N</v>
          </cell>
          <cell r="I255" t="str">
            <v>N</v>
          </cell>
          <cell r="J255">
            <v>133</v>
          </cell>
          <cell r="K255">
            <v>1.0001</v>
          </cell>
          <cell r="L255">
            <v>0.9254</v>
          </cell>
          <cell r="M255">
            <v>30.9</v>
          </cell>
          <cell r="N255">
            <v>9.4</v>
          </cell>
          <cell r="O255">
            <v>7.4700000000000003E-2</v>
          </cell>
          <cell r="P255">
            <v>4.9000000000000002E-2</v>
          </cell>
          <cell r="Q255">
            <v>2.5700000000000001E-2</v>
          </cell>
          <cell r="R255" t="str">
            <v>NA</v>
          </cell>
          <cell r="S255">
            <v>0</v>
          </cell>
          <cell r="T255">
            <v>59.2</v>
          </cell>
          <cell r="U255">
            <v>4.8</v>
          </cell>
          <cell r="V255">
            <v>75.099999999999994</v>
          </cell>
          <cell r="W255">
            <v>7.6</v>
          </cell>
          <cell r="X255" t="str">
            <v>NA</v>
          </cell>
          <cell r="Y255" t="str">
            <v>NA</v>
          </cell>
          <cell r="Z255">
            <v>39.1</v>
          </cell>
          <cell r="AA255">
            <v>3.5</v>
          </cell>
        </row>
        <row r="256">
          <cell r="A256">
            <v>45121</v>
          </cell>
          <cell r="B256" t="str">
            <v>A2</v>
          </cell>
          <cell r="C256">
            <v>3</v>
          </cell>
          <cell r="D256">
            <v>1</v>
          </cell>
          <cell r="E256" t="str">
            <v>ARIS.A2.Aim1.Bin3.RB</v>
          </cell>
          <cell r="F256">
            <v>4</v>
          </cell>
          <cell r="G256" t="str">
            <v>Unweighted</v>
          </cell>
          <cell r="H256" t="str">
            <v>N</v>
          </cell>
          <cell r="I256" t="str">
            <v>N</v>
          </cell>
          <cell r="J256">
            <v>62</v>
          </cell>
          <cell r="K256">
            <v>1.0001</v>
          </cell>
          <cell r="L256">
            <v>0.24709999999999999</v>
          </cell>
          <cell r="M256">
            <v>30</v>
          </cell>
          <cell r="N256">
            <v>3</v>
          </cell>
          <cell r="O256">
            <v>0.753</v>
          </cell>
          <cell r="P256">
            <v>0.29459999999999997</v>
          </cell>
          <cell r="Q256">
            <v>0.2054</v>
          </cell>
          <cell r="R256" t="str">
            <v>NA</v>
          </cell>
          <cell r="S256">
            <v>0.253</v>
          </cell>
          <cell r="T256">
            <v>59.2</v>
          </cell>
          <cell r="U256">
            <v>4.8</v>
          </cell>
          <cell r="V256">
            <v>75.099999999999994</v>
          </cell>
          <cell r="W256">
            <v>7.6</v>
          </cell>
          <cell r="X256" t="str">
            <v>NA</v>
          </cell>
          <cell r="Y256" t="str">
            <v>NA</v>
          </cell>
          <cell r="Z256">
            <v>39.1</v>
          </cell>
          <cell r="AA256">
            <v>3.5</v>
          </cell>
        </row>
        <row r="257">
          <cell r="A257">
            <v>45121</v>
          </cell>
          <cell r="B257" t="str">
            <v>A2</v>
          </cell>
          <cell r="C257">
            <v>4</v>
          </cell>
          <cell r="D257">
            <v>1</v>
          </cell>
          <cell r="E257" t="str">
            <v>ARIS.A2.Aim1.Bin4.RB</v>
          </cell>
          <cell r="F257">
            <v>4</v>
          </cell>
          <cell r="G257" t="str">
            <v>Unweighted</v>
          </cell>
          <cell r="H257" t="str">
            <v>N</v>
          </cell>
          <cell r="I257" t="str">
            <v>N</v>
          </cell>
          <cell r="J257">
            <v>62</v>
          </cell>
          <cell r="K257">
            <v>1.0001</v>
          </cell>
          <cell r="L257">
            <v>0.24709999999999999</v>
          </cell>
          <cell r="M257">
            <v>30</v>
          </cell>
          <cell r="N257">
            <v>3</v>
          </cell>
          <cell r="O257">
            <v>0.753</v>
          </cell>
          <cell r="P257">
            <v>0.29459999999999997</v>
          </cell>
          <cell r="Q257">
            <v>0.2054</v>
          </cell>
          <cell r="R257" t="str">
            <v>NA</v>
          </cell>
          <cell r="S257">
            <v>0.253</v>
          </cell>
          <cell r="T257">
            <v>59.2</v>
          </cell>
          <cell r="U257">
            <v>4.8</v>
          </cell>
          <cell r="V257">
            <v>75.099999999999994</v>
          </cell>
          <cell r="W257">
            <v>7.6</v>
          </cell>
          <cell r="X257" t="str">
            <v>NA</v>
          </cell>
          <cell r="Y257" t="str">
            <v>NA</v>
          </cell>
          <cell r="Z257">
            <v>39.1</v>
          </cell>
          <cell r="AA257">
            <v>3.5</v>
          </cell>
        </row>
        <row r="258">
          <cell r="A258">
            <v>45122</v>
          </cell>
          <cell r="B258" t="str">
            <v>A1</v>
          </cell>
          <cell r="C258">
            <v>1</v>
          </cell>
          <cell r="D258">
            <v>1</v>
          </cell>
          <cell r="E258" t="str">
            <v>ARIS.A1.Aim1.Bin1.LB</v>
          </cell>
          <cell r="F258">
            <v>3</v>
          </cell>
          <cell r="G258" t="str">
            <v>SplineDFA</v>
          </cell>
          <cell r="H258" t="str">
            <v>Y</v>
          </cell>
          <cell r="I258" t="str">
            <v>N</v>
          </cell>
          <cell r="J258">
            <v>92</v>
          </cell>
          <cell r="K258">
            <v>1.0001</v>
          </cell>
          <cell r="L258">
            <v>0.93210000000000004</v>
          </cell>
          <cell r="M258">
            <v>23.7</v>
          </cell>
          <cell r="N258">
            <v>2.7</v>
          </cell>
          <cell r="O258">
            <v>6.8000000000000005E-2</v>
          </cell>
          <cell r="P258">
            <v>4.7500000000000001E-2</v>
          </cell>
          <cell r="Q258">
            <v>2.0500000000000001E-2</v>
          </cell>
          <cell r="R258" t="str">
            <v>NA</v>
          </cell>
          <cell r="S258" t="str">
            <v>NA</v>
          </cell>
          <cell r="T258">
            <v>59.2</v>
          </cell>
          <cell r="U258">
            <v>4.8</v>
          </cell>
          <cell r="V258">
            <v>72.8</v>
          </cell>
          <cell r="W258">
            <v>7.4</v>
          </cell>
          <cell r="X258" t="str">
            <v>NA</v>
          </cell>
          <cell r="Y258" t="str">
            <v>NA</v>
          </cell>
          <cell r="Z258" t="str">
            <v>NA</v>
          </cell>
          <cell r="AA258" t="str">
            <v>NA</v>
          </cell>
        </row>
        <row r="259">
          <cell r="A259">
            <v>45122</v>
          </cell>
          <cell r="B259" t="str">
            <v>A1</v>
          </cell>
          <cell r="C259">
            <v>1</v>
          </cell>
          <cell r="D259">
            <v>2</v>
          </cell>
          <cell r="E259" t="str">
            <v>ARIS.A1.Aim2.Bin1.LB</v>
          </cell>
          <cell r="F259">
            <v>3</v>
          </cell>
          <cell r="G259" t="str">
            <v>SplineDFA</v>
          </cell>
          <cell r="H259" t="str">
            <v>Y</v>
          </cell>
          <cell r="I259" t="str">
            <v>N</v>
          </cell>
          <cell r="J259">
            <v>132</v>
          </cell>
          <cell r="K259">
            <v>1</v>
          </cell>
          <cell r="L259">
            <v>0.90149999999999997</v>
          </cell>
          <cell r="M259">
            <v>23.7</v>
          </cell>
          <cell r="N259">
            <v>2.7</v>
          </cell>
          <cell r="O259">
            <v>9.8500000000000004E-2</v>
          </cell>
          <cell r="P259">
            <v>8.9599999999999999E-2</v>
          </cell>
          <cell r="Q259">
            <v>8.8999999999999999E-3</v>
          </cell>
          <cell r="R259" t="str">
            <v>NA</v>
          </cell>
          <cell r="S259" t="str">
            <v>NA</v>
          </cell>
          <cell r="T259">
            <v>59.2</v>
          </cell>
          <cell r="U259">
            <v>4.8</v>
          </cell>
          <cell r="V259">
            <v>72.8</v>
          </cell>
          <cell r="W259">
            <v>7.4</v>
          </cell>
          <cell r="X259" t="str">
            <v>NA</v>
          </cell>
          <cell r="Y259" t="str">
            <v>NA</v>
          </cell>
          <cell r="Z259" t="str">
            <v>NA</v>
          </cell>
          <cell r="AA259" t="str">
            <v>NA</v>
          </cell>
        </row>
        <row r="260">
          <cell r="A260">
            <v>45122</v>
          </cell>
          <cell r="B260" t="str">
            <v>A1</v>
          </cell>
          <cell r="C260">
            <v>2</v>
          </cell>
          <cell r="D260">
            <v>3</v>
          </cell>
          <cell r="E260" t="str">
            <v>ARIS.A1.Aim3.Bin2.LB</v>
          </cell>
          <cell r="F260">
            <v>3</v>
          </cell>
          <cell r="G260" t="str">
            <v>SplineDFA</v>
          </cell>
          <cell r="H260" t="str">
            <v>Y</v>
          </cell>
          <cell r="I260" t="str">
            <v>N</v>
          </cell>
          <cell r="J260">
            <v>131</v>
          </cell>
          <cell r="K260">
            <v>1</v>
          </cell>
          <cell r="L260">
            <v>0.4461</v>
          </cell>
          <cell r="M260">
            <v>23.7</v>
          </cell>
          <cell r="N260">
            <v>2.7</v>
          </cell>
          <cell r="O260">
            <v>0.55389999999999995</v>
          </cell>
          <cell r="P260">
            <v>0.36620000000000003</v>
          </cell>
          <cell r="Q260">
            <v>0.18770000000000001</v>
          </cell>
          <cell r="R260" t="str">
            <v>NA</v>
          </cell>
          <cell r="S260" t="str">
            <v>NA</v>
          </cell>
          <cell r="T260">
            <v>59.2</v>
          </cell>
          <cell r="U260">
            <v>4.8</v>
          </cell>
          <cell r="V260">
            <v>72.8</v>
          </cell>
          <cell r="W260">
            <v>7.4</v>
          </cell>
          <cell r="X260" t="str">
            <v>NA</v>
          </cell>
          <cell r="Y260" t="str">
            <v>NA</v>
          </cell>
          <cell r="Z260" t="str">
            <v>NA</v>
          </cell>
          <cell r="AA260" t="str">
            <v>NA</v>
          </cell>
        </row>
        <row r="261">
          <cell r="A261">
            <v>45122</v>
          </cell>
          <cell r="B261" t="str">
            <v>A1</v>
          </cell>
          <cell r="C261">
            <v>3</v>
          </cell>
          <cell r="D261">
            <v>3</v>
          </cell>
          <cell r="E261" t="str">
            <v>ARIS.A1.Aim3.Bin3.LB</v>
          </cell>
          <cell r="F261">
            <v>3</v>
          </cell>
          <cell r="G261" t="str">
            <v>SplineDFA</v>
          </cell>
          <cell r="H261" t="str">
            <v>Y</v>
          </cell>
          <cell r="I261" t="str">
            <v>N</v>
          </cell>
          <cell r="J261">
            <v>105</v>
          </cell>
          <cell r="K261">
            <v>1</v>
          </cell>
          <cell r="L261">
            <v>2.86E-2</v>
          </cell>
          <cell r="M261">
            <v>23.7</v>
          </cell>
          <cell r="N261">
            <v>2.7</v>
          </cell>
          <cell r="O261">
            <v>0.97140000000000004</v>
          </cell>
          <cell r="P261">
            <v>0.53659999999999997</v>
          </cell>
          <cell r="Q261">
            <v>0.43480000000000002</v>
          </cell>
          <cell r="R261" t="str">
            <v>NA</v>
          </cell>
          <cell r="S261" t="str">
            <v>NA</v>
          </cell>
          <cell r="T261">
            <v>59.2</v>
          </cell>
          <cell r="U261">
            <v>4.8</v>
          </cell>
          <cell r="V261">
            <v>72.8</v>
          </cell>
          <cell r="W261">
            <v>7.4</v>
          </cell>
          <cell r="X261" t="str">
            <v>NA</v>
          </cell>
          <cell r="Y261" t="str">
            <v>NA</v>
          </cell>
          <cell r="Z261" t="str">
            <v>NA</v>
          </cell>
          <cell r="AA261" t="str">
            <v>NA</v>
          </cell>
        </row>
        <row r="262">
          <cell r="A262">
            <v>45122</v>
          </cell>
          <cell r="B262" t="str">
            <v>A1</v>
          </cell>
          <cell r="C262">
            <v>4</v>
          </cell>
          <cell r="D262">
            <v>3</v>
          </cell>
          <cell r="E262" t="str">
            <v>ARIS.A1.Aim3.Bin4.LB</v>
          </cell>
          <cell r="F262">
            <v>3</v>
          </cell>
          <cell r="G262" t="str">
            <v>SplineDFA</v>
          </cell>
          <cell r="H262" t="str">
            <v>Y</v>
          </cell>
          <cell r="I262" t="str">
            <v>N</v>
          </cell>
          <cell r="J262">
            <v>105</v>
          </cell>
          <cell r="K262">
            <v>1</v>
          </cell>
          <cell r="L262">
            <v>2.86E-2</v>
          </cell>
          <cell r="M262">
            <v>23.7</v>
          </cell>
          <cell r="N262">
            <v>2.7</v>
          </cell>
          <cell r="O262">
            <v>0.97140000000000004</v>
          </cell>
          <cell r="P262">
            <v>0.53659999999999997</v>
          </cell>
          <cell r="Q262">
            <v>0.43480000000000002</v>
          </cell>
          <cell r="R262" t="str">
            <v>NA</v>
          </cell>
          <cell r="S262" t="str">
            <v>NA</v>
          </cell>
          <cell r="T262">
            <v>59.2</v>
          </cell>
          <cell r="U262">
            <v>4.8</v>
          </cell>
          <cell r="V262">
            <v>72.8</v>
          </cell>
          <cell r="W262">
            <v>7.4</v>
          </cell>
          <cell r="X262" t="str">
            <v>NA</v>
          </cell>
          <cell r="Y262" t="str">
            <v>NA</v>
          </cell>
          <cell r="Z262" t="str">
            <v>NA</v>
          </cell>
          <cell r="AA262" t="str">
            <v>NA</v>
          </cell>
        </row>
        <row r="263">
          <cell r="A263">
            <v>45122</v>
          </cell>
          <cell r="B263" t="str">
            <v>A1</v>
          </cell>
          <cell r="C263">
            <v>1</v>
          </cell>
          <cell r="D263">
            <v>1</v>
          </cell>
          <cell r="E263" t="str">
            <v>ARIS.A1.Aim1.Bin1.LB</v>
          </cell>
          <cell r="F263">
            <v>3</v>
          </cell>
          <cell r="G263" t="str">
            <v>Unweighted</v>
          </cell>
          <cell r="H263" t="str">
            <v>N</v>
          </cell>
          <cell r="I263" t="str">
            <v>Y</v>
          </cell>
          <cell r="J263">
            <v>92</v>
          </cell>
          <cell r="K263">
            <v>1.0001</v>
          </cell>
          <cell r="L263">
            <v>0.96719999999999995</v>
          </cell>
          <cell r="M263">
            <v>23.2</v>
          </cell>
          <cell r="N263">
            <v>8.3000000000000007</v>
          </cell>
          <cell r="O263">
            <v>3.2899999999999999E-2</v>
          </cell>
          <cell r="P263">
            <v>1.9E-3</v>
          </cell>
          <cell r="Q263">
            <v>3.1E-2</v>
          </cell>
          <cell r="R263" t="str">
            <v>NA</v>
          </cell>
          <cell r="S263" t="str">
            <v>NA</v>
          </cell>
          <cell r="T263">
            <v>59.2</v>
          </cell>
          <cell r="U263">
            <v>4.8</v>
          </cell>
          <cell r="V263">
            <v>72.8</v>
          </cell>
          <cell r="W263">
            <v>7.4</v>
          </cell>
          <cell r="X263" t="str">
            <v>NA</v>
          </cell>
          <cell r="Y263" t="str">
            <v>NA</v>
          </cell>
          <cell r="Z263" t="str">
            <v>NA</v>
          </cell>
          <cell r="AA263" t="str">
            <v>NA</v>
          </cell>
        </row>
        <row r="264">
          <cell r="A264">
            <v>45122</v>
          </cell>
          <cell r="B264" t="str">
            <v>A1</v>
          </cell>
          <cell r="C264">
            <v>1</v>
          </cell>
          <cell r="D264">
            <v>2</v>
          </cell>
          <cell r="E264" t="str">
            <v>ARIS.A1.Aim2.Bin1.LB</v>
          </cell>
          <cell r="F264">
            <v>3</v>
          </cell>
          <cell r="G264" t="str">
            <v>Unweighted</v>
          </cell>
          <cell r="H264" t="str">
            <v>N</v>
          </cell>
          <cell r="I264" t="str">
            <v>Y</v>
          </cell>
          <cell r="J264">
            <v>132</v>
          </cell>
          <cell r="K264">
            <v>1</v>
          </cell>
          <cell r="L264">
            <v>0.93879999999999997</v>
          </cell>
          <cell r="M264">
            <v>19</v>
          </cell>
          <cell r="N264">
            <v>6.9</v>
          </cell>
          <cell r="O264">
            <v>6.1199999999999997E-2</v>
          </cell>
          <cell r="P264">
            <v>5.4899999999999997E-2</v>
          </cell>
          <cell r="Q264">
            <v>6.3E-3</v>
          </cell>
          <cell r="R264" t="str">
            <v>NA</v>
          </cell>
          <cell r="S264" t="str">
            <v>NA</v>
          </cell>
          <cell r="T264">
            <v>59.2</v>
          </cell>
          <cell r="U264">
            <v>4.8</v>
          </cell>
          <cell r="V264">
            <v>72.8</v>
          </cell>
          <cell r="W264">
            <v>7.4</v>
          </cell>
          <cell r="X264" t="str">
            <v>NA</v>
          </cell>
          <cell r="Y264" t="str">
            <v>NA</v>
          </cell>
          <cell r="Z264" t="str">
            <v>NA</v>
          </cell>
          <cell r="AA264" t="str">
            <v>NA</v>
          </cell>
        </row>
        <row r="265">
          <cell r="A265">
            <v>45122</v>
          </cell>
          <cell r="B265" t="str">
            <v>A1</v>
          </cell>
          <cell r="C265">
            <v>1</v>
          </cell>
          <cell r="D265" t="str">
            <v>1&amp;2</v>
          </cell>
          <cell r="E265" t="str">
            <v>ARIS.A1.Aim1&amp;Aim2.Bin1.LB</v>
          </cell>
          <cell r="F265">
            <v>3</v>
          </cell>
          <cell r="G265" t="str">
            <v>Unweighted</v>
          </cell>
          <cell r="H265" t="str">
            <v>N</v>
          </cell>
          <cell r="I265" t="str">
            <v>Y</v>
          </cell>
          <cell r="J265">
            <v>224</v>
          </cell>
          <cell r="K265">
            <v>1</v>
          </cell>
          <cell r="L265">
            <v>0.94810000000000005</v>
          </cell>
          <cell r="M265">
            <v>20.6</v>
          </cell>
          <cell r="N265">
            <v>7.7</v>
          </cell>
          <cell r="O265">
            <v>5.1900000000000002E-2</v>
          </cell>
          <cell r="P265">
            <v>3.6700000000000003E-2</v>
          </cell>
          <cell r="Q265">
            <v>1.52E-2</v>
          </cell>
          <cell r="R265" t="str">
            <v>NA</v>
          </cell>
          <cell r="S265" t="str">
            <v>NA</v>
          </cell>
          <cell r="T265">
            <v>59.2</v>
          </cell>
          <cell r="U265">
            <v>4.8</v>
          </cell>
          <cell r="V265">
            <v>72.8</v>
          </cell>
          <cell r="W265">
            <v>7.4</v>
          </cell>
          <cell r="X265" t="str">
            <v>NA</v>
          </cell>
          <cell r="Y265" t="str">
            <v>NA</v>
          </cell>
          <cell r="Z265" t="str">
            <v>NA</v>
          </cell>
          <cell r="AA265" t="str">
            <v>NA</v>
          </cell>
        </row>
        <row r="266">
          <cell r="A266">
            <v>45122</v>
          </cell>
          <cell r="B266" t="str">
            <v>A1</v>
          </cell>
          <cell r="C266">
            <v>2</v>
          </cell>
          <cell r="D266">
            <v>3</v>
          </cell>
          <cell r="E266" t="str">
            <v>ARIS.A1.Aim3.Bin2.LB</v>
          </cell>
          <cell r="F266">
            <v>3</v>
          </cell>
          <cell r="G266" t="str">
            <v>Unweighted</v>
          </cell>
          <cell r="H266" t="str">
            <v>N</v>
          </cell>
          <cell r="I266" t="str">
            <v>Y</v>
          </cell>
          <cell r="J266">
            <v>131</v>
          </cell>
          <cell r="K266">
            <v>1</v>
          </cell>
          <cell r="L266">
            <v>0.71489999999999998</v>
          </cell>
          <cell r="M266">
            <v>23.7</v>
          </cell>
          <cell r="N266">
            <v>14.3</v>
          </cell>
          <cell r="O266">
            <v>0.28510000000000002</v>
          </cell>
          <cell r="P266">
            <v>9.7600000000000006E-2</v>
          </cell>
          <cell r="Q266">
            <v>0.1875</v>
          </cell>
          <cell r="R266" t="str">
            <v>NA</v>
          </cell>
          <cell r="S266" t="str">
            <v>NA</v>
          </cell>
          <cell r="T266">
            <v>59.2</v>
          </cell>
          <cell r="U266">
            <v>4.8</v>
          </cell>
          <cell r="V266">
            <v>72.8</v>
          </cell>
          <cell r="W266">
            <v>7.4</v>
          </cell>
          <cell r="X266" t="str">
            <v>NA</v>
          </cell>
          <cell r="Y266" t="str">
            <v>NA</v>
          </cell>
          <cell r="Z266" t="str">
            <v>NA</v>
          </cell>
          <cell r="AA266" t="str">
            <v>NA</v>
          </cell>
        </row>
        <row r="267">
          <cell r="A267">
            <v>45122</v>
          </cell>
          <cell r="B267" t="str">
            <v>A1</v>
          </cell>
          <cell r="C267">
            <v>3</v>
          </cell>
          <cell r="D267">
            <v>3</v>
          </cell>
          <cell r="E267" t="str">
            <v>ARIS.A1.Aim3.Bin3.LB</v>
          </cell>
          <cell r="F267">
            <v>3</v>
          </cell>
          <cell r="G267" t="str">
            <v>Unweighted</v>
          </cell>
          <cell r="H267" t="str">
            <v>N</v>
          </cell>
          <cell r="I267" t="str">
            <v>Y</v>
          </cell>
          <cell r="J267">
            <v>105</v>
          </cell>
          <cell r="K267">
            <v>1</v>
          </cell>
          <cell r="L267">
            <v>2.86E-2</v>
          </cell>
          <cell r="M267">
            <v>23.7</v>
          </cell>
          <cell r="N267">
            <v>2.6</v>
          </cell>
          <cell r="O267">
            <v>0.97140000000000004</v>
          </cell>
          <cell r="P267">
            <v>0.51570000000000005</v>
          </cell>
          <cell r="Q267">
            <v>0.45569999999999999</v>
          </cell>
          <cell r="R267" t="str">
            <v>NA</v>
          </cell>
          <cell r="S267" t="str">
            <v>NA</v>
          </cell>
          <cell r="T267">
            <v>59.2</v>
          </cell>
          <cell r="U267">
            <v>4.8</v>
          </cell>
          <cell r="V267">
            <v>72.8</v>
          </cell>
          <cell r="W267">
            <v>7.4</v>
          </cell>
          <cell r="X267" t="str">
            <v>NA</v>
          </cell>
          <cell r="Y267" t="str">
            <v>NA</v>
          </cell>
          <cell r="Z267" t="str">
            <v>NA</v>
          </cell>
          <cell r="AA267" t="str">
            <v>NA</v>
          </cell>
        </row>
        <row r="268">
          <cell r="A268">
            <v>45122</v>
          </cell>
          <cell r="B268" t="str">
            <v>A1</v>
          </cell>
          <cell r="C268">
            <v>4</v>
          </cell>
          <cell r="D268">
            <v>3</v>
          </cell>
          <cell r="E268" t="str">
            <v>ARIS.A1.Aim3.Bin4.LB</v>
          </cell>
          <cell r="F268">
            <v>3</v>
          </cell>
          <cell r="G268" t="str">
            <v>Unweighted</v>
          </cell>
          <cell r="H268" t="str">
            <v>N</v>
          </cell>
          <cell r="I268" t="str">
            <v>Y</v>
          </cell>
          <cell r="J268">
            <v>105</v>
          </cell>
          <cell r="K268">
            <v>1</v>
          </cell>
          <cell r="L268">
            <v>2.86E-2</v>
          </cell>
          <cell r="M268">
            <v>23.7</v>
          </cell>
          <cell r="N268">
            <v>2.6</v>
          </cell>
          <cell r="O268">
            <v>0.97140000000000004</v>
          </cell>
          <cell r="P268">
            <v>0.51570000000000005</v>
          </cell>
          <cell r="Q268">
            <v>0.45569999999999999</v>
          </cell>
          <cell r="R268" t="str">
            <v>NA</v>
          </cell>
          <cell r="S268" t="str">
            <v>NA</v>
          </cell>
          <cell r="T268">
            <v>59.2</v>
          </cell>
          <cell r="U268">
            <v>4.8</v>
          </cell>
          <cell r="V268">
            <v>72.8</v>
          </cell>
          <cell r="W268">
            <v>7.4</v>
          </cell>
          <cell r="X268" t="str">
            <v>NA</v>
          </cell>
          <cell r="Y268" t="str">
            <v>NA</v>
          </cell>
          <cell r="Z268" t="str">
            <v>NA</v>
          </cell>
          <cell r="AA268" t="str">
            <v>NA</v>
          </cell>
        </row>
        <row r="269">
          <cell r="A269">
            <v>45122</v>
          </cell>
          <cell r="B269" t="str">
            <v>A2</v>
          </cell>
          <cell r="C269">
            <v>1</v>
          </cell>
          <cell r="D269">
            <v>1</v>
          </cell>
          <cell r="E269" t="str">
            <v>ARIS.A2.Aim1.Bin1.RB</v>
          </cell>
          <cell r="F269">
            <v>3</v>
          </cell>
          <cell r="G269" t="str">
            <v>Unweighted</v>
          </cell>
          <cell r="H269" t="str">
            <v>N</v>
          </cell>
          <cell r="I269" t="str">
            <v>Y</v>
          </cell>
          <cell r="J269">
            <v>117</v>
          </cell>
          <cell r="K269">
            <v>1</v>
          </cell>
          <cell r="L269">
            <v>0.98299999999999998</v>
          </cell>
          <cell r="M269">
            <v>18.100000000000001</v>
          </cell>
          <cell r="N269">
            <v>6.4</v>
          </cell>
          <cell r="O269">
            <v>1.7000000000000001E-2</v>
          </cell>
          <cell r="P269">
            <v>1.7000000000000001E-2</v>
          </cell>
          <cell r="Q269">
            <v>0</v>
          </cell>
          <cell r="R269" t="str">
            <v>NA</v>
          </cell>
          <cell r="S269" t="str">
            <v>NA</v>
          </cell>
          <cell r="T269">
            <v>59.2</v>
          </cell>
          <cell r="U269">
            <v>4.8</v>
          </cell>
          <cell r="V269">
            <v>75.099999999999994</v>
          </cell>
          <cell r="W269">
            <v>7.6</v>
          </cell>
          <cell r="X269" t="str">
            <v>NA</v>
          </cell>
          <cell r="Y269" t="str">
            <v>NA</v>
          </cell>
          <cell r="Z269" t="str">
            <v>NA</v>
          </cell>
          <cell r="AA269" t="str">
            <v>NA</v>
          </cell>
        </row>
        <row r="270">
          <cell r="A270">
            <v>45122</v>
          </cell>
          <cell r="B270" t="str">
            <v>A2</v>
          </cell>
          <cell r="C270">
            <v>2</v>
          </cell>
          <cell r="D270">
            <v>1</v>
          </cell>
          <cell r="E270" t="str">
            <v>ARIS.A2.Aim1.Bin2.RB</v>
          </cell>
          <cell r="F270">
            <v>3</v>
          </cell>
          <cell r="G270" t="str">
            <v>Unweighted</v>
          </cell>
          <cell r="H270" t="str">
            <v>N</v>
          </cell>
          <cell r="I270" t="str">
            <v>Y</v>
          </cell>
          <cell r="J270">
            <v>133</v>
          </cell>
          <cell r="K270">
            <v>1.0001</v>
          </cell>
          <cell r="L270">
            <v>0.92090000000000005</v>
          </cell>
          <cell r="M270">
            <v>31</v>
          </cell>
          <cell r="N270">
            <v>10</v>
          </cell>
          <cell r="O270">
            <v>7.9200000000000007E-2</v>
          </cell>
          <cell r="P270">
            <v>4.87E-2</v>
          </cell>
          <cell r="Q270">
            <v>3.0499999999999999E-2</v>
          </cell>
          <cell r="R270" t="str">
            <v>NA</v>
          </cell>
          <cell r="S270" t="str">
            <v>NA</v>
          </cell>
          <cell r="T270">
            <v>59.2</v>
          </cell>
          <cell r="U270">
            <v>4.8</v>
          </cell>
          <cell r="V270">
            <v>75.099999999999994</v>
          </cell>
          <cell r="W270">
            <v>7.6</v>
          </cell>
          <cell r="X270" t="str">
            <v>NA</v>
          </cell>
          <cell r="Y270" t="str">
            <v>NA</v>
          </cell>
          <cell r="Z270" t="str">
            <v>NA</v>
          </cell>
          <cell r="AA270" t="str">
            <v>NA</v>
          </cell>
        </row>
        <row r="271">
          <cell r="A271">
            <v>45122</v>
          </cell>
          <cell r="B271" t="str">
            <v>A2</v>
          </cell>
          <cell r="C271">
            <v>3</v>
          </cell>
          <cell r="D271">
            <v>1</v>
          </cell>
          <cell r="E271" t="str">
            <v>ARIS.A2.Aim1.Bin3.RB</v>
          </cell>
          <cell r="F271">
            <v>3</v>
          </cell>
          <cell r="G271" t="str">
            <v>Unweighted</v>
          </cell>
          <cell r="H271" t="str">
            <v>N</v>
          </cell>
          <cell r="I271" t="str">
            <v>Y</v>
          </cell>
          <cell r="J271">
            <v>62</v>
          </cell>
          <cell r="K271">
            <v>1</v>
          </cell>
          <cell r="L271">
            <v>0.55200000000000005</v>
          </cell>
          <cell r="M271">
            <v>23.7</v>
          </cell>
          <cell r="N271">
            <v>15.9</v>
          </cell>
          <cell r="O271">
            <v>0.44800000000000001</v>
          </cell>
          <cell r="P271">
            <v>0.2402</v>
          </cell>
          <cell r="Q271">
            <v>0.20780000000000001</v>
          </cell>
          <cell r="R271" t="str">
            <v>NA</v>
          </cell>
          <cell r="S271" t="str">
            <v>NA</v>
          </cell>
          <cell r="T271">
            <v>59.2</v>
          </cell>
          <cell r="U271">
            <v>4.8</v>
          </cell>
          <cell r="V271">
            <v>75.099999999999994</v>
          </cell>
          <cell r="W271">
            <v>7.6</v>
          </cell>
          <cell r="X271" t="str">
            <v>NA</v>
          </cell>
          <cell r="Y271" t="str">
            <v>NA</v>
          </cell>
          <cell r="Z271" t="str">
            <v>NA</v>
          </cell>
          <cell r="AA271" t="str">
            <v>NA</v>
          </cell>
        </row>
        <row r="272">
          <cell r="A272">
            <v>45122</v>
          </cell>
          <cell r="B272" t="str">
            <v>A2</v>
          </cell>
          <cell r="C272">
            <v>4</v>
          </cell>
          <cell r="D272">
            <v>1</v>
          </cell>
          <cell r="E272" t="str">
            <v>ARIS.A2.Aim1.Bin4.RB</v>
          </cell>
          <cell r="F272">
            <v>3</v>
          </cell>
          <cell r="G272" t="str">
            <v>Unweighted</v>
          </cell>
          <cell r="H272" t="str">
            <v>N</v>
          </cell>
          <cell r="I272" t="str">
            <v>Y</v>
          </cell>
          <cell r="J272">
            <v>62</v>
          </cell>
          <cell r="K272">
            <v>1</v>
          </cell>
          <cell r="L272">
            <v>0.55200000000000005</v>
          </cell>
          <cell r="M272">
            <v>23.7</v>
          </cell>
          <cell r="N272">
            <v>15.9</v>
          </cell>
          <cell r="O272">
            <v>0.44800000000000001</v>
          </cell>
          <cell r="P272">
            <v>0.2402</v>
          </cell>
          <cell r="Q272">
            <v>0.20780000000000001</v>
          </cell>
          <cell r="R272" t="str">
            <v>NA</v>
          </cell>
          <cell r="S272" t="str">
            <v>NA</v>
          </cell>
          <cell r="T272">
            <v>59.2</v>
          </cell>
          <cell r="U272">
            <v>4.8</v>
          </cell>
          <cell r="V272">
            <v>75.099999999999994</v>
          </cell>
          <cell r="W272">
            <v>7.6</v>
          </cell>
          <cell r="X272" t="str">
            <v>NA</v>
          </cell>
          <cell r="Y272" t="str">
            <v>NA</v>
          </cell>
          <cell r="Z272" t="str">
            <v>NA</v>
          </cell>
          <cell r="AA272" t="str">
            <v>NA</v>
          </cell>
        </row>
        <row r="273">
          <cell r="A273">
            <v>45122</v>
          </cell>
          <cell r="B273" t="str">
            <v>A2</v>
          </cell>
          <cell r="C273">
            <v>1</v>
          </cell>
          <cell r="D273">
            <v>1</v>
          </cell>
          <cell r="E273" t="str">
            <v>ARIS.A2.Aim1.Bin1.RB</v>
          </cell>
          <cell r="F273">
            <v>3</v>
          </cell>
          <cell r="G273" t="str">
            <v>SplineDFA</v>
          </cell>
          <cell r="H273" t="str">
            <v>Y</v>
          </cell>
          <cell r="I273" t="str">
            <v>N</v>
          </cell>
          <cell r="J273">
            <v>117</v>
          </cell>
          <cell r="K273">
            <v>1</v>
          </cell>
          <cell r="L273">
            <v>0.96679999999999999</v>
          </cell>
          <cell r="M273">
            <v>23.7</v>
          </cell>
          <cell r="N273">
            <v>2.7</v>
          </cell>
          <cell r="O273">
            <v>3.32E-2</v>
          </cell>
          <cell r="P273">
            <v>3.32E-2</v>
          </cell>
          <cell r="Q273">
            <v>0</v>
          </cell>
          <cell r="R273" t="str">
            <v>NA</v>
          </cell>
          <cell r="S273" t="str">
            <v>NA</v>
          </cell>
          <cell r="T273">
            <v>59.2</v>
          </cell>
          <cell r="U273">
            <v>4.8</v>
          </cell>
          <cell r="V273">
            <v>75.099999999999994</v>
          </cell>
          <cell r="W273">
            <v>7.6</v>
          </cell>
          <cell r="X273" t="str">
            <v>NA</v>
          </cell>
          <cell r="Y273" t="str">
            <v>NA</v>
          </cell>
          <cell r="Z273" t="str">
            <v>NA</v>
          </cell>
          <cell r="AA273" t="str">
            <v>NA</v>
          </cell>
        </row>
        <row r="274">
          <cell r="A274">
            <v>45122</v>
          </cell>
          <cell r="B274" t="str">
            <v>A2</v>
          </cell>
          <cell r="C274">
            <v>2</v>
          </cell>
          <cell r="D274">
            <v>1</v>
          </cell>
          <cell r="E274" t="str">
            <v>ARIS.A2.Aim1.Bin2.RB</v>
          </cell>
          <cell r="F274">
            <v>3</v>
          </cell>
          <cell r="G274" t="str">
            <v>SplineDFA</v>
          </cell>
          <cell r="H274" t="str">
            <v>Y</v>
          </cell>
          <cell r="I274" t="str">
            <v>N</v>
          </cell>
          <cell r="J274">
            <v>133</v>
          </cell>
          <cell r="K274">
            <v>1</v>
          </cell>
          <cell r="L274">
            <v>0.73650000000000004</v>
          </cell>
          <cell r="M274">
            <v>23.7</v>
          </cell>
          <cell r="N274">
            <v>2.7</v>
          </cell>
          <cell r="O274">
            <v>0.26350000000000001</v>
          </cell>
          <cell r="P274">
            <v>0.24079999999999999</v>
          </cell>
          <cell r="Q274">
            <v>2.2700000000000001E-2</v>
          </cell>
          <cell r="R274" t="str">
            <v>NA</v>
          </cell>
          <cell r="S274" t="str">
            <v>NA</v>
          </cell>
          <cell r="T274">
            <v>59.2</v>
          </cell>
          <cell r="U274">
            <v>4.8</v>
          </cell>
          <cell r="V274">
            <v>75.099999999999994</v>
          </cell>
          <cell r="W274">
            <v>7.6</v>
          </cell>
          <cell r="X274" t="str">
            <v>NA</v>
          </cell>
          <cell r="Y274" t="str">
            <v>NA</v>
          </cell>
          <cell r="Z274" t="str">
            <v>NA</v>
          </cell>
          <cell r="AA274" t="str">
            <v>NA</v>
          </cell>
        </row>
        <row r="275">
          <cell r="A275">
            <v>45122</v>
          </cell>
          <cell r="B275" t="str">
            <v>A2</v>
          </cell>
          <cell r="C275">
            <v>3</v>
          </cell>
          <cell r="D275">
            <v>1</v>
          </cell>
          <cell r="E275" t="str">
            <v>ARIS.A2.Aim1.Bin3.RB</v>
          </cell>
          <cell r="F275">
            <v>3</v>
          </cell>
          <cell r="G275" t="str">
            <v>SplineDFA</v>
          </cell>
          <cell r="H275" t="str">
            <v>Y</v>
          </cell>
          <cell r="I275" t="str">
            <v>N</v>
          </cell>
          <cell r="J275">
            <v>62</v>
          </cell>
          <cell r="K275">
            <v>1</v>
          </cell>
          <cell r="L275">
            <v>0.34</v>
          </cell>
          <cell r="M275">
            <v>23.7</v>
          </cell>
          <cell r="N275">
            <v>2.7</v>
          </cell>
          <cell r="O275">
            <v>0.66</v>
          </cell>
          <cell r="P275">
            <v>0.52880000000000005</v>
          </cell>
          <cell r="Q275">
            <v>0.13120000000000001</v>
          </cell>
          <cell r="R275" t="str">
            <v>NA</v>
          </cell>
          <cell r="S275" t="str">
            <v>NA</v>
          </cell>
          <cell r="T275">
            <v>59.2</v>
          </cell>
          <cell r="U275">
            <v>4.8</v>
          </cell>
          <cell r="V275">
            <v>75.099999999999994</v>
          </cell>
          <cell r="W275">
            <v>7.6</v>
          </cell>
          <cell r="X275" t="str">
            <v>NA</v>
          </cell>
          <cell r="Y275" t="str">
            <v>NA</v>
          </cell>
          <cell r="Z275" t="str">
            <v>NA</v>
          </cell>
          <cell r="AA275" t="str">
            <v>NA</v>
          </cell>
        </row>
        <row r="276">
          <cell r="A276">
            <v>45122</v>
          </cell>
          <cell r="B276" t="str">
            <v>A2</v>
          </cell>
          <cell r="C276">
            <v>4</v>
          </cell>
          <cell r="D276">
            <v>1</v>
          </cell>
          <cell r="E276" t="str">
            <v>ARIS.A2.Aim1.Bin4.RB</v>
          </cell>
          <cell r="F276">
            <v>3</v>
          </cell>
          <cell r="G276" t="str">
            <v>SplineDFA</v>
          </cell>
          <cell r="H276" t="str">
            <v>Y</v>
          </cell>
          <cell r="I276" t="str">
            <v>N</v>
          </cell>
          <cell r="J276">
            <v>62</v>
          </cell>
          <cell r="K276">
            <v>1</v>
          </cell>
          <cell r="L276">
            <v>0.34</v>
          </cell>
          <cell r="M276">
            <v>23.7</v>
          </cell>
          <cell r="N276">
            <v>2.7</v>
          </cell>
          <cell r="O276">
            <v>0.66</v>
          </cell>
          <cell r="P276">
            <v>0.52880000000000005</v>
          </cell>
          <cell r="Q276">
            <v>0.13120000000000001</v>
          </cell>
          <cell r="R276" t="str">
            <v>NA</v>
          </cell>
          <cell r="S276" t="str">
            <v>NA</v>
          </cell>
          <cell r="T276">
            <v>59.2</v>
          </cell>
          <cell r="U276">
            <v>4.8</v>
          </cell>
          <cell r="V276">
            <v>75.099999999999994</v>
          </cell>
          <cell r="W276">
            <v>7.6</v>
          </cell>
          <cell r="X276" t="str">
            <v>NA</v>
          </cell>
          <cell r="Y276" t="str">
            <v>NA</v>
          </cell>
          <cell r="Z276" t="str">
            <v>NA</v>
          </cell>
          <cell r="AA276" t="str">
            <v>NA</v>
          </cell>
        </row>
        <row r="277">
          <cell r="A277">
            <v>45122</v>
          </cell>
          <cell r="B277" t="str">
            <v>A1</v>
          </cell>
          <cell r="C277">
            <v>1</v>
          </cell>
          <cell r="D277">
            <v>1</v>
          </cell>
          <cell r="E277" t="str">
            <v>ARIS.A1.Aim1.Bin1.LB</v>
          </cell>
          <cell r="F277">
            <v>4</v>
          </cell>
          <cell r="G277" t="str">
            <v>Unweighted</v>
          </cell>
          <cell r="H277" t="str">
            <v>N</v>
          </cell>
          <cell r="I277" t="str">
            <v>N</v>
          </cell>
          <cell r="J277">
            <v>92</v>
          </cell>
          <cell r="K277">
            <v>0.99990000000000001</v>
          </cell>
          <cell r="L277">
            <v>0.86899999999999999</v>
          </cell>
          <cell r="M277">
            <v>20.5</v>
          </cell>
          <cell r="N277">
            <v>6.4</v>
          </cell>
          <cell r="O277">
            <v>0.13089999999999999</v>
          </cell>
          <cell r="P277">
            <v>0</v>
          </cell>
          <cell r="Q277">
            <v>3.1099999999999999E-2</v>
          </cell>
          <cell r="R277" t="str">
            <v>NA</v>
          </cell>
          <cell r="S277">
            <v>9.98E-2</v>
          </cell>
          <cell r="T277">
            <v>59.2</v>
          </cell>
          <cell r="U277">
            <v>4.8</v>
          </cell>
          <cell r="V277">
            <v>72.8</v>
          </cell>
          <cell r="W277">
            <v>7.4</v>
          </cell>
          <cell r="X277" t="str">
            <v>NA</v>
          </cell>
          <cell r="Y277" t="str">
            <v>NA</v>
          </cell>
          <cell r="Z277">
            <v>39.1</v>
          </cell>
          <cell r="AA277">
            <v>3.5</v>
          </cell>
        </row>
        <row r="278">
          <cell r="A278">
            <v>45122</v>
          </cell>
          <cell r="B278" t="str">
            <v>A1</v>
          </cell>
          <cell r="C278">
            <v>1</v>
          </cell>
          <cell r="D278">
            <v>2</v>
          </cell>
          <cell r="E278" t="str">
            <v>ARIS.A1.Aim2.Bin1.LB</v>
          </cell>
          <cell r="F278">
            <v>4</v>
          </cell>
          <cell r="G278" t="str">
            <v>Unweighted</v>
          </cell>
          <cell r="H278" t="str">
            <v>N</v>
          </cell>
          <cell r="I278" t="str">
            <v>N</v>
          </cell>
          <cell r="J278">
            <v>132</v>
          </cell>
          <cell r="K278">
            <v>1.0001</v>
          </cell>
          <cell r="L278">
            <v>0.88919999999999999</v>
          </cell>
          <cell r="M278">
            <v>18</v>
          </cell>
          <cell r="N278">
            <v>5.4</v>
          </cell>
          <cell r="O278">
            <v>0.1109</v>
          </cell>
          <cell r="P278">
            <v>5.4199999999999998E-2</v>
          </cell>
          <cell r="Q278">
            <v>6.4000000000000003E-3</v>
          </cell>
          <cell r="R278" t="str">
            <v>NA</v>
          </cell>
          <cell r="S278">
            <v>5.0299999999999997E-2</v>
          </cell>
          <cell r="T278">
            <v>59.2</v>
          </cell>
          <cell r="U278">
            <v>4.8</v>
          </cell>
          <cell r="V278">
            <v>72.8</v>
          </cell>
          <cell r="W278">
            <v>7.4</v>
          </cell>
          <cell r="X278" t="str">
            <v>NA</v>
          </cell>
          <cell r="Y278" t="str">
            <v>NA</v>
          </cell>
          <cell r="Z278">
            <v>39.1</v>
          </cell>
          <cell r="AA278">
            <v>3.5</v>
          </cell>
        </row>
        <row r="279">
          <cell r="A279">
            <v>45122</v>
          </cell>
          <cell r="B279" t="str">
            <v>A1</v>
          </cell>
          <cell r="C279">
            <v>1</v>
          </cell>
          <cell r="D279" t="str">
            <v>1&amp;2</v>
          </cell>
          <cell r="E279" t="str">
            <v>ARIS.A1.Aim1&amp;Aim2.Bin1.LB</v>
          </cell>
          <cell r="F279">
            <v>4</v>
          </cell>
          <cell r="G279" t="str">
            <v>Unweighted</v>
          </cell>
          <cell r="H279" t="str">
            <v>N</v>
          </cell>
          <cell r="I279" t="str">
            <v>N</v>
          </cell>
          <cell r="J279">
            <v>224</v>
          </cell>
          <cell r="K279">
            <v>1</v>
          </cell>
          <cell r="L279">
            <v>0.94320000000000004</v>
          </cell>
          <cell r="M279">
            <v>23.7</v>
          </cell>
          <cell r="N279">
            <v>7.8</v>
          </cell>
          <cell r="O279">
            <v>5.6800000000000003E-2</v>
          </cell>
          <cell r="P279">
            <v>4.3999999999999997E-2</v>
          </cell>
          <cell r="Q279">
            <v>1.2800000000000001E-2</v>
          </cell>
          <cell r="R279" t="str">
            <v>NA</v>
          </cell>
          <cell r="S279">
            <v>0</v>
          </cell>
          <cell r="T279">
            <v>59.2</v>
          </cell>
          <cell r="U279">
            <v>4.8</v>
          </cell>
          <cell r="V279">
            <v>72.8</v>
          </cell>
          <cell r="W279">
            <v>7.4</v>
          </cell>
          <cell r="X279" t="str">
            <v>NA</v>
          </cell>
          <cell r="Y279" t="str">
            <v>NA</v>
          </cell>
          <cell r="Z279">
            <v>39.1</v>
          </cell>
          <cell r="AA279">
            <v>3.5</v>
          </cell>
        </row>
        <row r="280">
          <cell r="A280">
            <v>45122</v>
          </cell>
          <cell r="B280" t="str">
            <v>A1</v>
          </cell>
          <cell r="C280">
            <v>2</v>
          </cell>
          <cell r="D280">
            <v>3</v>
          </cell>
          <cell r="E280" t="str">
            <v>ARIS.A1.Aim3.Bin2.LB</v>
          </cell>
          <cell r="F280">
            <v>4</v>
          </cell>
          <cell r="G280" t="str">
            <v>Unweighted</v>
          </cell>
          <cell r="H280" t="str">
            <v>N</v>
          </cell>
          <cell r="I280" t="str">
            <v>N</v>
          </cell>
          <cell r="J280">
            <v>131</v>
          </cell>
          <cell r="K280">
            <v>0.99990000000000001</v>
          </cell>
          <cell r="L280">
            <v>0.71950000000000003</v>
          </cell>
          <cell r="M280">
            <v>34.200000000000003</v>
          </cell>
          <cell r="N280">
            <v>9.1</v>
          </cell>
          <cell r="O280">
            <v>0.28039999999999998</v>
          </cell>
          <cell r="P280">
            <v>8.09E-2</v>
          </cell>
          <cell r="Q280">
            <v>0.19950000000000001</v>
          </cell>
          <cell r="R280" t="str">
            <v>NA</v>
          </cell>
          <cell r="S280">
            <v>0</v>
          </cell>
          <cell r="T280">
            <v>59.2</v>
          </cell>
          <cell r="U280">
            <v>4.8</v>
          </cell>
          <cell r="V280">
            <v>72.8</v>
          </cell>
          <cell r="W280">
            <v>7.4</v>
          </cell>
          <cell r="X280" t="str">
            <v>NA</v>
          </cell>
          <cell r="Y280" t="str">
            <v>NA</v>
          </cell>
          <cell r="Z280">
            <v>39.1</v>
          </cell>
          <cell r="AA280">
            <v>3.5</v>
          </cell>
        </row>
        <row r="281">
          <cell r="A281">
            <v>45122</v>
          </cell>
          <cell r="B281" t="str">
            <v>A1</v>
          </cell>
          <cell r="C281">
            <v>3</v>
          </cell>
          <cell r="D281">
            <v>3</v>
          </cell>
          <cell r="E281" t="str">
            <v>ARIS.A1.Aim3.Bin3.LB</v>
          </cell>
          <cell r="F281">
            <v>4</v>
          </cell>
          <cell r="G281" t="str">
            <v>Unweighted</v>
          </cell>
          <cell r="H281" t="str">
            <v>N</v>
          </cell>
          <cell r="I281" t="str">
            <v>N</v>
          </cell>
          <cell r="J281">
            <v>105</v>
          </cell>
          <cell r="K281">
            <v>1</v>
          </cell>
          <cell r="L281">
            <v>8.0000000000000004E-4</v>
          </cell>
          <cell r="M281">
            <v>23.7</v>
          </cell>
          <cell r="N281">
            <v>2.6</v>
          </cell>
          <cell r="O281">
            <v>0.99919999999999998</v>
          </cell>
          <cell r="P281">
            <v>0.29210000000000003</v>
          </cell>
          <cell r="Q281">
            <v>0.47910000000000003</v>
          </cell>
          <cell r="R281" t="str">
            <v>NA</v>
          </cell>
          <cell r="S281">
            <v>0.22800000000000001</v>
          </cell>
          <cell r="T281">
            <v>59.2</v>
          </cell>
          <cell r="U281">
            <v>4.8</v>
          </cell>
          <cell r="V281">
            <v>72.8</v>
          </cell>
          <cell r="W281">
            <v>7.4</v>
          </cell>
          <cell r="X281" t="str">
            <v>NA</v>
          </cell>
          <cell r="Y281" t="str">
            <v>NA</v>
          </cell>
          <cell r="Z281">
            <v>39.1</v>
          </cell>
          <cell r="AA281">
            <v>3.5</v>
          </cell>
        </row>
        <row r="282">
          <cell r="A282">
            <v>45122</v>
          </cell>
          <cell r="B282" t="str">
            <v>A1</v>
          </cell>
          <cell r="C282">
            <v>4</v>
          </cell>
          <cell r="D282">
            <v>3</v>
          </cell>
          <cell r="E282" t="str">
            <v>ARIS.A1.Aim3.Bin4.LB</v>
          </cell>
          <cell r="F282">
            <v>4</v>
          </cell>
          <cell r="G282" t="str">
            <v>Unweighted</v>
          </cell>
          <cell r="H282" t="str">
            <v>N</v>
          </cell>
          <cell r="I282" t="str">
            <v>N</v>
          </cell>
          <cell r="J282">
            <v>105</v>
          </cell>
          <cell r="K282">
            <v>1</v>
          </cell>
          <cell r="L282">
            <v>8.0000000000000004E-4</v>
          </cell>
          <cell r="M282">
            <v>23.7</v>
          </cell>
          <cell r="N282">
            <v>2.6</v>
          </cell>
          <cell r="O282">
            <v>0.99919999999999998</v>
          </cell>
          <cell r="P282">
            <v>0.29210000000000003</v>
          </cell>
          <cell r="Q282">
            <v>0.47910000000000003</v>
          </cell>
          <cell r="R282" t="str">
            <v>NA</v>
          </cell>
          <cell r="S282">
            <v>0.22800000000000001</v>
          </cell>
          <cell r="T282">
            <v>59.2</v>
          </cell>
          <cell r="U282">
            <v>4.8</v>
          </cell>
          <cell r="V282">
            <v>72.8</v>
          </cell>
          <cell r="W282">
            <v>7.4</v>
          </cell>
          <cell r="X282" t="str">
            <v>NA</v>
          </cell>
          <cell r="Y282" t="str">
            <v>NA</v>
          </cell>
          <cell r="Z282">
            <v>39.1</v>
          </cell>
          <cell r="AA282">
            <v>3.5</v>
          </cell>
        </row>
        <row r="283">
          <cell r="A283">
            <v>45122</v>
          </cell>
          <cell r="B283" t="str">
            <v>A2</v>
          </cell>
          <cell r="C283">
            <v>1</v>
          </cell>
          <cell r="D283">
            <v>1</v>
          </cell>
          <cell r="E283" t="str">
            <v>ARIS.A2.Aim1.Bin1.RB</v>
          </cell>
          <cell r="F283">
            <v>4</v>
          </cell>
          <cell r="G283" t="str">
            <v>Unweighted</v>
          </cell>
          <cell r="H283" t="str">
            <v>N</v>
          </cell>
          <cell r="I283" t="str">
            <v>N</v>
          </cell>
          <cell r="J283">
            <v>117</v>
          </cell>
          <cell r="K283">
            <v>1.0001</v>
          </cell>
          <cell r="L283">
            <v>0.9496</v>
          </cell>
          <cell r="M283">
            <v>17.600000000000001</v>
          </cell>
          <cell r="N283">
            <v>5.9</v>
          </cell>
          <cell r="O283">
            <v>5.0500000000000003E-2</v>
          </cell>
          <cell r="P283">
            <v>4.0000000000000002E-4</v>
          </cell>
          <cell r="Q283">
            <v>0</v>
          </cell>
          <cell r="R283" t="str">
            <v>NA</v>
          </cell>
          <cell r="S283">
            <v>5.0099999999999999E-2</v>
          </cell>
          <cell r="T283">
            <v>59.2</v>
          </cell>
          <cell r="U283">
            <v>4.8</v>
          </cell>
          <cell r="V283">
            <v>75.099999999999994</v>
          </cell>
          <cell r="W283">
            <v>7.6</v>
          </cell>
          <cell r="X283" t="str">
            <v>NA</v>
          </cell>
          <cell r="Y283" t="str">
            <v>NA</v>
          </cell>
          <cell r="Z283">
            <v>39.1</v>
          </cell>
          <cell r="AA283">
            <v>3.5</v>
          </cell>
        </row>
        <row r="284">
          <cell r="A284">
            <v>45122</v>
          </cell>
          <cell r="B284" t="str">
            <v>A2</v>
          </cell>
          <cell r="C284">
            <v>2</v>
          </cell>
          <cell r="D284">
            <v>1</v>
          </cell>
          <cell r="E284" t="str">
            <v>ARIS.A2.Aim1.Bin2.RB</v>
          </cell>
          <cell r="F284">
            <v>4</v>
          </cell>
          <cell r="G284" t="str">
            <v>Unweighted</v>
          </cell>
          <cell r="H284" t="str">
            <v>N</v>
          </cell>
          <cell r="I284" t="str">
            <v>N</v>
          </cell>
          <cell r="J284">
            <v>133</v>
          </cell>
          <cell r="K284">
            <v>1.0001</v>
          </cell>
          <cell r="L284">
            <v>0.9254</v>
          </cell>
          <cell r="M284">
            <v>30.9</v>
          </cell>
          <cell r="N284">
            <v>9.4</v>
          </cell>
          <cell r="O284">
            <v>7.4700000000000003E-2</v>
          </cell>
          <cell r="P284">
            <v>4.9000000000000002E-2</v>
          </cell>
          <cell r="Q284">
            <v>2.5700000000000001E-2</v>
          </cell>
          <cell r="R284" t="str">
            <v>NA</v>
          </cell>
          <cell r="S284">
            <v>0</v>
          </cell>
          <cell r="T284">
            <v>59.2</v>
          </cell>
          <cell r="U284">
            <v>4.8</v>
          </cell>
          <cell r="V284">
            <v>75.099999999999994</v>
          </cell>
          <cell r="W284">
            <v>7.6</v>
          </cell>
          <cell r="X284" t="str">
            <v>NA</v>
          </cell>
          <cell r="Y284" t="str">
            <v>NA</v>
          </cell>
          <cell r="Z284">
            <v>39.1</v>
          </cell>
          <cell r="AA284">
            <v>3.5</v>
          </cell>
        </row>
        <row r="285">
          <cell r="A285">
            <v>45122</v>
          </cell>
          <cell r="B285" t="str">
            <v>A2</v>
          </cell>
          <cell r="C285">
            <v>3</v>
          </cell>
          <cell r="D285">
            <v>1</v>
          </cell>
          <cell r="E285" t="str">
            <v>ARIS.A2.Aim1.Bin3.RB</v>
          </cell>
          <cell r="F285">
            <v>4</v>
          </cell>
          <cell r="G285" t="str">
            <v>Unweighted</v>
          </cell>
          <cell r="H285" t="str">
            <v>N</v>
          </cell>
          <cell r="I285" t="str">
            <v>N</v>
          </cell>
          <cell r="J285">
            <v>62</v>
          </cell>
          <cell r="K285">
            <v>1.0001</v>
          </cell>
          <cell r="L285">
            <v>0.24709999999999999</v>
          </cell>
          <cell r="M285">
            <v>30</v>
          </cell>
          <cell r="N285">
            <v>3</v>
          </cell>
          <cell r="O285">
            <v>0.753</v>
          </cell>
          <cell r="P285">
            <v>0.29459999999999997</v>
          </cell>
          <cell r="Q285">
            <v>0.2054</v>
          </cell>
          <cell r="R285" t="str">
            <v>NA</v>
          </cell>
          <cell r="S285">
            <v>0.253</v>
          </cell>
          <cell r="T285">
            <v>59.2</v>
          </cell>
          <cell r="U285">
            <v>4.8</v>
          </cell>
          <cell r="V285">
            <v>75.099999999999994</v>
          </cell>
          <cell r="W285">
            <v>7.6</v>
          </cell>
          <cell r="X285" t="str">
            <v>NA</v>
          </cell>
          <cell r="Y285" t="str">
            <v>NA</v>
          </cell>
          <cell r="Z285">
            <v>39.1</v>
          </cell>
          <cell r="AA285">
            <v>3.5</v>
          </cell>
        </row>
        <row r="286">
          <cell r="A286">
            <v>45122</v>
          </cell>
          <cell r="B286" t="str">
            <v>A2</v>
          </cell>
          <cell r="C286">
            <v>4</v>
          </cell>
          <cell r="D286">
            <v>1</v>
          </cell>
          <cell r="E286" t="str">
            <v>ARIS.A2.Aim1.Bin4.RB</v>
          </cell>
          <cell r="F286">
            <v>4</v>
          </cell>
          <cell r="G286" t="str">
            <v>Unweighted</v>
          </cell>
          <cell r="H286" t="str">
            <v>N</v>
          </cell>
          <cell r="I286" t="str">
            <v>N</v>
          </cell>
          <cell r="J286">
            <v>62</v>
          </cell>
          <cell r="K286">
            <v>1.0001</v>
          </cell>
          <cell r="L286">
            <v>0.24709999999999999</v>
          </cell>
          <cell r="M286">
            <v>30</v>
          </cell>
          <cell r="N286">
            <v>3</v>
          </cell>
          <cell r="O286">
            <v>0.753</v>
          </cell>
          <cell r="P286">
            <v>0.29459999999999997</v>
          </cell>
          <cell r="Q286">
            <v>0.2054</v>
          </cell>
          <cell r="R286" t="str">
            <v>NA</v>
          </cell>
          <cell r="S286">
            <v>0.253</v>
          </cell>
          <cell r="T286">
            <v>59.2</v>
          </cell>
          <cell r="U286">
            <v>4.8</v>
          </cell>
          <cell r="V286">
            <v>75.099999999999994</v>
          </cell>
          <cell r="W286">
            <v>7.6</v>
          </cell>
          <cell r="X286" t="str">
            <v>NA</v>
          </cell>
          <cell r="Y286" t="str">
            <v>NA</v>
          </cell>
          <cell r="Z286">
            <v>39.1</v>
          </cell>
          <cell r="AA286">
            <v>3.5</v>
          </cell>
        </row>
        <row r="287">
          <cell r="A287">
            <v>45123</v>
          </cell>
          <cell r="B287" t="str">
            <v>A1</v>
          </cell>
          <cell r="C287">
            <v>1</v>
          </cell>
          <cell r="D287">
            <v>1</v>
          </cell>
          <cell r="E287" t="str">
            <v>ARIS.A1.Aim1.Bin1.LB</v>
          </cell>
          <cell r="F287">
            <v>3</v>
          </cell>
          <cell r="G287" t="str">
            <v>SplineDFA</v>
          </cell>
          <cell r="H287" t="str">
            <v>Y</v>
          </cell>
          <cell r="I287" t="str">
            <v>N</v>
          </cell>
          <cell r="J287">
            <v>103</v>
          </cell>
          <cell r="K287">
            <v>0.99990000000000001</v>
          </cell>
          <cell r="L287">
            <v>0.89749999999999996</v>
          </cell>
          <cell r="M287">
            <v>23.7</v>
          </cell>
          <cell r="N287">
            <v>2.7</v>
          </cell>
          <cell r="O287">
            <v>0.1024</v>
          </cell>
          <cell r="P287">
            <v>9.0499999999999997E-2</v>
          </cell>
          <cell r="Q287">
            <v>1.1900000000000001E-2</v>
          </cell>
          <cell r="R287" t="str">
            <v>NA</v>
          </cell>
          <cell r="S287" t="str">
            <v>NA</v>
          </cell>
          <cell r="T287">
            <v>59.2</v>
          </cell>
          <cell r="U287">
            <v>4.8</v>
          </cell>
          <cell r="V287">
            <v>72.8</v>
          </cell>
          <cell r="W287">
            <v>7.4</v>
          </cell>
          <cell r="X287" t="str">
            <v>NA</v>
          </cell>
          <cell r="Y287" t="str">
            <v>NA</v>
          </cell>
          <cell r="Z287" t="str">
            <v>NA</v>
          </cell>
          <cell r="AA287" t="str">
            <v>NA</v>
          </cell>
        </row>
        <row r="288">
          <cell r="A288">
            <v>45123</v>
          </cell>
          <cell r="B288" t="str">
            <v>A1</v>
          </cell>
          <cell r="C288">
            <v>1</v>
          </cell>
          <cell r="D288">
            <v>2</v>
          </cell>
          <cell r="E288" t="str">
            <v>ARIS.A1.Aim2.Bin1.LB</v>
          </cell>
          <cell r="F288">
            <v>3</v>
          </cell>
          <cell r="G288" t="str">
            <v>SplineDFA</v>
          </cell>
          <cell r="H288" t="str">
            <v>Y</v>
          </cell>
          <cell r="I288" t="str">
            <v>N</v>
          </cell>
          <cell r="J288">
            <v>138</v>
          </cell>
          <cell r="K288">
            <v>1</v>
          </cell>
          <cell r="L288">
            <v>0.94499999999999995</v>
          </cell>
          <cell r="M288">
            <v>23.7</v>
          </cell>
          <cell r="N288">
            <v>2.7</v>
          </cell>
          <cell r="O288">
            <v>5.5E-2</v>
          </cell>
          <cell r="P288">
            <v>5.5E-2</v>
          </cell>
          <cell r="Q288">
            <v>0</v>
          </cell>
          <cell r="R288" t="str">
            <v>NA</v>
          </cell>
          <cell r="S288" t="str">
            <v>NA</v>
          </cell>
          <cell r="T288">
            <v>59.2</v>
          </cell>
          <cell r="U288">
            <v>4.8</v>
          </cell>
          <cell r="V288">
            <v>72.8</v>
          </cell>
          <cell r="W288">
            <v>7.4</v>
          </cell>
          <cell r="X288" t="str">
            <v>NA</v>
          </cell>
          <cell r="Y288" t="str">
            <v>NA</v>
          </cell>
          <cell r="Z288" t="str">
            <v>NA</v>
          </cell>
          <cell r="AA288" t="str">
            <v>NA</v>
          </cell>
        </row>
        <row r="289">
          <cell r="A289">
            <v>45123</v>
          </cell>
          <cell r="B289" t="str">
            <v>A1</v>
          </cell>
          <cell r="C289">
            <v>2</v>
          </cell>
          <cell r="D289">
            <v>3</v>
          </cell>
          <cell r="E289" t="str">
            <v>ARIS.A1.Aim3.Bin2.LB</v>
          </cell>
          <cell r="F289">
            <v>3</v>
          </cell>
          <cell r="G289" t="str">
            <v>SplineDFA</v>
          </cell>
          <cell r="H289" t="str">
            <v>Y</v>
          </cell>
          <cell r="I289" t="str">
            <v>N</v>
          </cell>
          <cell r="J289">
            <v>124</v>
          </cell>
          <cell r="K289">
            <v>1</v>
          </cell>
          <cell r="L289">
            <v>0.62390000000000001</v>
          </cell>
          <cell r="M289">
            <v>23.7</v>
          </cell>
          <cell r="N289">
            <v>2.7</v>
          </cell>
          <cell r="O289">
            <v>0.37609999999999999</v>
          </cell>
          <cell r="P289">
            <v>0.2843</v>
          </cell>
          <cell r="Q289">
            <v>9.1800000000000007E-2</v>
          </cell>
          <cell r="R289" t="str">
            <v>NA</v>
          </cell>
          <cell r="S289" t="str">
            <v>NA</v>
          </cell>
          <cell r="T289">
            <v>59.2</v>
          </cell>
          <cell r="U289">
            <v>4.8</v>
          </cell>
          <cell r="V289">
            <v>72.8</v>
          </cell>
          <cell r="W289">
            <v>7.4</v>
          </cell>
          <cell r="X289" t="str">
            <v>NA</v>
          </cell>
          <cell r="Y289" t="str">
            <v>NA</v>
          </cell>
          <cell r="Z289" t="str">
            <v>NA</v>
          </cell>
          <cell r="AA289" t="str">
            <v>NA</v>
          </cell>
        </row>
        <row r="290">
          <cell r="A290">
            <v>45123</v>
          </cell>
          <cell r="B290" t="str">
            <v>A1</v>
          </cell>
          <cell r="C290">
            <v>3</v>
          </cell>
          <cell r="D290">
            <v>3</v>
          </cell>
          <cell r="E290" t="str">
            <v>ARIS.A1.Aim3.Bin3.LB</v>
          </cell>
          <cell r="F290">
            <v>3</v>
          </cell>
          <cell r="G290" t="str">
            <v>SplineDFA</v>
          </cell>
          <cell r="H290" t="str">
            <v>Y</v>
          </cell>
          <cell r="I290" t="str">
            <v>N</v>
          </cell>
          <cell r="J290">
            <v>109</v>
          </cell>
          <cell r="K290">
            <v>0.99990000000000001</v>
          </cell>
          <cell r="L290">
            <v>0.17899999999999999</v>
          </cell>
          <cell r="M290">
            <v>23.7</v>
          </cell>
          <cell r="N290">
            <v>2.7</v>
          </cell>
          <cell r="O290">
            <v>0.82089999999999996</v>
          </cell>
          <cell r="P290">
            <v>0.44330000000000003</v>
          </cell>
          <cell r="Q290">
            <v>0.37759999999999999</v>
          </cell>
          <cell r="R290" t="str">
            <v>NA</v>
          </cell>
          <cell r="S290" t="str">
            <v>NA</v>
          </cell>
          <cell r="T290">
            <v>59.2</v>
          </cell>
          <cell r="U290">
            <v>4.8</v>
          </cell>
          <cell r="V290">
            <v>72.8</v>
          </cell>
          <cell r="W290">
            <v>7.4</v>
          </cell>
          <cell r="X290" t="str">
            <v>NA</v>
          </cell>
          <cell r="Y290" t="str">
            <v>NA</v>
          </cell>
          <cell r="Z290" t="str">
            <v>NA</v>
          </cell>
          <cell r="AA290" t="str">
            <v>NA</v>
          </cell>
        </row>
        <row r="291">
          <cell r="A291">
            <v>45123</v>
          </cell>
          <cell r="B291" t="str">
            <v>A1</v>
          </cell>
          <cell r="C291">
            <v>4</v>
          </cell>
          <cell r="D291">
            <v>3</v>
          </cell>
          <cell r="E291" t="str">
            <v>ARIS.A1.Aim3.Bin4.LB</v>
          </cell>
          <cell r="F291">
            <v>3</v>
          </cell>
          <cell r="G291" t="str">
            <v>SplineDFA</v>
          </cell>
          <cell r="H291" t="str">
            <v>Y</v>
          </cell>
          <cell r="I291" t="str">
            <v>N</v>
          </cell>
          <cell r="J291">
            <v>109</v>
          </cell>
          <cell r="K291">
            <v>0.99990000000000001</v>
          </cell>
          <cell r="L291">
            <v>0.17899999999999999</v>
          </cell>
          <cell r="M291">
            <v>23.7</v>
          </cell>
          <cell r="N291">
            <v>2.7</v>
          </cell>
          <cell r="O291">
            <v>0.82089999999999996</v>
          </cell>
          <cell r="P291">
            <v>0.44330000000000003</v>
          </cell>
          <cell r="Q291">
            <v>0.37759999999999999</v>
          </cell>
          <cell r="R291" t="str">
            <v>NA</v>
          </cell>
          <cell r="S291" t="str">
            <v>NA</v>
          </cell>
          <cell r="T291">
            <v>59.2</v>
          </cell>
          <cell r="U291">
            <v>4.8</v>
          </cell>
          <cell r="V291">
            <v>72.8</v>
          </cell>
          <cell r="W291">
            <v>7.4</v>
          </cell>
          <cell r="X291" t="str">
            <v>NA</v>
          </cell>
          <cell r="Y291" t="str">
            <v>NA</v>
          </cell>
          <cell r="Z291" t="str">
            <v>NA</v>
          </cell>
          <cell r="AA291" t="str">
            <v>NA</v>
          </cell>
        </row>
        <row r="292">
          <cell r="A292">
            <v>45123</v>
          </cell>
          <cell r="B292" t="str">
            <v>A1</v>
          </cell>
          <cell r="C292">
            <v>1</v>
          </cell>
          <cell r="D292">
            <v>1</v>
          </cell>
          <cell r="E292" t="str">
            <v>ARIS.A1.Aim1.Bin1.LB</v>
          </cell>
          <cell r="F292">
            <v>3</v>
          </cell>
          <cell r="G292" t="str">
            <v>Unweighted</v>
          </cell>
          <cell r="H292" t="str">
            <v>N</v>
          </cell>
          <cell r="I292" t="str">
            <v>Y</v>
          </cell>
          <cell r="J292">
            <v>103</v>
          </cell>
          <cell r="K292">
            <v>1</v>
          </cell>
          <cell r="L292">
            <v>0.9304</v>
          </cell>
          <cell r="M292">
            <v>19.2</v>
          </cell>
          <cell r="N292">
            <v>6.8</v>
          </cell>
          <cell r="O292">
            <v>6.9599999999999995E-2</v>
          </cell>
          <cell r="P292">
            <v>6.1800000000000001E-2</v>
          </cell>
          <cell r="Q292">
            <v>7.7999999999999996E-3</v>
          </cell>
          <cell r="R292" t="str">
            <v>NA</v>
          </cell>
          <cell r="S292" t="str">
            <v>NA</v>
          </cell>
          <cell r="T292">
            <v>59.2</v>
          </cell>
          <cell r="U292">
            <v>4.8</v>
          </cell>
          <cell r="V292">
            <v>72.8</v>
          </cell>
          <cell r="W292">
            <v>7.4</v>
          </cell>
          <cell r="X292" t="str">
            <v>NA</v>
          </cell>
          <cell r="Y292" t="str">
            <v>NA</v>
          </cell>
          <cell r="Z292" t="str">
            <v>NA</v>
          </cell>
          <cell r="AA292" t="str">
            <v>NA</v>
          </cell>
        </row>
        <row r="293">
          <cell r="A293">
            <v>45123</v>
          </cell>
          <cell r="B293" t="str">
            <v>A1</v>
          </cell>
          <cell r="C293">
            <v>1</v>
          </cell>
          <cell r="D293">
            <v>2</v>
          </cell>
          <cell r="E293" t="str">
            <v>ARIS.A1.Aim2.Bin1.LB</v>
          </cell>
          <cell r="F293">
            <v>3</v>
          </cell>
          <cell r="G293" t="str">
            <v>Unweighted</v>
          </cell>
          <cell r="H293" t="str">
            <v>N</v>
          </cell>
          <cell r="I293" t="str">
            <v>Y</v>
          </cell>
          <cell r="J293">
            <v>138</v>
          </cell>
          <cell r="K293">
            <v>1</v>
          </cell>
          <cell r="L293">
            <v>0.95530000000000004</v>
          </cell>
          <cell r="M293">
            <v>17.8</v>
          </cell>
          <cell r="N293">
            <v>5.6</v>
          </cell>
          <cell r="O293">
            <v>4.4699999999999997E-2</v>
          </cell>
          <cell r="P293">
            <v>4.4699999999999997E-2</v>
          </cell>
          <cell r="Q293">
            <v>0</v>
          </cell>
          <cell r="R293" t="str">
            <v>NA</v>
          </cell>
          <cell r="S293" t="str">
            <v>NA</v>
          </cell>
          <cell r="T293">
            <v>59.2</v>
          </cell>
          <cell r="U293">
            <v>4.8</v>
          </cell>
          <cell r="V293">
            <v>72.8</v>
          </cell>
          <cell r="W293">
            <v>7.4</v>
          </cell>
          <cell r="X293" t="str">
            <v>NA</v>
          </cell>
          <cell r="Y293" t="str">
            <v>NA</v>
          </cell>
          <cell r="Z293" t="str">
            <v>NA</v>
          </cell>
          <cell r="AA293" t="str">
            <v>NA</v>
          </cell>
        </row>
        <row r="294">
          <cell r="A294">
            <v>45123</v>
          </cell>
          <cell r="B294" t="str">
            <v>A1</v>
          </cell>
          <cell r="C294">
            <v>1</v>
          </cell>
          <cell r="D294" t="str">
            <v>1&amp;2</v>
          </cell>
          <cell r="E294" t="str">
            <v>ARIS.A1.Aim1&amp;Aim2.Bin1.LB</v>
          </cell>
          <cell r="F294">
            <v>3</v>
          </cell>
          <cell r="G294" t="str">
            <v>Unweighted</v>
          </cell>
          <cell r="H294" t="str">
            <v>N</v>
          </cell>
          <cell r="I294" t="str">
            <v>Y</v>
          </cell>
          <cell r="J294">
            <v>241</v>
          </cell>
          <cell r="K294">
            <v>1</v>
          </cell>
          <cell r="L294">
            <v>0.95340000000000003</v>
          </cell>
          <cell r="M294">
            <v>18.600000000000001</v>
          </cell>
          <cell r="N294">
            <v>6.5</v>
          </cell>
          <cell r="O294">
            <v>4.6600000000000003E-2</v>
          </cell>
          <cell r="P294">
            <v>4.3799999999999999E-2</v>
          </cell>
          <cell r="Q294">
            <v>2.8E-3</v>
          </cell>
          <cell r="R294" t="str">
            <v>NA</v>
          </cell>
          <cell r="S294" t="str">
            <v>NA</v>
          </cell>
          <cell r="T294">
            <v>59.2</v>
          </cell>
          <cell r="U294">
            <v>4.8</v>
          </cell>
          <cell r="V294">
            <v>72.8</v>
          </cell>
          <cell r="W294">
            <v>7.4</v>
          </cell>
          <cell r="X294" t="str">
            <v>NA</v>
          </cell>
          <cell r="Y294" t="str">
            <v>NA</v>
          </cell>
          <cell r="Z294" t="str">
            <v>NA</v>
          </cell>
          <cell r="AA294" t="str">
            <v>NA</v>
          </cell>
        </row>
        <row r="295">
          <cell r="A295">
            <v>45123</v>
          </cell>
          <cell r="B295" t="str">
            <v>A1</v>
          </cell>
          <cell r="C295">
            <v>2</v>
          </cell>
          <cell r="D295">
            <v>3</v>
          </cell>
          <cell r="E295" t="str">
            <v>ARIS.A1.Aim3.Bin2.LB</v>
          </cell>
          <cell r="F295">
            <v>3</v>
          </cell>
          <cell r="G295" t="str">
            <v>Unweighted</v>
          </cell>
          <cell r="H295" t="str">
            <v>N</v>
          </cell>
          <cell r="I295" t="str">
            <v>Y</v>
          </cell>
          <cell r="J295">
            <v>124</v>
          </cell>
          <cell r="K295">
            <v>1</v>
          </cell>
          <cell r="L295">
            <v>0.76980000000000004</v>
          </cell>
          <cell r="M295">
            <v>29.6</v>
          </cell>
          <cell r="N295">
            <v>7.9</v>
          </cell>
          <cell r="O295">
            <v>0.23019999999999999</v>
          </cell>
          <cell r="P295">
            <v>0.1384</v>
          </cell>
          <cell r="Q295">
            <v>9.1800000000000007E-2</v>
          </cell>
          <cell r="R295" t="str">
            <v>NA</v>
          </cell>
          <cell r="S295" t="str">
            <v>NA</v>
          </cell>
          <cell r="T295">
            <v>59.2</v>
          </cell>
          <cell r="U295">
            <v>4.8</v>
          </cell>
          <cell r="V295">
            <v>72.8</v>
          </cell>
          <cell r="W295">
            <v>7.4</v>
          </cell>
          <cell r="X295" t="str">
            <v>NA</v>
          </cell>
          <cell r="Y295" t="str">
            <v>NA</v>
          </cell>
          <cell r="Z295" t="str">
            <v>NA</v>
          </cell>
          <cell r="AA295" t="str">
            <v>NA</v>
          </cell>
        </row>
        <row r="296">
          <cell r="A296">
            <v>45123</v>
          </cell>
          <cell r="B296" t="str">
            <v>A1</v>
          </cell>
          <cell r="C296">
            <v>3</v>
          </cell>
          <cell r="D296">
            <v>3</v>
          </cell>
          <cell r="E296" t="str">
            <v>ARIS.A1.Aim3.Bin3.LB</v>
          </cell>
          <cell r="F296">
            <v>3</v>
          </cell>
          <cell r="G296" t="str">
            <v>Unweighted</v>
          </cell>
          <cell r="H296" t="str">
            <v>N</v>
          </cell>
          <cell r="I296" t="str">
            <v>Y</v>
          </cell>
          <cell r="J296">
            <v>109</v>
          </cell>
          <cell r="K296">
            <v>1</v>
          </cell>
          <cell r="L296">
            <v>0.32250000000000001</v>
          </cell>
          <cell r="M296">
            <v>23.7</v>
          </cell>
          <cell r="N296">
            <v>14.2</v>
          </cell>
          <cell r="O296">
            <v>0.67749999999999999</v>
          </cell>
          <cell r="P296">
            <v>0.34760000000000002</v>
          </cell>
          <cell r="Q296">
            <v>0.32990000000000003</v>
          </cell>
          <cell r="R296" t="str">
            <v>NA</v>
          </cell>
          <cell r="S296" t="str">
            <v>NA</v>
          </cell>
          <cell r="T296">
            <v>59.2</v>
          </cell>
          <cell r="U296">
            <v>4.8</v>
          </cell>
          <cell r="V296">
            <v>72.8</v>
          </cell>
          <cell r="W296">
            <v>7.4</v>
          </cell>
          <cell r="X296" t="str">
            <v>NA</v>
          </cell>
          <cell r="Y296" t="str">
            <v>NA</v>
          </cell>
          <cell r="Z296" t="str">
            <v>NA</v>
          </cell>
          <cell r="AA296" t="str">
            <v>NA</v>
          </cell>
        </row>
        <row r="297">
          <cell r="A297">
            <v>45123</v>
          </cell>
          <cell r="B297" t="str">
            <v>A1</v>
          </cell>
          <cell r="C297">
            <v>4</v>
          </cell>
          <cell r="D297">
            <v>3</v>
          </cell>
          <cell r="E297" t="str">
            <v>ARIS.A1.Aim3.Bin4.LB</v>
          </cell>
          <cell r="F297">
            <v>3</v>
          </cell>
          <cell r="G297" t="str">
            <v>Unweighted</v>
          </cell>
          <cell r="H297" t="str">
            <v>N</v>
          </cell>
          <cell r="I297" t="str">
            <v>Y</v>
          </cell>
          <cell r="J297">
            <v>109</v>
          </cell>
          <cell r="K297">
            <v>1</v>
          </cell>
          <cell r="L297">
            <v>0.32250000000000001</v>
          </cell>
          <cell r="M297">
            <v>23.7</v>
          </cell>
          <cell r="N297">
            <v>14.2</v>
          </cell>
          <cell r="O297">
            <v>0.67749999999999999</v>
          </cell>
          <cell r="P297">
            <v>0.34760000000000002</v>
          </cell>
          <cell r="Q297">
            <v>0.32990000000000003</v>
          </cell>
          <cell r="R297" t="str">
            <v>NA</v>
          </cell>
          <cell r="S297" t="str">
            <v>NA</v>
          </cell>
          <cell r="T297">
            <v>59.2</v>
          </cell>
          <cell r="U297">
            <v>4.8</v>
          </cell>
          <cell r="V297">
            <v>72.8</v>
          </cell>
          <cell r="W297">
            <v>7.4</v>
          </cell>
          <cell r="X297" t="str">
            <v>NA</v>
          </cell>
          <cell r="Y297" t="str">
            <v>NA</v>
          </cell>
          <cell r="Z297" t="str">
            <v>NA</v>
          </cell>
          <cell r="AA297" t="str">
            <v>NA</v>
          </cell>
        </row>
        <row r="298">
          <cell r="A298">
            <v>45123</v>
          </cell>
          <cell r="B298" t="str">
            <v>A2</v>
          </cell>
          <cell r="C298">
            <v>1</v>
          </cell>
          <cell r="D298">
            <v>1</v>
          </cell>
          <cell r="E298" t="str">
            <v>ARIS.A2.Aim1.Bin1.RB</v>
          </cell>
          <cell r="F298">
            <v>3</v>
          </cell>
          <cell r="G298" t="str">
            <v>Unweighted</v>
          </cell>
          <cell r="H298" t="str">
            <v>N</v>
          </cell>
          <cell r="I298" t="str">
            <v>Y</v>
          </cell>
          <cell r="J298">
            <v>136</v>
          </cell>
          <cell r="K298">
            <v>1</v>
          </cell>
          <cell r="L298">
            <v>0.97550000000000003</v>
          </cell>
          <cell r="M298">
            <v>21.1</v>
          </cell>
          <cell r="N298">
            <v>6.7</v>
          </cell>
          <cell r="O298">
            <v>2.4500000000000001E-2</v>
          </cell>
          <cell r="P298">
            <v>2.4500000000000001E-2</v>
          </cell>
          <cell r="Q298">
            <v>0</v>
          </cell>
          <cell r="R298" t="str">
            <v>NA</v>
          </cell>
          <cell r="S298" t="str">
            <v>NA</v>
          </cell>
          <cell r="T298">
            <v>59.2</v>
          </cell>
          <cell r="U298">
            <v>4.8</v>
          </cell>
          <cell r="V298">
            <v>72.8</v>
          </cell>
          <cell r="W298">
            <v>7.4</v>
          </cell>
          <cell r="X298" t="str">
            <v>NA</v>
          </cell>
          <cell r="Y298" t="str">
            <v>NA</v>
          </cell>
          <cell r="Z298" t="str">
            <v>NA</v>
          </cell>
          <cell r="AA298" t="str">
            <v>NA</v>
          </cell>
        </row>
        <row r="299">
          <cell r="A299">
            <v>45123</v>
          </cell>
          <cell r="B299" t="str">
            <v>A2</v>
          </cell>
          <cell r="C299">
            <v>2</v>
          </cell>
          <cell r="D299">
            <v>1</v>
          </cell>
          <cell r="E299" t="str">
            <v>ARIS.A2.Aim1.Bin2.RB</v>
          </cell>
          <cell r="F299">
            <v>3</v>
          </cell>
          <cell r="G299" t="str">
            <v>Unweighted</v>
          </cell>
          <cell r="H299" t="str">
            <v>N</v>
          </cell>
          <cell r="I299" t="str">
            <v>Y</v>
          </cell>
          <cell r="J299">
            <v>131</v>
          </cell>
          <cell r="K299">
            <v>1</v>
          </cell>
          <cell r="L299">
            <v>0.86119999999999997</v>
          </cell>
          <cell r="M299">
            <v>23.7</v>
          </cell>
          <cell r="N299">
            <v>14.5</v>
          </cell>
          <cell r="O299">
            <v>0.13880000000000001</v>
          </cell>
          <cell r="P299">
            <v>0.1198</v>
          </cell>
          <cell r="Q299">
            <v>1.9E-2</v>
          </cell>
          <cell r="R299" t="str">
            <v>NA</v>
          </cell>
          <cell r="S299" t="str">
            <v>NA</v>
          </cell>
          <cell r="T299">
            <v>59.2</v>
          </cell>
          <cell r="U299">
            <v>4.8</v>
          </cell>
          <cell r="V299">
            <v>72.8</v>
          </cell>
          <cell r="W299">
            <v>7.4</v>
          </cell>
          <cell r="X299" t="str">
            <v>NA</v>
          </cell>
          <cell r="Y299" t="str">
            <v>NA</v>
          </cell>
          <cell r="Z299" t="str">
            <v>NA</v>
          </cell>
          <cell r="AA299" t="str">
            <v>NA</v>
          </cell>
        </row>
        <row r="300">
          <cell r="A300">
            <v>45123</v>
          </cell>
          <cell r="B300" t="str">
            <v>A2</v>
          </cell>
          <cell r="C300">
            <v>3</v>
          </cell>
          <cell r="D300">
            <v>1</v>
          </cell>
          <cell r="E300" t="str">
            <v>ARIS.A2.Aim1.Bin3.RB</v>
          </cell>
          <cell r="F300">
            <v>3</v>
          </cell>
          <cell r="G300" t="str">
            <v>Unweighted</v>
          </cell>
          <cell r="H300" t="str">
            <v>N</v>
          </cell>
          <cell r="I300" t="str">
            <v>Y</v>
          </cell>
          <cell r="J300">
            <v>113</v>
          </cell>
          <cell r="K300">
            <v>1</v>
          </cell>
          <cell r="L300">
            <v>0.83479999999999999</v>
          </cell>
          <cell r="M300">
            <v>23.7</v>
          </cell>
          <cell r="N300">
            <v>28.8</v>
          </cell>
          <cell r="O300">
            <v>0.16520000000000001</v>
          </cell>
          <cell r="P300">
            <v>9.3799999999999994E-2</v>
          </cell>
          <cell r="Q300">
            <v>7.1400000000000005E-2</v>
          </cell>
          <cell r="R300" t="str">
            <v>NA</v>
          </cell>
          <cell r="S300" t="str">
            <v>NA</v>
          </cell>
          <cell r="T300">
            <v>59.2</v>
          </cell>
          <cell r="U300">
            <v>4.8</v>
          </cell>
          <cell r="V300">
            <v>72.8</v>
          </cell>
          <cell r="W300">
            <v>7.4</v>
          </cell>
          <cell r="X300" t="str">
            <v>NA</v>
          </cell>
          <cell r="Y300" t="str">
            <v>NA</v>
          </cell>
          <cell r="Z300" t="str">
            <v>NA</v>
          </cell>
          <cell r="AA300" t="str">
            <v>NA</v>
          </cell>
        </row>
        <row r="301">
          <cell r="A301">
            <v>45123</v>
          </cell>
          <cell r="B301" t="str">
            <v>A2</v>
          </cell>
          <cell r="C301">
            <v>4</v>
          </cell>
          <cell r="D301">
            <v>1</v>
          </cell>
          <cell r="E301" t="str">
            <v>ARIS.A2.Aim1.Bin4.RB</v>
          </cell>
          <cell r="F301">
            <v>3</v>
          </cell>
          <cell r="G301" t="str">
            <v>Unweighted</v>
          </cell>
          <cell r="H301" t="str">
            <v>N</v>
          </cell>
          <cell r="I301" t="str">
            <v>Y</v>
          </cell>
          <cell r="J301">
            <v>113</v>
          </cell>
          <cell r="K301">
            <v>1</v>
          </cell>
          <cell r="L301">
            <v>0.83479999999999999</v>
          </cell>
          <cell r="M301">
            <v>23.7</v>
          </cell>
          <cell r="N301">
            <v>28.8</v>
          </cell>
          <cell r="O301">
            <v>0.16520000000000001</v>
          </cell>
          <cell r="P301">
            <v>9.3799999999999994E-2</v>
          </cell>
          <cell r="Q301">
            <v>7.1400000000000005E-2</v>
          </cell>
          <cell r="R301" t="str">
            <v>NA</v>
          </cell>
          <cell r="S301" t="str">
            <v>NA</v>
          </cell>
          <cell r="T301">
            <v>59.2</v>
          </cell>
          <cell r="U301">
            <v>4.8</v>
          </cell>
          <cell r="V301">
            <v>72.8</v>
          </cell>
          <cell r="W301">
            <v>7.4</v>
          </cell>
          <cell r="X301" t="str">
            <v>NA</v>
          </cell>
          <cell r="Y301" t="str">
            <v>NA</v>
          </cell>
          <cell r="Z301" t="str">
            <v>NA</v>
          </cell>
          <cell r="AA301" t="str">
            <v>NA</v>
          </cell>
        </row>
        <row r="302">
          <cell r="A302">
            <v>45123</v>
          </cell>
          <cell r="B302" t="str">
            <v>A2</v>
          </cell>
          <cell r="C302">
            <v>1</v>
          </cell>
          <cell r="D302">
            <v>1</v>
          </cell>
          <cell r="E302" t="str">
            <v>ARIS.A2.Aim1.Bin1.RB</v>
          </cell>
          <cell r="F302">
            <v>3</v>
          </cell>
          <cell r="G302" t="str">
            <v>SplineDFA</v>
          </cell>
          <cell r="H302" t="str">
            <v>Y</v>
          </cell>
          <cell r="I302" t="str">
            <v>N</v>
          </cell>
          <cell r="J302">
            <v>136</v>
          </cell>
          <cell r="K302">
            <v>1</v>
          </cell>
          <cell r="L302">
            <v>0.98699999999999999</v>
          </cell>
          <cell r="M302">
            <v>23.7</v>
          </cell>
          <cell r="N302">
            <v>2.7</v>
          </cell>
          <cell r="O302">
            <v>1.2999999999999999E-2</v>
          </cell>
          <cell r="P302">
            <v>1.2999999999999999E-2</v>
          </cell>
          <cell r="Q302">
            <v>0</v>
          </cell>
          <cell r="R302" t="str">
            <v>NA</v>
          </cell>
          <cell r="S302" t="str">
            <v>NA</v>
          </cell>
          <cell r="T302">
            <v>59.2</v>
          </cell>
          <cell r="U302">
            <v>4.8</v>
          </cell>
          <cell r="V302">
            <v>72.8</v>
          </cell>
          <cell r="W302">
            <v>7.4</v>
          </cell>
          <cell r="X302" t="str">
            <v>NA</v>
          </cell>
          <cell r="Y302" t="str">
            <v>NA</v>
          </cell>
          <cell r="Z302" t="str">
            <v>NA</v>
          </cell>
          <cell r="AA302" t="str">
            <v>NA</v>
          </cell>
        </row>
        <row r="303">
          <cell r="A303">
            <v>45123</v>
          </cell>
          <cell r="B303" t="str">
            <v>A2</v>
          </cell>
          <cell r="C303">
            <v>2</v>
          </cell>
          <cell r="D303">
            <v>1</v>
          </cell>
          <cell r="E303" t="str">
            <v>ARIS.A2.Aim1.Bin2.RB</v>
          </cell>
          <cell r="F303">
            <v>3</v>
          </cell>
          <cell r="G303" t="str">
            <v>SplineDFA</v>
          </cell>
          <cell r="H303" t="str">
            <v>Y</v>
          </cell>
          <cell r="I303" t="str">
            <v>N</v>
          </cell>
          <cell r="J303">
            <v>131</v>
          </cell>
          <cell r="K303">
            <v>1</v>
          </cell>
          <cell r="L303">
            <v>0.51259999999999994</v>
          </cell>
          <cell r="M303">
            <v>23.7</v>
          </cell>
          <cell r="N303">
            <v>2.7</v>
          </cell>
          <cell r="O303">
            <v>0.4874</v>
          </cell>
          <cell r="P303">
            <v>0.442</v>
          </cell>
          <cell r="Q303">
            <v>4.5400000000000003E-2</v>
          </cell>
          <cell r="R303" t="str">
            <v>NA</v>
          </cell>
          <cell r="S303" t="str">
            <v>NA</v>
          </cell>
          <cell r="T303">
            <v>59.2</v>
          </cell>
          <cell r="U303">
            <v>4.8</v>
          </cell>
          <cell r="V303">
            <v>72.8</v>
          </cell>
          <cell r="W303">
            <v>7.4</v>
          </cell>
          <cell r="X303" t="str">
            <v>NA</v>
          </cell>
          <cell r="Y303" t="str">
            <v>NA</v>
          </cell>
          <cell r="Z303" t="str">
            <v>NA</v>
          </cell>
          <cell r="AA303" t="str">
            <v>NA</v>
          </cell>
        </row>
        <row r="304">
          <cell r="A304">
            <v>45123</v>
          </cell>
          <cell r="B304" t="str">
            <v>A2</v>
          </cell>
          <cell r="C304">
            <v>3</v>
          </cell>
          <cell r="D304">
            <v>1</v>
          </cell>
          <cell r="E304" t="str">
            <v>ARIS.A2.Aim1.Bin3.RB</v>
          </cell>
          <cell r="F304">
            <v>3</v>
          </cell>
          <cell r="G304" t="str">
            <v>SplineDFA</v>
          </cell>
          <cell r="H304" t="str">
            <v>Y</v>
          </cell>
          <cell r="I304" t="str">
            <v>N</v>
          </cell>
          <cell r="J304">
            <v>113</v>
          </cell>
          <cell r="K304">
            <v>1.0001</v>
          </cell>
          <cell r="L304">
            <v>0.245</v>
          </cell>
          <cell r="M304">
            <v>23.7</v>
          </cell>
          <cell r="N304">
            <v>2.7</v>
          </cell>
          <cell r="O304">
            <v>0.75509999999999999</v>
          </cell>
          <cell r="P304">
            <v>0.5806</v>
          </cell>
          <cell r="Q304">
            <v>0.17449999999999999</v>
          </cell>
          <cell r="R304" t="str">
            <v>NA</v>
          </cell>
          <cell r="S304" t="str">
            <v>NA</v>
          </cell>
          <cell r="T304">
            <v>59.2</v>
          </cell>
          <cell r="U304">
            <v>4.8</v>
          </cell>
          <cell r="V304">
            <v>72.8</v>
          </cell>
          <cell r="W304">
            <v>7.4</v>
          </cell>
          <cell r="X304" t="str">
            <v>NA</v>
          </cell>
          <cell r="Y304" t="str">
            <v>NA</v>
          </cell>
          <cell r="Z304" t="str">
            <v>NA</v>
          </cell>
          <cell r="AA304" t="str">
            <v>NA</v>
          </cell>
        </row>
        <row r="305">
          <cell r="A305">
            <v>45123</v>
          </cell>
          <cell r="B305" t="str">
            <v>A2</v>
          </cell>
          <cell r="C305">
            <v>4</v>
          </cell>
          <cell r="D305">
            <v>1</v>
          </cell>
          <cell r="E305" t="str">
            <v>ARIS.A2.Aim1.Bin4.RB</v>
          </cell>
          <cell r="F305">
            <v>3</v>
          </cell>
          <cell r="G305" t="str">
            <v>SplineDFA</v>
          </cell>
          <cell r="H305" t="str">
            <v>Y</v>
          </cell>
          <cell r="I305" t="str">
            <v>N</v>
          </cell>
          <cell r="J305">
            <v>113</v>
          </cell>
          <cell r="K305">
            <v>1.0001</v>
          </cell>
          <cell r="L305">
            <v>0.245</v>
          </cell>
          <cell r="M305">
            <v>23.7</v>
          </cell>
          <cell r="N305">
            <v>2.7</v>
          </cell>
          <cell r="O305">
            <v>0.75509999999999999</v>
          </cell>
          <cell r="P305">
            <v>0.5806</v>
          </cell>
          <cell r="Q305">
            <v>0.17449999999999999</v>
          </cell>
          <cell r="R305" t="str">
            <v>NA</v>
          </cell>
          <cell r="S305" t="str">
            <v>NA</v>
          </cell>
          <cell r="T305">
            <v>59.2</v>
          </cell>
          <cell r="U305">
            <v>4.8</v>
          </cell>
          <cell r="V305">
            <v>72.8</v>
          </cell>
          <cell r="W305">
            <v>7.4</v>
          </cell>
          <cell r="X305" t="str">
            <v>NA</v>
          </cell>
          <cell r="Y305" t="str">
            <v>NA</v>
          </cell>
          <cell r="Z305" t="str">
            <v>NA</v>
          </cell>
          <cell r="AA305" t="str">
            <v>NA</v>
          </cell>
        </row>
        <row r="306">
          <cell r="A306">
            <v>45123</v>
          </cell>
          <cell r="B306" t="str">
            <v>A1</v>
          </cell>
          <cell r="C306">
            <v>1</v>
          </cell>
          <cell r="D306">
            <v>1</v>
          </cell>
          <cell r="E306" t="str">
            <v>ARIS.A1.Aim1.Bin1.LB</v>
          </cell>
          <cell r="F306">
            <v>3</v>
          </cell>
          <cell r="G306" t="str">
            <v>SplineThreshold</v>
          </cell>
          <cell r="H306" t="str">
            <v>N</v>
          </cell>
          <cell r="I306" t="str">
            <v>N</v>
          </cell>
          <cell r="J306">
            <v>103</v>
          </cell>
          <cell r="K306">
            <v>1</v>
          </cell>
          <cell r="L306">
            <v>0.91559999999999997</v>
          </cell>
          <cell r="M306" t="str">
            <v>NA</v>
          </cell>
          <cell r="N306" t="str">
            <v>NA</v>
          </cell>
          <cell r="O306">
            <v>8.4400000000000003E-2</v>
          </cell>
          <cell r="P306">
            <v>7.4899999999999994E-2</v>
          </cell>
          <cell r="Q306">
            <v>1.38E-2</v>
          </cell>
          <cell r="R306" t="str">
            <v>NA</v>
          </cell>
          <cell r="S306" t="str">
            <v>NA</v>
          </cell>
          <cell r="T306" t="str">
            <v>NA</v>
          </cell>
          <cell r="U306" t="str">
            <v>NA</v>
          </cell>
          <cell r="V306" t="str">
            <v>NA</v>
          </cell>
          <cell r="W306" t="str">
            <v>NA</v>
          </cell>
          <cell r="X306" t="str">
            <v>NA</v>
          </cell>
          <cell r="Y306" t="str">
            <v>NA</v>
          </cell>
          <cell r="Z306" t="str">
            <v>NA</v>
          </cell>
          <cell r="AA306" t="str">
            <v>NA</v>
          </cell>
        </row>
        <row r="307">
          <cell r="A307">
            <v>45123</v>
          </cell>
          <cell r="B307" t="str">
            <v>A1</v>
          </cell>
          <cell r="C307">
            <v>1</v>
          </cell>
          <cell r="D307">
            <v>2</v>
          </cell>
          <cell r="E307" t="str">
            <v>ARIS.A1.Aim2.Bin1.LB</v>
          </cell>
          <cell r="F307">
            <v>3</v>
          </cell>
          <cell r="G307" t="str">
            <v>SplineThreshold</v>
          </cell>
          <cell r="H307" t="str">
            <v>N</v>
          </cell>
          <cell r="I307" t="str">
            <v>N</v>
          </cell>
          <cell r="J307">
            <v>138</v>
          </cell>
          <cell r="K307">
            <v>1</v>
          </cell>
          <cell r="L307">
            <v>0.98160000000000003</v>
          </cell>
          <cell r="M307" t="str">
            <v>NA</v>
          </cell>
          <cell r="N307" t="str">
            <v>NA</v>
          </cell>
          <cell r="O307">
            <v>1.84E-2</v>
          </cell>
          <cell r="P307">
            <v>1.84E-2</v>
          </cell>
          <cell r="Q307">
            <v>0</v>
          </cell>
          <cell r="R307" t="str">
            <v>NA</v>
          </cell>
          <cell r="S307" t="str">
            <v>NA</v>
          </cell>
          <cell r="T307" t="str">
            <v>NA</v>
          </cell>
          <cell r="U307" t="str">
            <v>NA</v>
          </cell>
          <cell r="V307" t="str">
            <v>NA</v>
          </cell>
          <cell r="W307" t="str">
            <v>NA</v>
          </cell>
          <cell r="X307" t="str">
            <v>NA</v>
          </cell>
          <cell r="Y307" t="str">
            <v>NA</v>
          </cell>
          <cell r="Z307" t="str">
            <v>NA</v>
          </cell>
          <cell r="AA307" t="str">
            <v>NA</v>
          </cell>
        </row>
        <row r="308">
          <cell r="A308">
            <v>45123</v>
          </cell>
          <cell r="B308" t="str">
            <v>A1</v>
          </cell>
          <cell r="C308">
            <v>2</v>
          </cell>
          <cell r="D308">
            <v>3</v>
          </cell>
          <cell r="E308" t="str">
            <v>ARIS.A1.Aim3.Bin2.LB</v>
          </cell>
          <cell r="F308">
            <v>3</v>
          </cell>
          <cell r="G308" t="str">
            <v>SplineThreshold</v>
          </cell>
          <cell r="H308" t="str">
            <v>N</v>
          </cell>
          <cell r="I308" t="str">
            <v>N</v>
          </cell>
          <cell r="J308">
            <v>124</v>
          </cell>
          <cell r="K308">
            <v>1</v>
          </cell>
          <cell r="L308">
            <v>0.58069999999999999</v>
          </cell>
          <cell r="M308" t="str">
            <v>NA</v>
          </cell>
          <cell r="N308" t="str">
            <v>NA</v>
          </cell>
          <cell r="O308">
            <v>0.41930000000000001</v>
          </cell>
          <cell r="P308">
            <v>0.29909999999999998</v>
          </cell>
          <cell r="Q308">
            <v>0.1193</v>
          </cell>
          <cell r="R308" t="str">
            <v>NA</v>
          </cell>
          <cell r="S308" t="str">
            <v>NA</v>
          </cell>
          <cell r="T308" t="str">
            <v>NA</v>
          </cell>
          <cell r="U308" t="str">
            <v>NA</v>
          </cell>
          <cell r="V308" t="str">
            <v>NA</v>
          </cell>
          <cell r="W308" t="str">
            <v>NA</v>
          </cell>
          <cell r="X308" t="str">
            <v>NA</v>
          </cell>
          <cell r="Y308" t="str">
            <v>NA</v>
          </cell>
          <cell r="Z308" t="str">
            <v>NA</v>
          </cell>
          <cell r="AA308" t="str">
            <v>NA</v>
          </cell>
        </row>
        <row r="309">
          <cell r="A309">
            <v>45123</v>
          </cell>
          <cell r="B309" t="str">
            <v>A1</v>
          </cell>
          <cell r="C309">
            <v>3</v>
          </cell>
          <cell r="D309">
            <v>3</v>
          </cell>
          <cell r="E309" t="str">
            <v>ARIS.A1.Aim3.Bin3.LB</v>
          </cell>
          <cell r="F309">
            <v>3</v>
          </cell>
          <cell r="G309" t="str">
            <v>SplineThreshold</v>
          </cell>
          <cell r="H309" t="str">
            <v>N</v>
          </cell>
          <cell r="I309" t="str">
            <v>N</v>
          </cell>
          <cell r="J309">
            <v>109</v>
          </cell>
          <cell r="K309">
            <v>1</v>
          </cell>
          <cell r="L309">
            <v>0.2344</v>
          </cell>
          <cell r="M309" t="str">
            <v>NA</v>
          </cell>
          <cell r="N309" t="str">
            <v>NA</v>
          </cell>
          <cell r="O309">
            <v>0.76559999999999995</v>
          </cell>
          <cell r="P309">
            <v>0.32369999999999999</v>
          </cell>
          <cell r="Q309">
            <v>0.35570000000000002</v>
          </cell>
          <cell r="R309" t="str">
            <v>NA</v>
          </cell>
          <cell r="S309" t="str">
            <v>NA</v>
          </cell>
          <cell r="T309" t="str">
            <v>NA</v>
          </cell>
          <cell r="U309" t="str">
            <v>NA</v>
          </cell>
          <cell r="V309" t="str">
            <v>NA</v>
          </cell>
          <cell r="W309" t="str">
            <v>NA</v>
          </cell>
          <cell r="X309" t="str">
            <v>NA</v>
          </cell>
          <cell r="Y309" t="str">
            <v>NA</v>
          </cell>
          <cell r="Z309" t="str">
            <v>NA</v>
          </cell>
          <cell r="AA309" t="str">
            <v>NA</v>
          </cell>
        </row>
        <row r="310">
          <cell r="A310">
            <v>45123</v>
          </cell>
          <cell r="B310" t="str">
            <v>A1</v>
          </cell>
          <cell r="C310">
            <v>4</v>
          </cell>
          <cell r="D310">
            <v>3</v>
          </cell>
          <cell r="E310" t="str">
            <v>ARIS.A1.Aim3.Bin4.LB</v>
          </cell>
          <cell r="F310">
            <v>3</v>
          </cell>
          <cell r="G310" t="str">
            <v>SplineThreshold</v>
          </cell>
          <cell r="H310" t="str">
            <v>N</v>
          </cell>
          <cell r="I310" t="str">
            <v>N</v>
          </cell>
          <cell r="J310">
            <v>109</v>
          </cell>
          <cell r="K310">
            <v>1</v>
          </cell>
          <cell r="L310">
            <v>0.2344</v>
          </cell>
          <cell r="M310" t="str">
            <v>NA</v>
          </cell>
          <cell r="N310" t="str">
            <v>NA</v>
          </cell>
          <cell r="O310">
            <v>0.76559999999999995</v>
          </cell>
          <cell r="P310">
            <v>0.32369999999999999</v>
          </cell>
          <cell r="Q310">
            <v>0.35570000000000002</v>
          </cell>
          <cell r="R310" t="str">
            <v>NA</v>
          </cell>
          <cell r="S310" t="str">
            <v>NA</v>
          </cell>
          <cell r="T310" t="str">
            <v>NA</v>
          </cell>
          <cell r="U310" t="str">
            <v>NA</v>
          </cell>
          <cell r="V310" t="str">
            <v>NA</v>
          </cell>
          <cell r="W310" t="str">
            <v>NA</v>
          </cell>
          <cell r="X310" t="str">
            <v>NA</v>
          </cell>
          <cell r="Y310" t="str">
            <v>NA</v>
          </cell>
          <cell r="Z310" t="str">
            <v>NA</v>
          </cell>
          <cell r="AA310" t="str">
            <v>NA</v>
          </cell>
        </row>
        <row r="311">
          <cell r="A311">
            <v>45123</v>
          </cell>
          <cell r="B311" t="str">
            <v>A1</v>
          </cell>
          <cell r="C311">
            <v>1</v>
          </cell>
          <cell r="D311">
            <v>1</v>
          </cell>
          <cell r="E311" t="str">
            <v>ARIS.A1.Aim1.Bin1.LB</v>
          </cell>
          <cell r="F311">
            <v>4</v>
          </cell>
          <cell r="G311" t="str">
            <v>Unweighted</v>
          </cell>
          <cell r="H311" t="str">
            <v>N</v>
          </cell>
          <cell r="I311" t="str">
            <v>N</v>
          </cell>
          <cell r="J311">
            <v>103</v>
          </cell>
          <cell r="K311">
            <v>1.0001</v>
          </cell>
          <cell r="L311">
            <v>0.90069999999999995</v>
          </cell>
          <cell r="M311">
            <v>18.600000000000001</v>
          </cell>
          <cell r="N311">
            <v>5.7</v>
          </cell>
          <cell r="O311">
            <v>9.9400000000000002E-2</v>
          </cell>
          <cell r="P311">
            <v>6.08E-2</v>
          </cell>
          <cell r="Q311">
            <v>7.3000000000000001E-3</v>
          </cell>
          <cell r="R311" t="str">
            <v>NA</v>
          </cell>
          <cell r="S311">
            <v>3.1300000000000001E-2</v>
          </cell>
          <cell r="T311">
            <v>59.2</v>
          </cell>
          <cell r="U311">
            <v>4.8</v>
          </cell>
          <cell r="V311">
            <v>75.099999999999994</v>
          </cell>
          <cell r="W311">
            <v>7.6</v>
          </cell>
          <cell r="X311" t="str">
            <v>NA</v>
          </cell>
          <cell r="Y311" t="str">
            <v>NA</v>
          </cell>
          <cell r="Z311">
            <v>39.1</v>
          </cell>
          <cell r="AA311">
            <v>3.5</v>
          </cell>
        </row>
        <row r="312">
          <cell r="A312">
            <v>45123</v>
          </cell>
          <cell r="B312" t="str">
            <v>A1</v>
          </cell>
          <cell r="C312">
            <v>1</v>
          </cell>
          <cell r="D312">
            <v>2</v>
          </cell>
          <cell r="E312" t="str">
            <v>ARIS.A1.Aim2.Bin1.LB</v>
          </cell>
          <cell r="F312">
            <v>4</v>
          </cell>
          <cell r="G312" t="str">
            <v>Unweighted</v>
          </cell>
          <cell r="H312" t="str">
            <v>N</v>
          </cell>
          <cell r="I312" t="str">
            <v>N</v>
          </cell>
          <cell r="J312">
            <v>138</v>
          </cell>
          <cell r="K312">
            <v>1</v>
          </cell>
          <cell r="L312">
            <v>0.90939999999999999</v>
          </cell>
          <cell r="M312">
            <v>17.100000000000001</v>
          </cell>
          <cell r="N312">
            <v>4.5999999999999996</v>
          </cell>
          <cell r="O312">
            <v>9.06E-2</v>
          </cell>
          <cell r="P312">
            <v>2.2100000000000002E-2</v>
          </cell>
          <cell r="Q312">
            <v>0</v>
          </cell>
          <cell r="R312" t="str">
            <v>NA</v>
          </cell>
          <cell r="S312">
            <v>6.8500000000000005E-2</v>
          </cell>
          <cell r="T312">
            <v>59.2</v>
          </cell>
          <cell r="U312">
            <v>4.8</v>
          </cell>
          <cell r="V312">
            <v>75.099999999999994</v>
          </cell>
          <cell r="W312">
            <v>7.6</v>
          </cell>
          <cell r="X312" t="str">
            <v>NA</v>
          </cell>
          <cell r="Y312" t="str">
            <v>NA</v>
          </cell>
          <cell r="Z312">
            <v>39.1</v>
          </cell>
          <cell r="AA312">
            <v>3.5</v>
          </cell>
        </row>
        <row r="313">
          <cell r="A313">
            <v>45123</v>
          </cell>
          <cell r="B313" t="str">
            <v>A1</v>
          </cell>
          <cell r="C313">
            <v>1</v>
          </cell>
          <cell r="D313" t="str">
            <v>1&amp;2</v>
          </cell>
          <cell r="E313" t="str">
            <v>ARIS.A1.Aim1&amp;Aim2.Bin1.LB</v>
          </cell>
          <cell r="F313">
            <v>4</v>
          </cell>
          <cell r="G313" t="str">
            <v>Unweighted</v>
          </cell>
          <cell r="H313" t="str">
            <v>N</v>
          </cell>
          <cell r="I313" t="str">
            <v>N</v>
          </cell>
          <cell r="J313">
            <v>241</v>
          </cell>
          <cell r="K313">
            <v>1</v>
          </cell>
          <cell r="L313">
            <v>0.93940000000000001</v>
          </cell>
          <cell r="M313">
            <v>23.7</v>
          </cell>
          <cell r="N313">
            <v>8</v>
          </cell>
          <cell r="O313">
            <v>6.0600000000000001E-2</v>
          </cell>
          <cell r="P313">
            <v>5.7299999999999997E-2</v>
          </cell>
          <cell r="Q313">
            <v>3.3E-3</v>
          </cell>
          <cell r="R313" t="str">
            <v>NA</v>
          </cell>
          <cell r="S313">
            <v>0</v>
          </cell>
          <cell r="T313">
            <v>59.2</v>
          </cell>
          <cell r="U313">
            <v>4.8</v>
          </cell>
          <cell r="V313">
            <v>72.8</v>
          </cell>
          <cell r="W313">
            <v>7.4</v>
          </cell>
          <cell r="X313" t="str">
            <v>NA</v>
          </cell>
          <cell r="Y313" t="str">
            <v>NA</v>
          </cell>
          <cell r="Z313">
            <v>39.1</v>
          </cell>
          <cell r="AA313">
            <v>3.5</v>
          </cell>
        </row>
        <row r="314">
          <cell r="A314">
            <v>45123</v>
          </cell>
          <cell r="B314" t="str">
            <v>A1</v>
          </cell>
          <cell r="C314">
            <v>2</v>
          </cell>
          <cell r="D314">
            <v>3</v>
          </cell>
          <cell r="E314" t="str">
            <v>ARIS.A1.Aim3.Bin2.LB</v>
          </cell>
          <cell r="F314">
            <v>4</v>
          </cell>
          <cell r="G314" t="str">
            <v>Unweighted</v>
          </cell>
          <cell r="H314" t="str">
            <v>N</v>
          </cell>
          <cell r="I314" t="str">
            <v>N</v>
          </cell>
          <cell r="J314">
            <v>124</v>
          </cell>
          <cell r="K314">
            <v>1</v>
          </cell>
          <cell r="L314">
            <v>0.63229999999999997</v>
          </cell>
          <cell r="M314">
            <v>27.5</v>
          </cell>
          <cell r="N314">
            <v>6.8</v>
          </cell>
          <cell r="O314">
            <v>0.36770000000000003</v>
          </cell>
          <cell r="P314">
            <v>0.15579999999999999</v>
          </cell>
          <cell r="Q314">
            <v>8.0199999999999994E-2</v>
          </cell>
          <cell r="R314" t="str">
            <v>NA</v>
          </cell>
          <cell r="S314">
            <v>0.13170000000000001</v>
          </cell>
          <cell r="T314">
            <v>59.2</v>
          </cell>
          <cell r="U314">
            <v>4.8</v>
          </cell>
          <cell r="V314">
            <v>75.099999999999994</v>
          </cell>
          <cell r="W314">
            <v>7.6</v>
          </cell>
          <cell r="X314" t="str">
            <v>NA</v>
          </cell>
          <cell r="Y314" t="str">
            <v>NA</v>
          </cell>
          <cell r="Z314">
            <v>39.1</v>
          </cell>
          <cell r="AA314">
            <v>3.5</v>
          </cell>
        </row>
        <row r="315">
          <cell r="A315">
            <v>45123</v>
          </cell>
          <cell r="B315" t="str">
            <v>A1</v>
          </cell>
          <cell r="C315">
            <v>3</v>
          </cell>
          <cell r="D315">
            <v>3</v>
          </cell>
          <cell r="E315" t="str">
            <v>ARIS.A1.Aim3.Bin3.LB</v>
          </cell>
          <cell r="F315">
            <v>4</v>
          </cell>
          <cell r="G315" t="str">
            <v>Unweighted</v>
          </cell>
          <cell r="H315" t="str">
            <v>N</v>
          </cell>
          <cell r="I315" t="str">
            <v>N</v>
          </cell>
          <cell r="J315">
            <v>109</v>
          </cell>
          <cell r="K315">
            <v>1</v>
          </cell>
          <cell r="L315">
            <v>0.28360000000000002</v>
          </cell>
          <cell r="M315">
            <v>33</v>
          </cell>
          <cell r="N315">
            <v>9.1</v>
          </cell>
          <cell r="O315">
            <v>0.71640000000000004</v>
          </cell>
          <cell r="P315">
            <v>0.42880000000000001</v>
          </cell>
          <cell r="Q315">
            <v>0.28760000000000002</v>
          </cell>
          <cell r="R315" t="str">
            <v>NA</v>
          </cell>
          <cell r="S315">
            <v>0</v>
          </cell>
          <cell r="T315">
            <v>59.2</v>
          </cell>
          <cell r="U315">
            <v>4.8</v>
          </cell>
          <cell r="V315">
            <v>75.099999999999994</v>
          </cell>
          <cell r="W315">
            <v>7.6</v>
          </cell>
          <cell r="X315" t="str">
            <v>NA</v>
          </cell>
          <cell r="Y315" t="str">
            <v>NA</v>
          </cell>
          <cell r="Z315">
            <v>39.1</v>
          </cell>
          <cell r="AA315">
            <v>3.5</v>
          </cell>
        </row>
        <row r="316">
          <cell r="A316">
            <v>45123</v>
          </cell>
          <cell r="B316" t="str">
            <v>A1</v>
          </cell>
          <cell r="C316">
            <v>4</v>
          </cell>
          <cell r="D316">
            <v>3</v>
          </cell>
          <cell r="E316" t="str">
            <v>ARIS.A1.Aim3.Bin4.LB</v>
          </cell>
          <cell r="F316">
            <v>4</v>
          </cell>
          <cell r="G316" t="str">
            <v>Unweighted</v>
          </cell>
          <cell r="H316" t="str">
            <v>N</v>
          </cell>
          <cell r="I316" t="str">
            <v>N</v>
          </cell>
          <cell r="J316">
            <v>109</v>
          </cell>
          <cell r="K316">
            <v>1</v>
          </cell>
          <cell r="L316">
            <v>0.28360000000000002</v>
          </cell>
          <cell r="M316">
            <v>33</v>
          </cell>
          <cell r="N316">
            <v>9.1</v>
          </cell>
          <cell r="O316">
            <v>0.71640000000000004</v>
          </cell>
          <cell r="P316">
            <v>0.42880000000000001</v>
          </cell>
          <cell r="Q316">
            <v>0.28760000000000002</v>
          </cell>
          <cell r="R316" t="str">
            <v>NA</v>
          </cell>
          <cell r="S316">
            <v>0</v>
          </cell>
          <cell r="T316">
            <v>59.2</v>
          </cell>
          <cell r="U316">
            <v>4.8</v>
          </cell>
          <cell r="V316">
            <v>75.099999999999994</v>
          </cell>
          <cell r="W316">
            <v>7.6</v>
          </cell>
          <cell r="X316" t="str">
            <v>NA</v>
          </cell>
          <cell r="Y316" t="str">
            <v>NA</v>
          </cell>
          <cell r="Z316">
            <v>39.1</v>
          </cell>
          <cell r="AA316">
            <v>3.5</v>
          </cell>
        </row>
        <row r="317">
          <cell r="A317">
            <v>45123</v>
          </cell>
          <cell r="B317" t="str">
            <v>A2</v>
          </cell>
          <cell r="C317">
            <v>1</v>
          </cell>
          <cell r="D317">
            <v>1</v>
          </cell>
          <cell r="E317" t="str">
            <v>ARIS.A2.Aim1.Bin1.RB</v>
          </cell>
          <cell r="F317">
            <v>4</v>
          </cell>
          <cell r="G317" t="str">
            <v>Unweighted</v>
          </cell>
          <cell r="H317" t="str">
            <v>N</v>
          </cell>
          <cell r="I317" t="str">
            <v>N</v>
          </cell>
          <cell r="J317">
            <v>136</v>
          </cell>
          <cell r="K317">
            <v>0.99990000000000001</v>
          </cell>
          <cell r="L317">
            <v>0.87009999999999998</v>
          </cell>
          <cell r="M317">
            <v>19.7</v>
          </cell>
          <cell r="N317">
            <v>5.6</v>
          </cell>
          <cell r="O317">
            <v>0.1298</v>
          </cell>
          <cell r="P317">
            <v>0</v>
          </cell>
          <cell r="Q317">
            <v>0</v>
          </cell>
          <cell r="R317" t="str">
            <v>NA</v>
          </cell>
          <cell r="S317">
            <v>0.1298</v>
          </cell>
          <cell r="T317">
            <v>59.2</v>
          </cell>
          <cell r="U317">
            <v>4.8</v>
          </cell>
          <cell r="V317">
            <v>75.099999999999994</v>
          </cell>
          <cell r="W317">
            <v>7.6</v>
          </cell>
          <cell r="X317" t="str">
            <v>NA</v>
          </cell>
          <cell r="Y317" t="str">
            <v>NA</v>
          </cell>
          <cell r="Z317">
            <v>39.1</v>
          </cell>
          <cell r="AA317">
            <v>3.5</v>
          </cell>
        </row>
        <row r="318">
          <cell r="A318">
            <v>45123</v>
          </cell>
          <cell r="B318" t="str">
            <v>A2</v>
          </cell>
          <cell r="C318">
            <v>2</v>
          </cell>
          <cell r="D318">
            <v>1</v>
          </cell>
          <cell r="E318" t="str">
            <v>ARIS.A2.Aim1.Bin2.RB</v>
          </cell>
          <cell r="F318">
            <v>4</v>
          </cell>
          <cell r="G318" t="str">
            <v>Unweighted</v>
          </cell>
          <cell r="H318" t="str">
            <v>N</v>
          </cell>
          <cell r="I318" t="str">
            <v>N</v>
          </cell>
          <cell r="J318">
            <v>131</v>
          </cell>
          <cell r="K318">
            <v>1</v>
          </cell>
          <cell r="L318">
            <v>0.42180000000000001</v>
          </cell>
          <cell r="M318">
            <v>25.9</v>
          </cell>
          <cell r="N318">
            <v>4.8</v>
          </cell>
          <cell r="O318">
            <v>0.57820000000000005</v>
          </cell>
          <cell r="P318">
            <v>0.17150000000000001</v>
          </cell>
          <cell r="Q318">
            <v>1.5599999999999999E-2</v>
          </cell>
          <cell r="R318" t="str">
            <v>NA</v>
          </cell>
          <cell r="S318">
            <v>0.3911</v>
          </cell>
          <cell r="T318">
            <v>59.2</v>
          </cell>
          <cell r="U318">
            <v>4.8</v>
          </cell>
          <cell r="V318">
            <v>75.099999999999994</v>
          </cell>
          <cell r="W318">
            <v>7.6</v>
          </cell>
          <cell r="X318" t="str">
            <v>NA</v>
          </cell>
          <cell r="Y318" t="str">
            <v>NA</v>
          </cell>
          <cell r="Z318">
            <v>39.1</v>
          </cell>
          <cell r="AA318">
            <v>3.5</v>
          </cell>
        </row>
        <row r="319">
          <cell r="A319">
            <v>45123</v>
          </cell>
          <cell r="B319" t="str">
            <v>A2</v>
          </cell>
          <cell r="C319">
            <v>3</v>
          </cell>
          <cell r="D319">
            <v>1</v>
          </cell>
          <cell r="E319" t="str">
            <v>ARIS.A2.Aim1.Bin3.RB</v>
          </cell>
          <cell r="F319">
            <v>4</v>
          </cell>
          <cell r="G319" t="str">
            <v>Unweighted</v>
          </cell>
          <cell r="H319" t="str">
            <v>N</v>
          </cell>
          <cell r="I319" t="str">
            <v>N</v>
          </cell>
          <cell r="J319">
            <v>113</v>
          </cell>
          <cell r="K319">
            <v>1</v>
          </cell>
          <cell r="L319">
            <v>0.16439999999999999</v>
          </cell>
          <cell r="M319">
            <v>27.3</v>
          </cell>
          <cell r="N319">
            <v>4.0999999999999996</v>
          </cell>
          <cell r="O319">
            <v>0.83560000000000001</v>
          </cell>
          <cell r="P319">
            <v>0.21490000000000001</v>
          </cell>
          <cell r="Q319">
            <v>0.17630000000000001</v>
          </cell>
          <cell r="R319" t="str">
            <v>NA</v>
          </cell>
          <cell r="S319">
            <v>0.44440000000000002</v>
          </cell>
          <cell r="T319">
            <v>59.2</v>
          </cell>
          <cell r="U319">
            <v>4.8</v>
          </cell>
          <cell r="V319">
            <v>75.099999999999994</v>
          </cell>
          <cell r="W319">
            <v>7.6</v>
          </cell>
          <cell r="X319" t="str">
            <v>NA</v>
          </cell>
          <cell r="Y319" t="str">
            <v>NA</v>
          </cell>
          <cell r="Z319">
            <v>39.1</v>
          </cell>
          <cell r="AA319">
            <v>3.5</v>
          </cell>
        </row>
        <row r="320">
          <cell r="A320">
            <v>45123</v>
          </cell>
          <cell r="B320" t="str">
            <v>A2</v>
          </cell>
          <cell r="C320">
            <v>4</v>
          </cell>
          <cell r="D320">
            <v>1</v>
          </cell>
          <cell r="E320" t="str">
            <v>ARIS.A2.Aim1.Bin4.RB</v>
          </cell>
          <cell r="F320">
            <v>4</v>
          </cell>
          <cell r="G320" t="str">
            <v>Unweighted</v>
          </cell>
          <cell r="H320" t="str">
            <v>N</v>
          </cell>
          <cell r="I320" t="str">
            <v>N</v>
          </cell>
          <cell r="J320">
            <v>113</v>
          </cell>
          <cell r="K320">
            <v>1</v>
          </cell>
          <cell r="L320">
            <v>0.16439999999999999</v>
          </cell>
          <cell r="M320">
            <v>27.3</v>
          </cell>
          <cell r="N320">
            <v>4.0999999999999996</v>
          </cell>
          <cell r="O320">
            <v>0.83560000000000001</v>
          </cell>
          <cell r="P320">
            <v>0.21490000000000001</v>
          </cell>
          <cell r="Q320">
            <v>0.17630000000000001</v>
          </cell>
          <cell r="R320" t="str">
            <v>NA</v>
          </cell>
          <cell r="S320">
            <v>0.44440000000000002</v>
          </cell>
          <cell r="T320">
            <v>59.2</v>
          </cell>
          <cell r="U320">
            <v>4.8</v>
          </cell>
          <cell r="V320">
            <v>75.099999999999994</v>
          </cell>
          <cell r="W320">
            <v>7.6</v>
          </cell>
          <cell r="X320" t="str">
            <v>NA</v>
          </cell>
          <cell r="Y320" t="str">
            <v>NA</v>
          </cell>
          <cell r="Z320">
            <v>39.1</v>
          </cell>
          <cell r="AA320">
            <v>3.5</v>
          </cell>
        </row>
        <row r="321">
          <cell r="A321">
            <v>45124</v>
          </cell>
          <cell r="B321" t="str">
            <v>A1</v>
          </cell>
          <cell r="C321">
            <v>1</v>
          </cell>
          <cell r="D321">
            <v>1</v>
          </cell>
          <cell r="E321" t="str">
            <v>ARIS.A1.Aim1.Bin1.LB</v>
          </cell>
          <cell r="F321">
            <v>3</v>
          </cell>
          <cell r="G321" t="str">
            <v>SplineDFA</v>
          </cell>
          <cell r="H321" t="str">
            <v>Y</v>
          </cell>
          <cell r="I321" t="str">
            <v>N</v>
          </cell>
          <cell r="J321">
            <v>119</v>
          </cell>
          <cell r="K321">
            <v>1</v>
          </cell>
          <cell r="L321">
            <v>0.93110000000000004</v>
          </cell>
          <cell r="M321">
            <v>23.7</v>
          </cell>
          <cell r="N321">
            <v>2.7</v>
          </cell>
          <cell r="O321">
            <v>6.8900000000000003E-2</v>
          </cell>
          <cell r="P321">
            <v>6.3700000000000007E-2</v>
          </cell>
          <cell r="Q321">
            <v>5.1999999999999998E-3</v>
          </cell>
          <cell r="R321" t="str">
            <v>NA</v>
          </cell>
          <cell r="S321" t="str">
            <v>NA</v>
          </cell>
          <cell r="T321">
            <v>59.5</v>
          </cell>
          <cell r="U321">
            <v>4.8</v>
          </cell>
          <cell r="V321">
            <v>73.900000000000006</v>
          </cell>
          <cell r="W321">
            <v>7.5</v>
          </cell>
          <cell r="X321" t="str">
            <v>NA</v>
          </cell>
          <cell r="Y321" t="str">
            <v>NA</v>
          </cell>
          <cell r="Z321" t="str">
            <v>NA</v>
          </cell>
          <cell r="AA321" t="str">
            <v>NA</v>
          </cell>
        </row>
        <row r="322">
          <cell r="A322">
            <v>45124</v>
          </cell>
          <cell r="B322" t="str">
            <v>A1</v>
          </cell>
          <cell r="C322">
            <v>1</v>
          </cell>
          <cell r="D322">
            <v>2</v>
          </cell>
          <cell r="E322" t="str">
            <v>ARIS.A1.Aim2.Bin1.LB</v>
          </cell>
          <cell r="F322">
            <v>3</v>
          </cell>
          <cell r="G322" t="str">
            <v>SplineDFA</v>
          </cell>
          <cell r="H322" t="str">
            <v>Y</v>
          </cell>
          <cell r="I322" t="str">
            <v>N</v>
          </cell>
          <cell r="J322">
            <v>137</v>
          </cell>
          <cell r="K322">
            <v>1</v>
          </cell>
          <cell r="L322">
            <v>0.89329999999999998</v>
          </cell>
          <cell r="M322">
            <v>23.7</v>
          </cell>
          <cell r="N322">
            <v>2.7</v>
          </cell>
          <cell r="O322">
            <v>0.1067</v>
          </cell>
          <cell r="P322">
            <v>9.3899999999999997E-2</v>
          </cell>
          <cell r="Q322">
            <v>1.2800000000000001E-2</v>
          </cell>
          <cell r="R322" t="str">
            <v>NA</v>
          </cell>
          <cell r="S322" t="str">
            <v>NA</v>
          </cell>
          <cell r="T322">
            <v>59.5</v>
          </cell>
          <cell r="U322">
            <v>4.8</v>
          </cell>
          <cell r="V322">
            <v>73.900000000000006</v>
          </cell>
          <cell r="W322">
            <v>7.5</v>
          </cell>
          <cell r="X322" t="str">
            <v>NA</v>
          </cell>
          <cell r="Y322" t="str">
            <v>NA</v>
          </cell>
          <cell r="Z322" t="str">
            <v>NA</v>
          </cell>
          <cell r="AA322" t="str">
            <v>NA</v>
          </cell>
        </row>
        <row r="323">
          <cell r="A323">
            <v>45124</v>
          </cell>
          <cell r="B323" t="str">
            <v>A1</v>
          </cell>
          <cell r="C323">
            <v>2</v>
          </cell>
          <cell r="D323">
            <v>3</v>
          </cell>
          <cell r="E323" t="str">
            <v>ARIS.A1.Aim3.Bin2.LB</v>
          </cell>
          <cell r="F323">
            <v>3</v>
          </cell>
          <cell r="G323" t="str">
            <v>SplineDFA</v>
          </cell>
          <cell r="H323" t="str">
            <v>Y</v>
          </cell>
          <cell r="I323" t="str">
            <v>N</v>
          </cell>
          <cell r="J323">
            <v>129</v>
          </cell>
          <cell r="K323">
            <v>0.99990000000000001</v>
          </cell>
          <cell r="L323">
            <v>0.36409999999999998</v>
          </cell>
          <cell r="M323">
            <v>23.7</v>
          </cell>
          <cell r="N323">
            <v>2.7</v>
          </cell>
          <cell r="O323">
            <v>0.63580000000000003</v>
          </cell>
          <cell r="P323">
            <v>0.46529999999999999</v>
          </cell>
          <cell r="Q323">
            <v>0.17050000000000001</v>
          </cell>
          <cell r="R323" t="str">
            <v>NA</v>
          </cell>
          <cell r="S323" t="str">
            <v>NA</v>
          </cell>
          <cell r="T323">
            <v>59.5</v>
          </cell>
          <cell r="U323">
            <v>4.8</v>
          </cell>
          <cell r="V323">
            <v>73.900000000000006</v>
          </cell>
          <cell r="W323">
            <v>7.5</v>
          </cell>
          <cell r="X323" t="str">
            <v>NA</v>
          </cell>
          <cell r="Y323" t="str">
            <v>NA</v>
          </cell>
          <cell r="Z323" t="str">
            <v>NA</v>
          </cell>
          <cell r="AA323" t="str">
            <v>NA</v>
          </cell>
        </row>
        <row r="324">
          <cell r="A324">
            <v>45124</v>
          </cell>
          <cell r="B324" t="str">
            <v>A1</v>
          </cell>
          <cell r="C324">
            <v>3</v>
          </cell>
          <cell r="D324">
            <v>3</v>
          </cell>
          <cell r="E324" t="str">
            <v>ARIS.A1.Aim3.Bin3.LB</v>
          </cell>
          <cell r="F324">
            <v>3</v>
          </cell>
          <cell r="G324" t="str">
            <v>SplineDFA</v>
          </cell>
          <cell r="H324" t="str">
            <v>Y</v>
          </cell>
          <cell r="I324" t="str">
            <v>N</v>
          </cell>
          <cell r="J324">
            <v>89</v>
          </cell>
          <cell r="K324">
            <v>1</v>
          </cell>
          <cell r="L324">
            <v>3.1699999999999999E-2</v>
          </cell>
          <cell r="M324">
            <v>23.7</v>
          </cell>
          <cell r="N324">
            <v>2.7</v>
          </cell>
          <cell r="O324">
            <v>0.96830000000000005</v>
          </cell>
          <cell r="P324">
            <v>0.29880000000000001</v>
          </cell>
          <cell r="Q324">
            <v>0.66949999999999998</v>
          </cell>
          <cell r="R324" t="str">
            <v>NA</v>
          </cell>
          <cell r="S324" t="str">
            <v>NA</v>
          </cell>
          <cell r="T324">
            <v>59.5</v>
          </cell>
          <cell r="U324">
            <v>4.8</v>
          </cell>
          <cell r="V324">
            <v>73.900000000000006</v>
          </cell>
          <cell r="W324">
            <v>7.5</v>
          </cell>
          <cell r="X324" t="str">
            <v>NA</v>
          </cell>
          <cell r="Y324" t="str">
            <v>NA</v>
          </cell>
          <cell r="Z324" t="str">
            <v>NA</v>
          </cell>
          <cell r="AA324" t="str">
            <v>NA</v>
          </cell>
        </row>
        <row r="325">
          <cell r="A325">
            <v>45124</v>
          </cell>
          <cell r="B325" t="str">
            <v>A1</v>
          </cell>
          <cell r="C325">
            <v>4</v>
          </cell>
          <cell r="D325">
            <v>3</v>
          </cell>
          <cell r="E325" t="str">
            <v>ARIS.A1.Aim3.Bin4.LB</v>
          </cell>
          <cell r="F325">
            <v>3</v>
          </cell>
          <cell r="G325" t="str">
            <v>SplineDFA</v>
          </cell>
          <cell r="H325" t="str">
            <v>Y</v>
          </cell>
          <cell r="I325" t="str">
            <v>N</v>
          </cell>
          <cell r="J325">
            <v>89</v>
          </cell>
          <cell r="K325">
            <v>1</v>
          </cell>
          <cell r="L325">
            <v>3.1699999999999999E-2</v>
          </cell>
          <cell r="M325">
            <v>23.7</v>
          </cell>
          <cell r="N325">
            <v>2.7</v>
          </cell>
          <cell r="O325">
            <v>0.96830000000000005</v>
          </cell>
          <cell r="P325">
            <v>0.29880000000000001</v>
          </cell>
          <cell r="Q325">
            <v>0.66949999999999998</v>
          </cell>
          <cell r="R325" t="str">
            <v>NA</v>
          </cell>
          <cell r="S325" t="str">
            <v>NA</v>
          </cell>
          <cell r="T325">
            <v>59.5</v>
          </cell>
          <cell r="U325">
            <v>4.8</v>
          </cell>
          <cell r="V325">
            <v>73.900000000000006</v>
          </cell>
          <cell r="W325">
            <v>7.5</v>
          </cell>
          <cell r="X325" t="str">
            <v>NA</v>
          </cell>
          <cell r="Y325" t="str">
            <v>NA</v>
          </cell>
          <cell r="Z325" t="str">
            <v>NA</v>
          </cell>
          <cell r="AA325" t="str">
            <v>NA</v>
          </cell>
        </row>
        <row r="326">
          <cell r="A326">
            <v>45124</v>
          </cell>
          <cell r="B326" t="str">
            <v>A1</v>
          </cell>
          <cell r="C326">
            <v>1</v>
          </cell>
          <cell r="D326">
            <v>1</v>
          </cell>
          <cell r="E326" t="str">
            <v>ARIS.A1.Aim1.Bin1.LB</v>
          </cell>
          <cell r="F326">
            <v>3</v>
          </cell>
          <cell r="G326" t="str">
            <v>Unweighted</v>
          </cell>
          <cell r="H326" t="str">
            <v>N</v>
          </cell>
          <cell r="I326" t="str">
            <v>Y</v>
          </cell>
          <cell r="J326">
            <v>119</v>
          </cell>
          <cell r="K326">
            <v>1</v>
          </cell>
          <cell r="L326">
            <v>0.97360000000000002</v>
          </cell>
          <cell r="M326">
            <v>23.3</v>
          </cell>
          <cell r="N326">
            <v>8</v>
          </cell>
          <cell r="O326">
            <v>2.64E-2</v>
          </cell>
          <cell r="P326">
            <v>1.78E-2</v>
          </cell>
          <cell r="Q326">
            <v>8.6E-3</v>
          </cell>
          <cell r="R326" t="str">
            <v>NA</v>
          </cell>
          <cell r="S326" t="str">
            <v>NA</v>
          </cell>
          <cell r="T326">
            <v>59.5</v>
          </cell>
          <cell r="U326">
            <v>4.8</v>
          </cell>
          <cell r="V326">
            <v>73.900000000000006</v>
          </cell>
          <cell r="W326">
            <v>7.5</v>
          </cell>
          <cell r="X326" t="str">
            <v>NA</v>
          </cell>
          <cell r="Y326" t="str">
            <v>NA</v>
          </cell>
          <cell r="Z326" t="str">
            <v>NA</v>
          </cell>
          <cell r="AA326" t="str">
            <v>NA</v>
          </cell>
        </row>
        <row r="327">
          <cell r="A327">
            <v>45124</v>
          </cell>
          <cell r="B327" t="str">
            <v>A1</v>
          </cell>
          <cell r="C327">
            <v>1</v>
          </cell>
          <cell r="D327">
            <v>2</v>
          </cell>
          <cell r="E327" t="str">
            <v>ARIS.A1.Aim2.Bin1.LB</v>
          </cell>
          <cell r="F327">
            <v>3</v>
          </cell>
          <cell r="G327" t="str">
            <v>Unweighted</v>
          </cell>
          <cell r="H327" t="str">
            <v>N</v>
          </cell>
          <cell r="I327" t="str">
            <v>Y</v>
          </cell>
          <cell r="J327">
            <v>137</v>
          </cell>
          <cell r="K327">
            <v>1</v>
          </cell>
          <cell r="L327">
            <v>0.90259999999999996</v>
          </cell>
          <cell r="M327">
            <v>19</v>
          </cell>
          <cell r="N327">
            <v>6.1</v>
          </cell>
          <cell r="O327">
            <v>9.74E-2</v>
          </cell>
          <cell r="P327">
            <v>9.74E-2</v>
          </cell>
          <cell r="Q327">
            <v>0</v>
          </cell>
          <cell r="R327" t="str">
            <v>NA</v>
          </cell>
          <cell r="S327" t="str">
            <v>NA</v>
          </cell>
          <cell r="T327">
            <v>59.5</v>
          </cell>
          <cell r="U327">
            <v>4.8</v>
          </cell>
          <cell r="V327">
            <v>73.900000000000006</v>
          </cell>
          <cell r="W327">
            <v>7.5</v>
          </cell>
          <cell r="X327" t="str">
            <v>NA</v>
          </cell>
          <cell r="Y327" t="str">
            <v>NA</v>
          </cell>
          <cell r="Z327" t="str">
            <v>NA</v>
          </cell>
          <cell r="AA327" t="str">
            <v>NA</v>
          </cell>
        </row>
        <row r="328">
          <cell r="A328">
            <v>45124</v>
          </cell>
          <cell r="B328" t="str">
            <v>A1</v>
          </cell>
          <cell r="C328">
            <v>1</v>
          </cell>
          <cell r="D328" t="str">
            <v>1&amp;2</v>
          </cell>
          <cell r="E328" t="str">
            <v>ARIS.A1.Aim1&amp;Aim2.Bin1.LB</v>
          </cell>
          <cell r="F328">
            <v>3</v>
          </cell>
          <cell r="G328" t="str">
            <v>Unweighted</v>
          </cell>
          <cell r="H328" t="str">
            <v>N</v>
          </cell>
          <cell r="I328" t="str">
            <v>Y</v>
          </cell>
          <cell r="J328">
            <v>256</v>
          </cell>
          <cell r="K328">
            <v>1</v>
          </cell>
          <cell r="L328">
            <v>0.95199999999999996</v>
          </cell>
          <cell r="M328">
            <v>21.5</v>
          </cell>
          <cell r="N328">
            <v>7.9</v>
          </cell>
          <cell r="O328">
            <v>4.8000000000000001E-2</v>
          </cell>
          <cell r="P328">
            <v>4.4400000000000002E-2</v>
          </cell>
          <cell r="Q328">
            <v>3.5999999999999999E-3</v>
          </cell>
          <cell r="R328" t="str">
            <v>NA</v>
          </cell>
          <cell r="S328" t="str">
            <v>NA</v>
          </cell>
          <cell r="T328">
            <v>59.5</v>
          </cell>
          <cell r="U328">
            <v>4.8</v>
          </cell>
          <cell r="V328">
            <v>73.900000000000006</v>
          </cell>
          <cell r="W328">
            <v>7.5</v>
          </cell>
          <cell r="X328" t="str">
            <v>NA</v>
          </cell>
          <cell r="Y328" t="str">
            <v>NA</v>
          </cell>
          <cell r="Z328" t="str">
            <v>NA</v>
          </cell>
          <cell r="AA328" t="str">
            <v>NA</v>
          </cell>
        </row>
        <row r="329">
          <cell r="A329">
            <v>45124</v>
          </cell>
          <cell r="B329" t="str">
            <v>A1</v>
          </cell>
          <cell r="C329">
            <v>2</v>
          </cell>
          <cell r="D329">
            <v>3</v>
          </cell>
          <cell r="E329" t="str">
            <v>ARIS.A1.Aim3.Bin2.LB</v>
          </cell>
          <cell r="F329">
            <v>3</v>
          </cell>
          <cell r="G329" t="str">
            <v>Unweighted</v>
          </cell>
          <cell r="H329" t="str">
            <v>N</v>
          </cell>
          <cell r="I329" t="str">
            <v>Y</v>
          </cell>
          <cell r="J329">
            <v>129</v>
          </cell>
          <cell r="K329">
            <v>0.99990000000000001</v>
          </cell>
          <cell r="L329">
            <v>0.56940000000000002</v>
          </cell>
          <cell r="M329">
            <v>33.1</v>
          </cell>
          <cell r="N329">
            <v>7.4</v>
          </cell>
          <cell r="O329">
            <v>0.43049999999999999</v>
          </cell>
          <cell r="P329">
            <v>0.2041</v>
          </cell>
          <cell r="Q329">
            <v>0.22639999999999999</v>
          </cell>
          <cell r="R329" t="str">
            <v>NA</v>
          </cell>
          <cell r="S329" t="str">
            <v>NA</v>
          </cell>
          <cell r="T329">
            <v>59.5</v>
          </cell>
          <cell r="U329">
            <v>4.8</v>
          </cell>
          <cell r="V329">
            <v>73.900000000000006</v>
          </cell>
          <cell r="W329">
            <v>7.5</v>
          </cell>
          <cell r="X329" t="str">
            <v>NA</v>
          </cell>
          <cell r="Y329" t="str">
            <v>NA</v>
          </cell>
          <cell r="Z329" t="str">
            <v>NA</v>
          </cell>
          <cell r="AA329" t="str">
            <v>NA</v>
          </cell>
        </row>
        <row r="330">
          <cell r="A330">
            <v>45124</v>
          </cell>
          <cell r="B330" t="str">
            <v>A1</v>
          </cell>
          <cell r="C330">
            <v>3</v>
          </cell>
          <cell r="D330">
            <v>3</v>
          </cell>
          <cell r="E330" t="str">
            <v>ARIS.A1.Aim3.Bin3.LB</v>
          </cell>
          <cell r="F330">
            <v>3</v>
          </cell>
          <cell r="G330" t="str">
            <v>Unweighted</v>
          </cell>
          <cell r="H330" t="str">
            <v>N</v>
          </cell>
          <cell r="I330" t="str">
            <v>Y</v>
          </cell>
          <cell r="J330">
            <v>89</v>
          </cell>
          <cell r="K330">
            <v>1</v>
          </cell>
          <cell r="L330">
            <v>0.33040000000000003</v>
          </cell>
          <cell r="M330">
            <v>23.7</v>
          </cell>
          <cell r="N330">
            <v>34.299999999999997</v>
          </cell>
          <cell r="O330">
            <v>0.66959999999999997</v>
          </cell>
          <cell r="P330">
            <v>0.13270000000000001</v>
          </cell>
          <cell r="Q330">
            <v>0.53690000000000004</v>
          </cell>
          <cell r="R330" t="str">
            <v>NA</v>
          </cell>
          <cell r="S330" t="str">
            <v>NA</v>
          </cell>
          <cell r="T330">
            <v>59.5</v>
          </cell>
          <cell r="U330">
            <v>4.8</v>
          </cell>
          <cell r="V330">
            <v>73.900000000000006</v>
          </cell>
          <cell r="W330">
            <v>7.5</v>
          </cell>
          <cell r="X330" t="str">
            <v>NA</v>
          </cell>
          <cell r="Y330" t="str">
            <v>NA</v>
          </cell>
          <cell r="Z330" t="str">
            <v>NA</v>
          </cell>
          <cell r="AA330" t="str">
            <v>NA</v>
          </cell>
        </row>
        <row r="331">
          <cell r="A331">
            <v>45124</v>
          </cell>
          <cell r="B331" t="str">
            <v>A1</v>
          </cell>
          <cell r="C331">
            <v>4</v>
          </cell>
          <cell r="D331">
            <v>3</v>
          </cell>
          <cell r="E331" t="str">
            <v>ARIS.A1.Aim3.Bin4.LB</v>
          </cell>
          <cell r="F331">
            <v>3</v>
          </cell>
          <cell r="G331" t="str">
            <v>Unweighted</v>
          </cell>
          <cell r="H331" t="str">
            <v>N</v>
          </cell>
          <cell r="I331" t="str">
            <v>Y</v>
          </cell>
          <cell r="J331">
            <v>89</v>
          </cell>
          <cell r="K331">
            <v>1</v>
          </cell>
          <cell r="L331">
            <v>0.33040000000000003</v>
          </cell>
          <cell r="M331">
            <v>23.7</v>
          </cell>
          <cell r="N331">
            <v>34.299999999999997</v>
          </cell>
          <cell r="O331">
            <v>0.66959999999999997</v>
          </cell>
          <cell r="P331">
            <v>0.13270000000000001</v>
          </cell>
          <cell r="Q331">
            <v>0.53690000000000004</v>
          </cell>
          <cell r="R331" t="str">
            <v>NA</v>
          </cell>
          <cell r="S331" t="str">
            <v>NA</v>
          </cell>
          <cell r="T331">
            <v>59.5</v>
          </cell>
          <cell r="U331">
            <v>4.8</v>
          </cell>
          <cell r="V331">
            <v>73.900000000000006</v>
          </cell>
          <cell r="W331">
            <v>7.5</v>
          </cell>
          <cell r="X331" t="str">
            <v>NA</v>
          </cell>
          <cell r="Y331" t="str">
            <v>NA</v>
          </cell>
          <cell r="Z331" t="str">
            <v>NA</v>
          </cell>
          <cell r="AA331" t="str">
            <v>NA</v>
          </cell>
        </row>
        <row r="332">
          <cell r="A332">
            <v>45124</v>
          </cell>
          <cell r="B332" t="str">
            <v>A2</v>
          </cell>
          <cell r="C332">
            <v>1</v>
          </cell>
          <cell r="D332">
            <v>1</v>
          </cell>
          <cell r="E332" t="str">
            <v>ARIS.A2.Aim1.Bin1.RB</v>
          </cell>
          <cell r="F332">
            <v>3</v>
          </cell>
          <cell r="G332" t="str">
            <v>Unweighted</v>
          </cell>
          <cell r="H332" t="str">
            <v>N</v>
          </cell>
          <cell r="I332" t="str">
            <v>Y</v>
          </cell>
          <cell r="J332">
            <v>136</v>
          </cell>
          <cell r="K332">
            <v>1</v>
          </cell>
          <cell r="L332">
            <v>0.97550000000000003</v>
          </cell>
          <cell r="M332">
            <v>21.1</v>
          </cell>
          <cell r="N332">
            <v>6.7</v>
          </cell>
          <cell r="O332">
            <v>2.4500000000000001E-2</v>
          </cell>
          <cell r="P332">
            <v>2.4500000000000001E-2</v>
          </cell>
          <cell r="Q332">
            <v>0</v>
          </cell>
          <cell r="R332" t="str">
            <v>NA</v>
          </cell>
          <cell r="S332" t="str">
            <v>NA</v>
          </cell>
          <cell r="T332">
            <v>59.2</v>
          </cell>
          <cell r="U332">
            <v>4.8</v>
          </cell>
          <cell r="V332">
            <v>72.8</v>
          </cell>
          <cell r="W332">
            <v>7.4</v>
          </cell>
          <cell r="X332" t="str">
            <v>NA</v>
          </cell>
          <cell r="Y332" t="str">
            <v>NA</v>
          </cell>
          <cell r="Z332" t="str">
            <v>NA</v>
          </cell>
          <cell r="AA332" t="str">
            <v>NA</v>
          </cell>
        </row>
        <row r="333">
          <cell r="A333">
            <v>45124</v>
          </cell>
          <cell r="B333" t="str">
            <v>A2</v>
          </cell>
          <cell r="C333">
            <v>2</v>
          </cell>
          <cell r="D333">
            <v>1</v>
          </cell>
          <cell r="E333" t="str">
            <v>ARIS.A2.Aim1.Bin2.RB</v>
          </cell>
          <cell r="F333">
            <v>3</v>
          </cell>
          <cell r="G333" t="str">
            <v>Unweighted</v>
          </cell>
          <cell r="H333" t="str">
            <v>N</v>
          </cell>
          <cell r="I333" t="str">
            <v>Y</v>
          </cell>
          <cell r="J333">
            <v>131</v>
          </cell>
          <cell r="K333">
            <v>1</v>
          </cell>
          <cell r="L333">
            <v>0.86119999999999997</v>
          </cell>
          <cell r="M333">
            <v>23.7</v>
          </cell>
          <cell r="N333">
            <v>14.5</v>
          </cell>
          <cell r="O333">
            <v>0.13880000000000001</v>
          </cell>
          <cell r="P333">
            <v>0.1198</v>
          </cell>
          <cell r="Q333">
            <v>1.9E-2</v>
          </cell>
          <cell r="R333" t="str">
            <v>NA</v>
          </cell>
          <cell r="S333" t="str">
            <v>NA</v>
          </cell>
          <cell r="T333">
            <v>59.2</v>
          </cell>
          <cell r="U333">
            <v>4.8</v>
          </cell>
          <cell r="V333">
            <v>72.8</v>
          </cell>
          <cell r="W333">
            <v>7.4</v>
          </cell>
          <cell r="X333" t="str">
            <v>NA</v>
          </cell>
          <cell r="Y333" t="str">
            <v>NA</v>
          </cell>
          <cell r="Z333" t="str">
            <v>NA</v>
          </cell>
          <cell r="AA333" t="str">
            <v>NA</v>
          </cell>
        </row>
        <row r="334">
          <cell r="A334">
            <v>45124</v>
          </cell>
          <cell r="B334" t="str">
            <v>A2</v>
          </cell>
          <cell r="C334">
            <v>3</v>
          </cell>
          <cell r="D334">
            <v>1</v>
          </cell>
          <cell r="E334" t="str">
            <v>ARIS.A2.Aim1.Bin3.RB</v>
          </cell>
          <cell r="F334">
            <v>3</v>
          </cell>
          <cell r="G334" t="str">
            <v>Unweighted</v>
          </cell>
          <cell r="H334" t="str">
            <v>N</v>
          </cell>
          <cell r="I334" t="str">
            <v>Y</v>
          </cell>
          <cell r="J334">
            <v>113</v>
          </cell>
          <cell r="K334">
            <v>1</v>
          </cell>
          <cell r="L334">
            <v>0.83479999999999999</v>
          </cell>
          <cell r="M334">
            <v>23.7</v>
          </cell>
          <cell r="N334">
            <v>28.8</v>
          </cell>
          <cell r="O334">
            <v>0.16520000000000001</v>
          </cell>
          <cell r="P334">
            <v>9.3799999999999994E-2</v>
          </cell>
          <cell r="Q334">
            <v>7.1400000000000005E-2</v>
          </cell>
          <cell r="R334" t="str">
            <v>NA</v>
          </cell>
          <cell r="S334" t="str">
            <v>NA</v>
          </cell>
          <cell r="T334">
            <v>59.2</v>
          </cell>
          <cell r="U334">
            <v>4.8</v>
          </cell>
          <cell r="V334">
            <v>72.8</v>
          </cell>
          <cell r="W334">
            <v>7.4</v>
          </cell>
          <cell r="X334" t="str">
            <v>NA</v>
          </cell>
          <cell r="Y334" t="str">
            <v>NA</v>
          </cell>
          <cell r="Z334" t="str">
            <v>NA</v>
          </cell>
          <cell r="AA334" t="str">
            <v>NA</v>
          </cell>
        </row>
        <row r="335">
          <cell r="A335">
            <v>45124</v>
          </cell>
          <cell r="B335" t="str">
            <v>A2</v>
          </cell>
          <cell r="C335">
            <v>4</v>
          </cell>
          <cell r="D335">
            <v>1</v>
          </cell>
          <cell r="E335" t="str">
            <v>ARIS.A2.Aim1.Bin4.RB</v>
          </cell>
          <cell r="F335">
            <v>3</v>
          </cell>
          <cell r="G335" t="str">
            <v>Unweighted</v>
          </cell>
          <cell r="H335" t="str">
            <v>N</v>
          </cell>
          <cell r="I335" t="str">
            <v>Y</v>
          </cell>
          <cell r="J335">
            <v>113</v>
          </cell>
          <cell r="K335">
            <v>1</v>
          </cell>
          <cell r="L335">
            <v>0.83479999999999999</v>
          </cell>
          <cell r="M335">
            <v>23.7</v>
          </cell>
          <cell r="N335">
            <v>28.8</v>
          </cell>
          <cell r="O335">
            <v>0.16520000000000001</v>
          </cell>
          <cell r="P335">
            <v>9.3799999999999994E-2</v>
          </cell>
          <cell r="Q335">
            <v>7.1400000000000005E-2</v>
          </cell>
          <cell r="R335" t="str">
            <v>NA</v>
          </cell>
          <cell r="S335" t="str">
            <v>NA</v>
          </cell>
          <cell r="T335">
            <v>59.2</v>
          </cell>
          <cell r="U335">
            <v>4.8</v>
          </cell>
          <cell r="V335">
            <v>72.8</v>
          </cell>
          <cell r="W335">
            <v>7.4</v>
          </cell>
          <cell r="X335" t="str">
            <v>NA</v>
          </cell>
          <cell r="Y335" t="str">
            <v>NA</v>
          </cell>
          <cell r="Z335" t="str">
            <v>NA</v>
          </cell>
          <cell r="AA335" t="str">
            <v>NA</v>
          </cell>
        </row>
        <row r="336">
          <cell r="A336">
            <v>45124</v>
          </cell>
          <cell r="B336" t="str">
            <v>A2</v>
          </cell>
          <cell r="C336">
            <v>1</v>
          </cell>
          <cell r="D336">
            <v>1</v>
          </cell>
          <cell r="E336" t="str">
            <v>ARIS.A2.Aim1.Bin1.RB</v>
          </cell>
          <cell r="F336">
            <v>3</v>
          </cell>
          <cell r="G336" t="str">
            <v>SplineDFA</v>
          </cell>
          <cell r="H336" t="str">
            <v>Y</v>
          </cell>
          <cell r="I336" t="str">
            <v>N</v>
          </cell>
          <cell r="J336">
            <v>136</v>
          </cell>
          <cell r="K336">
            <v>1</v>
          </cell>
          <cell r="L336">
            <v>0.98699999999999999</v>
          </cell>
          <cell r="M336">
            <v>23.7</v>
          </cell>
          <cell r="N336">
            <v>2.7</v>
          </cell>
          <cell r="O336">
            <v>1.2999999999999999E-2</v>
          </cell>
          <cell r="P336">
            <v>1.2999999999999999E-2</v>
          </cell>
          <cell r="Q336">
            <v>0</v>
          </cell>
          <cell r="R336" t="str">
            <v>NA</v>
          </cell>
          <cell r="S336" t="str">
            <v>NA</v>
          </cell>
          <cell r="T336">
            <v>59.2</v>
          </cell>
          <cell r="U336">
            <v>4.8</v>
          </cell>
          <cell r="V336">
            <v>72.8</v>
          </cell>
          <cell r="W336">
            <v>7.4</v>
          </cell>
          <cell r="X336" t="str">
            <v>NA</v>
          </cell>
          <cell r="Y336" t="str">
            <v>NA</v>
          </cell>
          <cell r="Z336" t="str">
            <v>NA</v>
          </cell>
          <cell r="AA336" t="str">
            <v>NA</v>
          </cell>
        </row>
        <row r="337">
          <cell r="A337">
            <v>45124</v>
          </cell>
          <cell r="B337" t="str">
            <v>A2</v>
          </cell>
          <cell r="C337">
            <v>2</v>
          </cell>
          <cell r="D337">
            <v>1</v>
          </cell>
          <cell r="E337" t="str">
            <v>ARIS.A2.Aim1.Bin2.RB</v>
          </cell>
          <cell r="F337">
            <v>3</v>
          </cell>
          <cell r="G337" t="str">
            <v>SplineDFA</v>
          </cell>
          <cell r="H337" t="str">
            <v>Y</v>
          </cell>
          <cell r="I337" t="str">
            <v>N</v>
          </cell>
          <cell r="J337">
            <v>131</v>
          </cell>
          <cell r="K337">
            <v>1</v>
          </cell>
          <cell r="L337">
            <v>0.51259999999999994</v>
          </cell>
          <cell r="M337">
            <v>23.7</v>
          </cell>
          <cell r="N337">
            <v>2.7</v>
          </cell>
          <cell r="O337">
            <v>0.4874</v>
          </cell>
          <cell r="P337">
            <v>0.442</v>
          </cell>
          <cell r="Q337">
            <v>4.5400000000000003E-2</v>
          </cell>
          <cell r="R337" t="str">
            <v>NA</v>
          </cell>
          <cell r="S337" t="str">
            <v>NA</v>
          </cell>
          <cell r="T337">
            <v>59.2</v>
          </cell>
          <cell r="U337">
            <v>4.8</v>
          </cell>
          <cell r="V337">
            <v>72.8</v>
          </cell>
          <cell r="W337">
            <v>7.4</v>
          </cell>
          <cell r="X337" t="str">
            <v>NA</v>
          </cell>
          <cell r="Y337" t="str">
            <v>NA</v>
          </cell>
          <cell r="Z337" t="str">
            <v>NA</v>
          </cell>
          <cell r="AA337" t="str">
            <v>NA</v>
          </cell>
        </row>
        <row r="338">
          <cell r="A338">
            <v>45124</v>
          </cell>
          <cell r="B338" t="str">
            <v>A2</v>
          </cell>
          <cell r="C338">
            <v>3</v>
          </cell>
          <cell r="D338">
            <v>1</v>
          </cell>
          <cell r="E338" t="str">
            <v>ARIS.A2.Aim1.Bin3.RB</v>
          </cell>
          <cell r="F338">
            <v>3</v>
          </cell>
          <cell r="G338" t="str">
            <v>SplineDFA</v>
          </cell>
          <cell r="H338" t="str">
            <v>Y</v>
          </cell>
          <cell r="I338" t="str">
            <v>N</v>
          </cell>
          <cell r="J338">
            <v>113</v>
          </cell>
          <cell r="K338">
            <v>1.0001</v>
          </cell>
          <cell r="L338">
            <v>0.245</v>
          </cell>
          <cell r="M338">
            <v>23.7</v>
          </cell>
          <cell r="N338">
            <v>2.7</v>
          </cell>
          <cell r="O338">
            <v>0.75509999999999999</v>
          </cell>
          <cell r="P338">
            <v>0.5806</v>
          </cell>
          <cell r="Q338">
            <v>0.17449999999999999</v>
          </cell>
          <cell r="R338" t="str">
            <v>NA</v>
          </cell>
          <cell r="S338" t="str">
            <v>NA</v>
          </cell>
          <cell r="T338">
            <v>59.2</v>
          </cell>
          <cell r="U338">
            <v>4.8</v>
          </cell>
          <cell r="V338">
            <v>72.8</v>
          </cell>
          <cell r="W338">
            <v>7.4</v>
          </cell>
          <cell r="X338" t="str">
            <v>NA</v>
          </cell>
          <cell r="Y338" t="str">
            <v>NA</v>
          </cell>
          <cell r="Z338" t="str">
            <v>NA</v>
          </cell>
          <cell r="AA338" t="str">
            <v>NA</v>
          </cell>
        </row>
        <row r="339">
          <cell r="A339">
            <v>45124</v>
          </cell>
          <cell r="B339" t="str">
            <v>A2</v>
          </cell>
          <cell r="C339">
            <v>4</v>
          </cell>
          <cell r="D339">
            <v>1</v>
          </cell>
          <cell r="E339" t="str">
            <v>ARIS.A2.Aim1.Bin4.RB</v>
          </cell>
          <cell r="F339">
            <v>3</v>
          </cell>
          <cell r="G339" t="str">
            <v>SplineDFA</v>
          </cell>
          <cell r="H339" t="str">
            <v>Y</v>
          </cell>
          <cell r="I339" t="str">
            <v>N</v>
          </cell>
          <cell r="J339">
            <v>113</v>
          </cell>
          <cell r="K339">
            <v>1.0001</v>
          </cell>
          <cell r="L339">
            <v>0.245</v>
          </cell>
          <cell r="M339">
            <v>23.7</v>
          </cell>
          <cell r="N339">
            <v>2.7</v>
          </cell>
          <cell r="O339">
            <v>0.75509999999999999</v>
          </cell>
          <cell r="P339">
            <v>0.5806</v>
          </cell>
          <cell r="Q339">
            <v>0.17449999999999999</v>
          </cell>
          <cell r="R339" t="str">
            <v>NA</v>
          </cell>
          <cell r="S339" t="str">
            <v>NA</v>
          </cell>
          <cell r="T339">
            <v>59.2</v>
          </cell>
          <cell r="U339">
            <v>4.8</v>
          </cell>
          <cell r="V339">
            <v>72.8</v>
          </cell>
          <cell r="W339">
            <v>7.4</v>
          </cell>
          <cell r="X339" t="str">
            <v>NA</v>
          </cell>
          <cell r="Y339" t="str">
            <v>NA</v>
          </cell>
          <cell r="Z339" t="str">
            <v>NA</v>
          </cell>
          <cell r="AA339" t="str">
            <v>NA</v>
          </cell>
        </row>
        <row r="340">
          <cell r="A340">
            <v>45124</v>
          </cell>
          <cell r="B340" t="str">
            <v>A1</v>
          </cell>
          <cell r="C340">
            <v>1</v>
          </cell>
          <cell r="D340">
            <v>1</v>
          </cell>
          <cell r="E340" t="str">
            <v>ARIS.A1.Aim1.Bin1.LB</v>
          </cell>
          <cell r="F340">
            <v>3</v>
          </cell>
          <cell r="G340" t="str">
            <v>SplineThreshold</v>
          </cell>
          <cell r="H340" t="str">
            <v>N</v>
          </cell>
          <cell r="I340" t="str">
            <v>N</v>
          </cell>
          <cell r="J340">
            <v>119</v>
          </cell>
          <cell r="K340">
            <v>1</v>
          </cell>
          <cell r="L340">
            <v>0.9395</v>
          </cell>
          <cell r="M340" t="str">
            <v>NA</v>
          </cell>
          <cell r="N340" t="str">
            <v>NA</v>
          </cell>
          <cell r="O340">
            <v>6.0499999999999998E-2</v>
          </cell>
          <cell r="P340">
            <v>4.99E-2</v>
          </cell>
          <cell r="Q340">
            <v>1.1599999999999999E-2</v>
          </cell>
          <cell r="R340" t="str">
            <v>NA</v>
          </cell>
          <cell r="S340" t="str">
            <v>NA</v>
          </cell>
          <cell r="T340" t="str">
            <v>NA</v>
          </cell>
          <cell r="U340" t="str">
            <v>NA</v>
          </cell>
          <cell r="V340" t="str">
            <v>NA</v>
          </cell>
          <cell r="W340" t="str">
            <v>NA</v>
          </cell>
          <cell r="X340" t="str">
            <v>NA</v>
          </cell>
          <cell r="Y340" t="str">
            <v>NA</v>
          </cell>
          <cell r="Z340" t="str">
            <v>NA</v>
          </cell>
          <cell r="AA340" t="str">
            <v>NA</v>
          </cell>
        </row>
        <row r="341">
          <cell r="A341">
            <v>45124</v>
          </cell>
          <cell r="B341" t="str">
            <v>A1</v>
          </cell>
          <cell r="C341">
            <v>1</v>
          </cell>
          <cell r="D341">
            <v>2</v>
          </cell>
          <cell r="E341" t="str">
            <v>ARIS.A1.Aim2.Bin1.LB</v>
          </cell>
          <cell r="F341">
            <v>3</v>
          </cell>
          <cell r="G341" t="str">
            <v>SplineThreshold</v>
          </cell>
          <cell r="H341" t="str">
            <v>N</v>
          </cell>
          <cell r="I341" t="str">
            <v>N</v>
          </cell>
          <cell r="J341">
            <v>137</v>
          </cell>
          <cell r="K341">
            <v>1</v>
          </cell>
          <cell r="L341">
            <v>0.93830000000000002</v>
          </cell>
          <cell r="M341" t="str">
            <v>NA</v>
          </cell>
          <cell r="N341" t="str">
            <v>NA</v>
          </cell>
          <cell r="O341">
            <v>6.1699999999999998E-2</v>
          </cell>
          <cell r="P341">
            <v>4.8599999999999997E-2</v>
          </cell>
          <cell r="Q341">
            <v>1.35E-2</v>
          </cell>
          <cell r="R341" t="str">
            <v>NA</v>
          </cell>
          <cell r="S341" t="str">
            <v>NA</v>
          </cell>
          <cell r="T341" t="str">
            <v>NA</v>
          </cell>
          <cell r="U341" t="str">
            <v>NA</v>
          </cell>
          <cell r="V341" t="str">
            <v>NA</v>
          </cell>
          <cell r="W341" t="str">
            <v>NA</v>
          </cell>
          <cell r="X341" t="str">
            <v>NA</v>
          </cell>
          <cell r="Y341" t="str">
            <v>NA</v>
          </cell>
          <cell r="Z341" t="str">
            <v>NA</v>
          </cell>
          <cell r="AA341" t="str">
            <v>NA</v>
          </cell>
        </row>
        <row r="342">
          <cell r="A342">
            <v>45124</v>
          </cell>
          <cell r="B342" t="str">
            <v>A1</v>
          </cell>
          <cell r="C342">
            <v>2</v>
          </cell>
          <cell r="D342">
            <v>3</v>
          </cell>
          <cell r="E342" t="str">
            <v>ARIS.A1.Aim3.Bin2.LB</v>
          </cell>
          <cell r="F342">
            <v>3</v>
          </cell>
          <cell r="G342" t="str">
            <v>SplineThreshold</v>
          </cell>
          <cell r="H342" t="str">
            <v>N</v>
          </cell>
          <cell r="I342" t="str">
            <v>N</v>
          </cell>
          <cell r="J342">
            <v>129</v>
          </cell>
          <cell r="K342">
            <v>1</v>
          </cell>
          <cell r="L342">
            <v>0.46100000000000002</v>
          </cell>
          <cell r="M342" t="str">
            <v>NA</v>
          </cell>
          <cell r="N342" t="str">
            <v>NA</v>
          </cell>
          <cell r="O342">
            <v>0.53900000000000003</v>
          </cell>
          <cell r="P342">
            <v>0.36399999999999999</v>
          </cell>
          <cell r="Q342">
            <v>0.1812</v>
          </cell>
          <cell r="R342" t="str">
            <v>NA</v>
          </cell>
          <cell r="S342" t="str">
            <v>NA</v>
          </cell>
          <cell r="T342" t="str">
            <v>NA</v>
          </cell>
          <cell r="U342" t="str">
            <v>NA</v>
          </cell>
          <cell r="V342" t="str">
            <v>NA</v>
          </cell>
          <cell r="W342" t="str">
            <v>NA</v>
          </cell>
          <cell r="X342" t="str">
            <v>NA</v>
          </cell>
          <cell r="Y342" t="str">
            <v>NA</v>
          </cell>
          <cell r="Z342" t="str">
            <v>NA</v>
          </cell>
          <cell r="AA342" t="str">
            <v>NA</v>
          </cell>
        </row>
        <row r="343">
          <cell r="A343">
            <v>45124</v>
          </cell>
          <cell r="B343" t="str">
            <v>A1</v>
          </cell>
          <cell r="C343">
            <v>3</v>
          </cell>
          <cell r="D343">
            <v>3</v>
          </cell>
          <cell r="E343" t="str">
            <v>ARIS.A1.Aim3.Bin3.LB</v>
          </cell>
          <cell r="F343">
            <v>3</v>
          </cell>
          <cell r="G343" t="str">
            <v>SplineThreshold</v>
          </cell>
          <cell r="H343" t="str">
            <v>N</v>
          </cell>
          <cell r="I343" t="str">
            <v>N</v>
          </cell>
          <cell r="J343">
            <v>89</v>
          </cell>
          <cell r="K343">
            <v>1</v>
          </cell>
          <cell r="L343">
            <v>7.3499999999999996E-2</v>
          </cell>
          <cell r="M343" t="str">
            <v>NA</v>
          </cell>
          <cell r="N343" t="str">
            <v>NA</v>
          </cell>
          <cell r="O343">
            <v>0.92649999999999999</v>
          </cell>
          <cell r="P343">
            <v>0.28899999999999998</v>
          </cell>
          <cell r="Q343">
            <v>0.6673</v>
          </cell>
          <cell r="R343" t="str">
            <v>NA</v>
          </cell>
          <cell r="S343" t="str">
            <v>NA</v>
          </cell>
          <cell r="T343" t="str">
            <v>NA</v>
          </cell>
          <cell r="U343" t="str">
            <v>NA</v>
          </cell>
          <cell r="V343" t="str">
            <v>NA</v>
          </cell>
          <cell r="W343" t="str">
            <v>NA</v>
          </cell>
          <cell r="X343" t="str">
            <v>NA</v>
          </cell>
          <cell r="Y343" t="str">
            <v>NA</v>
          </cell>
          <cell r="Z343" t="str">
            <v>NA</v>
          </cell>
          <cell r="AA343" t="str">
            <v>NA</v>
          </cell>
        </row>
        <row r="344">
          <cell r="A344">
            <v>45124</v>
          </cell>
          <cell r="B344" t="str">
            <v>A1</v>
          </cell>
          <cell r="C344">
            <v>4</v>
          </cell>
          <cell r="D344">
            <v>3</v>
          </cell>
          <cell r="E344" t="str">
            <v>ARIS.A1.Aim3.Bin4.LB</v>
          </cell>
          <cell r="F344">
            <v>3</v>
          </cell>
          <cell r="G344" t="str">
            <v>SplineThreshold</v>
          </cell>
          <cell r="H344" t="str">
            <v>N</v>
          </cell>
          <cell r="I344" t="str">
            <v>N</v>
          </cell>
          <cell r="J344">
            <v>89</v>
          </cell>
          <cell r="K344">
            <v>1</v>
          </cell>
          <cell r="L344">
            <v>7.3499999999999996E-2</v>
          </cell>
          <cell r="M344" t="str">
            <v>NA</v>
          </cell>
          <cell r="N344" t="str">
            <v>NA</v>
          </cell>
          <cell r="O344">
            <v>0.92649999999999999</v>
          </cell>
          <cell r="P344">
            <v>0.28899999999999998</v>
          </cell>
          <cell r="Q344">
            <v>0.6673</v>
          </cell>
          <cell r="R344" t="str">
            <v>NA</v>
          </cell>
          <cell r="S344" t="str">
            <v>NA</v>
          </cell>
          <cell r="T344" t="str">
            <v>NA</v>
          </cell>
          <cell r="U344" t="str">
            <v>NA</v>
          </cell>
          <cell r="V344" t="str">
            <v>NA</v>
          </cell>
          <cell r="W344" t="str">
            <v>NA</v>
          </cell>
          <cell r="X344" t="str">
            <v>NA</v>
          </cell>
          <cell r="Y344" t="str">
            <v>NA</v>
          </cell>
          <cell r="Z344" t="str">
            <v>NA</v>
          </cell>
          <cell r="AA344" t="str">
            <v>NA</v>
          </cell>
        </row>
        <row r="345">
          <cell r="A345">
            <v>45124</v>
          </cell>
          <cell r="B345" t="str">
            <v>A1</v>
          </cell>
          <cell r="C345">
            <v>1</v>
          </cell>
          <cell r="D345">
            <v>1</v>
          </cell>
          <cell r="E345" t="str">
            <v>ARIS.A1.Aim1.Bin1.LB</v>
          </cell>
          <cell r="F345">
            <v>4</v>
          </cell>
          <cell r="G345" t="str">
            <v>Unweighted</v>
          </cell>
          <cell r="H345" t="str">
            <v>N</v>
          </cell>
          <cell r="I345" t="str">
            <v>N</v>
          </cell>
          <cell r="J345">
            <v>103</v>
          </cell>
          <cell r="K345">
            <v>1.0001</v>
          </cell>
          <cell r="L345">
            <v>0.90069999999999995</v>
          </cell>
          <cell r="M345">
            <v>18.600000000000001</v>
          </cell>
          <cell r="N345">
            <v>5.7</v>
          </cell>
          <cell r="O345">
            <v>9.9400000000000002E-2</v>
          </cell>
          <cell r="P345">
            <v>6.08E-2</v>
          </cell>
          <cell r="Q345">
            <v>7.3000000000000001E-3</v>
          </cell>
          <cell r="R345" t="str">
            <v>NA</v>
          </cell>
          <cell r="S345">
            <v>3.1300000000000001E-2</v>
          </cell>
          <cell r="T345">
            <v>59.2</v>
          </cell>
          <cell r="U345">
            <v>4.8</v>
          </cell>
          <cell r="V345">
            <v>75.099999999999994</v>
          </cell>
          <cell r="W345">
            <v>7.6</v>
          </cell>
          <cell r="X345" t="str">
            <v>NA</v>
          </cell>
          <cell r="Y345" t="str">
            <v>NA</v>
          </cell>
          <cell r="Z345">
            <v>39.1</v>
          </cell>
          <cell r="AA345">
            <v>3.5</v>
          </cell>
        </row>
        <row r="346">
          <cell r="A346">
            <v>45124</v>
          </cell>
          <cell r="B346" t="str">
            <v>A1</v>
          </cell>
          <cell r="C346">
            <v>1</v>
          </cell>
          <cell r="D346">
            <v>2</v>
          </cell>
          <cell r="E346" t="str">
            <v>ARIS.A1.Aim2.Bin1.LB</v>
          </cell>
          <cell r="F346">
            <v>4</v>
          </cell>
          <cell r="G346" t="str">
            <v>Unweighted</v>
          </cell>
          <cell r="H346" t="str">
            <v>N</v>
          </cell>
          <cell r="I346" t="str">
            <v>N</v>
          </cell>
          <cell r="J346">
            <v>138</v>
          </cell>
          <cell r="K346">
            <v>1</v>
          </cell>
          <cell r="L346">
            <v>0.90939999999999999</v>
          </cell>
          <cell r="M346">
            <v>17.100000000000001</v>
          </cell>
          <cell r="N346">
            <v>4.5999999999999996</v>
          </cell>
          <cell r="O346">
            <v>9.06E-2</v>
          </cell>
          <cell r="P346">
            <v>2.2100000000000002E-2</v>
          </cell>
          <cell r="Q346">
            <v>0</v>
          </cell>
          <cell r="R346" t="str">
            <v>NA</v>
          </cell>
          <cell r="S346">
            <v>6.8500000000000005E-2</v>
          </cell>
          <cell r="T346">
            <v>59.2</v>
          </cell>
          <cell r="U346">
            <v>4.8</v>
          </cell>
          <cell r="V346">
            <v>75.099999999999994</v>
          </cell>
          <cell r="W346">
            <v>7.6</v>
          </cell>
          <cell r="X346" t="str">
            <v>NA</v>
          </cell>
          <cell r="Y346" t="str">
            <v>NA</v>
          </cell>
          <cell r="Z346">
            <v>39.1</v>
          </cell>
          <cell r="AA346">
            <v>3.5</v>
          </cell>
        </row>
        <row r="347">
          <cell r="A347">
            <v>45124</v>
          </cell>
          <cell r="B347" t="str">
            <v>A1</v>
          </cell>
          <cell r="C347">
            <v>1</v>
          </cell>
          <cell r="D347" t="str">
            <v>1&amp;2</v>
          </cell>
          <cell r="E347" t="str">
            <v>ARIS.A1.Aim1&amp;Aim2.Bin1.LB</v>
          </cell>
          <cell r="F347">
            <v>4</v>
          </cell>
          <cell r="G347" t="str">
            <v>Unweighted</v>
          </cell>
          <cell r="H347" t="str">
            <v>N</v>
          </cell>
          <cell r="I347" t="str">
            <v>N</v>
          </cell>
          <cell r="J347">
            <v>256</v>
          </cell>
          <cell r="K347">
            <v>1</v>
          </cell>
          <cell r="L347">
            <v>0.95079999999999998</v>
          </cell>
          <cell r="M347">
            <v>23.7</v>
          </cell>
          <cell r="N347">
            <v>7.6</v>
          </cell>
          <cell r="O347">
            <v>4.9200000000000001E-2</v>
          </cell>
          <cell r="P347">
            <v>4.5999999999999999E-2</v>
          </cell>
          <cell r="Q347">
            <v>3.2000000000000002E-3</v>
          </cell>
          <cell r="R347" t="str">
            <v>NA</v>
          </cell>
          <cell r="S347">
            <v>0</v>
          </cell>
          <cell r="T347">
            <v>59.5</v>
          </cell>
          <cell r="U347">
            <v>4.8</v>
          </cell>
          <cell r="V347">
            <v>73.900000000000006</v>
          </cell>
          <cell r="W347">
            <v>7.5</v>
          </cell>
          <cell r="X347" t="str">
            <v>NA</v>
          </cell>
          <cell r="Y347" t="str">
            <v>NA</v>
          </cell>
          <cell r="Z347">
            <v>39.1</v>
          </cell>
          <cell r="AA347">
            <v>3.5</v>
          </cell>
        </row>
        <row r="348">
          <cell r="A348">
            <v>45124</v>
          </cell>
          <cell r="B348" t="str">
            <v>A1</v>
          </cell>
          <cell r="C348">
            <v>2</v>
          </cell>
          <cell r="D348">
            <v>3</v>
          </cell>
          <cell r="E348" t="str">
            <v>ARIS.A1.Aim3.Bin2.LB</v>
          </cell>
          <cell r="F348">
            <v>4</v>
          </cell>
          <cell r="G348" t="str">
            <v>Unweighted</v>
          </cell>
          <cell r="H348" t="str">
            <v>N</v>
          </cell>
          <cell r="I348" t="str">
            <v>N</v>
          </cell>
          <cell r="J348">
            <v>124</v>
          </cell>
          <cell r="K348">
            <v>1</v>
          </cell>
          <cell r="L348">
            <v>0.63229999999999997</v>
          </cell>
          <cell r="M348">
            <v>27.5</v>
          </cell>
          <cell r="N348">
            <v>6.8</v>
          </cell>
          <cell r="O348">
            <v>0.36770000000000003</v>
          </cell>
          <cell r="P348">
            <v>0.15579999999999999</v>
          </cell>
          <cell r="Q348">
            <v>8.0199999999999994E-2</v>
          </cell>
          <cell r="R348" t="str">
            <v>NA</v>
          </cell>
          <cell r="S348">
            <v>0.13170000000000001</v>
          </cell>
          <cell r="T348">
            <v>59.2</v>
          </cell>
          <cell r="U348">
            <v>4.8</v>
          </cell>
          <cell r="V348">
            <v>75.099999999999994</v>
          </cell>
          <cell r="W348">
            <v>7.6</v>
          </cell>
          <cell r="X348" t="str">
            <v>NA</v>
          </cell>
          <cell r="Y348" t="str">
            <v>NA</v>
          </cell>
          <cell r="Z348">
            <v>39.1</v>
          </cell>
          <cell r="AA348">
            <v>3.5</v>
          </cell>
        </row>
        <row r="349">
          <cell r="A349">
            <v>45124</v>
          </cell>
          <cell r="B349" t="str">
            <v>A1</v>
          </cell>
          <cell r="C349">
            <v>3</v>
          </cell>
          <cell r="D349">
            <v>3</v>
          </cell>
          <cell r="E349" t="str">
            <v>ARIS.A1.Aim3.Bin3.LB</v>
          </cell>
          <cell r="F349">
            <v>4</v>
          </cell>
          <cell r="G349" t="str">
            <v>Unweighted</v>
          </cell>
          <cell r="H349" t="str">
            <v>N</v>
          </cell>
          <cell r="I349" t="str">
            <v>N</v>
          </cell>
          <cell r="J349">
            <v>109</v>
          </cell>
          <cell r="K349">
            <v>1</v>
          </cell>
          <cell r="L349">
            <v>0.28360000000000002</v>
          </cell>
          <cell r="M349">
            <v>33</v>
          </cell>
          <cell r="N349">
            <v>9.1</v>
          </cell>
          <cell r="O349">
            <v>0.71640000000000004</v>
          </cell>
          <cell r="P349">
            <v>0.42880000000000001</v>
          </cell>
          <cell r="Q349">
            <v>0.28760000000000002</v>
          </cell>
          <cell r="R349" t="str">
            <v>NA</v>
          </cell>
          <cell r="S349">
            <v>0</v>
          </cell>
          <cell r="T349">
            <v>59.2</v>
          </cell>
          <cell r="U349">
            <v>4.8</v>
          </cell>
          <cell r="V349">
            <v>75.099999999999994</v>
          </cell>
          <cell r="W349">
            <v>7.6</v>
          </cell>
          <cell r="X349" t="str">
            <v>NA</v>
          </cell>
          <cell r="Y349" t="str">
            <v>NA</v>
          </cell>
          <cell r="Z349">
            <v>39.1</v>
          </cell>
          <cell r="AA349">
            <v>3.5</v>
          </cell>
        </row>
        <row r="350">
          <cell r="A350">
            <v>45124</v>
          </cell>
          <cell r="B350" t="str">
            <v>A1</v>
          </cell>
          <cell r="C350">
            <v>4</v>
          </cell>
          <cell r="D350">
            <v>3</v>
          </cell>
          <cell r="E350" t="str">
            <v>ARIS.A1.Aim3.Bin4.LB</v>
          </cell>
          <cell r="F350">
            <v>4</v>
          </cell>
          <cell r="G350" t="str">
            <v>Unweighted</v>
          </cell>
          <cell r="H350" t="str">
            <v>N</v>
          </cell>
          <cell r="I350" t="str">
            <v>N</v>
          </cell>
          <cell r="J350">
            <v>109</v>
          </cell>
          <cell r="K350">
            <v>1</v>
          </cell>
          <cell r="L350">
            <v>0.28360000000000002</v>
          </cell>
          <cell r="M350">
            <v>33</v>
          </cell>
          <cell r="N350">
            <v>9.1</v>
          </cell>
          <cell r="O350">
            <v>0.71640000000000004</v>
          </cell>
          <cell r="P350">
            <v>0.42880000000000001</v>
          </cell>
          <cell r="Q350">
            <v>0.28760000000000002</v>
          </cell>
          <cell r="R350" t="str">
            <v>NA</v>
          </cell>
          <cell r="S350">
            <v>0</v>
          </cell>
          <cell r="T350">
            <v>59.2</v>
          </cell>
          <cell r="U350">
            <v>4.8</v>
          </cell>
          <cell r="V350">
            <v>75.099999999999994</v>
          </cell>
          <cell r="W350">
            <v>7.6</v>
          </cell>
          <cell r="X350" t="str">
            <v>NA</v>
          </cell>
          <cell r="Y350" t="str">
            <v>NA</v>
          </cell>
          <cell r="Z350">
            <v>39.1</v>
          </cell>
          <cell r="AA350">
            <v>3.5</v>
          </cell>
        </row>
        <row r="351">
          <cell r="A351">
            <v>45124</v>
          </cell>
          <cell r="B351" t="str">
            <v>A2</v>
          </cell>
          <cell r="C351">
            <v>1</v>
          </cell>
          <cell r="D351">
            <v>1</v>
          </cell>
          <cell r="E351" t="str">
            <v>ARIS.A2.Aim1.Bin1.RB</v>
          </cell>
          <cell r="F351">
            <v>4</v>
          </cell>
          <cell r="G351" t="str">
            <v>Unweighted</v>
          </cell>
          <cell r="H351" t="str">
            <v>N</v>
          </cell>
          <cell r="I351" t="str">
            <v>N</v>
          </cell>
          <cell r="J351">
            <v>136</v>
          </cell>
          <cell r="K351">
            <v>0.99990000000000001</v>
          </cell>
          <cell r="L351">
            <v>0.87009999999999998</v>
          </cell>
          <cell r="M351">
            <v>19.7</v>
          </cell>
          <cell r="N351">
            <v>5.6</v>
          </cell>
          <cell r="O351">
            <v>0.1298</v>
          </cell>
          <cell r="P351">
            <v>0</v>
          </cell>
          <cell r="Q351">
            <v>0</v>
          </cell>
          <cell r="R351" t="str">
            <v>NA</v>
          </cell>
          <cell r="S351">
            <v>0.1298</v>
          </cell>
          <cell r="T351">
            <v>59.2</v>
          </cell>
          <cell r="U351">
            <v>4.8</v>
          </cell>
          <cell r="V351">
            <v>75.099999999999994</v>
          </cell>
          <cell r="W351">
            <v>7.6</v>
          </cell>
          <cell r="X351" t="str">
            <v>NA</v>
          </cell>
          <cell r="Y351" t="str">
            <v>NA</v>
          </cell>
          <cell r="Z351">
            <v>39.1</v>
          </cell>
          <cell r="AA351">
            <v>3.5</v>
          </cell>
        </row>
        <row r="352">
          <cell r="A352">
            <v>45124</v>
          </cell>
          <cell r="B352" t="str">
            <v>A2</v>
          </cell>
          <cell r="C352">
            <v>2</v>
          </cell>
          <cell r="D352">
            <v>1</v>
          </cell>
          <cell r="E352" t="str">
            <v>ARIS.A2.Aim1.Bin2.RB</v>
          </cell>
          <cell r="F352">
            <v>4</v>
          </cell>
          <cell r="G352" t="str">
            <v>Unweighted</v>
          </cell>
          <cell r="H352" t="str">
            <v>N</v>
          </cell>
          <cell r="I352" t="str">
            <v>N</v>
          </cell>
          <cell r="J352">
            <v>131</v>
          </cell>
          <cell r="K352">
            <v>1</v>
          </cell>
          <cell r="L352">
            <v>0.42180000000000001</v>
          </cell>
          <cell r="M352">
            <v>25.9</v>
          </cell>
          <cell r="N352">
            <v>4.8</v>
          </cell>
          <cell r="O352">
            <v>0.57820000000000005</v>
          </cell>
          <cell r="P352">
            <v>0.17150000000000001</v>
          </cell>
          <cell r="Q352">
            <v>1.5599999999999999E-2</v>
          </cell>
          <cell r="R352" t="str">
            <v>NA</v>
          </cell>
          <cell r="S352">
            <v>0.3911</v>
          </cell>
          <cell r="T352">
            <v>59.2</v>
          </cell>
          <cell r="U352">
            <v>4.8</v>
          </cell>
          <cell r="V352">
            <v>75.099999999999994</v>
          </cell>
          <cell r="W352">
            <v>7.6</v>
          </cell>
          <cell r="X352" t="str">
            <v>NA</v>
          </cell>
          <cell r="Y352" t="str">
            <v>NA</v>
          </cell>
          <cell r="Z352">
            <v>39.1</v>
          </cell>
          <cell r="AA352">
            <v>3.5</v>
          </cell>
        </row>
        <row r="353">
          <cell r="A353">
            <v>45124</v>
          </cell>
          <cell r="B353" t="str">
            <v>A2</v>
          </cell>
          <cell r="C353">
            <v>3</v>
          </cell>
          <cell r="D353">
            <v>1</v>
          </cell>
          <cell r="E353" t="str">
            <v>ARIS.A2.Aim1.Bin3.RB</v>
          </cell>
          <cell r="F353">
            <v>4</v>
          </cell>
          <cell r="G353" t="str">
            <v>Unweighted</v>
          </cell>
          <cell r="H353" t="str">
            <v>N</v>
          </cell>
          <cell r="I353" t="str">
            <v>N</v>
          </cell>
          <cell r="J353">
            <v>113</v>
          </cell>
          <cell r="K353">
            <v>1</v>
          </cell>
          <cell r="L353">
            <v>0.16439999999999999</v>
          </cell>
          <cell r="M353">
            <v>27.3</v>
          </cell>
          <cell r="N353">
            <v>4.0999999999999996</v>
          </cell>
          <cell r="O353">
            <v>0.83560000000000001</v>
          </cell>
          <cell r="P353">
            <v>0.21490000000000001</v>
          </cell>
          <cell r="Q353">
            <v>0.17630000000000001</v>
          </cell>
          <cell r="R353" t="str">
            <v>NA</v>
          </cell>
          <cell r="S353">
            <v>0.44440000000000002</v>
          </cell>
          <cell r="T353">
            <v>59.2</v>
          </cell>
          <cell r="U353">
            <v>4.8</v>
          </cell>
          <cell r="V353">
            <v>75.099999999999994</v>
          </cell>
          <cell r="W353">
            <v>7.6</v>
          </cell>
          <cell r="X353" t="str">
            <v>NA</v>
          </cell>
          <cell r="Y353" t="str">
            <v>NA</v>
          </cell>
          <cell r="Z353">
            <v>39.1</v>
          </cell>
          <cell r="AA353">
            <v>3.5</v>
          </cell>
        </row>
        <row r="354">
          <cell r="A354">
            <v>45124</v>
          </cell>
          <cell r="B354" t="str">
            <v>A2</v>
          </cell>
          <cell r="C354">
            <v>4</v>
          </cell>
          <cell r="D354">
            <v>1</v>
          </cell>
          <cell r="E354" t="str">
            <v>ARIS.A2.Aim1.Bin4.RB</v>
          </cell>
          <cell r="F354">
            <v>4</v>
          </cell>
          <cell r="G354" t="str">
            <v>Unweighted</v>
          </cell>
          <cell r="H354" t="str">
            <v>N</v>
          </cell>
          <cell r="I354" t="str">
            <v>N</v>
          </cell>
          <cell r="J354">
            <v>113</v>
          </cell>
          <cell r="K354">
            <v>1</v>
          </cell>
          <cell r="L354">
            <v>0.16439999999999999</v>
          </cell>
          <cell r="M354">
            <v>27.3</v>
          </cell>
          <cell r="N354">
            <v>4.0999999999999996</v>
          </cell>
          <cell r="O354">
            <v>0.83560000000000001</v>
          </cell>
          <cell r="P354">
            <v>0.21490000000000001</v>
          </cell>
          <cell r="Q354">
            <v>0.17630000000000001</v>
          </cell>
          <cell r="R354" t="str">
            <v>NA</v>
          </cell>
          <cell r="S354">
            <v>0.44440000000000002</v>
          </cell>
          <cell r="T354">
            <v>59.2</v>
          </cell>
          <cell r="U354">
            <v>4.8</v>
          </cell>
          <cell r="V354">
            <v>75.099999999999994</v>
          </cell>
          <cell r="W354">
            <v>7.6</v>
          </cell>
          <cell r="X354" t="str">
            <v>NA</v>
          </cell>
          <cell r="Y354" t="str">
            <v>NA</v>
          </cell>
          <cell r="Z354">
            <v>39.1</v>
          </cell>
          <cell r="AA354">
            <v>3.5</v>
          </cell>
        </row>
        <row r="355">
          <cell r="A355">
            <v>45125</v>
          </cell>
          <cell r="B355" t="str">
            <v>A1</v>
          </cell>
          <cell r="C355">
            <v>1</v>
          </cell>
          <cell r="D355">
            <v>1</v>
          </cell>
          <cell r="E355" t="str">
            <v>ARIS.A1.Aim1.Bin1.LB</v>
          </cell>
          <cell r="F355">
            <v>3</v>
          </cell>
          <cell r="G355" t="str">
            <v>SplineDFA</v>
          </cell>
          <cell r="H355" t="str">
            <v>Y</v>
          </cell>
          <cell r="I355" t="str">
            <v>N</v>
          </cell>
          <cell r="J355">
            <v>113</v>
          </cell>
          <cell r="K355">
            <v>1</v>
          </cell>
          <cell r="L355">
            <v>0.88219999999999998</v>
          </cell>
          <cell r="M355">
            <v>23.7</v>
          </cell>
          <cell r="N355">
            <v>2.7</v>
          </cell>
          <cell r="O355">
            <v>0.1178</v>
          </cell>
          <cell r="P355">
            <v>9.0999999999999998E-2</v>
          </cell>
          <cell r="Q355">
            <v>2.6800000000000001E-2</v>
          </cell>
          <cell r="R355" t="str">
            <v>NA</v>
          </cell>
          <cell r="S355" t="str">
            <v>NA</v>
          </cell>
          <cell r="T355">
            <v>59.2</v>
          </cell>
          <cell r="U355">
            <v>4.8</v>
          </cell>
          <cell r="V355">
            <v>75.099999999999994</v>
          </cell>
          <cell r="W355">
            <v>7.6</v>
          </cell>
          <cell r="X355" t="str">
            <v>NA</v>
          </cell>
          <cell r="Y355" t="str">
            <v>NA</v>
          </cell>
          <cell r="Z355" t="str">
            <v>NA</v>
          </cell>
          <cell r="AA355" t="str">
            <v>NA</v>
          </cell>
        </row>
        <row r="356">
          <cell r="A356">
            <v>45125</v>
          </cell>
          <cell r="B356" t="str">
            <v>A1</v>
          </cell>
          <cell r="C356">
            <v>1</v>
          </cell>
          <cell r="D356">
            <v>2</v>
          </cell>
          <cell r="E356" t="str">
            <v>ARIS.A1.Aim2.Bin1.LB</v>
          </cell>
          <cell r="F356">
            <v>3</v>
          </cell>
          <cell r="G356" t="str">
            <v>SplineDFA</v>
          </cell>
          <cell r="H356" t="str">
            <v>Y</v>
          </cell>
          <cell r="I356" t="str">
            <v>N</v>
          </cell>
          <cell r="J356">
            <v>144</v>
          </cell>
          <cell r="K356">
            <v>0.99990000000000001</v>
          </cell>
          <cell r="L356">
            <v>0.9708</v>
          </cell>
          <cell r="M356">
            <v>23.7</v>
          </cell>
          <cell r="N356">
            <v>2.7</v>
          </cell>
          <cell r="O356">
            <v>2.9100000000000001E-2</v>
          </cell>
          <cell r="P356">
            <v>2.6200000000000001E-2</v>
          </cell>
          <cell r="Q356">
            <v>2.8999999999999998E-3</v>
          </cell>
          <cell r="R356" t="str">
            <v>NA</v>
          </cell>
          <cell r="S356" t="str">
            <v>NA</v>
          </cell>
          <cell r="T356">
            <v>59.2</v>
          </cell>
          <cell r="U356">
            <v>4.8</v>
          </cell>
          <cell r="V356">
            <v>75.099999999999994</v>
          </cell>
          <cell r="W356">
            <v>7.6</v>
          </cell>
          <cell r="X356" t="str">
            <v>NA</v>
          </cell>
          <cell r="Y356" t="str">
            <v>NA</v>
          </cell>
          <cell r="Z356" t="str">
            <v>NA</v>
          </cell>
          <cell r="AA356" t="str">
            <v>NA</v>
          </cell>
        </row>
        <row r="357">
          <cell r="A357">
            <v>45125</v>
          </cell>
          <cell r="B357" t="str">
            <v>A1</v>
          </cell>
          <cell r="C357">
            <v>2</v>
          </cell>
          <cell r="D357">
            <v>3</v>
          </cell>
          <cell r="E357" t="str">
            <v>ARIS.A1.Aim3.Bin2.LB</v>
          </cell>
          <cell r="F357">
            <v>3</v>
          </cell>
          <cell r="G357" t="str">
            <v>SplineDFA</v>
          </cell>
          <cell r="H357" t="str">
            <v>Y</v>
          </cell>
          <cell r="I357" t="str">
            <v>N</v>
          </cell>
          <cell r="J357">
            <v>139</v>
          </cell>
          <cell r="K357">
            <v>1</v>
          </cell>
          <cell r="L357">
            <v>0.47570000000000001</v>
          </cell>
          <cell r="M357">
            <v>23.7</v>
          </cell>
          <cell r="N357">
            <v>2.7</v>
          </cell>
          <cell r="O357">
            <v>0.52429999999999999</v>
          </cell>
          <cell r="P357">
            <v>0.45569999999999999</v>
          </cell>
          <cell r="Q357">
            <v>6.8599999999999994E-2</v>
          </cell>
          <cell r="R357" t="str">
            <v>NA</v>
          </cell>
          <cell r="S357" t="str">
            <v>NA</v>
          </cell>
          <cell r="T357">
            <v>59.2</v>
          </cell>
          <cell r="U357">
            <v>4.8</v>
          </cell>
          <cell r="V357">
            <v>75.099999999999994</v>
          </cell>
          <cell r="W357">
            <v>7.6</v>
          </cell>
          <cell r="X357" t="str">
            <v>NA</v>
          </cell>
          <cell r="Y357" t="str">
            <v>NA</v>
          </cell>
          <cell r="Z357" t="str">
            <v>NA</v>
          </cell>
          <cell r="AA357" t="str">
            <v>NA</v>
          </cell>
        </row>
        <row r="358">
          <cell r="A358">
            <v>45125</v>
          </cell>
          <cell r="B358" t="str">
            <v>A1</v>
          </cell>
          <cell r="C358">
            <v>3</v>
          </cell>
          <cell r="D358">
            <v>3</v>
          </cell>
          <cell r="E358" t="str">
            <v>ARIS.A1.Aim3.Bin3.LB</v>
          </cell>
          <cell r="F358">
            <v>3</v>
          </cell>
          <cell r="G358" t="str">
            <v>SplineDFA</v>
          </cell>
          <cell r="H358" t="str">
            <v>Y</v>
          </cell>
          <cell r="I358" t="str">
            <v>N</v>
          </cell>
          <cell r="J358">
            <v>129</v>
          </cell>
          <cell r="K358">
            <v>1</v>
          </cell>
          <cell r="L358">
            <v>8.4599999999999995E-2</v>
          </cell>
          <cell r="M358">
            <v>23.7</v>
          </cell>
          <cell r="N358">
            <v>2.7</v>
          </cell>
          <cell r="O358">
            <v>0.91539999999999999</v>
          </cell>
          <cell r="P358">
            <v>0.62780000000000002</v>
          </cell>
          <cell r="Q358">
            <v>0.28760000000000002</v>
          </cell>
          <cell r="R358" t="str">
            <v>NA</v>
          </cell>
          <cell r="S358" t="str">
            <v>NA</v>
          </cell>
          <cell r="T358">
            <v>59.2</v>
          </cell>
          <cell r="U358">
            <v>4.8</v>
          </cell>
          <cell r="V358">
            <v>75.099999999999994</v>
          </cell>
          <cell r="W358">
            <v>7.6</v>
          </cell>
          <cell r="X358" t="str">
            <v>NA</v>
          </cell>
          <cell r="Y358" t="str">
            <v>NA</v>
          </cell>
          <cell r="Z358" t="str">
            <v>NA</v>
          </cell>
          <cell r="AA358" t="str">
            <v>NA</v>
          </cell>
        </row>
        <row r="359">
          <cell r="A359">
            <v>45125</v>
          </cell>
          <cell r="B359" t="str">
            <v>A1</v>
          </cell>
          <cell r="C359">
            <v>4</v>
          </cell>
          <cell r="D359">
            <v>3</v>
          </cell>
          <cell r="E359" t="str">
            <v>ARIS.A1.Aim3.Bin4.LB</v>
          </cell>
          <cell r="F359">
            <v>3</v>
          </cell>
          <cell r="G359" t="str">
            <v>SplineDFA</v>
          </cell>
          <cell r="H359" t="str">
            <v>Y</v>
          </cell>
          <cell r="I359" t="str">
            <v>N</v>
          </cell>
          <cell r="J359">
            <v>129</v>
          </cell>
          <cell r="K359">
            <v>1</v>
          </cell>
          <cell r="L359">
            <v>8.4599999999999995E-2</v>
          </cell>
          <cell r="M359">
            <v>23.7</v>
          </cell>
          <cell r="N359">
            <v>2.7</v>
          </cell>
          <cell r="O359">
            <v>0.91539999999999999</v>
          </cell>
          <cell r="P359">
            <v>0.62780000000000002</v>
          </cell>
          <cell r="Q359">
            <v>0.28760000000000002</v>
          </cell>
          <cell r="R359" t="str">
            <v>NA</v>
          </cell>
          <cell r="S359" t="str">
            <v>NA</v>
          </cell>
          <cell r="T359">
            <v>59.2</v>
          </cell>
          <cell r="U359">
            <v>4.8</v>
          </cell>
          <cell r="V359">
            <v>75.099999999999994</v>
          </cell>
          <cell r="W359">
            <v>7.6</v>
          </cell>
          <cell r="X359" t="str">
            <v>NA</v>
          </cell>
          <cell r="Y359" t="str">
            <v>NA</v>
          </cell>
          <cell r="Z359" t="str">
            <v>NA</v>
          </cell>
          <cell r="AA359" t="str">
            <v>NA</v>
          </cell>
        </row>
        <row r="360">
          <cell r="A360">
            <v>45125</v>
          </cell>
          <cell r="B360" t="str">
            <v>A1</v>
          </cell>
          <cell r="C360">
            <v>1</v>
          </cell>
          <cell r="D360">
            <v>1</v>
          </cell>
          <cell r="E360" t="str">
            <v>ARIS.A1.Aim1.Bin1.LB</v>
          </cell>
          <cell r="F360">
            <v>3</v>
          </cell>
          <cell r="G360" t="str">
            <v>Unweighted</v>
          </cell>
          <cell r="H360" t="str">
            <v>N</v>
          </cell>
          <cell r="I360" t="str">
            <v>Y</v>
          </cell>
          <cell r="J360">
            <v>113</v>
          </cell>
          <cell r="K360">
            <v>1</v>
          </cell>
          <cell r="L360">
            <v>0.9365</v>
          </cell>
          <cell r="M360">
            <v>17.3</v>
          </cell>
          <cell r="N360">
            <v>7</v>
          </cell>
          <cell r="O360">
            <v>6.3500000000000001E-2</v>
          </cell>
          <cell r="P360">
            <v>4.2000000000000003E-2</v>
          </cell>
          <cell r="Q360">
            <v>2.1499999999999998E-2</v>
          </cell>
          <cell r="R360" t="str">
            <v>NA</v>
          </cell>
          <cell r="S360" t="str">
            <v>NA</v>
          </cell>
          <cell r="T360">
            <v>59.2</v>
          </cell>
          <cell r="U360">
            <v>4.8</v>
          </cell>
          <cell r="V360">
            <v>75.099999999999994</v>
          </cell>
          <cell r="W360">
            <v>7.6</v>
          </cell>
          <cell r="X360" t="str">
            <v>NA</v>
          </cell>
          <cell r="Y360" t="str">
            <v>NA</v>
          </cell>
          <cell r="Z360" t="str">
            <v>NA</v>
          </cell>
          <cell r="AA360" t="str">
            <v>NA</v>
          </cell>
        </row>
        <row r="361">
          <cell r="A361">
            <v>45125</v>
          </cell>
          <cell r="B361" t="str">
            <v>A1</v>
          </cell>
          <cell r="C361">
            <v>1</v>
          </cell>
          <cell r="D361">
            <v>2</v>
          </cell>
          <cell r="E361" t="str">
            <v>ARIS.A1.Aim2.Bin1.LB</v>
          </cell>
          <cell r="F361">
            <v>3</v>
          </cell>
          <cell r="G361" t="str">
            <v>Unweighted</v>
          </cell>
          <cell r="H361" t="str">
            <v>N</v>
          </cell>
          <cell r="I361" t="str">
            <v>Y</v>
          </cell>
          <cell r="J361">
            <v>144</v>
          </cell>
          <cell r="K361">
            <v>1</v>
          </cell>
          <cell r="L361">
            <v>0.94020000000000004</v>
          </cell>
          <cell r="M361">
            <v>17.5</v>
          </cell>
          <cell r="N361">
            <v>6.6</v>
          </cell>
          <cell r="O361">
            <v>5.9799999999999999E-2</v>
          </cell>
          <cell r="P361">
            <v>5.9799999999999999E-2</v>
          </cell>
          <cell r="Q361">
            <v>0</v>
          </cell>
          <cell r="R361" t="str">
            <v>NA</v>
          </cell>
          <cell r="S361" t="str">
            <v>NA</v>
          </cell>
          <cell r="T361">
            <v>59.2</v>
          </cell>
          <cell r="U361">
            <v>4.8</v>
          </cell>
          <cell r="V361">
            <v>75.099999999999994</v>
          </cell>
          <cell r="W361">
            <v>7.6</v>
          </cell>
          <cell r="X361" t="str">
            <v>NA</v>
          </cell>
          <cell r="Y361" t="str">
            <v>NA</v>
          </cell>
          <cell r="Z361" t="str">
            <v>NA</v>
          </cell>
          <cell r="AA361" t="str">
            <v>NA</v>
          </cell>
        </row>
        <row r="362">
          <cell r="A362">
            <v>45125</v>
          </cell>
          <cell r="B362" t="str">
            <v>A1</v>
          </cell>
          <cell r="C362">
            <v>1</v>
          </cell>
          <cell r="D362" t="str">
            <v>1&amp;2</v>
          </cell>
          <cell r="E362" t="str">
            <v>ARIS.A1.Aim1&amp;Aim2.Bin1.LB</v>
          </cell>
          <cell r="F362">
            <v>3</v>
          </cell>
          <cell r="G362" t="str">
            <v>Unweighted</v>
          </cell>
          <cell r="H362" t="str">
            <v>N</v>
          </cell>
          <cell r="I362" t="str">
            <v>Y</v>
          </cell>
          <cell r="J362">
            <v>257</v>
          </cell>
          <cell r="K362">
            <v>1</v>
          </cell>
          <cell r="L362">
            <v>0.94059999999999999</v>
          </cell>
          <cell r="M362">
            <v>17.600000000000001</v>
          </cell>
          <cell r="N362">
            <v>6.9</v>
          </cell>
          <cell r="O362">
            <v>5.9400000000000001E-2</v>
          </cell>
          <cell r="P362">
            <v>5.0099999999999999E-2</v>
          </cell>
          <cell r="Q362">
            <v>9.2999999999999992E-3</v>
          </cell>
          <cell r="R362" t="str">
            <v>NA</v>
          </cell>
          <cell r="S362" t="str">
            <v>NA</v>
          </cell>
          <cell r="T362">
            <v>59.2</v>
          </cell>
          <cell r="U362">
            <v>4.8</v>
          </cell>
          <cell r="V362">
            <v>75.099999999999994</v>
          </cell>
          <cell r="W362">
            <v>7.6</v>
          </cell>
          <cell r="X362" t="str">
            <v>NA</v>
          </cell>
          <cell r="Y362" t="str">
            <v>NA</v>
          </cell>
          <cell r="Z362" t="str">
            <v>NA</v>
          </cell>
          <cell r="AA362" t="str">
            <v>NA</v>
          </cell>
        </row>
        <row r="363">
          <cell r="A363">
            <v>45125</v>
          </cell>
          <cell r="B363" t="str">
            <v>A1</v>
          </cell>
          <cell r="C363">
            <v>2</v>
          </cell>
          <cell r="D363">
            <v>3</v>
          </cell>
          <cell r="E363" t="str">
            <v>ARIS.A1.Aim3.Bin2.LB</v>
          </cell>
          <cell r="F363">
            <v>3</v>
          </cell>
          <cell r="G363" t="str">
            <v>Unweighted</v>
          </cell>
          <cell r="H363" t="str">
            <v>N</v>
          </cell>
          <cell r="I363" t="str">
            <v>Y</v>
          </cell>
          <cell r="J363">
            <v>139</v>
          </cell>
          <cell r="K363">
            <v>1</v>
          </cell>
          <cell r="L363">
            <v>0.69320000000000004</v>
          </cell>
          <cell r="M363">
            <v>23.7</v>
          </cell>
          <cell r="N363">
            <v>11.4</v>
          </cell>
          <cell r="O363">
            <v>0.30680000000000002</v>
          </cell>
          <cell r="P363">
            <v>0.24690000000000001</v>
          </cell>
          <cell r="Q363">
            <v>5.9900000000000002E-2</v>
          </cell>
          <cell r="R363" t="str">
            <v>NA</v>
          </cell>
          <cell r="S363" t="str">
            <v>NA</v>
          </cell>
          <cell r="T363">
            <v>59.2</v>
          </cell>
          <cell r="U363">
            <v>4.8</v>
          </cell>
          <cell r="V363">
            <v>75.099999999999994</v>
          </cell>
          <cell r="W363">
            <v>7.6</v>
          </cell>
          <cell r="X363" t="str">
            <v>NA</v>
          </cell>
          <cell r="Y363" t="str">
            <v>NA</v>
          </cell>
          <cell r="Z363" t="str">
            <v>NA</v>
          </cell>
          <cell r="AA363" t="str">
            <v>NA</v>
          </cell>
        </row>
        <row r="364">
          <cell r="A364">
            <v>45125</v>
          </cell>
          <cell r="B364" t="str">
            <v>A1</v>
          </cell>
          <cell r="C364">
            <v>3</v>
          </cell>
          <cell r="D364">
            <v>3</v>
          </cell>
          <cell r="E364" t="str">
            <v>ARIS.A1.Aim3.Bin3.LB</v>
          </cell>
          <cell r="F364">
            <v>3</v>
          </cell>
          <cell r="G364" t="str">
            <v>Unweighted</v>
          </cell>
          <cell r="H364" t="str">
            <v>N</v>
          </cell>
          <cell r="I364" t="str">
            <v>Y</v>
          </cell>
          <cell r="J364">
            <v>129</v>
          </cell>
          <cell r="K364">
            <v>0.99990000000000001</v>
          </cell>
          <cell r="L364">
            <v>0.31519999999999998</v>
          </cell>
          <cell r="M364">
            <v>23.7</v>
          </cell>
          <cell r="N364">
            <v>18.7</v>
          </cell>
          <cell r="O364">
            <v>0.68469999999999998</v>
          </cell>
          <cell r="P364">
            <v>0.40189999999999998</v>
          </cell>
          <cell r="Q364">
            <v>0.2828</v>
          </cell>
          <cell r="R364" t="str">
            <v>NA</v>
          </cell>
          <cell r="S364" t="str">
            <v>NA</v>
          </cell>
          <cell r="T364">
            <v>59.2</v>
          </cell>
          <cell r="U364">
            <v>4.8</v>
          </cell>
          <cell r="V364">
            <v>75.099999999999994</v>
          </cell>
          <cell r="W364">
            <v>7.6</v>
          </cell>
          <cell r="X364" t="str">
            <v>NA</v>
          </cell>
          <cell r="Y364" t="str">
            <v>NA</v>
          </cell>
          <cell r="Z364" t="str">
            <v>NA</v>
          </cell>
          <cell r="AA364" t="str">
            <v>NA</v>
          </cell>
        </row>
        <row r="365">
          <cell r="A365">
            <v>45125</v>
          </cell>
          <cell r="B365" t="str">
            <v>A1</v>
          </cell>
          <cell r="C365">
            <v>4</v>
          </cell>
          <cell r="D365">
            <v>3</v>
          </cell>
          <cell r="E365" t="str">
            <v>ARIS.A1.Aim3.Bin4.LB</v>
          </cell>
          <cell r="F365">
            <v>3</v>
          </cell>
          <cell r="G365" t="str">
            <v>Unweighted</v>
          </cell>
          <cell r="H365" t="str">
            <v>N</v>
          </cell>
          <cell r="I365" t="str">
            <v>Y</v>
          </cell>
          <cell r="J365">
            <v>129</v>
          </cell>
          <cell r="K365">
            <v>0.99990000000000001</v>
          </cell>
          <cell r="L365">
            <v>0.31519999999999998</v>
          </cell>
          <cell r="M365">
            <v>23.7</v>
          </cell>
          <cell r="N365">
            <v>18.7</v>
          </cell>
          <cell r="O365">
            <v>0.68469999999999998</v>
          </cell>
          <cell r="P365">
            <v>0.40189999999999998</v>
          </cell>
          <cell r="Q365">
            <v>0.2828</v>
          </cell>
          <cell r="R365" t="str">
            <v>NA</v>
          </cell>
          <cell r="S365" t="str">
            <v>NA</v>
          </cell>
          <cell r="T365">
            <v>59.2</v>
          </cell>
          <cell r="U365">
            <v>4.8</v>
          </cell>
          <cell r="V365">
            <v>75.099999999999994</v>
          </cell>
          <cell r="W365">
            <v>7.6</v>
          </cell>
          <cell r="X365" t="str">
            <v>NA</v>
          </cell>
          <cell r="Y365" t="str">
            <v>NA</v>
          </cell>
          <cell r="Z365" t="str">
            <v>NA</v>
          </cell>
          <cell r="AA365" t="str">
            <v>NA</v>
          </cell>
        </row>
        <row r="366">
          <cell r="A366">
            <v>45125</v>
          </cell>
          <cell r="B366" t="str">
            <v>A2</v>
          </cell>
          <cell r="C366">
            <v>1</v>
          </cell>
          <cell r="D366">
            <v>1</v>
          </cell>
          <cell r="E366" t="str">
            <v>ARIS.A2.Aim1.Bin1.RB</v>
          </cell>
          <cell r="F366">
            <v>3</v>
          </cell>
          <cell r="G366" t="str">
            <v>Unweighted</v>
          </cell>
          <cell r="H366" t="str">
            <v>N</v>
          </cell>
          <cell r="I366" t="str">
            <v>Y</v>
          </cell>
          <cell r="J366">
            <v>150</v>
          </cell>
          <cell r="K366">
            <v>1</v>
          </cell>
          <cell r="L366">
            <v>0.95750000000000002</v>
          </cell>
          <cell r="M366">
            <v>16.600000000000001</v>
          </cell>
          <cell r="N366">
            <v>6</v>
          </cell>
          <cell r="O366">
            <v>4.2500000000000003E-2</v>
          </cell>
          <cell r="P366">
            <v>4.2500000000000003E-2</v>
          </cell>
          <cell r="Q366">
            <v>0</v>
          </cell>
          <cell r="R366" t="str">
            <v>NA</v>
          </cell>
          <cell r="S366" t="str">
            <v>NA</v>
          </cell>
          <cell r="T366">
            <v>59.2</v>
          </cell>
          <cell r="U366">
            <v>4.8</v>
          </cell>
          <cell r="V366">
            <v>75.099999999999994</v>
          </cell>
          <cell r="W366">
            <v>7.6</v>
          </cell>
          <cell r="X366" t="str">
            <v>NA</v>
          </cell>
          <cell r="Y366" t="str">
            <v>NA</v>
          </cell>
          <cell r="Z366" t="str">
            <v>NA</v>
          </cell>
          <cell r="AA366" t="str">
            <v>NA</v>
          </cell>
        </row>
        <row r="367">
          <cell r="A367">
            <v>45125</v>
          </cell>
          <cell r="B367" t="str">
            <v>A2</v>
          </cell>
          <cell r="C367">
            <v>2</v>
          </cell>
          <cell r="D367">
            <v>1</v>
          </cell>
          <cell r="E367" t="str">
            <v>ARIS.A2.Aim1.Bin2.RB</v>
          </cell>
          <cell r="F367">
            <v>3</v>
          </cell>
          <cell r="G367" t="str">
            <v>Unweighted</v>
          </cell>
          <cell r="H367" t="str">
            <v>N</v>
          </cell>
          <cell r="I367" t="str">
            <v>Y</v>
          </cell>
          <cell r="J367">
            <v>139</v>
          </cell>
          <cell r="K367">
            <v>1</v>
          </cell>
          <cell r="L367">
            <v>0.87039999999999995</v>
          </cell>
          <cell r="M367">
            <v>23.7</v>
          </cell>
          <cell r="N367">
            <v>11.3</v>
          </cell>
          <cell r="O367">
            <v>0.12959999999999999</v>
          </cell>
          <cell r="P367">
            <v>5.0299999999999997E-2</v>
          </cell>
          <cell r="Q367">
            <v>7.9299999999999995E-2</v>
          </cell>
          <cell r="R367" t="str">
            <v>NA</v>
          </cell>
          <cell r="S367" t="str">
            <v>NA</v>
          </cell>
          <cell r="T367">
            <v>59.2</v>
          </cell>
          <cell r="U367">
            <v>4.8</v>
          </cell>
          <cell r="V367">
            <v>75.099999999999994</v>
          </cell>
          <cell r="W367">
            <v>7.6</v>
          </cell>
          <cell r="X367" t="str">
            <v>NA</v>
          </cell>
          <cell r="Y367" t="str">
            <v>NA</v>
          </cell>
          <cell r="Z367" t="str">
            <v>NA</v>
          </cell>
          <cell r="AA367" t="str">
            <v>NA</v>
          </cell>
        </row>
        <row r="368">
          <cell r="A368">
            <v>45125</v>
          </cell>
          <cell r="B368" t="str">
            <v>A2</v>
          </cell>
          <cell r="C368">
            <v>3</v>
          </cell>
          <cell r="D368">
            <v>1</v>
          </cell>
          <cell r="E368" t="str">
            <v>ARIS.A2.Aim1.Bin3.RB</v>
          </cell>
          <cell r="F368">
            <v>3</v>
          </cell>
          <cell r="G368" t="str">
            <v>Unweighted</v>
          </cell>
          <cell r="H368" t="str">
            <v>N</v>
          </cell>
          <cell r="I368" t="str">
            <v>Y</v>
          </cell>
          <cell r="J368">
            <v>90</v>
          </cell>
          <cell r="K368">
            <v>1</v>
          </cell>
          <cell r="L368">
            <v>0.60719999999999996</v>
          </cell>
          <cell r="M368">
            <v>23.7</v>
          </cell>
          <cell r="N368">
            <v>10.9</v>
          </cell>
          <cell r="O368">
            <v>0.39279999999999998</v>
          </cell>
          <cell r="P368">
            <v>0.18090000000000001</v>
          </cell>
          <cell r="Q368">
            <v>0.21190000000000001</v>
          </cell>
          <cell r="R368" t="str">
            <v>NA</v>
          </cell>
          <cell r="S368" t="str">
            <v>NA</v>
          </cell>
          <cell r="T368">
            <v>59.2</v>
          </cell>
          <cell r="U368">
            <v>4.8</v>
          </cell>
          <cell r="V368">
            <v>75.099999999999994</v>
          </cell>
          <cell r="W368">
            <v>7.6</v>
          </cell>
          <cell r="X368" t="str">
            <v>NA</v>
          </cell>
          <cell r="Y368" t="str">
            <v>NA</v>
          </cell>
          <cell r="Z368" t="str">
            <v>NA</v>
          </cell>
          <cell r="AA368" t="str">
            <v>NA</v>
          </cell>
        </row>
        <row r="369">
          <cell r="A369">
            <v>45125</v>
          </cell>
          <cell r="B369" t="str">
            <v>A2</v>
          </cell>
          <cell r="C369">
            <v>4</v>
          </cell>
          <cell r="D369">
            <v>1</v>
          </cell>
          <cell r="E369" t="str">
            <v>ARIS.A2.Aim1.Bin4.RB</v>
          </cell>
          <cell r="F369">
            <v>3</v>
          </cell>
          <cell r="G369" t="str">
            <v>Unweighted</v>
          </cell>
          <cell r="H369" t="str">
            <v>N</v>
          </cell>
          <cell r="I369" t="str">
            <v>Y</v>
          </cell>
          <cell r="J369">
            <v>90</v>
          </cell>
          <cell r="K369">
            <v>1</v>
          </cell>
          <cell r="L369">
            <v>0.60719999999999996</v>
          </cell>
          <cell r="M369">
            <v>23.7</v>
          </cell>
          <cell r="N369">
            <v>10.9</v>
          </cell>
          <cell r="O369">
            <v>0.39279999999999998</v>
          </cell>
          <cell r="P369">
            <v>0.18090000000000001</v>
          </cell>
          <cell r="Q369">
            <v>0.21190000000000001</v>
          </cell>
          <cell r="R369" t="str">
            <v>NA</v>
          </cell>
          <cell r="S369" t="str">
            <v>NA</v>
          </cell>
          <cell r="T369">
            <v>59.2</v>
          </cell>
          <cell r="U369">
            <v>4.8</v>
          </cell>
          <cell r="V369">
            <v>75.099999999999994</v>
          </cell>
          <cell r="W369">
            <v>7.6</v>
          </cell>
          <cell r="X369" t="str">
            <v>NA</v>
          </cell>
          <cell r="Y369" t="str">
            <v>NA</v>
          </cell>
          <cell r="Z369" t="str">
            <v>NA</v>
          </cell>
          <cell r="AA369" t="str">
            <v>NA</v>
          </cell>
        </row>
        <row r="370">
          <cell r="A370">
            <v>45125</v>
          </cell>
          <cell r="B370" t="str">
            <v>A2</v>
          </cell>
          <cell r="C370">
            <v>1</v>
          </cell>
          <cell r="D370">
            <v>1</v>
          </cell>
          <cell r="E370" t="str">
            <v>ARIS.A2.Aim1.Bin1.RB</v>
          </cell>
          <cell r="F370">
            <v>3</v>
          </cell>
          <cell r="G370" t="str">
            <v>SplineDFA</v>
          </cell>
          <cell r="H370" t="str">
            <v>Y</v>
          </cell>
          <cell r="I370" t="str">
            <v>N</v>
          </cell>
          <cell r="J370">
            <v>150</v>
          </cell>
          <cell r="K370">
            <v>1</v>
          </cell>
          <cell r="L370">
            <v>0.97330000000000005</v>
          </cell>
          <cell r="M370">
            <v>23.7</v>
          </cell>
          <cell r="N370">
            <v>2.7</v>
          </cell>
          <cell r="O370">
            <v>2.6700000000000002E-2</v>
          </cell>
          <cell r="P370">
            <v>2.6700000000000002E-2</v>
          </cell>
          <cell r="Q370">
            <v>0</v>
          </cell>
          <cell r="R370" t="str">
            <v>NA</v>
          </cell>
          <cell r="S370" t="str">
            <v>NA</v>
          </cell>
          <cell r="T370">
            <v>59.2</v>
          </cell>
          <cell r="U370">
            <v>4.8</v>
          </cell>
          <cell r="V370">
            <v>75.099999999999994</v>
          </cell>
          <cell r="W370">
            <v>7.6</v>
          </cell>
          <cell r="X370" t="str">
            <v>NA</v>
          </cell>
          <cell r="Y370" t="str">
            <v>NA</v>
          </cell>
          <cell r="Z370" t="str">
            <v>NA</v>
          </cell>
          <cell r="AA370" t="str">
            <v>NA</v>
          </cell>
        </row>
        <row r="371">
          <cell r="A371">
            <v>45125</v>
          </cell>
          <cell r="B371" t="str">
            <v>A2</v>
          </cell>
          <cell r="C371">
            <v>2</v>
          </cell>
          <cell r="D371">
            <v>1</v>
          </cell>
          <cell r="E371" t="str">
            <v>ARIS.A2.Aim1.Bin2.RB</v>
          </cell>
          <cell r="F371">
            <v>3</v>
          </cell>
          <cell r="G371" t="str">
            <v>SplineDFA</v>
          </cell>
          <cell r="H371" t="str">
            <v>Y</v>
          </cell>
          <cell r="I371" t="str">
            <v>N</v>
          </cell>
          <cell r="J371">
            <v>139</v>
          </cell>
          <cell r="K371">
            <v>1</v>
          </cell>
          <cell r="L371">
            <v>0.65659999999999996</v>
          </cell>
          <cell r="M371">
            <v>23.7</v>
          </cell>
          <cell r="N371">
            <v>2.7</v>
          </cell>
          <cell r="O371">
            <v>0.34339999999999998</v>
          </cell>
          <cell r="P371">
            <v>0.28149999999999997</v>
          </cell>
          <cell r="Q371">
            <v>6.1899999999999997E-2</v>
          </cell>
          <cell r="R371" t="str">
            <v>NA</v>
          </cell>
          <cell r="S371" t="str">
            <v>NA</v>
          </cell>
          <cell r="T371">
            <v>59.2</v>
          </cell>
          <cell r="U371">
            <v>4.8</v>
          </cell>
          <cell r="V371">
            <v>75.099999999999994</v>
          </cell>
          <cell r="W371">
            <v>7.6</v>
          </cell>
          <cell r="X371" t="str">
            <v>NA</v>
          </cell>
          <cell r="Y371" t="str">
            <v>NA</v>
          </cell>
          <cell r="Z371" t="str">
            <v>NA</v>
          </cell>
          <cell r="AA371" t="str">
            <v>NA</v>
          </cell>
        </row>
        <row r="372">
          <cell r="A372">
            <v>45125</v>
          </cell>
          <cell r="B372" t="str">
            <v>A2</v>
          </cell>
          <cell r="C372">
            <v>3</v>
          </cell>
          <cell r="D372">
            <v>1</v>
          </cell>
          <cell r="E372" t="str">
            <v>ARIS.A2.Aim1.Bin3.RB</v>
          </cell>
          <cell r="F372">
            <v>3</v>
          </cell>
          <cell r="G372" t="str">
            <v>SplineDFA</v>
          </cell>
          <cell r="H372" t="str">
            <v>Y</v>
          </cell>
          <cell r="I372" t="str">
            <v>N</v>
          </cell>
          <cell r="J372">
            <v>90</v>
          </cell>
          <cell r="K372">
            <v>1</v>
          </cell>
          <cell r="L372">
            <v>0.38540000000000002</v>
          </cell>
          <cell r="M372">
            <v>23.7</v>
          </cell>
          <cell r="N372">
            <v>2.7</v>
          </cell>
          <cell r="O372">
            <v>0.61460000000000004</v>
          </cell>
          <cell r="P372">
            <v>0.35139999999999999</v>
          </cell>
          <cell r="Q372">
            <v>0.26319999999999999</v>
          </cell>
          <cell r="R372" t="str">
            <v>NA</v>
          </cell>
          <cell r="S372" t="str">
            <v>NA</v>
          </cell>
          <cell r="T372">
            <v>59.2</v>
          </cell>
          <cell r="U372">
            <v>4.8</v>
          </cell>
          <cell r="V372">
            <v>75.099999999999994</v>
          </cell>
          <cell r="W372">
            <v>7.6</v>
          </cell>
          <cell r="X372" t="str">
            <v>NA</v>
          </cell>
          <cell r="Y372" t="str">
            <v>NA</v>
          </cell>
          <cell r="Z372" t="str">
            <v>NA</v>
          </cell>
          <cell r="AA372" t="str">
            <v>NA</v>
          </cell>
        </row>
        <row r="373">
          <cell r="A373">
            <v>45125</v>
          </cell>
          <cell r="B373" t="str">
            <v>A2</v>
          </cell>
          <cell r="C373">
            <v>4</v>
          </cell>
          <cell r="D373">
            <v>1</v>
          </cell>
          <cell r="E373" t="str">
            <v>ARIS.A2.Aim1.Bin4.RB</v>
          </cell>
          <cell r="F373">
            <v>3</v>
          </cell>
          <cell r="G373" t="str">
            <v>SplineDFA</v>
          </cell>
          <cell r="H373" t="str">
            <v>Y</v>
          </cell>
          <cell r="I373" t="str">
            <v>N</v>
          </cell>
          <cell r="J373">
            <v>90</v>
          </cell>
          <cell r="K373">
            <v>1</v>
          </cell>
          <cell r="L373">
            <v>0.38540000000000002</v>
          </cell>
          <cell r="M373">
            <v>23.7</v>
          </cell>
          <cell r="N373">
            <v>2.7</v>
          </cell>
          <cell r="O373">
            <v>0.61460000000000004</v>
          </cell>
          <cell r="P373">
            <v>0.35139999999999999</v>
          </cell>
          <cell r="Q373">
            <v>0.26319999999999999</v>
          </cell>
          <cell r="R373" t="str">
            <v>NA</v>
          </cell>
          <cell r="S373" t="str">
            <v>NA</v>
          </cell>
          <cell r="T373">
            <v>59.2</v>
          </cell>
          <cell r="U373">
            <v>4.8</v>
          </cell>
          <cell r="V373">
            <v>75.099999999999994</v>
          </cell>
          <cell r="W373">
            <v>7.6</v>
          </cell>
          <cell r="X373" t="str">
            <v>NA</v>
          </cell>
          <cell r="Y373" t="str">
            <v>NA</v>
          </cell>
          <cell r="Z373" t="str">
            <v>NA</v>
          </cell>
          <cell r="AA373" t="str">
            <v>NA</v>
          </cell>
        </row>
        <row r="374">
          <cell r="A374">
            <v>45125</v>
          </cell>
          <cell r="B374" t="str">
            <v>A1</v>
          </cell>
          <cell r="C374">
            <v>1</v>
          </cell>
          <cell r="D374">
            <v>1</v>
          </cell>
          <cell r="E374" t="str">
            <v>ARIS.A1.Aim1.Bin1.LB</v>
          </cell>
          <cell r="F374">
            <v>4</v>
          </cell>
          <cell r="G374" t="str">
            <v>Unweighted</v>
          </cell>
          <cell r="H374" t="str">
            <v>N</v>
          </cell>
          <cell r="I374" t="str">
            <v>N</v>
          </cell>
          <cell r="J374">
            <v>113</v>
          </cell>
          <cell r="K374">
            <v>0.99990000000000001</v>
          </cell>
          <cell r="L374">
            <v>0.90559999999999996</v>
          </cell>
          <cell r="M374">
            <v>16.600000000000001</v>
          </cell>
          <cell r="N374">
            <v>5.8</v>
          </cell>
          <cell r="O374">
            <v>9.4299999999999995E-2</v>
          </cell>
          <cell r="P374">
            <v>3.3700000000000001E-2</v>
          </cell>
          <cell r="Q374">
            <v>2.23E-2</v>
          </cell>
          <cell r="R374" t="str">
            <v>NA</v>
          </cell>
          <cell r="S374">
            <v>3.8300000000000001E-2</v>
          </cell>
          <cell r="T374">
            <v>59.2</v>
          </cell>
          <cell r="U374">
            <v>4.8</v>
          </cell>
          <cell r="V374">
            <v>75.099999999999994</v>
          </cell>
          <cell r="W374">
            <v>7.6</v>
          </cell>
          <cell r="X374" t="str">
            <v>NA</v>
          </cell>
          <cell r="Y374" t="str">
            <v>NA</v>
          </cell>
          <cell r="Z374">
            <v>39.1</v>
          </cell>
          <cell r="AA374">
            <v>3.5</v>
          </cell>
        </row>
        <row r="375">
          <cell r="A375">
            <v>45125</v>
          </cell>
          <cell r="B375" t="str">
            <v>A1</v>
          </cell>
          <cell r="C375">
            <v>1</v>
          </cell>
          <cell r="D375">
            <v>2</v>
          </cell>
          <cell r="E375" t="str">
            <v>ARIS.A1.Aim2.Bin1.LB</v>
          </cell>
          <cell r="F375">
            <v>4</v>
          </cell>
          <cell r="G375" t="str">
            <v>Unweighted</v>
          </cell>
          <cell r="H375" t="str">
            <v>N</v>
          </cell>
          <cell r="I375" t="str">
            <v>N</v>
          </cell>
          <cell r="J375">
            <v>144</v>
          </cell>
          <cell r="K375">
            <v>1</v>
          </cell>
          <cell r="L375">
            <v>0.88190000000000002</v>
          </cell>
          <cell r="M375">
            <v>16.600000000000001</v>
          </cell>
          <cell r="N375">
            <v>5.5</v>
          </cell>
          <cell r="O375">
            <v>0.1181</v>
          </cell>
          <cell r="P375">
            <v>5.0700000000000002E-2</v>
          </cell>
          <cell r="Q375">
            <v>0</v>
          </cell>
          <cell r="R375" t="str">
            <v>NA</v>
          </cell>
          <cell r="S375">
            <v>6.7400000000000002E-2</v>
          </cell>
          <cell r="T375">
            <v>59.2</v>
          </cell>
          <cell r="U375">
            <v>4.8</v>
          </cell>
          <cell r="V375">
            <v>75.099999999999994</v>
          </cell>
          <cell r="W375">
            <v>7.6</v>
          </cell>
          <cell r="X375" t="str">
            <v>NA</v>
          </cell>
          <cell r="Y375" t="str">
            <v>NA</v>
          </cell>
          <cell r="Z375">
            <v>39.1</v>
          </cell>
          <cell r="AA375">
            <v>3.5</v>
          </cell>
        </row>
        <row r="376">
          <cell r="A376">
            <v>45125</v>
          </cell>
          <cell r="B376" t="str">
            <v>A1</v>
          </cell>
          <cell r="C376">
            <v>1</v>
          </cell>
          <cell r="D376" t="str">
            <v>1&amp;2</v>
          </cell>
          <cell r="E376" t="str">
            <v>ARIS.A1.Aim1&amp;Aim2.Bin1.LB</v>
          </cell>
          <cell r="F376">
            <v>4</v>
          </cell>
          <cell r="G376" t="str">
            <v>Unweighted</v>
          </cell>
          <cell r="H376" t="str">
            <v>N</v>
          </cell>
          <cell r="I376" t="str">
            <v>N</v>
          </cell>
          <cell r="J376">
            <v>257</v>
          </cell>
          <cell r="K376">
            <v>1</v>
          </cell>
          <cell r="L376">
            <v>0.92900000000000005</v>
          </cell>
          <cell r="M376">
            <v>23.7</v>
          </cell>
          <cell r="N376">
            <v>9.1</v>
          </cell>
          <cell r="O376">
            <v>7.0999999999999994E-2</v>
          </cell>
          <cell r="P376">
            <v>5.5800000000000002E-2</v>
          </cell>
          <cell r="Q376">
            <v>1.52E-2</v>
          </cell>
          <cell r="R376" t="str">
            <v>NA</v>
          </cell>
          <cell r="S376">
            <v>0</v>
          </cell>
          <cell r="T376">
            <v>59.2</v>
          </cell>
          <cell r="U376">
            <v>4.8</v>
          </cell>
          <cell r="V376">
            <v>75.099999999999994</v>
          </cell>
          <cell r="W376">
            <v>7.6</v>
          </cell>
          <cell r="X376" t="str">
            <v>NA</v>
          </cell>
          <cell r="Y376" t="str">
            <v>NA</v>
          </cell>
          <cell r="Z376">
            <v>39.1</v>
          </cell>
          <cell r="AA376">
            <v>3.5</v>
          </cell>
        </row>
        <row r="377">
          <cell r="A377">
            <v>45125</v>
          </cell>
          <cell r="B377" t="str">
            <v>A1</v>
          </cell>
          <cell r="C377">
            <v>2</v>
          </cell>
          <cell r="D377">
            <v>3</v>
          </cell>
          <cell r="E377" t="str">
            <v>ARIS.A1.Aim3.Bin2.LB</v>
          </cell>
          <cell r="F377">
            <v>4</v>
          </cell>
          <cell r="G377" t="str">
            <v>Unweighted</v>
          </cell>
          <cell r="H377" t="str">
            <v>N</v>
          </cell>
          <cell r="I377" t="str">
            <v>N</v>
          </cell>
          <cell r="J377">
            <v>139</v>
          </cell>
          <cell r="K377">
            <v>0.99990000000000001</v>
          </cell>
          <cell r="L377">
            <v>0.43259999999999998</v>
          </cell>
          <cell r="M377">
            <v>26.1</v>
          </cell>
          <cell r="N377">
            <v>5.2</v>
          </cell>
          <cell r="O377">
            <v>0.56730000000000003</v>
          </cell>
          <cell r="P377">
            <v>0.2581</v>
          </cell>
          <cell r="Q377">
            <v>5.9200000000000003E-2</v>
          </cell>
          <cell r="R377" t="str">
            <v>NA</v>
          </cell>
          <cell r="S377">
            <v>0.25</v>
          </cell>
          <cell r="T377">
            <v>59.2</v>
          </cell>
          <cell r="U377">
            <v>4.8</v>
          </cell>
          <cell r="V377">
            <v>75.099999999999994</v>
          </cell>
          <cell r="W377">
            <v>7.6</v>
          </cell>
          <cell r="X377" t="str">
            <v>NA</v>
          </cell>
          <cell r="Y377" t="str">
            <v>NA</v>
          </cell>
          <cell r="Z377">
            <v>39.1</v>
          </cell>
          <cell r="AA377">
            <v>3.5</v>
          </cell>
        </row>
        <row r="378">
          <cell r="A378">
            <v>45125</v>
          </cell>
          <cell r="B378" t="str">
            <v>A1</v>
          </cell>
          <cell r="C378">
            <v>3</v>
          </cell>
          <cell r="D378">
            <v>3</v>
          </cell>
          <cell r="E378" t="str">
            <v>ARIS.A1.Aim3.Bin3.LB</v>
          </cell>
          <cell r="F378">
            <v>4</v>
          </cell>
          <cell r="G378" t="str">
            <v>Unweighted</v>
          </cell>
          <cell r="H378" t="str">
            <v>N</v>
          </cell>
          <cell r="I378" t="str">
            <v>N</v>
          </cell>
          <cell r="J378">
            <v>129</v>
          </cell>
          <cell r="K378">
            <v>1</v>
          </cell>
          <cell r="L378">
            <v>7.4899999999999994E-2</v>
          </cell>
          <cell r="M378">
            <v>29</v>
          </cell>
          <cell r="N378">
            <v>3</v>
          </cell>
          <cell r="O378">
            <v>0.92510000000000003</v>
          </cell>
          <cell r="P378">
            <v>0.44019999999999998</v>
          </cell>
          <cell r="Q378">
            <v>0.28289999999999998</v>
          </cell>
          <cell r="R378" t="str">
            <v>NA</v>
          </cell>
          <cell r="S378">
            <v>0.20200000000000001</v>
          </cell>
          <cell r="T378">
            <v>59.2</v>
          </cell>
          <cell r="U378">
            <v>4.8</v>
          </cell>
          <cell r="V378">
            <v>75.099999999999994</v>
          </cell>
          <cell r="W378">
            <v>7.6</v>
          </cell>
          <cell r="X378" t="str">
            <v>NA</v>
          </cell>
          <cell r="Y378" t="str">
            <v>NA</v>
          </cell>
          <cell r="Z378">
            <v>39.1</v>
          </cell>
          <cell r="AA378">
            <v>3.5</v>
          </cell>
        </row>
        <row r="379">
          <cell r="A379">
            <v>45125</v>
          </cell>
          <cell r="B379" t="str">
            <v>A1</v>
          </cell>
          <cell r="C379">
            <v>4</v>
          </cell>
          <cell r="D379">
            <v>3</v>
          </cell>
          <cell r="E379" t="str">
            <v>ARIS.A1.Aim3.Bin4.LB</v>
          </cell>
          <cell r="F379">
            <v>4</v>
          </cell>
          <cell r="G379" t="str">
            <v>Unweighted</v>
          </cell>
          <cell r="H379" t="str">
            <v>N</v>
          </cell>
          <cell r="I379" t="str">
            <v>N</v>
          </cell>
          <cell r="J379">
            <v>129</v>
          </cell>
          <cell r="K379">
            <v>1</v>
          </cell>
          <cell r="L379">
            <v>7.4899999999999994E-2</v>
          </cell>
          <cell r="M379">
            <v>29</v>
          </cell>
          <cell r="N379">
            <v>3</v>
          </cell>
          <cell r="O379">
            <v>0.92510000000000003</v>
          </cell>
          <cell r="P379">
            <v>0.44019999999999998</v>
          </cell>
          <cell r="Q379">
            <v>0.28289999999999998</v>
          </cell>
          <cell r="R379" t="str">
            <v>NA</v>
          </cell>
          <cell r="S379">
            <v>0.20200000000000001</v>
          </cell>
          <cell r="T379">
            <v>59.2</v>
          </cell>
          <cell r="U379">
            <v>4.8</v>
          </cell>
          <cell r="V379">
            <v>75.099999999999994</v>
          </cell>
          <cell r="W379">
            <v>7.6</v>
          </cell>
          <cell r="X379" t="str">
            <v>NA</v>
          </cell>
          <cell r="Y379" t="str">
            <v>NA</v>
          </cell>
          <cell r="Z379">
            <v>39.1</v>
          </cell>
          <cell r="AA379">
            <v>3.5</v>
          </cell>
        </row>
        <row r="380">
          <cell r="A380">
            <v>45125</v>
          </cell>
          <cell r="B380" t="str">
            <v>A2</v>
          </cell>
          <cell r="C380">
            <v>1</v>
          </cell>
          <cell r="D380">
            <v>1</v>
          </cell>
          <cell r="E380" t="str">
            <v>ARIS.A2.Aim1.Bin1.RB</v>
          </cell>
          <cell r="F380">
            <v>4</v>
          </cell>
          <cell r="G380" t="str">
            <v>Unweighted</v>
          </cell>
          <cell r="H380" t="str">
            <v>N</v>
          </cell>
          <cell r="I380" t="str">
            <v>N</v>
          </cell>
          <cell r="J380">
            <v>150</v>
          </cell>
          <cell r="K380">
            <v>1</v>
          </cell>
          <cell r="L380">
            <v>0.92310000000000003</v>
          </cell>
          <cell r="M380">
            <v>16.100000000000001</v>
          </cell>
          <cell r="N380">
            <v>5.0999999999999996</v>
          </cell>
          <cell r="O380">
            <v>7.6899999999999996E-2</v>
          </cell>
          <cell r="P380">
            <v>1.34E-2</v>
          </cell>
          <cell r="Q380">
            <v>0</v>
          </cell>
          <cell r="R380" t="str">
            <v>NA</v>
          </cell>
          <cell r="S380">
            <v>6.3500000000000001E-2</v>
          </cell>
          <cell r="T380">
            <v>59.2</v>
          </cell>
          <cell r="U380">
            <v>4.8</v>
          </cell>
          <cell r="V380">
            <v>75.099999999999994</v>
          </cell>
          <cell r="W380">
            <v>7.6</v>
          </cell>
          <cell r="X380" t="str">
            <v>NA</v>
          </cell>
          <cell r="Y380" t="str">
            <v>NA</v>
          </cell>
          <cell r="Z380">
            <v>39.1</v>
          </cell>
          <cell r="AA380">
            <v>3.5</v>
          </cell>
        </row>
        <row r="381">
          <cell r="A381">
            <v>45125</v>
          </cell>
          <cell r="B381" t="str">
            <v>A2</v>
          </cell>
          <cell r="C381">
            <v>2</v>
          </cell>
          <cell r="D381">
            <v>1</v>
          </cell>
          <cell r="E381" t="str">
            <v>ARIS.A2.Aim1.Bin2.RB</v>
          </cell>
          <cell r="F381">
            <v>4</v>
          </cell>
          <cell r="G381" t="str">
            <v>Unweighted</v>
          </cell>
          <cell r="H381" t="str">
            <v>N</v>
          </cell>
          <cell r="I381" t="str">
            <v>N</v>
          </cell>
          <cell r="J381">
            <v>139</v>
          </cell>
          <cell r="K381">
            <v>1</v>
          </cell>
          <cell r="L381">
            <v>0.60329999999999995</v>
          </cell>
          <cell r="M381">
            <v>24.3</v>
          </cell>
          <cell r="N381">
            <v>5.3</v>
          </cell>
          <cell r="O381">
            <v>0.3967</v>
          </cell>
          <cell r="P381">
            <v>6.0400000000000002E-2</v>
          </cell>
          <cell r="Q381">
            <v>7.7600000000000002E-2</v>
          </cell>
          <cell r="R381" t="str">
            <v>NA</v>
          </cell>
          <cell r="S381">
            <v>0.25869999999999999</v>
          </cell>
          <cell r="T381">
            <v>59.2</v>
          </cell>
          <cell r="U381">
            <v>4.8</v>
          </cell>
          <cell r="V381">
            <v>75.099999999999994</v>
          </cell>
          <cell r="W381">
            <v>7.6</v>
          </cell>
          <cell r="X381" t="str">
            <v>NA</v>
          </cell>
          <cell r="Y381" t="str">
            <v>NA</v>
          </cell>
          <cell r="Z381">
            <v>39.1</v>
          </cell>
          <cell r="AA381">
            <v>3.5</v>
          </cell>
        </row>
        <row r="382">
          <cell r="A382">
            <v>45125</v>
          </cell>
          <cell r="B382" t="str">
            <v>A2</v>
          </cell>
          <cell r="C382">
            <v>3</v>
          </cell>
          <cell r="D382">
            <v>1</v>
          </cell>
          <cell r="E382" t="str">
            <v>ARIS.A2.Aim1.Bin3.RB</v>
          </cell>
          <cell r="F382">
            <v>4</v>
          </cell>
          <cell r="G382" t="str">
            <v>Unweighted</v>
          </cell>
          <cell r="H382" t="str">
            <v>N</v>
          </cell>
          <cell r="I382" t="str">
            <v>N</v>
          </cell>
          <cell r="J382">
            <v>90</v>
          </cell>
          <cell r="K382">
            <v>1</v>
          </cell>
          <cell r="L382">
            <v>0.46189999999999998</v>
          </cell>
          <cell r="M382">
            <v>28.7</v>
          </cell>
          <cell r="N382">
            <v>4.5999999999999996</v>
          </cell>
          <cell r="O382">
            <v>0.53810000000000002</v>
          </cell>
          <cell r="P382">
            <v>0.19950000000000001</v>
          </cell>
          <cell r="Q382">
            <v>0.2094</v>
          </cell>
          <cell r="R382" t="str">
            <v>NA</v>
          </cell>
          <cell r="S382">
            <v>0.12920000000000001</v>
          </cell>
          <cell r="T382">
            <v>59.2</v>
          </cell>
          <cell r="U382">
            <v>4.8</v>
          </cell>
          <cell r="V382">
            <v>75.099999999999994</v>
          </cell>
          <cell r="W382">
            <v>7.6</v>
          </cell>
          <cell r="X382" t="str">
            <v>NA</v>
          </cell>
          <cell r="Y382" t="str">
            <v>NA</v>
          </cell>
          <cell r="Z382">
            <v>39.1</v>
          </cell>
          <cell r="AA382">
            <v>3.5</v>
          </cell>
        </row>
        <row r="383">
          <cell r="A383">
            <v>45125</v>
          </cell>
          <cell r="B383" t="str">
            <v>A2</v>
          </cell>
          <cell r="C383">
            <v>4</v>
          </cell>
          <cell r="D383">
            <v>1</v>
          </cell>
          <cell r="E383" t="str">
            <v>ARIS.A2.Aim1.Bin4.RB</v>
          </cell>
          <cell r="F383">
            <v>4</v>
          </cell>
          <cell r="G383" t="str">
            <v>Unweighted</v>
          </cell>
          <cell r="H383" t="str">
            <v>N</v>
          </cell>
          <cell r="I383" t="str">
            <v>N</v>
          </cell>
          <cell r="J383">
            <v>90</v>
          </cell>
          <cell r="K383">
            <v>1</v>
          </cell>
          <cell r="L383">
            <v>0.46189999999999998</v>
          </cell>
          <cell r="M383">
            <v>28.7</v>
          </cell>
          <cell r="N383">
            <v>4.5999999999999996</v>
          </cell>
          <cell r="O383">
            <v>0.53810000000000002</v>
          </cell>
          <cell r="P383">
            <v>0.19950000000000001</v>
          </cell>
          <cell r="Q383">
            <v>0.2094</v>
          </cell>
          <cell r="R383" t="str">
            <v>NA</v>
          </cell>
          <cell r="S383">
            <v>0.12920000000000001</v>
          </cell>
          <cell r="T383">
            <v>59.2</v>
          </cell>
          <cell r="U383">
            <v>4.8</v>
          </cell>
          <cell r="V383">
            <v>75.099999999999994</v>
          </cell>
          <cell r="W383">
            <v>7.6</v>
          </cell>
          <cell r="X383" t="str">
            <v>NA</v>
          </cell>
          <cell r="Y383" t="str">
            <v>NA</v>
          </cell>
          <cell r="Z383">
            <v>39.1</v>
          </cell>
          <cell r="AA383">
            <v>3.5</v>
          </cell>
        </row>
        <row r="384">
          <cell r="A384">
            <v>45126</v>
          </cell>
          <cell r="B384" t="str">
            <v>A1</v>
          </cell>
          <cell r="C384">
            <v>1</v>
          </cell>
          <cell r="D384">
            <v>1</v>
          </cell>
          <cell r="E384" t="str">
            <v>ARIS.A1.Aim1.Bin1.LB</v>
          </cell>
          <cell r="F384">
            <v>3</v>
          </cell>
          <cell r="G384" t="str">
            <v>SplineDFA</v>
          </cell>
          <cell r="H384" t="str">
            <v>Y</v>
          </cell>
          <cell r="I384" t="str">
            <v>N</v>
          </cell>
          <cell r="J384">
            <v>106</v>
          </cell>
          <cell r="K384">
            <v>0.99990000000000001</v>
          </cell>
          <cell r="L384">
            <v>0.93740000000000001</v>
          </cell>
          <cell r="M384">
            <v>23.7</v>
          </cell>
          <cell r="N384">
            <v>2.7</v>
          </cell>
          <cell r="O384">
            <v>6.25E-2</v>
          </cell>
          <cell r="P384">
            <v>4.8599999999999997E-2</v>
          </cell>
          <cell r="Q384">
            <v>1.3899999999999999E-2</v>
          </cell>
          <cell r="R384" t="str">
            <v>NA</v>
          </cell>
          <cell r="S384" t="str">
            <v>NA</v>
          </cell>
          <cell r="T384">
            <v>59.5</v>
          </cell>
          <cell r="U384">
            <v>4.8</v>
          </cell>
          <cell r="V384">
            <v>74.8</v>
          </cell>
          <cell r="W384">
            <v>7.6</v>
          </cell>
          <cell r="X384" t="str">
            <v>NA</v>
          </cell>
          <cell r="Y384" t="str">
            <v>NA</v>
          </cell>
          <cell r="Z384" t="str">
            <v>NA</v>
          </cell>
          <cell r="AA384" t="str">
            <v>NA</v>
          </cell>
        </row>
        <row r="385">
          <cell r="A385">
            <v>45126</v>
          </cell>
          <cell r="B385" t="str">
            <v>A1</v>
          </cell>
          <cell r="C385">
            <v>1</v>
          </cell>
          <cell r="D385">
            <v>2</v>
          </cell>
          <cell r="E385" t="str">
            <v>ARIS.A1.Aim2.Bin1.LB</v>
          </cell>
          <cell r="F385">
            <v>3</v>
          </cell>
          <cell r="G385" t="str">
            <v>SplineDFA</v>
          </cell>
          <cell r="H385" t="str">
            <v>Y</v>
          </cell>
          <cell r="I385" t="str">
            <v>N</v>
          </cell>
          <cell r="J385">
            <v>155</v>
          </cell>
          <cell r="K385">
            <v>1</v>
          </cell>
          <cell r="L385">
            <v>0.96299999999999997</v>
          </cell>
          <cell r="M385">
            <v>23.7</v>
          </cell>
          <cell r="N385">
            <v>2.7</v>
          </cell>
          <cell r="O385">
            <v>3.6999999999999998E-2</v>
          </cell>
          <cell r="P385">
            <v>3.6999999999999998E-2</v>
          </cell>
          <cell r="Q385">
            <v>0</v>
          </cell>
          <cell r="R385" t="str">
            <v>NA</v>
          </cell>
          <cell r="S385" t="str">
            <v>NA</v>
          </cell>
          <cell r="T385">
            <v>59.5</v>
          </cell>
          <cell r="U385">
            <v>4.8</v>
          </cell>
          <cell r="V385">
            <v>74.8</v>
          </cell>
          <cell r="W385">
            <v>7.6</v>
          </cell>
          <cell r="X385" t="str">
            <v>NA</v>
          </cell>
          <cell r="Y385" t="str">
            <v>NA</v>
          </cell>
          <cell r="Z385" t="str">
            <v>NA</v>
          </cell>
          <cell r="AA385" t="str">
            <v>NA</v>
          </cell>
        </row>
        <row r="386">
          <cell r="A386">
            <v>45126</v>
          </cell>
          <cell r="B386" t="str">
            <v>A1</v>
          </cell>
          <cell r="C386">
            <v>2</v>
          </cell>
          <cell r="D386">
            <v>3</v>
          </cell>
          <cell r="E386" t="str">
            <v>ARIS.A1.Aim3.Bin2.LB</v>
          </cell>
          <cell r="F386">
            <v>3</v>
          </cell>
          <cell r="G386" t="str">
            <v>SplineDFA</v>
          </cell>
          <cell r="H386" t="str">
            <v>Y</v>
          </cell>
          <cell r="I386" t="str">
            <v>N</v>
          </cell>
          <cell r="J386">
            <v>116</v>
          </cell>
          <cell r="K386">
            <v>1</v>
          </cell>
          <cell r="L386">
            <v>0.57050000000000001</v>
          </cell>
          <cell r="M386">
            <v>23.7</v>
          </cell>
          <cell r="N386">
            <v>2.7</v>
          </cell>
          <cell r="O386">
            <v>0.42949999999999999</v>
          </cell>
          <cell r="P386">
            <v>0.40360000000000001</v>
          </cell>
          <cell r="Q386">
            <v>2.5899999999999999E-2</v>
          </cell>
          <cell r="R386" t="str">
            <v>NA</v>
          </cell>
          <cell r="S386" t="str">
            <v>NA</v>
          </cell>
          <cell r="T386">
            <v>59.5</v>
          </cell>
          <cell r="U386">
            <v>4.8</v>
          </cell>
          <cell r="V386">
            <v>74.8</v>
          </cell>
          <cell r="W386">
            <v>7.6</v>
          </cell>
          <cell r="X386" t="str">
            <v>NA</v>
          </cell>
          <cell r="Y386" t="str">
            <v>NA</v>
          </cell>
          <cell r="Z386" t="str">
            <v>NA</v>
          </cell>
          <cell r="AA386" t="str">
            <v>NA</v>
          </cell>
        </row>
        <row r="387">
          <cell r="A387">
            <v>45126</v>
          </cell>
          <cell r="B387" t="str">
            <v>A1</v>
          </cell>
          <cell r="C387">
            <v>3</v>
          </cell>
          <cell r="D387">
            <v>3</v>
          </cell>
          <cell r="E387" t="str">
            <v>ARIS.A1.Aim3.Bin3.LB</v>
          </cell>
          <cell r="F387">
            <v>3</v>
          </cell>
          <cell r="G387" t="str">
            <v>SplineDFA</v>
          </cell>
          <cell r="H387" t="str">
            <v>Y</v>
          </cell>
          <cell r="I387" t="str">
            <v>N</v>
          </cell>
          <cell r="J387">
            <v>97</v>
          </cell>
          <cell r="K387">
            <v>1</v>
          </cell>
          <cell r="L387">
            <v>6.6400000000000001E-2</v>
          </cell>
          <cell r="M387">
            <v>23.7</v>
          </cell>
          <cell r="N387">
            <v>2.7</v>
          </cell>
          <cell r="O387">
            <v>0.93359999999999999</v>
          </cell>
          <cell r="P387">
            <v>0.61709999999999998</v>
          </cell>
          <cell r="Q387">
            <v>0.3165</v>
          </cell>
          <cell r="R387" t="str">
            <v>NA</v>
          </cell>
          <cell r="S387" t="str">
            <v>NA</v>
          </cell>
          <cell r="T387">
            <v>59.5</v>
          </cell>
          <cell r="U387">
            <v>4.8</v>
          </cell>
          <cell r="V387">
            <v>74.8</v>
          </cell>
          <cell r="W387">
            <v>7.6</v>
          </cell>
          <cell r="X387" t="str">
            <v>NA</v>
          </cell>
          <cell r="Y387" t="str">
            <v>NA</v>
          </cell>
          <cell r="Z387" t="str">
            <v>NA</v>
          </cell>
          <cell r="AA387" t="str">
            <v>NA</v>
          </cell>
        </row>
        <row r="388">
          <cell r="A388">
            <v>45126</v>
          </cell>
          <cell r="B388" t="str">
            <v>A1</v>
          </cell>
          <cell r="C388">
            <v>4</v>
          </cell>
          <cell r="D388">
            <v>3</v>
          </cell>
          <cell r="E388" t="str">
            <v>ARIS.A1.Aim3.Bin4.LB</v>
          </cell>
          <cell r="F388">
            <v>3</v>
          </cell>
          <cell r="G388" t="str">
            <v>SplineDFA</v>
          </cell>
          <cell r="H388" t="str">
            <v>Y</v>
          </cell>
          <cell r="I388" t="str">
            <v>N</v>
          </cell>
          <cell r="J388">
            <v>97</v>
          </cell>
          <cell r="K388">
            <v>1</v>
          </cell>
          <cell r="L388">
            <v>6.6400000000000001E-2</v>
          </cell>
          <cell r="M388">
            <v>23.7</v>
          </cell>
          <cell r="N388">
            <v>2.7</v>
          </cell>
          <cell r="O388">
            <v>0.93359999999999999</v>
          </cell>
          <cell r="P388">
            <v>0.61709999999999998</v>
          </cell>
          <cell r="Q388">
            <v>0.3165</v>
          </cell>
          <cell r="R388" t="str">
            <v>NA</v>
          </cell>
          <cell r="S388" t="str">
            <v>NA</v>
          </cell>
          <cell r="T388">
            <v>59.5</v>
          </cell>
          <cell r="U388">
            <v>4.8</v>
          </cell>
          <cell r="V388">
            <v>74.8</v>
          </cell>
          <cell r="W388">
            <v>7.6</v>
          </cell>
          <cell r="X388" t="str">
            <v>NA</v>
          </cell>
          <cell r="Y388" t="str">
            <v>NA</v>
          </cell>
          <cell r="Z388" t="str">
            <v>NA</v>
          </cell>
          <cell r="AA388" t="str">
            <v>NA</v>
          </cell>
        </row>
        <row r="389">
          <cell r="A389">
            <v>45126</v>
          </cell>
          <cell r="B389" t="str">
            <v>A1</v>
          </cell>
          <cell r="C389">
            <v>1</v>
          </cell>
          <cell r="D389">
            <v>1</v>
          </cell>
          <cell r="E389" t="str">
            <v>ARIS.A1.Aim1.Bin1.LB</v>
          </cell>
          <cell r="F389">
            <v>3</v>
          </cell>
          <cell r="G389" t="str">
            <v>Unweighted</v>
          </cell>
          <cell r="H389" t="str">
            <v>N</v>
          </cell>
          <cell r="I389" t="str">
            <v>Y</v>
          </cell>
          <cell r="J389">
            <v>106</v>
          </cell>
          <cell r="K389">
            <v>0.99990000000000001</v>
          </cell>
          <cell r="L389">
            <v>0.96199999999999997</v>
          </cell>
          <cell r="M389">
            <v>19.100000000000001</v>
          </cell>
          <cell r="N389">
            <v>7.4</v>
          </cell>
          <cell r="O389">
            <v>3.7900000000000003E-2</v>
          </cell>
          <cell r="P389">
            <v>1.8499999999999999E-2</v>
          </cell>
          <cell r="Q389">
            <v>1.9400000000000001E-2</v>
          </cell>
          <cell r="R389" t="str">
            <v>NA</v>
          </cell>
          <cell r="S389" t="str">
            <v>NA</v>
          </cell>
          <cell r="T389">
            <v>59.5</v>
          </cell>
          <cell r="U389">
            <v>4.8</v>
          </cell>
          <cell r="V389">
            <v>74.8</v>
          </cell>
          <cell r="W389">
            <v>7.6</v>
          </cell>
          <cell r="X389" t="str">
            <v>NA</v>
          </cell>
          <cell r="Y389" t="str">
            <v>NA</v>
          </cell>
          <cell r="Z389" t="str">
            <v>NA</v>
          </cell>
          <cell r="AA389" t="str">
            <v>NA</v>
          </cell>
        </row>
        <row r="390">
          <cell r="A390">
            <v>45126</v>
          </cell>
          <cell r="B390" t="str">
            <v>A1</v>
          </cell>
          <cell r="C390">
            <v>1</v>
          </cell>
          <cell r="D390">
            <v>2</v>
          </cell>
          <cell r="E390" t="str">
            <v>ARIS.A1.Aim2.Bin1.LB</v>
          </cell>
          <cell r="F390">
            <v>3</v>
          </cell>
          <cell r="G390" t="str">
            <v>Unweighted</v>
          </cell>
          <cell r="H390" t="str">
            <v>N</v>
          </cell>
          <cell r="I390" t="str">
            <v>Y</v>
          </cell>
          <cell r="J390">
            <v>155</v>
          </cell>
          <cell r="K390">
            <v>1</v>
          </cell>
          <cell r="L390">
            <v>0.97470000000000001</v>
          </cell>
          <cell r="M390">
            <v>16.2</v>
          </cell>
          <cell r="N390">
            <v>5.5</v>
          </cell>
          <cell r="O390">
            <v>2.53E-2</v>
          </cell>
          <cell r="P390">
            <v>2.53E-2</v>
          </cell>
          <cell r="Q390">
            <v>0</v>
          </cell>
          <cell r="R390" t="str">
            <v>NA</v>
          </cell>
          <cell r="S390" t="str">
            <v>NA</v>
          </cell>
          <cell r="T390">
            <v>59.5</v>
          </cell>
          <cell r="U390">
            <v>4.8</v>
          </cell>
          <cell r="V390">
            <v>74.8</v>
          </cell>
          <cell r="W390">
            <v>7.6</v>
          </cell>
          <cell r="X390" t="str">
            <v>NA</v>
          </cell>
          <cell r="Y390" t="str">
            <v>NA</v>
          </cell>
          <cell r="Z390" t="str">
            <v>NA</v>
          </cell>
          <cell r="AA390" t="str">
            <v>NA</v>
          </cell>
        </row>
        <row r="391">
          <cell r="A391">
            <v>45126</v>
          </cell>
          <cell r="B391" t="str">
            <v>A1</v>
          </cell>
          <cell r="C391">
            <v>1</v>
          </cell>
          <cell r="D391" t="str">
            <v>1&amp;2</v>
          </cell>
          <cell r="E391" t="str">
            <v>ARIS.A1.Aim1&amp;Aim2.Bin1.LB</v>
          </cell>
          <cell r="F391">
            <v>3</v>
          </cell>
          <cell r="G391" t="str">
            <v>Unweighted</v>
          </cell>
          <cell r="H391" t="str">
            <v>N</v>
          </cell>
          <cell r="I391" t="str">
            <v>Y</v>
          </cell>
          <cell r="J391">
            <v>261</v>
          </cell>
          <cell r="K391">
            <v>1</v>
          </cell>
          <cell r="L391">
            <v>0.97719999999999996</v>
          </cell>
          <cell r="M391">
            <v>17.3</v>
          </cell>
          <cell r="N391">
            <v>7.1</v>
          </cell>
          <cell r="O391">
            <v>2.2800000000000001E-2</v>
          </cell>
          <cell r="P391">
            <v>1.49E-2</v>
          </cell>
          <cell r="Q391">
            <v>7.9000000000000008E-3</v>
          </cell>
          <cell r="R391" t="str">
            <v>NA</v>
          </cell>
          <cell r="S391" t="str">
            <v>NA</v>
          </cell>
          <cell r="T391">
            <v>59.5</v>
          </cell>
          <cell r="U391">
            <v>4.8</v>
          </cell>
          <cell r="V391">
            <v>74.8</v>
          </cell>
          <cell r="W391">
            <v>7.6</v>
          </cell>
          <cell r="X391" t="str">
            <v>NA</v>
          </cell>
          <cell r="Y391" t="str">
            <v>NA</v>
          </cell>
          <cell r="Z391" t="str">
            <v>NA</v>
          </cell>
          <cell r="AA391" t="str">
            <v>NA</v>
          </cell>
        </row>
        <row r="392">
          <cell r="A392">
            <v>45126</v>
          </cell>
          <cell r="B392" t="str">
            <v>A1</v>
          </cell>
          <cell r="C392">
            <v>2</v>
          </cell>
          <cell r="D392">
            <v>3</v>
          </cell>
          <cell r="E392" t="str">
            <v>ARIS.A1.Aim3.Bin2.LB</v>
          </cell>
          <cell r="F392">
            <v>3</v>
          </cell>
          <cell r="G392" t="str">
            <v>Unweighted</v>
          </cell>
          <cell r="H392" t="str">
            <v>N</v>
          </cell>
          <cell r="I392" t="str">
            <v>Y</v>
          </cell>
          <cell r="J392">
            <v>116</v>
          </cell>
          <cell r="K392">
            <v>1</v>
          </cell>
          <cell r="L392">
            <v>0.86829999999999996</v>
          </cell>
          <cell r="M392">
            <v>23.7</v>
          </cell>
          <cell r="N392">
            <v>11.7</v>
          </cell>
          <cell r="O392">
            <v>0.13170000000000001</v>
          </cell>
          <cell r="P392">
            <v>0.1245</v>
          </cell>
          <cell r="Q392">
            <v>7.1999999999999998E-3</v>
          </cell>
          <cell r="R392" t="str">
            <v>NA</v>
          </cell>
          <cell r="S392" t="str">
            <v>NA</v>
          </cell>
          <cell r="T392">
            <v>59.5</v>
          </cell>
          <cell r="U392">
            <v>4.8</v>
          </cell>
          <cell r="V392">
            <v>74.8</v>
          </cell>
          <cell r="W392">
            <v>7.6</v>
          </cell>
          <cell r="X392" t="str">
            <v>NA</v>
          </cell>
          <cell r="Y392" t="str">
            <v>NA</v>
          </cell>
          <cell r="Z392" t="str">
            <v>NA</v>
          </cell>
          <cell r="AA392" t="str">
            <v>NA</v>
          </cell>
        </row>
        <row r="393">
          <cell r="A393">
            <v>45126</v>
          </cell>
          <cell r="B393" t="str">
            <v>A1</v>
          </cell>
          <cell r="C393">
            <v>3</v>
          </cell>
          <cell r="D393">
            <v>3</v>
          </cell>
          <cell r="E393" t="str">
            <v>ARIS.A1.Aim3.Bin3.LB</v>
          </cell>
          <cell r="F393">
            <v>3</v>
          </cell>
          <cell r="G393" t="str">
            <v>Unweighted</v>
          </cell>
          <cell r="H393" t="str">
            <v>N</v>
          </cell>
          <cell r="I393" t="str">
            <v>Y</v>
          </cell>
          <cell r="J393">
            <v>97</v>
          </cell>
          <cell r="K393">
            <v>1</v>
          </cell>
          <cell r="L393">
            <v>0.34229999999999999</v>
          </cell>
          <cell r="M393">
            <v>23.7</v>
          </cell>
          <cell r="N393">
            <v>23.4</v>
          </cell>
          <cell r="O393">
            <v>0.65769999999999995</v>
          </cell>
          <cell r="P393">
            <v>0.35170000000000001</v>
          </cell>
          <cell r="Q393">
            <v>0.30599999999999999</v>
          </cell>
          <cell r="R393" t="str">
            <v>NA</v>
          </cell>
          <cell r="S393" t="str">
            <v>NA</v>
          </cell>
          <cell r="T393">
            <v>59.5</v>
          </cell>
          <cell r="U393">
            <v>4.8</v>
          </cell>
          <cell r="V393">
            <v>74.8</v>
          </cell>
          <cell r="W393">
            <v>7.6</v>
          </cell>
          <cell r="X393" t="str">
            <v>NA</v>
          </cell>
          <cell r="Y393" t="str">
            <v>NA</v>
          </cell>
          <cell r="Z393" t="str">
            <v>NA</v>
          </cell>
          <cell r="AA393" t="str">
            <v>NA</v>
          </cell>
        </row>
        <row r="394">
          <cell r="A394">
            <v>45126</v>
          </cell>
          <cell r="B394" t="str">
            <v>A1</v>
          </cell>
          <cell r="C394">
            <v>4</v>
          </cell>
          <cell r="D394">
            <v>3</v>
          </cell>
          <cell r="E394" t="str">
            <v>ARIS.A1.Aim3.Bin4.LB</v>
          </cell>
          <cell r="F394">
            <v>3</v>
          </cell>
          <cell r="G394" t="str">
            <v>Unweighted</v>
          </cell>
          <cell r="H394" t="str">
            <v>N</v>
          </cell>
          <cell r="I394" t="str">
            <v>Y</v>
          </cell>
          <cell r="J394">
            <v>97</v>
          </cell>
          <cell r="K394">
            <v>1</v>
          </cell>
          <cell r="L394">
            <v>0.34229999999999999</v>
          </cell>
          <cell r="M394">
            <v>23.7</v>
          </cell>
          <cell r="N394">
            <v>23.4</v>
          </cell>
          <cell r="O394">
            <v>0.65769999999999995</v>
          </cell>
          <cell r="P394">
            <v>0.35170000000000001</v>
          </cell>
          <cell r="Q394">
            <v>0.30599999999999999</v>
          </cell>
          <cell r="R394" t="str">
            <v>NA</v>
          </cell>
          <cell r="S394" t="str">
            <v>NA</v>
          </cell>
          <cell r="T394">
            <v>59.5</v>
          </cell>
          <cell r="U394">
            <v>4.8</v>
          </cell>
          <cell r="V394">
            <v>74.8</v>
          </cell>
          <cell r="W394">
            <v>7.6</v>
          </cell>
          <cell r="X394" t="str">
            <v>NA</v>
          </cell>
          <cell r="Y394" t="str">
            <v>NA</v>
          </cell>
          <cell r="Z394" t="str">
            <v>NA</v>
          </cell>
          <cell r="AA394" t="str">
            <v>NA</v>
          </cell>
        </row>
        <row r="395">
          <cell r="A395">
            <v>45126</v>
          </cell>
          <cell r="B395" t="str">
            <v>A2</v>
          </cell>
          <cell r="C395">
            <v>1</v>
          </cell>
          <cell r="D395">
            <v>1</v>
          </cell>
          <cell r="E395" t="str">
            <v>ARIS.A2.Aim1.Bin1.RB</v>
          </cell>
          <cell r="F395">
            <v>3</v>
          </cell>
          <cell r="G395" t="str">
            <v>Unweighted</v>
          </cell>
          <cell r="H395" t="str">
            <v>N</v>
          </cell>
          <cell r="I395" t="str">
            <v>Y</v>
          </cell>
          <cell r="J395">
            <v>150</v>
          </cell>
          <cell r="K395">
            <v>1</v>
          </cell>
          <cell r="L395">
            <v>0.95750000000000002</v>
          </cell>
          <cell r="M395">
            <v>16.600000000000001</v>
          </cell>
          <cell r="N395">
            <v>6</v>
          </cell>
          <cell r="O395">
            <v>4.2500000000000003E-2</v>
          </cell>
          <cell r="P395">
            <v>4.2500000000000003E-2</v>
          </cell>
          <cell r="Q395">
            <v>0</v>
          </cell>
          <cell r="R395" t="str">
            <v>NA</v>
          </cell>
          <cell r="S395" t="str">
            <v>NA</v>
          </cell>
          <cell r="T395">
            <v>59.2</v>
          </cell>
          <cell r="U395">
            <v>4.8</v>
          </cell>
          <cell r="V395">
            <v>75.099999999999994</v>
          </cell>
          <cell r="W395">
            <v>7.6</v>
          </cell>
          <cell r="X395" t="str">
            <v>NA</v>
          </cell>
          <cell r="Y395" t="str">
            <v>NA</v>
          </cell>
          <cell r="Z395" t="str">
            <v>NA</v>
          </cell>
          <cell r="AA395" t="str">
            <v>NA</v>
          </cell>
        </row>
        <row r="396">
          <cell r="A396">
            <v>45126</v>
          </cell>
          <cell r="B396" t="str">
            <v>A2</v>
          </cell>
          <cell r="C396">
            <v>2</v>
          </cell>
          <cell r="D396">
            <v>1</v>
          </cell>
          <cell r="E396" t="str">
            <v>ARIS.A2.Aim1.Bin2.RB</v>
          </cell>
          <cell r="F396">
            <v>3</v>
          </cell>
          <cell r="G396" t="str">
            <v>Unweighted</v>
          </cell>
          <cell r="H396" t="str">
            <v>N</v>
          </cell>
          <cell r="I396" t="str">
            <v>Y</v>
          </cell>
          <cell r="J396">
            <v>139</v>
          </cell>
          <cell r="K396">
            <v>1</v>
          </cell>
          <cell r="L396">
            <v>0.87039999999999995</v>
          </cell>
          <cell r="M396">
            <v>23.7</v>
          </cell>
          <cell r="N396">
            <v>11.3</v>
          </cell>
          <cell r="O396">
            <v>0.12959999999999999</v>
          </cell>
          <cell r="P396">
            <v>5.0299999999999997E-2</v>
          </cell>
          <cell r="Q396">
            <v>7.9299999999999995E-2</v>
          </cell>
          <cell r="R396" t="str">
            <v>NA</v>
          </cell>
          <cell r="S396" t="str">
            <v>NA</v>
          </cell>
          <cell r="T396">
            <v>59.2</v>
          </cell>
          <cell r="U396">
            <v>4.8</v>
          </cell>
          <cell r="V396">
            <v>75.099999999999994</v>
          </cell>
          <cell r="W396">
            <v>7.6</v>
          </cell>
          <cell r="X396" t="str">
            <v>NA</v>
          </cell>
          <cell r="Y396" t="str">
            <v>NA</v>
          </cell>
          <cell r="Z396" t="str">
            <v>NA</v>
          </cell>
          <cell r="AA396" t="str">
            <v>NA</v>
          </cell>
        </row>
        <row r="397">
          <cell r="A397">
            <v>45126</v>
          </cell>
          <cell r="B397" t="str">
            <v>A2</v>
          </cell>
          <cell r="C397">
            <v>3</v>
          </cell>
          <cell r="D397">
            <v>1</v>
          </cell>
          <cell r="E397" t="str">
            <v>ARIS.A2.Aim1.Bin3.RB</v>
          </cell>
          <cell r="F397">
            <v>3</v>
          </cell>
          <cell r="G397" t="str">
            <v>Unweighted</v>
          </cell>
          <cell r="H397" t="str">
            <v>N</v>
          </cell>
          <cell r="I397" t="str">
            <v>Y</v>
          </cell>
          <cell r="J397">
            <v>90</v>
          </cell>
          <cell r="K397">
            <v>1</v>
          </cell>
          <cell r="L397">
            <v>0.60719999999999996</v>
          </cell>
          <cell r="M397">
            <v>23.7</v>
          </cell>
          <cell r="N397">
            <v>10.9</v>
          </cell>
          <cell r="O397">
            <v>0.39279999999999998</v>
          </cell>
          <cell r="P397">
            <v>0.18090000000000001</v>
          </cell>
          <cell r="Q397">
            <v>0.21190000000000001</v>
          </cell>
          <cell r="R397" t="str">
            <v>NA</v>
          </cell>
          <cell r="S397" t="str">
            <v>NA</v>
          </cell>
          <cell r="T397">
            <v>59.2</v>
          </cell>
          <cell r="U397">
            <v>4.8</v>
          </cell>
          <cell r="V397">
            <v>75.099999999999994</v>
          </cell>
          <cell r="W397">
            <v>7.6</v>
          </cell>
          <cell r="X397" t="str">
            <v>NA</v>
          </cell>
          <cell r="Y397" t="str">
            <v>NA</v>
          </cell>
          <cell r="Z397" t="str">
            <v>NA</v>
          </cell>
          <cell r="AA397" t="str">
            <v>NA</v>
          </cell>
        </row>
        <row r="398">
          <cell r="A398">
            <v>45126</v>
          </cell>
          <cell r="B398" t="str">
            <v>A2</v>
          </cell>
          <cell r="C398">
            <v>4</v>
          </cell>
          <cell r="D398">
            <v>1</v>
          </cell>
          <cell r="E398" t="str">
            <v>ARIS.A2.Aim1.Bin4.RB</v>
          </cell>
          <cell r="F398">
            <v>3</v>
          </cell>
          <cell r="G398" t="str">
            <v>Unweighted</v>
          </cell>
          <cell r="H398" t="str">
            <v>N</v>
          </cell>
          <cell r="I398" t="str">
            <v>Y</v>
          </cell>
          <cell r="J398">
            <v>90</v>
          </cell>
          <cell r="K398">
            <v>1</v>
          </cell>
          <cell r="L398">
            <v>0.60719999999999996</v>
          </cell>
          <cell r="M398">
            <v>23.7</v>
          </cell>
          <cell r="N398">
            <v>10.9</v>
          </cell>
          <cell r="O398">
            <v>0.39279999999999998</v>
          </cell>
          <cell r="P398">
            <v>0.18090000000000001</v>
          </cell>
          <cell r="Q398">
            <v>0.21190000000000001</v>
          </cell>
          <cell r="R398" t="str">
            <v>NA</v>
          </cell>
          <cell r="S398" t="str">
            <v>NA</v>
          </cell>
          <cell r="T398">
            <v>59.2</v>
          </cell>
          <cell r="U398">
            <v>4.8</v>
          </cell>
          <cell r="V398">
            <v>75.099999999999994</v>
          </cell>
          <cell r="W398">
            <v>7.6</v>
          </cell>
          <cell r="X398" t="str">
            <v>NA</v>
          </cell>
          <cell r="Y398" t="str">
            <v>NA</v>
          </cell>
          <cell r="Z398" t="str">
            <v>NA</v>
          </cell>
          <cell r="AA398" t="str">
            <v>NA</v>
          </cell>
        </row>
        <row r="399">
          <cell r="A399">
            <v>45126</v>
          </cell>
          <cell r="B399" t="str">
            <v>A2</v>
          </cell>
          <cell r="C399">
            <v>1</v>
          </cell>
          <cell r="D399">
            <v>1</v>
          </cell>
          <cell r="E399" t="str">
            <v>ARIS.A2.Aim1.Bin1.RB</v>
          </cell>
          <cell r="F399">
            <v>3</v>
          </cell>
          <cell r="G399" t="str">
            <v>SplineDFA</v>
          </cell>
          <cell r="H399" t="str">
            <v>Y</v>
          </cell>
          <cell r="I399" t="str">
            <v>N</v>
          </cell>
          <cell r="J399">
            <v>150</v>
          </cell>
          <cell r="K399">
            <v>1</v>
          </cell>
          <cell r="L399">
            <v>0.97330000000000005</v>
          </cell>
          <cell r="M399">
            <v>23.7</v>
          </cell>
          <cell r="N399">
            <v>2.7</v>
          </cell>
          <cell r="O399">
            <v>2.6700000000000002E-2</v>
          </cell>
          <cell r="P399">
            <v>2.6700000000000002E-2</v>
          </cell>
          <cell r="Q399">
            <v>0</v>
          </cell>
          <cell r="R399" t="str">
            <v>NA</v>
          </cell>
          <cell r="S399" t="str">
            <v>NA</v>
          </cell>
          <cell r="T399">
            <v>59.2</v>
          </cell>
          <cell r="U399">
            <v>4.8</v>
          </cell>
          <cell r="V399">
            <v>75.099999999999994</v>
          </cell>
          <cell r="W399">
            <v>7.6</v>
          </cell>
          <cell r="X399" t="str">
            <v>NA</v>
          </cell>
          <cell r="Y399" t="str">
            <v>NA</v>
          </cell>
          <cell r="Z399" t="str">
            <v>NA</v>
          </cell>
          <cell r="AA399" t="str">
            <v>NA</v>
          </cell>
        </row>
        <row r="400">
          <cell r="A400">
            <v>45126</v>
          </cell>
          <cell r="B400" t="str">
            <v>A2</v>
          </cell>
          <cell r="C400">
            <v>2</v>
          </cell>
          <cell r="D400">
            <v>1</v>
          </cell>
          <cell r="E400" t="str">
            <v>ARIS.A2.Aim1.Bin2.RB</v>
          </cell>
          <cell r="F400">
            <v>3</v>
          </cell>
          <cell r="G400" t="str">
            <v>SplineDFA</v>
          </cell>
          <cell r="H400" t="str">
            <v>Y</v>
          </cell>
          <cell r="I400" t="str">
            <v>N</v>
          </cell>
          <cell r="J400">
            <v>139</v>
          </cell>
          <cell r="K400">
            <v>1</v>
          </cell>
          <cell r="L400">
            <v>0.65659999999999996</v>
          </cell>
          <cell r="M400">
            <v>23.7</v>
          </cell>
          <cell r="N400">
            <v>2.7</v>
          </cell>
          <cell r="O400">
            <v>0.34339999999999998</v>
          </cell>
          <cell r="P400">
            <v>0.28149999999999997</v>
          </cell>
          <cell r="Q400">
            <v>6.1899999999999997E-2</v>
          </cell>
          <cell r="R400" t="str">
            <v>NA</v>
          </cell>
          <cell r="S400" t="str">
            <v>NA</v>
          </cell>
          <cell r="T400">
            <v>59.2</v>
          </cell>
          <cell r="U400">
            <v>4.8</v>
          </cell>
          <cell r="V400">
            <v>75.099999999999994</v>
          </cell>
          <cell r="W400">
            <v>7.6</v>
          </cell>
          <cell r="X400" t="str">
            <v>NA</v>
          </cell>
          <cell r="Y400" t="str">
            <v>NA</v>
          </cell>
          <cell r="Z400" t="str">
            <v>NA</v>
          </cell>
          <cell r="AA400" t="str">
            <v>NA</v>
          </cell>
        </row>
        <row r="401">
          <cell r="A401">
            <v>45126</v>
          </cell>
          <cell r="B401" t="str">
            <v>A2</v>
          </cell>
          <cell r="C401">
            <v>3</v>
          </cell>
          <cell r="D401">
            <v>1</v>
          </cell>
          <cell r="E401" t="str">
            <v>ARIS.A2.Aim1.Bin3.RB</v>
          </cell>
          <cell r="F401">
            <v>3</v>
          </cell>
          <cell r="G401" t="str">
            <v>SplineDFA</v>
          </cell>
          <cell r="H401" t="str">
            <v>Y</v>
          </cell>
          <cell r="I401" t="str">
            <v>N</v>
          </cell>
          <cell r="J401">
            <v>90</v>
          </cell>
          <cell r="K401">
            <v>1</v>
          </cell>
          <cell r="L401">
            <v>0.38540000000000002</v>
          </cell>
          <cell r="M401">
            <v>23.7</v>
          </cell>
          <cell r="N401">
            <v>2.7</v>
          </cell>
          <cell r="O401">
            <v>0.61460000000000004</v>
          </cell>
          <cell r="P401">
            <v>0.35139999999999999</v>
          </cell>
          <cell r="Q401">
            <v>0.26319999999999999</v>
          </cell>
          <cell r="R401" t="str">
            <v>NA</v>
          </cell>
          <cell r="S401" t="str">
            <v>NA</v>
          </cell>
          <cell r="T401">
            <v>59.2</v>
          </cell>
          <cell r="U401">
            <v>4.8</v>
          </cell>
          <cell r="V401">
            <v>75.099999999999994</v>
          </cell>
          <cell r="W401">
            <v>7.6</v>
          </cell>
          <cell r="X401" t="str">
            <v>NA</v>
          </cell>
          <cell r="Y401" t="str">
            <v>NA</v>
          </cell>
          <cell r="Z401" t="str">
            <v>NA</v>
          </cell>
          <cell r="AA401" t="str">
            <v>NA</v>
          </cell>
        </row>
        <row r="402">
          <cell r="A402">
            <v>45126</v>
          </cell>
          <cell r="B402" t="str">
            <v>A2</v>
          </cell>
          <cell r="C402">
            <v>4</v>
          </cell>
          <cell r="D402">
            <v>1</v>
          </cell>
          <cell r="E402" t="str">
            <v>ARIS.A2.Aim1.Bin4.RB</v>
          </cell>
          <cell r="F402">
            <v>3</v>
          </cell>
          <cell r="G402" t="str">
            <v>SplineDFA</v>
          </cell>
          <cell r="H402" t="str">
            <v>Y</v>
          </cell>
          <cell r="I402" t="str">
            <v>N</v>
          </cell>
          <cell r="J402">
            <v>90</v>
          </cell>
          <cell r="K402">
            <v>1</v>
          </cell>
          <cell r="L402">
            <v>0.38540000000000002</v>
          </cell>
          <cell r="M402">
            <v>23.7</v>
          </cell>
          <cell r="N402">
            <v>2.7</v>
          </cell>
          <cell r="O402">
            <v>0.61460000000000004</v>
          </cell>
          <cell r="P402">
            <v>0.35139999999999999</v>
          </cell>
          <cell r="Q402">
            <v>0.26319999999999999</v>
          </cell>
          <cell r="R402" t="str">
            <v>NA</v>
          </cell>
          <cell r="S402" t="str">
            <v>NA</v>
          </cell>
          <cell r="T402">
            <v>59.2</v>
          </cell>
          <cell r="U402">
            <v>4.8</v>
          </cell>
          <cell r="V402">
            <v>75.099999999999994</v>
          </cell>
          <cell r="W402">
            <v>7.6</v>
          </cell>
          <cell r="X402" t="str">
            <v>NA</v>
          </cell>
          <cell r="Y402" t="str">
            <v>NA</v>
          </cell>
          <cell r="Z402" t="str">
            <v>NA</v>
          </cell>
          <cell r="AA402" t="str">
            <v>NA</v>
          </cell>
        </row>
        <row r="403">
          <cell r="A403">
            <v>45126</v>
          </cell>
          <cell r="B403" t="str">
            <v>A1</v>
          </cell>
          <cell r="C403">
            <v>1</v>
          </cell>
          <cell r="D403">
            <v>1</v>
          </cell>
          <cell r="E403" t="str">
            <v>ARIS.A1.Aim1.Bin1.LB</v>
          </cell>
          <cell r="F403">
            <v>4</v>
          </cell>
          <cell r="G403" t="str">
            <v>Unweighted</v>
          </cell>
          <cell r="H403" t="str">
            <v>N</v>
          </cell>
          <cell r="I403" t="str">
            <v>N</v>
          </cell>
          <cell r="J403">
            <v>106</v>
          </cell>
          <cell r="K403">
            <v>1</v>
          </cell>
          <cell r="L403">
            <v>0.92510000000000003</v>
          </cell>
          <cell r="M403">
            <v>23.7</v>
          </cell>
          <cell r="N403">
            <v>8.1999999999999993</v>
          </cell>
          <cell r="O403">
            <v>7.4899999999999994E-2</v>
          </cell>
          <cell r="P403">
            <v>3.8300000000000001E-2</v>
          </cell>
          <cell r="Q403">
            <v>3.6600000000000001E-2</v>
          </cell>
          <cell r="R403" t="str">
            <v>NA</v>
          </cell>
          <cell r="S403">
            <v>0</v>
          </cell>
          <cell r="T403">
            <v>59.5</v>
          </cell>
          <cell r="U403">
            <v>4.8</v>
          </cell>
          <cell r="V403">
            <v>74.8</v>
          </cell>
          <cell r="W403">
            <v>7.6</v>
          </cell>
          <cell r="X403" t="str">
            <v>NA</v>
          </cell>
          <cell r="Y403" t="str">
            <v>NA</v>
          </cell>
          <cell r="Z403">
            <v>39.1</v>
          </cell>
          <cell r="AA403">
            <v>3.5</v>
          </cell>
        </row>
        <row r="404">
          <cell r="A404">
            <v>45126</v>
          </cell>
          <cell r="B404" t="str">
            <v>A1</v>
          </cell>
          <cell r="C404">
            <v>1</v>
          </cell>
          <cell r="D404">
            <v>2</v>
          </cell>
          <cell r="E404" t="str">
            <v>ARIS.A1.Aim2.Bin1.LB</v>
          </cell>
          <cell r="F404">
            <v>4</v>
          </cell>
          <cell r="G404" t="str">
            <v>Unweighted</v>
          </cell>
          <cell r="H404" t="str">
            <v>N</v>
          </cell>
          <cell r="I404" t="str">
            <v>N</v>
          </cell>
          <cell r="J404">
            <v>155</v>
          </cell>
          <cell r="K404">
            <v>1</v>
          </cell>
          <cell r="L404">
            <v>0.95250000000000001</v>
          </cell>
          <cell r="M404">
            <v>23.7</v>
          </cell>
          <cell r="N404">
            <v>9.3000000000000007</v>
          </cell>
          <cell r="O404">
            <v>4.7500000000000001E-2</v>
          </cell>
          <cell r="P404">
            <v>7.4999999999999997E-3</v>
          </cell>
          <cell r="Q404">
            <v>0</v>
          </cell>
          <cell r="R404" t="str">
            <v>NA</v>
          </cell>
          <cell r="S404">
            <v>0.04</v>
          </cell>
          <cell r="T404">
            <v>59.5</v>
          </cell>
          <cell r="U404">
            <v>4.8</v>
          </cell>
          <cell r="V404">
            <v>74.8</v>
          </cell>
          <cell r="W404">
            <v>7.6</v>
          </cell>
          <cell r="X404" t="str">
            <v>NA</v>
          </cell>
          <cell r="Y404" t="str">
            <v>NA</v>
          </cell>
          <cell r="Z404">
            <v>39.1</v>
          </cell>
          <cell r="AA404">
            <v>3.5</v>
          </cell>
        </row>
        <row r="405">
          <cell r="A405">
            <v>45126</v>
          </cell>
          <cell r="B405" t="str">
            <v>A1</v>
          </cell>
          <cell r="C405">
            <v>1</v>
          </cell>
          <cell r="D405" t="str">
            <v>1&amp;2</v>
          </cell>
          <cell r="E405" t="str">
            <v>ARIS.A1.Aim1&amp;Aim2.Bin1.LB</v>
          </cell>
          <cell r="F405">
            <v>4</v>
          </cell>
          <cell r="G405" t="str">
            <v>Unweighted</v>
          </cell>
          <cell r="H405" t="str">
            <v>N</v>
          </cell>
          <cell r="I405" t="str">
            <v>Y</v>
          </cell>
          <cell r="J405">
            <v>261</v>
          </cell>
          <cell r="K405">
            <v>0.99990000000000001</v>
          </cell>
          <cell r="L405">
            <v>0.94479999999999997</v>
          </cell>
          <cell r="M405">
            <v>23.7</v>
          </cell>
          <cell r="N405">
            <v>9.4</v>
          </cell>
          <cell r="O405">
            <v>5.5100000000000003E-2</v>
          </cell>
          <cell r="P405">
            <v>1.15E-2</v>
          </cell>
          <cell r="Q405">
            <v>4.36E-2</v>
          </cell>
          <cell r="R405" t="str">
            <v>NA</v>
          </cell>
          <cell r="S405">
            <v>0</v>
          </cell>
          <cell r="T405">
            <v>59.5</v>
          </cell>
          <cell r="U405">
            <v>4.8</v>
          </cell>
          <cell r="V405">
            <v>74.8</v>
          </cell>
          <cell r="W405">
            <v>7.6</v>
          </cell>
          <cell r="X405" t="str">
            <v>NA</v>
          </cell>
          <cell r="Y405" t="str">
            <v>NA</v>
          </cell>
          <cell r="Z405">
            <v>39.1</v>
          </cell>
          <cell r="AA405">
            <v>3.5</v>
          </cell>
        </row>
        <row r="406">
          <cell r="A406">
            <v>45126</v>
          </cell>
          <cell r="B406" t="str">
            <v>A1</v>
          </cell>
          <cell r="C406">
            <v>2</v>
          </cell>
          <cell r="D406">
            <v>3</v>
          </cell>
          <cell r="E406" t="str">
            <v>ARIS.A1.Aim3.Bin2.LB</v>
          </cell>
          <cell r="F406">
            <v>4</v>
          </cell>
          <cell r="G406" t="str">
            <v>Unweighted</v>
          </cell>
          <cell r="H406" t="str">
            <v>N</v>
          </cell>
          <cell r="I406" t="str">
            <v>N</v>
          </cell>
          <cell r="J406">
            <v>116</v>
          </cell>
          <cell r="K406">
            <v>1</v>
          </cell>
          <cell r="L406">
            <v>0.49969999999999998</v>
          </cell>
          <cell r="M406">
            <v>23.7</v>
          </cell>
          <cell r="N406">
            <v>4.7</v>
          </cell>
          <cell r="O406">
            <v>0.50029999999999997</v>
          </cell>
          <cell r="P406">
            <v>0.14119999999999999</v>
          </cell>
          <cell r="Q406">
            <v>4.1999999999999997E-3</v>
          </cell>
          <cell r="R406" t="str">
            <v>NA</v>
          </cell>
          <cell r="S406">
            <v>0.35489999999999999</v>
          </cell>
          <cell r="T406">
            <v>59.5</v>
          </cell>
          <cell r="U406">
            <v>4.8</v>
          </cell>
          <cell r="V406">
            <v>74.8</v>
          </cell>
          <cell r="W406">
            <v>7.6</v>
          </cell>
          <cell r="X406" t="str">
            <v>NA</v>
          </cell>
          <cell r="Y406" t="str">
            <v>NA</v>
          </cell>
          <cell r="Z406">
            <v>39.1</v>
          </cell>
          <cell r="AA406">
            <v>3.5</v>
          </cell>
        </row>
        <row r="407">
          <cell r="A407">
            <v>45126</v>
          </cell>
          <cell r="B407" t="str">
            <v>A1</v>
          </cell>
          <cell r="C407">
            <v>3</v>
          </cell>
          <cell r="D407">
            <v>3</v>
          </cell>
          <cell r="E407" t="str">
            <v>ARIS.A1.Aim3.Bin3.LB</v>
          </cell>
          <cell r="F407">
            <v>4</v>
          </cell>
          <cell r="G407" t="str">
            <v>Unweighted</v>
          </cell>
          <cell r="H407" t="str">
            <v>N</v>
          </cell>
          <cell r="I407" t="str">
            <v>N</v>
          </cell>
          <cell r="J407">
            <v>97</v>
          </cell>
          <cell r="K407">
            <v>1</v>
          </cell>
          <cell r="L407">
            <v>3.1399999999999997E-2</v>
          </cell>
          <cell r="M407">
            <v>23.7</v>
          </cell>
          <cell r="N407">
            <v>2.9</v>
          </cell>
          <cell r="O407">
            <v>0.96860000000000002</v>
          </cell>
          <cell r="P407">
            <v>0.40150000000000002</v>
          </cell>
          <cell r="Q407">
            <v>0.31709999999999999</v>
          </cell>
          <cell r="R407" t="str">
            <v>NA</v>
          </cell>
          <cell r="S407">
            <v>0.25</v>
          </cell>
          <cell r="T407">
            <v>59.5</v>
          </cell>
          <cell r="U407">
            <v>4.8</v>
          </cell>
          <cell r="V407">
            <v>74.8</v>
          </cell>
          <cell r="W407">
            <v>7.6</v>
          </cell>
          <cell r="X407" t="str">
            <v>NA</v>
          </cell>
          <cell r="Y407" t="str">
            <v>NA</v>
          </cell>
          <cell r="Z407">
            <v>39.1</v>
          </cell>
          <cell r="AA407">
            <v>3.5</v>
          </cell>
        </row>
        <row r="408">
          <cell r="A408">
            <v>45126</v>
          </cell>
          <cell r="B408" t="str">
            <v>A1</v>
          </cell>
          <cell r="C408">
            <v>4</v>
          </cell>
          <cell r="D408">
            <v>3</v>
          </cell>
          <cell r="E408" t="str">
            <v>ARIS.A1.Aim3.Bin4.LB</v>
          </cell>
          <cell r="F408">
            <v>4</v>
          </cell>
          <cell r="G408" t="str">
            <v>Unweighted</v>
          </cell>
          <cell r="H408" t="str">
            <v>N</v>
          </cell>
          <cell r="I408" t="str">
            <v>N</v>
          </cell>
          <cell r="J408">
            <v>97</v>
          </cell>
          <cell r="K408">
            <v>1</v>
          </cell>
          <cell r="L408">
            <v>3.1399999999999997E-2</v>
          </cell>
          <cell r="M408">
            <v>23.7</v>
          </cell>
          <cell r="N408">
            <v>2.9</v>
          </cell>
          <cell r="O408">
            <v>0.96860000000000002</v>
          </cell>
          <cell r="P408">
            <v>0.40150000000000002</v>
          </cell>
          <cell r="Q408">
            <v>0.31709999999999999</v>
          </cell>
          <cell r="R408" t="str">
            <v>NA</v>
          </cell>
          <cell r="S408">
            <v>0.25</v>
          </cell>
          <cell r="T408">
            <v>59.5</v>
          </cell>
          <cell r="U408">
            <v>4.8</v>
          </cell>
          <cell r="V408">
            <v>74.8</v>
          </cell>
          <cell r="W408">
            <v>7.6</v>
          </cell>
          <cell r="X408" t="str">
            <v>NA</v>
          </cell>
          <cell r="Y408" t="str">
            <v>NA</v>
          </cell>
          <cell r="Z408">
            <v>39.1</v>
          </cell>
          <cell r="AA408">
            <v>3.5</v>
          </cell>
        </row>
        <row r="409">
          <cell r="A409">
            <v>45126</v>
          </cell>
          <cell r="B409" t="str">
            <v>A2</v>
          </cell>
          <cell r="C409">
            <v>1</v>
          </cell>
          <cell r="D409">
            <v>1</v>
          </cell>
          <cell r="E409" t="str">
            <v>ARIS.A2.Aim1.Bin1.RB</v>
          </cell>
          <cell r="F409">
            <v>4</v>
          </cell>
          <cell r="G409" t="str">
            <v>Unweighted</v>
          </cell>
          <cell r="H409" t="str">
            <v>N</v>
          </cell>
          <cell r="I409" t="str">
            <v>N</v>
          </cell>
          <cell r="J409">
            <v>150</v>
          </cell>
          <cell r="K409">
            <v>1</v>
          </cell>
          <cell r="L409">
            <v>0.92310000000000003</v>
          </cell>
          <cell r="M409">
            <v>16.100000000000001</v>
          </cell>
          <cell r="N409">
            <v>5.0999999999999996</v>
          </cell>
          <cell r="O409">
            <v>7.6899999999999996E-2</v>
          </cell>
          <cell r="P409">
            <v>1.34E-2</v>
          </cell>
          <cell r="Q409">
            <v>0</v>
          </cell>
          <cell r="R409" t="str">
            <v>NA</v>
          </cell>
          <cell r="S409">
            <v>6.3500000000000001E-2</v>
          </cell>
          <cell r="T409">
            <v>59.2</v>
          </cell>
          <cell r="U409">
            <v>4.8</v>
          </cell>
          <cell r="V409">
            <v>75.099999999999994</v>
          </cell>
          <cell r="W409">
            <v>7.6</v>
          </cell>
          <cell r="X409" t="str">
            <v>NA</v>
          </cell>
          <cell r="Y409" t="str">
            <v>NA</v>
          </cell>
          <cell r="Z409">
            <v>39.1</v>
          </cell>
          <cell r="AA409">
            <v>3.5</v>
          </cell>
        </row>
        <row r="410">
          <cell r="A410">
            <v>45126</v>
          </cell>
          <cell r="B410" t="str">
            <v>A2</v>
          </cell>
          <cell r="C410">
            <v>2</v>
          </cell>
          <cell r="D410">
            <v>1</v>
          </cell>
          <cell r="E410" t="str">
            <v>ARIS.A2.Aim1.Bin2.RB</v>
          </cell>
          <cell r="F410">
            <v>4</v>
          </cell>
          <cell r="G410" t="str">
            <v>Unweighted</v>
          </cell>
          <cell r="H410" t="str">
            <v>N</v>
          </cell>
          <cell r="I410" t="str">
            <v>N</v>
          </cell>
          <cell r="J410">
            <v>139</v>
          </cell>
          <cell r="K410">
            <v>1</v>
          </cell>
          <cell r="L410">
            <v>0.60329999999999995</v>
          </cell>
          <cell r="M410">
            <v>24.3</v>
          </cell>
          <cell r="N410">
            <v>5.3</v>
          </cell>
          <cell r="O410">
            <v>0.3967</v>
          </cell>
          <cell r="P410">
            <v>6.0400000000000002E-2</v>
          </cell>
          <cell r="Q410">
            <v>7.7600000000000002E-2</v>
          </cell>
          <cell r="R410" t="str">
            <v>NA</v>
          </cell>
          <cell r="S410">
            <v>0.25869999999999999</v>
          </cell>
          <cell r="T410">
            <v>59.2</v>
          </cell>
          <cell r="U410">
            <v>4.8</v>
          </cell>
          <cell r="V410">
            <v>75.099999999999994</v>
          </cell>
          <cell r="W410">
            <v>7.6</v>
          </cell>
          <cell r="X410" t="str">
            <v>NA</v>
          </cell>
          <cell r="Y410" t="str">
            <v>NA</v>
          </cell>
          <cell r="Z410">
            <v>39.1</v>
          </cell>
          <cell r="AA410">
            <v>3.5</v>
          </cell>
        </row>
        <row r="411">
          <cell r="A411">
            <v>45126</v>
          </cell>
          <cell r="B411" t="str">
            <v>A2</v>
          </cell>
          <cell r="C411">
            <v>3</v>
          </cell>
          <cell r="D411">
            <v>1</v>
          </cell>
          <cell r="E411" t="str">
            <v>ARIS.A2.Aim1.Bin3.RB</v>
          </cell>
          <cell r="F411">
            <v>4</v>
          </cell>
          <cell r="G411" t="str">
            <v>Unweighted</v>
          </cell>
          <cell r="H411" t="str">
            <v>N</v>
          </cell>
          <cell r="I411" t="str">
            <v>N</v>
          </cell>
          <cell r="J411">
            <v>90</v>
          </cell>
          <cell r="K411">
            <v>1</v>
          </cell>
          <cell r="L411">
            <v>0.46189999999999998</v>
          </cell>
          <cell r="M411">
            <v>28.7</v>
          </cell>
          <cell r="N411">
            <v>4.5999999999999996</v>
          </cell>
          <cell r="O411">
            <v>0.53810000000000002</v>
          </cell>
          <cell r="P411">
            <v>0.19950000000000001</v>
          </cell>
          <cell r="Q411">
            <v>0.2094</v>
          </cell>
          <cell r="R411" t="str">
            <v>NA</v>
          </cell>
          <cell r="S411">
            <v>0.12920000000000001</v>
          </cell>
          <cell r="T411">
            <v>59.2</v>
          </cell>
          <cell r="U411">
            <v>4.8</v>
          </cell>
          <cell r="V411">
            <v>75.099999999999994</v>
          </cell>
          <cell r="W411">
            <v>7.6</v>
          </cell>
          <cell r="X411" t="str">
            <v>NA</v>
          </cell>
          <cell r="Y411" t="str">
            <v>NA</v>
          </cell>
          <cell r="Z411">
            <v>39.1</v>
          </cell>
          <cell r="AA411">
            <v>3.5</v>
          </cell>
        </row>
        <row r="412">
          <cell r="A412">
            <v>45126</v>
          </cell>
          <cell r="B412" t="str">
            <v>A2</v>
          </cell>
          <cell r="C412">
            <v>4</v>
          </cell>
          <cell r="D412">
            <v>1</v>
          </cell>
          <cell r="E412" t="str">
            <v>ARIS.A2.Aim1.Bin4.RB</v>
          </cell>
          <cell r="F412">
            <v>4</v>
          </cell>
          <cell r="G412" t="str">
            <v>Unweighted</v>
          </cell>
          <cell r="H412" t="str">
            <v>N</v>
          </cell>
          <cell r="I412" t="str">
            <v>N</v>
          </cell>
          <cell r="J412">
            <v>90</v>
          </cell>
          <cell r="K412">
            <v>1</v>
          </cell>
          <cell r="L412">
            <v>0.46189999999999998</v>
          </cell>
          <cell r="M412">
            <v>28.7</v>
          </cell>
          <cell r="N412">
            <v>4.5999999999999996</v>
          </cell>
          <cell r="O412">
            <v>0.53810000000000002</v>
          </cell>
          <cell r="P412">
            <v>0.19950000000000001</v>
          </cell>
          <cell r="Q412">
            <v>0.2094</v>
          </cell>
          <cell r="R412" t="str">
            <v>NA</v>
          </cell>
          <cell r="S412">
            <v>0.12920000000000001</v>
          </cell>
          <cell r="T412">
            <v>59.2</v>
          </cell>
          <cell r="U412">
            <v>4.8</v>
          </cell>
          <cell r="V412">
            <v>75.099999999999994</v>
          </cell>
          <cell r="W412">
            <v>7.6</v>
          </cell>
          <cell r="X412" t="str">
            <v>NA</v>
          </cell>
          <cell r="Y412" t="str">
            <v>NA</v>
          </cell>
          <cell r="Z412">
            <v>39.1</v>
          </cell>
          <cell r="AA412">
            <v>3.5</v>
          </cell>
        </row>
        <row r="413">
          <cell r="A413">
            <v>45127</v>
          </cell>
          <cell r="B413" t="str">
            <v>A1</v>
          </cell>
          <cell r="C413">
            <v>1</v>
          </cell>
          <cell r="D413">
            <v>1</v>
          </cell>
          <cell r="E413" t="str">
            <v>ARIS.A1.Aim1.Bin1.LB</v>
          </cell>
          <cell r="F413">
            <v>3</v>
          </cell>
          <cell r="G413" t="str">
            <v>SplineDFA</v>
          </cell>
          <cell r="H413" t="str">
            <v>Y</v>
          </cell>
          <cell r="I413" t="str">
            <v>N</v>
          </cell>
          <cell r="J413">
            <v>100</v>
          </cell>
          <cell r="K413">
            <v>1</v>
          </cell>
          <cell r="L413">
            <v>0.99239999999999995</v>
          </cell>
          <cell r="M413">
            <v>23.7</v>
          </cell>
          <cell r="N413">
            <v>2.7</v>
          </cell>
          <cell r="O413">
            <v>7.6E-3</v>
          </cell>
          <cell r="P413">
            <v>7.6E-3</v>
          </cell>
          <cell r="Q413">
            <v>0</v>
          </cell>
          <cell r="R413" t="str">
            <v>NA</v>
          </cell>
          <cell r="S413" t="str">
            <v>NA</v>
          </cell>
          <cell r="T413">
            <v>59.5</v>
          </cell>
          <cell r="U413">
            <v>4.8</v>
          </cell>
          <cell r="V413">
            <v>74.8</v>
          </cell>
          <cell r="W413">
            <v>7.6</v>
          </cell>
          <cell r="X413" t="str">
            <v>NA</v>
          </cell>
          <cell r="Y413" t="str">
            <v>NA</v>
          </cell>
          <cell r="Z413" t="str">
            <v>NA</v>
          </cell>
          <cell r="AA413" t="str">
            <v>NA</v>
          </cell>
        </row>
        <row r="414">
          <cell r="A414">
            <v>45127</v>
          </cell>
          <cell r="B414" t="str">
            <v>A1</v>
          </cell>
          <cell r="C414">
            <v>1</v>
          </cell>
          <cell r="D414">
            <v>2</v>
          </cell>
          <cell r="E414" t="str">
            <v>ARIS.A1.Aim2.Bin1.LB</v>
          </cell>
          <cell r="F414">
            <v>3</v>
          </cell>
          <cell r="G414" t="str">
            <v>SplineDFA</v>
          </cell>
          <cell r="H414" t="str">
            <v>Y</v>
          </cell>
          <cell r="I414" t="str">
            <v>N</v>
          </cell>
          <cell r="J414">
            <v>136</v>
          </cell>
          <cell r="K414">
            <v>1</v>
          </cell>
          <cell r="L414">
            <v>0.90800000000000003</v>
          </cell>
          <cell r="M414">
            <v>23.7</v>
          </cell>
          <cell r="N414">
            <v>2.7</v>
          </cell>
          <cell r="O414">
            <v>9.1999999999999998E-2</v>
          </cell>
          <cell r="P414">
            <v>8.8099999999999998E-2</v>
          </cell>
          <cell r="Q414">
            <v>3.8999999999999998E-3</v>
          </cell>
          <cell r="R414" t="str">
            <v>NA</v>
          </cell>
          <cell r="S414" t="str">
            <v>NA</v>
          </cell>
          <cell r="T414">
            <v>59.5</v>
          </cell>
          <cell r="U414">
            <v>4.8</v>
          </cell>
          <cell r="V414">
            <v>74.8</v>
          </cell>
          <cell r="W414">
            <v>7.6</v>
          </cell>
          <cell r="X414" t="str">
            <v>NA</v>
          </cell>
          <cell r="Y414" t="str">
            <v>NA</v>
          </cell>
          <cell r="Z414" t="str">
            <v>NA</v>
          </cell>
          <cell r="AA414" t="str">
            <v>NA</v>
          </cell>
        </row>
        <row r="415">
          <cell r="A415">
            <v>45127</v>
          </cell>
          <cell r="B415" t="str">
            <v>A1</v>
          </cell>
          <cell r="C415">
            <v>2</v>
          </cell>
          <cell r="D415">
            <v>3</v>
          </cell>
          <cell r="E415" t="str">
            <v>ARIS.A1.Aim3.Bin2.LB</v>
          </cell>
          <cell r="F415">
            <v>3</v>
          </cell>
          <cell r="G415" t="str">
            <v>SplineDFA</v>
          </cell>
          <cell r="H415" t="str">
            <v>Y</v>
          </cell>
          <cell r="I415" t="str">
            <v>N</v>
          </cell>
          <cell r="J415">
            <v>106</v>
          </cell>
          <cell r="K415">
            <v>1</v>
          </cell>
          <cell r="L415">
            <v>0.55659999999999998</v>
          </cell>
          <cell r="M415">
            <v>23.7</v>
          </cell>
          <cell r="N415">
            <v>2.7</v>
          </cell>
          <cell r="O415">
            <v>0.44340000000000002</v>
          </cell>
          <cell r="P415">
            <v>0.3674</v>
          </cell>
          <cell r="Q415">
            <v>7.5999999999999998E-2</v>
          </cell>
          <cell r="R415" t="str">
            <v>NA</v>
          </cell>
          <cell r="S415" t="str">
            <v>NA</v>
          </cell>
          <cell r="T415">
            <v>59.5</v>
          </cell>
          <cell r="U415">
            <v>4.8</v>
          </cell>
          <cell r="V415">
            <v>74.8</v>
          </cell>
          <cell r="W415">
            <v>7.6</v>
          </cell>
          <cell r="X415" t="str">
            <v>NA</v>
          </cell>
          <cell r="Y415" t="str">
            <v>NA</v>
          </cell>
          <cell r="Z415" t="str">
            <v>NA</v>
          </cell>
          <cell r="AA415" t="str">
            <v>NA</v>
          </cell>
        </row>
        <row r="416">
          <cell r="A416">
            <v>45127</v>
          </cell>
          <cell r="B416" t="str">
            <v>A1</v>
          </cell>
          <cell r="C416">
            <v>3</v>
          </cell>
          <cell r="D416">
            <v>3</v>
          </cell>
          <cell r="E416" t="str">
            <v>ARIS.A1.Aim3.Bin3.LB</v>
          </cell>
          <cell r="F416">
            <v>3</v>
          </cell>
          <cell r="G416" t="str">
            <v>SplineDFA</v>
          </cell>
          <cell r="H416" t="str">
            <v>Y</v>
          </cell>
          <cell r="I416" t="str">
            <v>N</v>
          </cell>
          <cell r="J416">
            <v>82</v>
          </cell>
          <cell r="K416">
            <v>1</v>
          </cell>
          <cell r="L416">
            <v>0.21709999999999999</v>
          </cell>
          <cell r="M416">
            <v>23.7</v>
          </cell>
          <cell r="N416">
            <v>2.7</v>
          </cell>
          <cell r="O416">
            <v>0.78290000000000004</v>
          </cell>
          <cell r="P416">
            <v>0.72399999999999998</v>
          </cell>
          <cell r="Q416">
            <v>5.8900000000000001E-2</v>
          </cell>
          <cell r="R416" t="str">
            <v>NA</v>
          </cell>
          <cell r="S416" t="str">
            <v>NA</v>
          </cell>
          <cell r="T416">
            <v>59.5</v>
          </cell>
          <cell r="U416">
            <v>4.8</v>
          </cell>
          <cell r="V416">
            <v>74.8</v>
          </cell>
          <cell r="W416">
            <v>7.6</v>
          </cell>
          <cell r="X416" t="str">
            <v>NA</v>
          </cell>
          <cell r="Y416" t="str">
            <v>NA</v>
          </cell>
          <cell r="Z416" t="str">
            <v>NA</v>
          </cell>
          <cell r="AA416" t="str">
            <v>NA</v>
          </cell>
        </row>
        <row r="417">
          <cell r="A417">
            <v>45127</v>
          </cell>
          <cell r="B417" t="str">
            <v>A1</v>
          </cell>
          <cell r="C417">
            <v>4</v>
          </cell>
          <cell r="D417">
            <v>3</v>
          </cell>
          <cell r="E417" t="str">
            <v>ARIS.A1.Aim3.Bin4.LB</v>
          </cell>
          <cell r="F417">
            <v>3</v>
          </cell>
          <cell r="G417" t="str">
            <v>SplineDFA</v>
          </cell>
          <cell r="H417" t="str">
            <v>Y</v>
          </cell>
          <cell r="I417" t="str">
            <v>N</v>
          </cell>
          <cell r="J417">
            <v>82</v>
          </cell>
          <cell r="K417">
            <v>1</v>
          </cell>
          <cell r="L417">
            <v>0.21709999999999999</v>
          </cell>
          <cell r="M417">
            <v>23.7</v>
          </cell>
          <cell r="N417">
            <v>2.7</v>
          </cell>
          <cell r="O417">
            <v>0.78290000000000004</v>
          </cell>
          <cell r="P417">
            <v>0.72399999999999998</v>
          </cell>
          <cell r="Q417">
            <v>5.8900000000000001E-2</v>
          </cell>
          <cell r="R417" t="str">
            <v>NA</v>
          </cell>
          <cell r="S417" t="str">
            <v>NA</v>
          </cell>
          <cell r="T417">
            <v>59.5</v>
          </cell>
          <cell r="U417">
            <v>4.8</v>
          </cell>
          <cell r="V417">
            <v>74.8</v>
          </cell>
          <cell r="W417">
            <v>7.6</v>
          </cell>
          <cell r="X417" t="str">
            <v>NA</v>
          </cell>
          <cell r="Y417" t="str">
            <v>NA</v>
          </cell>
          <cell r="Z417" t="str">
            <v>NA</v>
          </cell>
          <cell r="AA417" t="str">
            <v>NA</v>
          </cell>
        </row>
        <row r="418">
          <cell r="A418">
            <v>45127</v>
          </cell>
          <cell r="B418" t="str">
            <v>A1</v>
          </cell>
          <cell r="C418">
            <v>1</v>
          </cell>
          <cell r="D418">
            <v>1</v>
          </cell>
          <cell r="E418" t="str">
            <v>ARIS.A1.Aim1.Bin1.LB</v>
          </cell>
          <cell r="F418">
            <v>3</v>
          </cell>
          <cell r="G418" t="str">
            <v>Unweighted</v>
          </cell>
          <cell r="H418" t="str">
            <v>N</v>
          </cell>
          <cell r="I418" t="str">
            <v>Y</v>
          </cell>
          <cell r="J418">
            <v>100</v>
          </cell>
          <cell r="K418">
            <v>1</v>
          </cell>
          <cell r="L418">
            <v>0.99050000000000005</v>
          </cell>
          <cell r="M418">
            <v>17.600000000000001</v>
          </cell>
          <cell r="N418">
            <v>6.7</v>
          </cell>
          <cell r="O418">
            <v>9.4999999999999998E-3</v>
          </cell>
          <cell r="P418">
            <v>9.4999999999999998E-3</v>
          </cell>
          <cell r="Q418">
            <v>0</v>
          </cell>
          <cell r="R418" t="str">
            <v>NA</v>
          </cell>
          <cell r="S418" t="str">
            <v>NA</v>
          </cell>
          <cell r="T418">
            <v>59.5</v>
          </cell>
          <cell r="U418">
            <v>4.8</v>
          </cell>
          <cell r="V418">
            <v>74.8</v>
          </cell>
          <cell r="W418">
            <v>7.6</v>
          </cell>
          <cell r="X418" t="str">
            <v>NA</v>
          </cell>
          <cell r="Y418" t="str">
            <v>NA</v>
          </cell>
          <cell r="Z418" t="str">
            <v>NA</v>
          </cell>
          <cell r="AA418" t="str">
            <v>NA</v>
          </cell>
        </row>
        <row r="419">
          <cell r="A419">
            <v>45127</v>
          </cell>
          <cell r="B419" t="str">
            <v>A1</v>
          </cell>
          <cell r="C419">
            <v>1</v>
          </cell>
          <cell r="D419">
            <v>2</v>
          </cell>
          <cell r="E419" t="str">
            <v>ARIS.A1.Aim2.Bin1.LB</v>
          </cell>
          <cell r="F419">
            <v>3</v>
          </cell>
          <cell r="G419" t="str">
            <v>Unweighted</v>
          </cell>
          <cell r="H419" t="str">
            <v>N</v>
          </cell>
          <cell r="I419" t="str">
            <v>Y</v>
          </cell>
          <cell r="J419">
            <v>136</v>
          </cell>
          <cell r="K419">
            <v>1</v>
          </cell>
          <cell r="L419">
            <v>0.92700000000000005</v>
          </cell>
          <cell r="M419">
            <v>14.7</v>
          </cell>
          <cell r="N419">
            <v>5.8</v>
          </cell>
          <cell r="O419">
            <v>7.2999999999999995E-2</v>
          </cell>
          <cell r="P419">
            <v>6.9099999999999995E-2</v>
          </cell>
          <cell r="Q419">
            <v>3.8999999999999998E-3</v>
          </cell>
          <cell r="R419" t="str">
            <v>NA</v>
          </cell>
          <cell r="S419" t="str">
            <v>NA</v>
          </cell>
          <cell r="T419">
            <v>59.5</v>
          </cell>
          <cell r="U419">
            <v>4.8</v>
          </cell>
          <cell r="V419">
            <v>74.8</v>
          </cell>
          <cell r="W419">
            <v>7.6</v>
          </cell>
          <cell r="X419" t="str">
            <v>NA</v>
          </cell>
          <cell r="Y419" t="str">
            <v>NA</v>
          </cell>
          <cell r="Z419" t="str">
            <v>NA</v>
          </cell>
          <cell r="AA419" t="str">
            <v>NA</v>
          </cell>
        </row>
        <row r="420">
          <cell r="A420">
            <v>45127</v>
          </cell>
          <cell r="B420" t="str">
            <v>A1</v>
          </cell>
          <cell r="C420">
            <v>1</v>
          </cell>
          <cell r="D420" t="str">
            <v>1&amp;2</v>
          </cell>
          <cell r="E420" t="str">
            <v>ARIS.A1.Aim1&amp;Aim2.Bin1.LB</v>
          </cell>
          <cell r="F420">
            <v>3</v>
          </cell>
          <cell r="G420" t="str">
            <v>Unweighted</v>
          </cell>
          <cell r="H420" t="str">
            <v>N</v>
          </cell>
          <cell r="I420" t="str">
            <v>Y</v>
          </cell>
          <cell r="J420">
            <v>236</v>
          </cell>
          <cell r="K420">
            <v>1</v>
          </cell>
          <cell r="L420">
            <v>0.96489999999999998</v>
          </cell>
          <cell r="M420">
            <v>16.2</v>
          </cell>
          <cell r="N420">
            <v>6.8</v>
          </cell>
          <cell r="O420">
            <v>3.5099999999999999E-2</v>
          </cell>
          <cell r="P420">
            <v>3.2399999999999998E-2</v>
          </cell>
          <cell r="Q420">
            <v>2.7000000000000001E-3</v>
          </cell>
          <cell r="R420" t="str">
            <v>NA</v>
          </cell>
          <cell r="S420" t="str">
            <v>NA</v>
          </cell>
          <cell r="T420">
            <v>59.5</v>
          </cell>
          <cell r="U420">
            <v>4.8</v>
          </cell>
          <cell r="V420">
            <v>74.8</v>
          </cell>
          <cell r="W420">
            <v>7.6</v>
          </cell>
          <cell r="X420" t="str">
            <v>NA</v>
          </cell>
          <cell r="Y420" t="str">
            <v>NA</v>
          </cell>
          <cell r="Z420" t="str">
            <v>NA</v>
          </cell>
          <cell r="AA420" t="str">
            <v>NA</v>
          </cell>
        </row>
        <row r="421">
          <cell r="A421">
            <v>45127</v>
          </cell>
          <cell r="B421" t="str">
            <v>A1</v>
          </cell>
          <cell r="C421">
            <v>2</v>
          </cell>
          <cell r="D421">
            <v>3</v>
          </cell>
          <cell r="E421" t="str">
            <v>ARIS.A1.Aim3.Bin2.LB</v>
          </cell>
          <cell r="F421">
            <v>3</v>
          </cell>
          <cell r="G421" t="str">
            <v>Unweighted</v>
          </cell>
          <cell r="H421" t="str">
            <v>N</v>
          </cell>
          <cell r="I421" t="str">
            <v>Y</v>
          </cell>
          <cell r="J421">
            <v>106</v>
          </cell>
          <cell r="K421">
            <v>1</v>
          </cell>
          <cell r="L421">
            <v>0.74829999999999997</v>
          </cell>
          <cell r="M421">
            <v>26.8</v>
          </cell>
          <cell r="N421">
            <v>9.9</v>
          </cell>
          <cell r="O421">
            <v>0.25169999999999998</v>
          </cell>
          <cell r="P421">
            <v>0.19839999999999999</v>
          </cell>
          <cell r="Q421">
            <v>5.33E-2</v>
          </cell>
          <cell r="R421" t="str">
            <v>NA</v>
          </cell>
          <cell r="S421" t="str">
            <v>NA</v>
          </cell>
          <cell r="T421">
            <v>59.5</v>
          </cell>
          <cell r="U421">
            <v>4.8</v>
          </cell>
          <cell r="V421">
            <v>74.8</v>
          </cell>
          <cell r="W421">
            <v>7.6</v>
          </cell>
          <cell r="X421" t="str">
            <v>NA</v>
          </cell>
          <cell r="Y421" t="str">
            <v>NA</v>
          </cell>
          <cell r="Z421" t="str">
            <v>NA</v>
          </cell>
          <cell r="AA421" t="str">
            <v>NA</v>
          </cell>
        </row>
        <row r="422">
          <cell r="A422">
            <v>45127</v>
          </cell>
          <cell r="B422" t="str">
            <v>A1</v>
          </cell>
          <cell r="C422">
            <v>3</v>
          </cell>
          <cell r="D422">
            <v>3</v>
          </cell>
          <cell r="E422" t="str">
            <v>ARIS.A1.Aim3.Bin3.LB</v>
          </cell>
          <cell r="F422">
            <v>3</v>
          </cell>
          <cell r="G422" t="str">
            <v>Unweighted</v>
          </cell>
          <cell r="H422" t="str">
            <v>N</v>
          </cell>
          <cell r="I422" t="str">
            <v>Y</v>
          </cell>
          <cell r="J422">
            <v>82</v>
          </cell>
          <cell r="K422">
            <v>1</v>
          </cell>
          <cell r="L422">
            <v>0.65839999999999999</v>
          </cell>
          <cell r="M422">
            <v>23.7</v>
          </cell>
          <cell r="N422">
            <v>19.899999999999999</v>
          </cell>
          <cell r="O422">
            <v>0.34160000000000001</v>
          </cell>
          <cell r="P422">
            <v>0.2026</v>
          </cell>
          <cell r="Q422">
            <v>0.13900000000000001</v>
          </cell>
          <cell r="R422" t="str">
            <v>NA</v>
          </cell>
          <cell r="S422" t="str">
            <v>NA</v>
          </cell>
          <cell r="T422">
            <v>59.5</v>
          </cell>
          <cell r="U422">
            <v>4.8</v>
          </cell>
          <cell r="V422">
            <v>74.8</v>
          </cell>
          <cell r="W422">
            <v>7.6</v>
          </cell>
          <cell r="X422" t="str">
            <v>NA</v>
          </cell>
          <cell r="Y422" t="str">
            <v>NA</v>
          </cell>
          <cell r="Z422" t="str">
            <v>NA</v>
          </cell>
          <cell r="AA422" t="str">
            <v>NA</v>
          </cell>
        </row>
        <row r="423">
          <cell r="A423">
            <v>45127</v>
          </cell>
          <cell r="B423" t="str">
            <v>A1</v>
          </cell>
          <cell r="C423">
            <v>4</v>
          </cell>
          <cell r="D423">
            <v>3</v>
          </cell>
          <cell r="E423" t="str">
            <v>ARIS.A1.Aim3.Bin4.LB</v>
          </cell>
          <cell r="F423">
            <v>3</v>
          </cell>
          <cell r="G423" t="str">
            <v>Unweighted</v>
          </cell>
          <cell r="H423" t="str">
            <v>N</v>
          </cell>
          <cell r="I423" t="str">
            <v>Y</v>
          </cell>
          <cell r="J423">
            <v>82</v>
          </cell>
          <cell r="K423">
            <v>1</v>
          </cell>
          <cell r="L423">
            <v>0.65839999999999999</v>
          </cell>
          <cell r="M423">
            <v>23.7</v>
          </cell>
          <cell r="N423">
            <v>19.899999999999999</v>
          </cell>
          <cell r="O423">
            <v>0.34160000000000001</v>
          </cell>
          <cell r="P423">
            <v>0.2026</v>
          </cell>
          <cell r="Q423">
            <v>0.13900000000000001</v>
          </cell>
          <cell r="R423" t="str">
            <v>NA</v>
          </cell>
          <cell r="S423" t="str">
            <v>NA</v>
          </cell>
          <cell r="T423">
            <v>59.5</v>
          </cell>
          <cell r="U423">
            <v>4.8</v>
          </cell>
          <cell r="V423">
            <v>74.8</v>
          </cell>
          <cell r="W423">
            <v>7.6</v>
          </cell>
          <cell r="X423" t="str">
            <v>NA</v>
          </cell>
          <cell r="Y423" t="str">
            <v>NA</v>
          </cell>
          <cell r="Z423" t="str">
            <v>NA</v>
          </cell>
          <cell r="AA423" t="str">
            <v>NA</v>
          </cell>
        </row>
        <row r="424">
          <cell r="A424">
            <v>45127</v>
          </cell>
          <cell r="B424" t="str">
            <v>A2</v>
          </cell>
          <cell r="C424">
            <v>1</v>
          </cell>
          <cell r="D424">
            <v>1</v>
          </cell>
          <cell r="E424" t="str">
            <v>ARIS.A2.Aim1.Bin1.RB</v>
          </cell>
          <cell r="F424">
            <v>3</v>
          </cell>
          <cell r="G424" t="str">
            <v>Unweighted</v>
          </cell>
          <cell r="H424" t="str">
            <v>N</v>
          </cell>
          <cell r="I424" t="str">
            <v>Y</v>
          </cell>
          <cell r="J424">
            <v>120</v>
          </cell>
          <cell r="K424">
            <v>1</v>
          </cell>
          <cell r="L424">
            <v>0.98350000000000004</v>
          </cell>
          <cell r="M424">
            <v>17</v>
          </cell>
          <cell r="N424">
            <v>5.0999999999999996</v>
          </cell>
          <cell r="O424">
            <v>1.6500000000000001E-2</v>
          </cell>
          <cell r="P424">
            <v>1.6500000000000001E-2</v>
          </cell>
          <cell r="Q424">
            <v>0</v>
          </cell>
          <cell r="R424" t="str">
            <v>NA</v>
          </cell>
          <cell r="S424" t="str">
            <v>NA</v>
          </cell>
          <cell r="T424">
            <v>59.5</v>
          </cell>
          <cell r="U424">
            <v>4.8</v>
          </cell>
          <cell r="V424">
            <v>74.8</v>
          </cell>
          <cell r="W424">
            <v>7.6</v>
          </cell>
          <cell r="X424" t="str">
            <v>NA</v>
          </cell>
          <cell r="Y424" t="str">
            <v>NA</v>
          </cell>
          <cell r="Z424" t="str">
            <v>NA</v>
          </cell>
          <cell r="AA424" t="str">
            <v>NA</v>
          </cell>
        </row>
        <row r="425">
          <cell r="A425">
            <v>45127</v>
          </cell>
          <cell r="B425" t="str">
            <v>A2</v>
          </cell>
          <cell r="C425">
            <v>2</v>
          </cell>
          <cell r="D425">
            <v>1</v>
          </cell>
          <cell r="E425" t="str">
            <v>ARIS.A2.Aim1.Bin2.RB</v>
          </cell>
          <cell r="F425">
            <v>3</v>
          </cell>
          <cell r="G425" t="str">
            <v>Unweighted</v>
          </cell>
          <cell r="H425" t="str">
            <v>N</v>
          </cell>
          <cell r="I425" t="str">
            <v>Y</v>
          </cell>
          <cell r="J425">
            <v>85</v>
          </cell>
          <cell r="K425">
            <v>1</v>
          </cell>
          <cell r="L425">
            <v>0.91539999999999999</v>
          </cell>
          <cell r="M425">
            <v>29.2</v>
          </cell>
          <cell r="N425">
            <v>9.4</v>
          </cell>
          <cell r="O425">
            <v>8.4599999999999995E-2</v>
          </cell>
          <cell r="P425">
            <v>2.64E-2</v>
          </cell>
          <cell r="Q425">
            <v>5.8200000000000002E-2</v>
          </cell>
          <cell r="R425" t="str">
            <v>NA</v>
          </cell>
          <cell r="S425" t="str">
            <v>NA</v>
          </cell>
          <cell r="T425">
            <v>59.5</v>
          </cell>
          <cell r="U425">
            <v>4.8</v>
          </cell>
          <cell r="V425">
            <v>74.8</v>
          </cell>
          <cell r="W425">
            <v>7.6</v>
          </cell>
          <cell r="X425" t="str">
            <v>NA</v>
          </cell>
          <cell r="Y425" t="str">
            <v>NA</v>
          </cell>
          <cell r="Z425" t="str">
            <v>NA</v>
          </cell>
          <cell r="AA425" t="str">
            <v>NA</v>
          </cell>
        </row>
        <row r="426">
          <cell r="A426">
            <v>45127</v>
          </cell>
          <cell r="B426" t="str">
            <v>A2</v>
          </cell>
          <cell r="C426">
            <v>3</v>
          </cell>
          <cell r="D426">
            <v>1</v>
          </cell>
          <cell r="E426" t="str">
            <v>ARIS.A2.Aim1.Bin3.RB</v>
          </cell>
          <cell r="F426">
            <v>3</v>
          </cell>
          <cell r="G426" t="str">
            <v>Unweighted</v>
          </cell>
          <cell r="H426" t="str">
            <v>N</v>
          </cell>
          <cell r="I426" t="str">
            <v>Y</v>
          </cell>
          <cell r="J426">
            <v>35</v>
          </cell>
          <cell r="K426">
            <v>0.99990000000000001</v>
          </cell>
          <cell r="L426">
            <v>0.89990000000000003</v>
          </cell>
          <cell r="M426">
            <v>23.7</v>
          </cell>
          <cell r="N426">
            <v>16.600000000000001</v>
          </cell>
          <cell r="O426">
            <v>0.1</v>
          </cell>
          <cell r="P426">
            <v>1.14E-2</v>
          </cell>
          <cell r="Q426">
            <v>8.8599999999999998E-2</v>
          </cell>
          <cell r="R426" t="str">
            <v>NA</v>
          </cell>
          <cell r="S426" t="str">
            <v>NA</v>
          </cell>
          <cell r="T426">
            <v>59.5</v>
          </cell>
          <cell r="U426">
            <v>4.8</v>
          </cell>
          <cell r="V426">
            <v>74.8</v>
          </cell>
          <cell r="W426">
            <v>7.6</v>
          </cell>
          <cell r="X426" t="str">
            <v>NA</v>
          </cell>
          <cell r="Y426" t="str">
            <v>NA</v>
          </cell>
          <cell r="Z426" t="str">
            <v>NA</v>
          </cell>
          <cell r="AA426" t="str">
            <v>NA</v>
          </cell>
        </row>
        <row r="427">
          <cell r="A427">
            <v>45127</v>
          </cell>
          <cell r="B427" t="str">
            <v>A2</v>
          </cell>
          <cell r="C427">
            <v>4</v>
          </cell>
          <cell r="D427">
            <v>1</v>
          </cell>
          <cell r="E427" t="str">
            <v>ARIS.A2.Aim1.Bin4.RB</v>
          </cell>
          <cell r="F427">
            <v>3</v>
          </cell>
          <cell r="G427" t="str">
            <v>Unweighted</v>
          </cell>
          <cell r="H427" t="str">
            <v>N</v>
          </cell>
          <cell r="I427" t="str">
            <v>Y</v>
          </cell>
          <cell r="J427">
            <v>35</v>
          </cell>
          <cell r="K427">
            <v>0.99990000000000001</v>
          </cell>
          <cell r="L427">
            <v>0.89990000000000003</v>
          </cell>
          <cell r="M427">
            <v>23.7</v>
          </cell>
          <cell r="N427">
            <v>16.600000000000001</v>
          </cell>
          <cell r="O427">
            <v>0.1</v>
          </cell>
          <cell r="P427">
            <v>1.14E-2</v>
          </cell>
          <cell r="Q427">
            <v>8.8599999999999998E-2</v>
          </cell>
          <cell r="R427" t="str">
            <v>NA</v>
          </cell>
          <cell r="S427" t="str">
            <v>NA</v>
          </cell>
          <cell r="T427">
            <v>59.5</v>
          </cell>
          <cell r="U427">
            <v>4.8</v>
          </cell>
          <cell r="V427">
            <v>74.8</v>
          </cell>
          <cell r="W427">
            <v>7.6</v>
          </cell>
          <cell r="X427" t="str">
            <v>NA</v>
          </cell>
          <cell r="Y427" t="str">
            <v>NA</v>
          </cell>
          <cell r="Z427" t="str">
            <v>NA</v>
          </cell>
          <cell r="AA427" t="str">
            <v>NA</v>
          </cell>
        </row>
        <row r="428">
          <cell r="A428">
            <v>45127</v>
          </cell>
          <cell r="B428" t="str">
            <v>A2</v>
          </cell>
          <cell r="C428">
            <v>1</v>
          </cell>
          <cell r="D428">
            <v>1</v>
          </cell>
          <cell r="E428" t="str">
            <v>ARIS.A2.Aim1.Bin1.RB</v>
          </cell>
          <cell r="F428">
            <v>3</v>
          </cell>
          <cell r="G428" t="str">
            <v>SplineDFA</v>
          </cell>
          <cell r="H428" t="str">
            <v>Y</v>
          </cell>
          <cell r="I428" t="str">
            <v>N</v>
          </cell>
          <cell r="J428">
            <v>120</v>
          </cell>
          <cell r="K428">
            <v>1</v>
          </cell>
          <cell r="L428">
            <v>0.99039999999999995</v>
          </cell>
          <cell r="M428">
            <v>23.7</v>
          </cell>
          <cell r="N428">
            <v>2.7</v>
          </cell>
          <cell r="O428">
            <v>9.5999999999999992E-3</v>
          </cell>
          <cell r="P428">
            <v>9.5999999999999992E-3</v>
          </cell>
          <cell r="Q428">
            <v>0</v>
          </cell>
          <cell r="R428" t="str">
            <v>NA</v>
          </cell>
          <cell r="S428" t="str">
            <v>NA</v>
          </cell>
          <cell r="T428">
            <v>59.5</v>
          </cell>
          <cell r="U428">
            <v>4.8</v>
          </cell>
          <cell r="V428">
            <v>74.8</v>
          </cell>
          <cell r="W428">
            <v>7.6</v>
          </cell>
          <cell r="X428" t="str">
            <v>NA</v>
          </cell>
          <cell r="Y428" t="str">
            <v>NA</v>
          </cell>
          <cell r="Z428" t="str">
            <v>NA</v>
          </cell>
          <cell r="AA428" t="str">
            <v>NA</v>
          </cell>
        </row>
        <row r="429">
          <cell r="A429">
            <v>45127</v>
          </cell>
          <cell r="B429" t="str">
            <v>A2</v>
          </cell>
          <cell r="C429">
            <v>2</v>
          </cell>
          <cell r="D429">
            <v>1</v>
          </cell>
          <cell r="E429" t="str">
            <v>ARIS.A2.Aim1.Bin2.RB</v>
          </cell>
          <cell r="F429">
            <v>3</v>
          </cell>
          <cell r="G429" t="str">
            <v>SplineDFA</v>
          </cell>
          <cell r="H429" t="str">
            <v>Y</v>
          </cell>
          <cell r="I429" t="str">
            <v>N</v>
          </cell>
          <cell r="J429">
            <v>85</v>
          </cell>
          <cell r="K429">
            <v>1.0001</v>
          </cell>
          <cell r="L429">
            <v>0.66439999999999999</v>
          </cell>
          <cell r="M429">
            <v>23.7</v>
          </cell>
          <cell r="N429">
            <v>2.7</v>
          </cell>
          <cell r="O429">
            <v>0.3357</v>
          </cell>
          <cell r="P429">
            <v>0.26629999999999998</v>
          </cell>
          <cell r="Q429">
            <v>6.9400000000000003E-2</v>
          </cell>
          <cell r="R429" t="str">
            <v>NA</v>
          </cell>
          <cell r="S429" t="str">
            <v>NA</v>
          </cell>
          <cell r="T429">
            <v>59.5</v>
          </cell>
          <cell r="U429">
            <v>4.8</v>
          </cell>
          <cell r="V429">
            <v>74.8</v>
          </cell>
          <cell r="W429">
            <v>7.6</v>
          </cell>
          <cell r="X429" t="str">
            <v>NA</v>
          </cell>
          <cell r="Y429" t="str">
            <v>NA</v>
          </cell>
          <cell r="Z429" t="str">
            <v>NA</v>
          </cell>
          <cell r="AA429" t="str">
            <v>NA</v>
          </cell>
        </row>
        <row r="430">
          <cell r="A430">
            <v>45127</v>
          </cell>
          <cell r="B430" t="str">
            <v>A2</v>
          </cell>
          <cell r="C430">
            <v>3</v>
          </cell>
          <cell r="D430">
            <v>1</v>
          </cell>
          <cell r="E430" t="str">
            <v>ARIS.A2.Aim1.Bin3.RB</v>
          </cell>
          <cell r="F430">
            <v>3</v>
          </cell>
          <cell r="G430" t="str">
            <v>SplineDFA</v>
          </cell>
          <cell r="H430" t="str">
            <v>Y</v>
          </cell>
          <cell r="I430" t="str">
            <v>N</v>
          </cell>
          <cell r="J430">
            <v>35</v>
          </cell>
          <cell r="K430">
            <v>1</v>
          </cell>
          <cell r="L430">
            <v>0.32629999999999998</v>
          </cell>
          <cell r="M430">
            <v>23.7</v>
          </cell>
          <cell r="N430">
            <v>2.7</v>
          </cell>
          <cell r="O430">
            <v>0.67369999999999997</v>
          </cell>
          <cell r="P430">
            <v>0.60009999999999997</v>
          </cell>
          <cell r="Q430">
            <v>7.3599999999999999E-2</v>
          </cell>
          <cell r="R430" t="str">
            <v>NA</v>
          </cell>
          <cell r="S430" t="str">
            <v>NA</v>
          </cell>
          <cell r="T430">
            <v>59.5</v>
          </cell>
          <cell r="U430">
            <v>4.8</v>
          </cell>
          <cell r="V430">
            <v>74.8</v>
          </cell>
          <cell r="W430">
            <v>7.6</v>
          </cell>
          <cell r="X430" t="str">
            <v>NA</v>
          </cell>
          <cell r="Y430" t="str">
            <v>NA</v>
          </cell>
          <cell r="Z430" t="str">
            <v>NA</v>
          </cell>
          <cell r="AA430" t="str">
            <v>NA</v>
          </cell>
        </row>
        <row r="431">
          <cell r="A431">
            <v>45127</v>
          </cell>
          <cell r="B431" t="str">
            <v>A2</v>
          </cell>
          <cell r="C431">
            <v>4</v>
          </cell>
          <cell r="D431">
            <v>1</v>
          </cell>
          <cell r="E431" t="str">
            <v>ARIS.A2.Aim1.Bin4.RB</v>
          </cell>
          <cell r="F431">
            <v>3</v>
          </cell>
          <cell r="G431" t="str">
            <v>SplineDFA</v>
          </cell>
          <cell r="H431" t="str">
            <v>Y</v>
          </cell>
          <cell r="I431" t="str">
            <v>N</v>
          </cell>
          <cell r="J431">
            <v>35</v>
          </cell>
          <cell r="K431">
            <v>1</v>
          </cell>
          <cell r="L431">
            <v>0.32629999999999998</v>
          </cell>
          <cell r="M431">
            <v>23.7</v>
          </cell>
          <cell r="N431">
            <v>2.7</v>
          </cell>
          <cell r="O431">
            <v>0.67369999999999997</v>
          </cell>
          <cell r="P431">
            <v>0.60009999999999997</v>
          </cell>
          <cell r="Q431">
            <v>7.3599999999999999E-2</v>
          </cell>
          <cell r="R431" t="str">
            <v>NA</v>
          </cell>
          <cell r="S431" t="str">
            <v>NA</v>
          </cell>
          <cell r="T431">
            <v>59.5</v>
          </cell>
          <cell r="U431">
            <v>4.8</v>
          </cell>
          <cell r="V431">
            <v>74.8</v>
          </cell>
          <cell r="W431">
            <v>7.6</v>
          </cell>
          <cell r="X431" t="str">
            <v>NA</v>
          </cell>
          <cell r="Y431" t="str">
            <v>NA</v>
          </cell>
          <cell r="Z431" t="str">
            <v>NA</v>
          </cell>
          <cell r="AA431" t="str">
            <v>NA</v>
          </cell>
        </row>
        <row r="432">
          <cell r="A432">
            <v>45127</v>
          </cell>
          <cell r="B432" t="str">
            <v>A1</v>
          </cell>
          <cell r="C432">
            <v>1</v>
          </cell>
          <cell r="D432">
            <v>1</v>
          </cell>
          <cell r="E432" t="str">
            <v>ARIS.A1.Aim1.Bin1.LB</v>
          </cell>
          <cell r="F432">
            <v>4</v>
          </cell>
          <cell r="G432" t="str">
            <v>Unweighted</v>
          </cell>
          <cell r="H432" t="str">
            <v>N</v>
          </cell>
          <cell r="I432" t="str">
            <v>N</v>
          </cell>
          <cell r="J432">
            <v>100</v>
          </cell>
          <cell r="K432">
            <v>1</v>
          </cell>
          <cell r="L432">
            <v>0.95409999999999995</v>
          </cell>
          <cell r="M432">
            <v>17.100000000000001</v>
          </cell>
          <cell r="N432">
            <v>6.1</v>
          </cell>
          <cell r="O432">
            <v>4.5900000000000003E-2</v>
          </cell>
          <cell r="P432">
            <v>0</v>
          </cell>
          <cell r="Q432">
            <v>0</v>
          </cell>
          <cell r="R432" t="str">
            <v>NA</v>
          </cell>
          <cell r="S432">
            <v>4.5900000000000003E-2</v>
          </cell>
          <cell r="T432">
            <v>59.5</v>
          </cell>
          <cell r="U432">
            <v>4.8</v>
          </cell>
          <cell r="V432">
            <v>74.8</v>
          </cell>
          <cell r="W432">
            <v>7.6</v>
          </cell>
          <cell r="X432" t="str">
            <v>NA</v>
          </cell>
          <cell r="Y432" t="str">
            <v>NA</v>
          </cell>
          <cell r="Z432">
            <v>39.1</v>
          </cell>
          <cell r="AA432">
            <v>3.5</v>
          </cell>
        </row>
        <row r="433">
          <cell r="A433">
            <v>45127</v>
          </cell>
          <cell r="B433" t="str">
            <v>A1</v>
          </cell>
          <cell r="C433">
            <v>1</v>
          </cell>
          <cell r="D433">
            <v>2</v>
          </cell>
          <cell r="E433" t="str">
            <v>ARIS.A1.Aim2.Bin1.LB</v>
          </cell>
          <cell r="F433">
            <v>4</v>
          </cell>
          <cell r="G433" t="str">
            <v>Unweighted</v>
          </cell>
          <cell r="H433" t="str">
            <v>N</v>
          </cell>
          <cell r="I433" t="str">
            <v>N</v>
          </cell>
          <cell r="J433">
            <v>136</v>
          </cell>
          <cell r="K433">
            <v>1.0001</v>
          </cell>
          <cell r="L433">
            <v>0.9032</v>
          </cell>
          <cell r="M433">
            <v>14.1</v>
          </cell>
          <cell r="N433">
            <v>4.5</v>
          </cell>
          <cell r="O433">
            <v>9.69E-2</v>
          </cell>
          <cell r="P433">
            <v>4.3200000000000002E-2</v>
          </cell>
          <cell r="Q433">
            <v>5.4999999999999997E-3</v>
          </cell>
          <cell r="R433" t="str">
            <v>NA</v>
          </cell>
          <cell r="S433">
            <v>4.82E-2</v>
          </cell>
          <cell r="T433">
            <v>59.5</v>
          </cell>
          <cell r="U433">
            <v>4.8</v>
          </cell>
          <cell r="V433">
            <v>74.8</v>
          </cell>
          <cell r="W433">
            <v>7.6</v>
          </cell>
          <cell r="X433" t="str">
            <v>NA</v>
          </cell>
          <cell r="Y433" t="str">
            <v>NA</v>
          </cell>
          <cell r="Z433">
            <v>39.1</v>
          </cell>
          <cell r="AA433">
            <v>3.5</v>
          </cell>
        </row>
        <row r="434">
          <cell r="A434">
            <v>45127</v>
          </cell>
          <cell r="B434" t="str">
            <v>A1</v>
          </cell>
          <cell r="C434">
            <v>1</v>
          </cell>
          <cell r="D434" t="str">
            <v>1&amp;2</v>
          </cell>
          <cell r="E434" t="str">
            <v>ARIS.A1.Aim1&amp;Aim2.Bin1.LB</v>
          </cell>
          <cell r="F434">
            <v>4</v>
          </cell>
          <cell r="G434" t="str">
            <v>Unweighted</v>
          </cell>
          <cell r="H434" t="str">
            <v>N</v>
          </cell>
          <cell r="I434" t="str">
            <v>Y</v>
          </cell>
          <cell r="J434">
            <v>236</v>
          </cell>
          <cell r="K434">
            <v>0.99990000000000001</v>
          </cell>
          <cell r="L434">
            <v>0.93130000000000002</v>
          </cell>
          <cell r="M434">
            <v>15.5</v>
          </cell>
          <cell r="N434">
            <v>5.6</v>
          </cell>
          <cell r="O434">
            <v>6.8599999999999994E-2</v>
          </cell>
          <cell r="P434">
            <v>2.41E-2</v>
          </cell>
          <cell r="Q434">
            <v>3.2000000000000002E-3</v>
          </cell>
          <cell r="R434" t="str">
            <v>NA</v>
          </cell>
          <cell r="S434">
            <v>4.1300000000000003E-2</v>
          </cell>
          <cell r="T434">
            <v>59.5</v>
          </cell>
          <cell r="U434">
            <v>4.8</v>
          </cell>
          <cell r="V434">
            <v>74.8</v>
          </cell>
          <cell r="W434">
            <v>7.6</v>
          </cell>
          <cell r="X434" t="str">
            <v>NA</v>
          </cell>
          <cell r="Y434" t="str">
            <v>NA</v>
          </cell>
          <cell r="Z434">
            <v>39.1</v>
          </cell>
          <cell r="AA434">
            <v>3.5</v>
          </cell>
        </row>
        <row r="435">
          <cell r="A435">
            <v>45127</v>
          </cell>
          <cell r="B435" t="str">
            <v>A1</v>
          </cell>
          <cell r="C435">
            <v>2</v>
          </cell>
          <cell r="D435">
            <v>3</v>
          </cell>
          <cell r="E435" t="str">
            <v>ARIS.A1.Aim3.Bin2.LB</v>
          </cell>
          <cell r="F435">
            <v>4</v>
          </cell>
          <cell r="G435" t="str">
            <v>Unweighted</v>
          </cell>
          <cell r="H435" t="str">
            <v>N</v>
          </cell>
          <cell r="I435" t="str">
            <v>N</v>
          </cell>
          <cell r="J435">
            <v>106</v>
          </cell>
          <cell r="K435">
            <v>1</v>
          </cell>
          <cell r="L435">
            <v>0.56220000000000003</v>
          </cell>
          <cell r="M435">
            <v>22.4</v>
          </cell>
          <cell r="N435">
            <v>6.3</v>
          </cell>
          <cell r="O435">
            <v>0.43780000000000002</v>
          </cell>
          <cell r="P435">
            <v>0.20949999999999999</v>
          </cell>
          <cell r="Q435">
            <v>5.2400000000000002E-2</v>
          </cell>
          <cell r="R435" t="str">
            <v>NA</v>
          </cell>
          <cell r="S435">
            <v>0.1759</v>
          </cell>
          <cell r="T435">
            <v>59.5</v>
          </cell>
          <cell r="U435">
            <v>4.8</v>
          </cell>
          <cell r="V435">
            <v>74.8</v>
          </cell>
          <cell r="W435">
            <v>7.6</v>
          </cell>
          <cell r="X435" t="str">
            <v>NA</v>
          </cell>
          <cell r="Y435" t="str">
            <v>NA</v>
          </cell>
          <cell r="Z435">
            <v>39.1</v>
          </cell>
          <cell r="AA435">
            <v>3.5</v>
          </cell>
        </row>
        <row r="436">
          <cell r="A436">
            <v>45127</v>
          </cell>
          <cell r="B436" t="str">
            <v>A1</v>
          </cell>
          <cell r="C436">
            <v>3</v>
          </cell>
          <cell r="D436">
            <v>3</v>
          </cell>
          <cell r="E436" t="str">
            <v>ARIS.A1.Aim3.Bin3.LB</v>
          </cell>
          <cell r="F436">
            <v>4</v>
          </cell>
          <cell r="G436" t="str">
            <v>Unweighted</v>
          </cell>
          <cell r="H436" t="str">
            <v>N</v>
          </cell>
          <cell r="I436" t="str">
            <v>N</v>
          </cell>
          <cell r="J436">
            <v>82</v>
          </cell>
          <cell r="K436">
            <v>1</v>
          </cell>
          <cell r="L436">
            <v>0.13519999999999999</v>
          </cell>
          <cell r="M436">
            <v>26.8</v>
          </cell>
          <cell r="N436">
            <v>4.3</v>
          </cell>
          <cell r="O436">
            <v>0.86480000000000001</v>
          </cell>
          <cell r="P436">
            <v>0.29310000000000003</v>
          </cell>
          <cell r="Q436">
            <v>0.14369999999999999</v>
          </cell>
          <cell r="R436" t="str">
            <v>NA</v>
          </cell>
          <cell r="S436">
            <v>0.42799999999999999</v>
          </cell>
          <cell r="T436">
            <v>59.5</v>
          </cell>
          <cell r="U436">
            <v>4.8</v>
          </cell>
          <cell r="V436">
            <v>74.8</v>
          </cell>
          <cell r="W436">
            <v>7.6</v>
          </cell>
          <cell r="X436" t="str">
            <v>NA</v>
          </cell>
          <cell r="Y436" t="str">
            <v>NA</v>
          </cell>
          <cell r="Z436">
            <v>39.1</v>
          </cell>
          <cell r="AA436">
            <v>3.5</v>
          </cell>
        </row>
        <row r="437">
          <cell r="A437">
            <v>45127</v>
          </cell>
          <cell r="B437" t="str">
            <v>A1</v>
          </cell>
          <cell r="C437">
            <v>4</v>
          </cell>
          <cell r="D437">
            <v>3</v>
          </cell>
          <cell r="E437" t="str">
            <v>ARIS.A1.Aim3.Bin4.LB</v>
          </cell>
          <cell r="F437">
            <v>4</v>
          </cell>
          <cell r="G437" t="str">
            <v>Unweighted</v>
          </cell>
          <cell r="H437" t="str">
            <v>N</v>
          </cell>
          <cell r="I437" t="str">
            <v>N</v>
          </cell>
          <cell r="J437">
            <v>82</v>
          </cell>
          <cell r="K437">
            <v>1</v>
          </cell>
          <cell r="L437">
            <v>0.13519999999999999</v>
          </cell>
          <cell r="M437">
            <v>26.8</v>
          </cell>
          <cell r="N437">
            <v>4.3</v>
          </cell>
          <cell r="O437">
            <v>0.86480000000000001</v>
          </cell>
          <cell r="P437">
            <v>0.29310000000000003</v>
          </cell>
          <cell r="Q437">
            <v>0.14369999999999999</v>
          </cell>
          <cell r="R437" t="str">
            <v>NA</v>
          </cell>
          <cell r="S437">
            <v>0.42799999999999999</v>
          </cell>
          <cell r="T437">
            <v>59.5</v>
          </cell>
          <cell r="U437">
            <v>4.8</v>
          </cell>
          <cell r="V437">
            <v>74.8</v>
          </cell>
          <cell r="W437">
            <v>7.6</v>
          </cell>
          <cell r="X437" t="str">
            <v>NA</v>
          </cell>
          <cell r="Y437" t="str">
            <v>NA</v>
          </cell>
          <cell r="Z437">
            <v>39.1</v>
          </cell>
          <cell r="AA437">
            <v>3.5</v>
          </cell>
        </row>
        <row r="438">
          <cell r="A438">
            <v>45127</v>
          </cell>
          <cell r="B438" t="str">
            <v>A2</v>
          </cell>
          <cell r="C438">
            <v>1</v>
          </cell>
          <cell r="D438">
            <v>1</v>
          </cell>
          <cell r="E438" t="str">
            <v>ARIS.A2.Aim1.Bin1.RB</v>
          </cell>
          <cell r="F438">
            <v>4</v>
          </cell>
          <cell r="G438" t="str">
            <v>Unweighted</v>
          </cell>
          <cell r="H438" t="str">
            <v>N</v>
          </cell>
          <cell r="I438" t="str">
            <v>N</v>
          </cell>
          <cell r="J438">
            <v>120</v>
          </cell>
          <cell r="K438">
            <v>1</v>
          </cell>
          <cell r="L438">
            <v>0.96819999999999995</v>
          </cell>
          <cell r="M438">
            <v>16.7</v>
          </cell>
          <cell r="N438">
            <v>4.7</v>
          </cell>
          <cell r="O438">
            <v>3.1800000000000002E-2</v>
          </cell>
          <cell r="P438">
            <v>8.3000000000000001E-3</v>
          </cell>
          <cell r="Q438">
            <v>0</v>
          </cell>
          <cell r="R438" t="str">
            <v>NA</v>
          </cell>
          <cell r="S438">
            <v>2.35E-2</v>
          </cell>
          <cell r="T438">
            <v>59.5</v>
          </cell>
          <cell r="U438">
            <v>4.8</v>
          </cell>
          <cell r="V438">
            <v>74.8</v>
          </cell>
          <cell r="W438">
            <v>7.6</v>
          </cell>
          <cell r="X438" t="str">
            <v>NA</v>
          </cell>
          <cell r="Y438" t="str">
            <v>NA</v>
          </cell>
          <cell r="Z438">
            <v>39.1</v>
          </cell>
          <cell r="AA438">
            <v>3.5</v>
          </cell>
        </row>
        <row r="439">
          <cell r="A439">
            <v>45127</v>
          </cell>
          <cell r="B439" t="str">
            <v>A2</v>
          </cell>
          <cell r="C439">
            <v>2</v>
          </cell>
          <cell r="D439">
            <v>1</v>
          </cell>
          <cell r="E439" t="str">
            <v>ARIS.A2.Aim1.Bin2.RB</v>
          </cell>
          <cell r="F439">
            <v>4</v>
          </cell>
          <cell r="G439" t="str">
            <v>Unweighted</v>
          </cell>
          <cell r="H439" t="str">
            <v>N</v>
          </cell>
          <cell r="I439" t="str">
            <v>N</v>
          </cell>
          <cell r="J439">
            <v>85</v>
          </cell>
          <cell r="K439">
            <v>1</v>
          </cell>
          <cell r="L439">
            <v>0.61560000000000004</v>
          </cell>
          <cell r="M439">
            <v>23.9</v>
          </cell>
          <cell r="N439">
            <v>5.3</v>
          </cell>
          <cell r="O439">
            <v>0.38440000000000002</v>
          </cell>
          <cell r="P439">
            <v>4.3799999999999999E-2</v>
          </cell>
          <cell r="Q439">
            <v>5.4199999999999998E-2</v>
          </cell>
          <cell r="R439" t="str">
            <v>NA</v>
          </cell>
          <cell r="S439">
            <v>0.28639999999999999</v>
          </cell>
          <cell r="T439">
            <v>59.5</v>
          </cell>
          <cell r="U439">
            <v>4.8</v>
          </cell>
          <cell r="V439">
            <v>74.8</v>
          </cell>
          <cell r="W439">
            <v>7.6</v>
          </cell>
          <cell r="X439" t="str">
            <v>NA</v>
          </cell>
          <cell r="Y439" t="str">
            <v>NA</v>
          </cell>
          <cell r="Z439">
            <v>39.1</v>
          </cell>
          <cell r="AA439">
            <v>3.5</v>
          </cell>
        </row>
        <row r="440">
          <cell r="A440">
            <v>45127</v>
          </cell>
          <cell r="B440" t="str">
            <v>A2</v>
          </cell>
          <cell r="C440">
            <v>3</v>
          </cell>
          <cell r="D440">
            <v>1</v>
          </cell>
          <cell r="E440" t="str">
            <v>ARIS.A2.Aim1.Bin3.RB</v>
          </cell>
          <cell r="F440">
            <v>4</v>
          </cell>
          <cell r="G440" t="str">
            <v>Unweighted</v>
          </cell>
          <cell r="H440" t="str">
            <v>N</v>
          </cell>
          <cell r="I440" t="str">
            <v>N</v>
          </cell>
          <cell r="J440">
            <v>35</v>
          </cell>
          <cell r="K440">
            <v>1</v>
          </cell>
          <cell r="L440">
            <v>0.27450000000000002</v>
          </cell>
          <cell r="M440">
            <v>29.2</v>
          </cell>
          <cell r="N440">
            <v>0.9</v>
          </cell>
          <cell r="O440">
            <v>0.72550000000000003</v>
          </cell>
          <cell r="P440">
            <v>9.35E-2</v>
          </cell>
          <cell r="Q440">
            <v>8.6599999999999996E-2</v>
          </cell>
          <cell r="R440" t="str">
            <v>NA</v>
          </cell>
          <cell r="S440">
            <v>0.5454</v>
          </cell>
          <cell r="T440">
            <v>59.5</v>
          </cell>
          <cell r="U440">
            <v>4.8</v>
          </cell>
          <cell r="V440">
            <v>74.8</v>
          </cell>
          <cell r="W440">
            <v>7.6</v>
          </cell>
          <cell r="X440" t="str">
            <v>NA</v>
          </cell>
          <cell r="Y440" t="str">
            <v>NA</v>
          </cell>
          <cell r="Z440">
            <v>39.1</v>
          </cell>
          <cell r="AA440">
            <v>3.5</v>
          </cell>
        </row>
        <row r="441">
          <cell r="A441">
            <v>45127</v>
          </cell>
          <cell r="B441" t="str">
            <v>A2</v>
          </cell>
          <cell r="C441">
            <v>4</v>
          </cell>
          <cell r="D441">
            <v>1</v>
          </cell>
          <cell r="E441" t="str">
            <v>ARIS.A2.Aim1.Bin4.RB</v>
          </cell>
          <cell r="F441">
            <v>4</v>
          </cell>
          <cell r="G441" t="str">
            <v>Unweighted</v>
          </cell>
          <cell r="H441" t="str">
            <v>N</v>
          </cell>
          <cell r="I441" t="str">
            <v>N</v>
          </cell>
          <cell r="J441">
            <v>35</v>
          </cell>
          <cell r="K441">
            <v>1</v>
          </cell>
          <cell r="L441">
            <v>0.27450000000000002</v>
          </cell>
          <cell r="M441">
            <v>29.2</v>
          </cell>
          <cell r="N441">
            <v>0.9</v>
          </cell>
          <cell r="O441">
            <v>0.72550000000000003</v>
          </cell>
          <cell r="P441">
            <v>9.35E-2</v>
          </cell>
          <cell r="Q441">
            <v>8.6599999999999996E-2</v>
          </cell>
          <cell r="R441" t="str">
            <v>NA</v>
          </cell>
          <cell r="S441">
            <v>0.5454</v>
          </cell>
          <cell r="T441">
            <v>59.5</v>
          </cell>
          <cell r="U441">
            <v>4.8</v>
          </cell>
          <cell r="V441">
            <v>74.8</v>
          </cell>
          <cell r="W441">
            <v>7.6</v>
          </cell>
          <cell r="X441" t="str">
            <v>NA</v>
          </cell>
          <cell r="Y441" t="str">
            <v>NA</v>
          </cell>
          <cell r="Z441">
            <v>39.1</v>
          </cell>
          <cell r="AA441">
            <v>3.5</v>
          </cell>
        </row>
        <row r="442">
          <cell r="A442">
            <v>45128</v>
          </cell>
          <cell r="B442" t="str">
            <v>A1</v>
          </cell>
          <cell r="C442">
            <v>1</v>
          </cell>
          <cell r="D442">
            <v>1</v>
          </cell>
          <cell r="E442" t="str">
            <v>ARIS.A1.Aim1.Bin1.LB</v>
          </cell>
          <cell r="F442">
            <v>3</v>
          </cell>
          <cell r="G442" t="str">
            <v>SplineDFA</v>
          </cell>
          <cell r="H442" t="str">
            <v>Y</v>
          </cell>
          <cell r="I442" t="str">
            <v>N</v>
          </cell>
          <cell r="J442">
            <v>61</v>
          </cell>
          <cell r="K442">
            <v>0.99990000000000001</v>
          </cell>
          <cell r="L442">
            <v>0.84460000000000002</v>
          </cell>
          <cell r="M442">
            <v>23.7</v>
          </cell>
          <cell r="N442">
            <v>2.7</v>
          </cell>
          <cell r="O442">
            <v>0.15529999999999999</v>
          </cell>
          <cell r="P442">
            <v>0.12540000000000001</v>
          </cell>
          <cell r="Q442">
            <v>2.9899999999999999E-2</v>
          </cell>
          <cell r="R442" t="str">
            <v>NA</v>
          </cell>
          <cell r="S442" t="str">
            <v>NA</v>
          </cell>
          <cell r="T442">
            <v>59.5</v>
          </cell>
          <cell r="U442">
            <v>4.8</v>
          </cell>
          <cell r="V442">
            <v>74.8</v>
          </cell>
          <cell r="W442">
            <v>7.6</v>
          </cell>
          <cell r="X442" t="str">
            <v>NA</v>
          </cell>
          <cell r="Y442" t="str">
            <v>NA</v>
          </cell>
          <cell r="Z442" t="str">
            <v>NA</v>
          </cell>
          <cell r="AA442" t="str">
            <v>NA</v>
          </cell>
        </row>
        <row r="443">
          <cell r="A443">
            <v>45128</v>
          </cell>
          <cell r="B443" t="str">
            <v>A1</v>
          </cell>
          <cell r="C443">
            <v>1</v>
          </cell>
          <cell r="D443">
            <v>2</v>
          </cell>
          <cell r="E443" t="str">
            <v>ARIS.A1.Aim2.Bin1.LB</v>
          </cell>
          <cell r="F443">
            <v>3</v>
          </cell>
          <cell r="G443" t="str">
            <v>SplineDFA</v>
          </cell>
          <cell r="H443" t="str">
            <v>Y</v>
          </cell>
          <cell r="I443" t="str">
            <v>N</v>
          </cell>
          <cell r="J443">
            <v>143</v>
          </cell>
          <cell r="K443">
            <v>1</v>
          </cell>
          <cell r="L443">
            <v>0.93459999999999999</v>
          </cell>
          <cell r="M443">
            <v>23.7</v>
          </cell>
          <cell r="N443">
            <v>2.7</v>
          </cell>
          <cell r="O443">
            <v>6.54E-2</v>
          </cell>
          <cell r="P443">
            <v>6.54E-2</v>
          </cell>
          <cell r="Q443">
            <v>0</v>
          </cell>
          <cell r="R443" t="str">
            <v>NA</v>
          </cell>
          <cell r="S443" t="str">
            <v>NA</v>
          </cell>
          <cell r="T443">
            <v>59.5</v>
          </cell>
          <cell r="U443">
            <v>4.8</v>
          </cell>
          <cell r="V443">
            <v>74.8</v>
          </cell>
          <cell r="W443">
            <v>7.6</v>
          </cell>
          <cell r="X443" t="str">
            <v>NA</v>
          </cell>
          <cell r="Y443" t="str">
            <v>NA</v>
          </cell>
          <cell r="Z443" t="str">
            <v>NA</v>
          </cell>
          <cell r="AA443" t="str">
            <v>NA</v>
          </cell>
        </row>
        <row r="444">
          <cell r="A444">
            <v>45128</v>
          </cell>
          <cell r="B444" t="str">
            <v>A1</v>
          </cell>
          <cell r="C444">
            <v>2</v>
          </cell>
          <cell r="D444">
            <v>3</v>
          </cell>
          <cell r="E444" t="str">
            <v>ARIS.A1.Aim3.Bin2.LB</v>
          </cell>
          <cell r="F444">
            <v>3</v>
          </cell>
          <cell r="G444" t="str">
            <v>SplineDFA</v>
          </cell>
          <cell r="H444" t="str">
            <v>Y</v>
          </cell>
          <cell r="I444" t="str">
            <v>N</v>
          </cell>
          <cell r="J444">
            <v>84</v>
          </cell>
          <cell r="K444">
            <v>1.0001</v>
          </cell>
          <cell r="L444">
            <v>0.41820000000000002</v>
          </cell>
          <cell r="M444">
            <v>23.7</v>
          </cell>
          <cell r="N444">
            <v>2.7</v>
          </cell>
          <cell r="O444">
            <v>0.58189999999999997</v>
          </cell>
          <cell r="P444">
            <v>0.47439999999999999</v>
          </cell>
          <cell r="Q444">
            <v>0.1075</v>
          </cell>
          <cell r="R444" t="str">
            <v>NA</v>
          </cell>
          <cell r="S444" t="str">
            <v>NA</v>
          </cell>
          <cell r="T444">
            <v>59.5</v>
          </cell>
          <cell r="U444">
            <v>4.8</v>
          </cell>
          <cell r="V444">
            <v>74.8</v>
          </cell>
          <cell r="W444">
            <v>7.6</v>
          </cell>
          <cell r="X444" t="str">
            <v>NA</v>
          </cell>
          <cell r="Y444" t="str">
            <v>NA</v>
          </cell>
          <cell r="Z444" t="str">
            <v>NA</v>
          </cell>
          <cell r="AA444" t="str">
            <v>NA</v>
          </cell>
        </row>
        <row r="445">
          <cell r="A445">
            <v>45128</v>
          </cell>
          <cell r="B445" t="str">
            <v>A1</v>
          </cell>
          <cell r="C445">
            <v>3</v>
          </cell>
          <cell r="D445">
            <v>3</v>
          </cell>
          <cell r="E445" t="str">
            <v>ARIS.A1.Aim3.Bin3.LB</v>
          </cell>
          <cell r="F445">
            <v>3</v>
          </cell>
          <cell r="G445" t="str">
            <v>SplineDFA</v>
          </cell>
          <cell r="H445" t="str">
            <v>Y</v>
          </cell>
          <cell r="I445" t="str">
            <v>N</v>
          </cell>
          <cell r="J445">
            <v>38</v>
          </cell>
          <cell r="K445">
            <v>1</v>
          </cell>
          <cell r="L445">
            <v>0.25740000000000002</v>
          </cell>
          <cell r="M445">
            <v>23.7</v>
          </cell>
          <cell r="N445">
            <v>2.7</v>
          </cell>
          <cell r="O445">
            <v>0.74260000000000004</v>
          </cell>
          <cell r="P445">
            <v>0.40089999999999998</v>
          </cell>
          <cell r="Q445">
            <v>0.3417</v>
          </cell>
          <cell r="R445" t="str">
            <v>NA</v>
          </cell>
          <cell r="S445" t="str">
            <v>NA</v>
          </cell>
          <cell r="T445">
            <v>59.5</v>
          </cell>
          <cell r="U445">
            <v>4.8</v>
          </cell>
          <cell r="V445">
            <v>74.8</v>
          </cell>
          <cell r="W445">
            <v>7.6</v>
          </cell>
          <cell r="X445" t="str">
            <v>NA</v>
          </cell>
          <cell r="Y445" t="str">
            <v>NA</v>
          </cell>
          <cell r="Z445" t="str">
            <v>NA</v>
          </cell>
          <cell r="AA445" t="str">
            <v>NA</v>
          </cell>
        </row>
        <row r="446">
          <cell r="A446">
            <v>45128</v>
          </cell>
          <cell r="B446" t="str">
            <v>A1</v>
          </cell>
          <cell r="C446">
            <v>4</v>
          </cell>
          <cell r="D446">
            <v>3</v>
          </cell>
          <cell r="E446" t="str">
            <v>ARIS.A1.Aim3.Bin4.LB</v>
          </cell>
          <cell r="F446">
            <v>3</v>
          </cell>
          <cell r="G446" t="str">
            <v>SplineDFA</v>
          </cell>
          <cell r="H446" t="str">
            <v>Y</v>
          </cell>
          <cell r="I446" t="str">
            <v>N</v>
          </cell>
          <cell r="J446">
            <v>38</v>
          </cell>
          <cell r="K446">
            <v>1</v>
          </cell>
          <cell r="L446">
            <v>0.25740000000000002</v>
          </cell>
          <cell r="M446">
            <v>23.7</v>
          </cell>
          <cell r="N446">
            <v>2.7</v>
          </cell>
          <cell r="O446">
            <v>0.74260000000000004</v>
          </cell>
          <cell r="P446">
            <v>0.40089999999999998</v>
          </cell>
          <cell r="Q446">
            <v>0.3417</v>
          </cell>
          <cell r="R446" t="str">
            <v>NA</v>
          </cell>
          <cell r="S446" t="str">
            <v>NA</v>
          </cell>
          <cell r="T446">
            <v>59.5</v>
          </cell>
          <cell r="U446">
            <v>4.8</v>
          </cell>
          <cell r="V446">
            <v>74.8</v>
          </cell>
          <cell r="W446">
            <v>7.6</v>
          </cell>
          <cell r="X446" t="str">
            <v>NA</v>
          </cell>
          <cell r="Y446" t="str">
            <v>NA</v>
          </cell>
          <cell r="Z446" t="str">
            <v>NA</v>
          </cell>
          <cell r="AA446" t="str">
            <v>NA</v>
          </cell>
        </row>
        <row r="447">
          <cell r="A447">
            <v>45128</v>
          </cell>
          <cell r="B447" t="str">
            <v>A1</v>
          </cell>
          <cell r="C447">
            <v>1</v>
          </cell>
          <cell r="D447">
            <v>1</v>
          </cell>
          <cell r="E447" t="str">
            <v>ARIS.A1.Aim1.Bin1.LB</v>
          </cell>
          <cell r="F447">
            <v>3</v>
          </cell>
          <cell r="G447" t="str">
            <v>Unweighted</v>
          </cell>
          <cell r="H447" t="str">
            <v>N</v>
          </cell>
          <cell r="I447" t="str">
            <v>Y</v>
          </cell>
          <cell r="J447">
            <v>61</v>
          </cell>
          <cell r="K447">
            <v>1</v>
          </cell>
          <cell r="L447">
            <v>0.8911</v>
          </cell>
          <cell r="M447">
            <v>20</v>
          </cell>
          <cell r="N447">
            <v>6.9</v>
          </cell>
          <cell r="O447">
            <v>0.1089</v>
          </cell>
          <cell r="P447">
            <v>0.1089</v>
          </cell>
          <cell r="Q447">
            <v>0</v>
          </cell>
          <cell r="R447" t="str">
            <v>NA</v>
          </cell>
          <cell r="S447" t="str">
            <v>NA</v>
          </cell>
          <cell r="T447">
            <v>59.5</v>
          </cell>
          <cell r="U447">
            <v>4.8</v>
          </cell>
          <cell r="V447">
            <v>74.8</v>
          </cell>
          <cell r="W447">
            <v>7.6</v>
          </cell>
          <cell r="X447" t="str">
            <v>NA</v>
          </cell>
          <cell r="Y447" t="str">
            <v>NA</v>
          </cell>
          <cell r="Z447" t="str">
            <v>NA</v>
          </cell>
          <cell r="AA447" t="str">
            <v>NA</v>
          </cell>
        </row>
        <row r="448">
          <cell r="A448">
            <v>45128</v>
          </cell>
          <cell r="B448" t="str">
            <v>A1</v>
          </cell>
          <cell r="C448">
            <v>1</v>
          </cell>
          <cell r="D448">
            <v>2</v>
          </cell>
          <cell r="E448" t="str">
            <v>ARIS.A1.Aim2.Bin1.LB</v>
          </cell>
          <cell r="F448">
            <v>3</v>
          </cell>
          <cell r="G448" t="str">
            <v>Unweighted</v>
          </cell>
          <cell r="H448" t="str">
            <v>N</v>
          </cell>
          <cell r="I448" t="str">
            <v>Y</v>
          </cell>
          <cell r="J448">
            <v>143</v>
          </cell>
          <cell r="K448">
            <v>1</v>
          </cell>
          <cell r="L448">
            <v>0.94189999999999996</v>
          </cell>
          <cell r="M448">
            <v>15.1</v>
          </cell>
          <cell r="N448">
            <v>6</v>
          </cell>
          <cell r="O448">
            <v>5.8099999999999999E-2</v>
          </cell>
          <cell r="P448">
            <v>5.8099999999999999E-2</v>
          </cell>
          <cell r="Q448">
            <v>0</v>
          </cell>
          <cell r="R448" t="str">
            <v>NA</v>
          </cell>
          <cell r="S448" t="str">
            <v>NA</v>
          </cell>
          <cell r="T448">
            <v>59.5</v>
          </cell>
          <cell r="U448">
            <v>4.8</v>
          </cell>
          <cell r="V448">
            <v>74.8</v>
          </cell>
          <cell r="W448">
            <v>7.6</v>
          </cell>
          <cell r="X448" t="str">
            <v>NA</v>
          </cell>
          <cell r="Y448" t="str">
            <v>NA</v>
          </cell>
          <cell r="Z448" t="str">
            <v>NA</v>
          </cell>
          <cell r="AA448" t="str">
            <v>NA</v>
          </cell>
        </row>
        <row r="449">
          <cell r="A449">
            <v>45128</v>
          </cell>
          <cell r="B449" t="str">
            <v>A1</v>
          </cell>
          <cell r="C449">
            <v>1</v>
          </cell>
          <cell r="D449" t="str">
            <v>1&amp;2</v>
          </cell>
          <cell r="E449" t="str">
            <v>ARIS.A1.Aim1&amp;Aim2.Bin1.LB</v>
          </cell>
          <cell r="F449">
            <v>3</v>
          </cell>
          <cell r="G449" t="str">
            <v>Unweighted</v>
          </cell>
          <cell r="H449" t="str">
            <v>N</v>
          </cell>
          <cell r="I449" t="str">
            <v>Y</v>
          </cell>
          <cell r="J449">
            <v>204</v>
          </cell>
          <cell r="K449">
            <v>1</v>
          </cell>
          <cell r="L449">
            <v>0.92610000000000003</v>
          </cell>
          <cell r="M449">
            <v>16.600000000000001</v>
          </cell>
          <cell r="N449">
            <v>6.5</v>
          </cell>
          <cell r="O449">
            <v>7.3899999999999993E-2</v>
          </cell>
          <cell r="P449">
            <v>7.3899999999999993E-2</v>
          </cell>
          <cell r="Q449">
            <v>0</v>
          </cell>
          <cell r="R449" t="str">
            <v>NA</v>
          </cell>
          <cell r="S449" t="str">
            <v>NA</v>
          </cell>
          <cell r="T449">
            <v>59.5</v>
          </cell>
          <cell r="U449">
            <v>4.8</v>
          </cell>
          <cell r="V449">
            <v>74.8</v>
          </cell>
          <cell r="W449">
            <v>7.6</v>
          </cell>
          <cell r="X449" t="str">
            <v>NA</v>
          </cell>
          <cell r="Y449" t="str">
            <v>NA</v>
          </cell>
          <cell r="Z449" t="str">
            <v>NA</v>
          </cell>
          <cell r="AA449" t="str">
            <v>NA</v>
          </cell>
        </row>
        <row r="450">
          <cell r="A450">
            <v>45128</v>
          </cell>
          <cell r="B450" t="str">
            <v>A1</v>
          </cell>
          <cell r="C450">
            <v>2</v>
          </cell>
          <cell r="D450">
            <v>3</v>
          </cell>
          <cell r="E450" t="str">
            <v>ARIS.A1.Aim3.Bin2.LB</v>
          </cell>
          <cell r="F450">
            <v>3</v>
          </cell>
          <cell r="G450" t="str">
            <v>Unweighted</v>
          </cell>
          <cell r="H450" t="str">
            <v>N</v>
          </cell>
          <cell r="I450" t="str">
            <v>Y</v>
          </cell>
          <cell r="J450">
            <v>84</v>
          </cell>
          <cell r="K450">
            <v>1</v>
          </cell>
          <cell r="L450">
            <v>0.59060000000000001</v>
          </cell>
          <cell r="M450">
            <v>23.7</v>
          </cell>
          <cell r="N450">
            <v>12.8</v>
          </cell>
          <cell r="O450">
            <v>0.40939999999999999</v>
          </cell>
          <cell r="P450">
            <v>0.3085</v>
          </cell>
          <cell r="Q450">
            <v>0.1009</v>
          </cell>
          <cell r="R450" t="str">
            <v>NA</v>
          </cell>
          <cell r="S450" t="str">
            <v>NA</v>
          </cell>
          <cell r="T450">
            <v>59.5</v>
          </cell>
          <cell r="U450">
            <v>4.8</v>
          </cell>
          <cell r="V450">
            <v>74.8</v>
          </cell>
          <cell r="W450">
            <v>7.6</v>
          </cell>
          <cell r="X450" t="str">
            <v>NA</v>
          </cell>
          <cell r="Y450" t="str">
            <v>NA</v>
          </cell>
          <cell r="Z450" t="str">
            <v>NA</v>
          </cell>
          <cell r="AA450" t="str">
            <v>NA</v>
          </cell>
        </row>
        <row r="451">
          <cell r="A451">
            <v>45128</v>
          </cell>
          <cell r="B451" t="str">
            <v>A1</v>
          </cell>
          <cell r="C451">
            <v>3</v>
          </cell>
          <cell r="D451">
            <v>3</v>
          </cell>
          <cell r="E451" t="str">
            <v>ARIS.A1.Aim3.Bin3.LB</v>
          </cell>
          <cell r="F451">
            <v>3</v>
          </cell>
          <cell r="G451" t="str">
            <v>Unweighted</v>
          </cell>
          <cell r="H451" t="str">
            <v>N</v>
          </cell>
          <cell r="I451" t="str">
            <v>Y</v>
          </cell>
          <cell r="J451">
            <v>38</v>
          </cell>
          <cell r="K451">
            <v>1</v>
          </cell>
          <cell r="L451">
            <v>0.32250000000000001</v>
          </cell>
          <cell r="M451">
            <v>23.7</v>
          </cell>
          <cell r="N451">
            <v>14.9</v>
          </cell>
          <cell r="O451">
            <v>0.67749999999999999</v>
          </cell>
          <cell r="P451">
            <v>0.26619999999999999</v>
          </cell>
          <cell r="Q451">
            <v>0.4113</v>
          </cell>
          <cell r="R451" t="str">
            <v>NA</v>
          </cell>
          <cell r="S451" t="str">
            <v>NA</v>
          </cell>
          <cell r="T451">
            <v>59.5</v>
          </cell>
          <cell r="U451">
            <v>4.8</v>
          </cell>
          <cell r="V451">
            <v>74.8</v>
          </cell>
          <cell r="W451">
            <v>7.6</v>
          </cell>
          <cell r="X451" t="str">
            <v>NA</v>
          </cell>
          <cell r="Y451" t="str">
            <v>NA</v>
          </cell>
          <cell r="Z451" t="str">
            <v>NA</v>
          </cell>
          <cell r="AA451" t="str">
            <v>NA</v>
          </cell>
        </row>
        <row r="452">
          <cell r="A452">
            <v>45128</v>
          </cell>
          <cell r="B452" t="str">
            <v>A1</v>
          </cell>
          <cell r="C452">
            <v>4</v>
          </cell>
          <cell r="D452">
            <v>3</v>
          </cell>
          <cell r="E452" t="str">
            <v>ARIS.A1.Aim3.Bin4.LB</v>
          </cell>
          <cell r="F452">
            <v>3</v>
          </cell>
          <cell r="G452" t="str">
            <v>Unweighted</v>
          </cell>
          <cell r="H452" t="str">
            <v>N</v>
          </cell>
          <cell r="I452" t="str">
            <v>Y</v>
          </cell>
          <cell r="J452">
            <v>38</v>
          </cell>
          <cell r="K452">
            <v>1</v>
          </cell>
          <cell r="L452">
            <v>0.32250000000000001</v>
          </cell>
          <cell r="M452">
            <v>23.7</v>
          </cell>
          <cell r="N452">
            <v>14.9</v>
          </cell>
          <cell r="O452">
            <v>0.67749999999999999</v>
          </cell>
          <cell r="P452">
            <v>0.26619999999999999</v>
          </cell>
          <cell r="Q452">
            <v>0.4113</v>
          </cell>
          <cell r="R452" t="str">
            <v>NA</v>
          </cell>
          <cell r="S452" t="str">
            <v>NA</v>
          </cell>
          <cell r="T452">
            <v>59.5</v>
          </cell>
          <cell r="U452">
            <v>4.8</v>
          </cell>
          <cell r="V452">
            <v>74.8</v>
          </cell>
          <cell r="W452">
            <v>7.6</v>
          </cell>
          <cell r="X452" t="str">
            <v>NA</v>
          </cell>
          <cell r="Y452" t="str">
            <v>NA</v>
          </cell>
          <cell r="Z452" t="str">
            <v>NA</v>
          </cell>
          <cell r="AA452" t="str">
            <v>NA</v>
          </cell>
        </row>
        <row r="453">
          <cell r="A453">
            <v>45128</v>
          </cell>
          <cell r="B453" t="str">
            <v>A2</v>
          </cell>
          <cell r="C453">
            <v>1</v>
          </cell>
          <cell r="D453">
            <v>1</v>
          </cell>
          <cell r="E453" t="str">
            <v>ARIS.A2.Aim1.Bin1.RB</v>
          </cell>
          <cell r="F453">
            <v>3</v>
          </cell>
          <cell r="G453" t="str">
            <v>Unweighted</v>
          </cell>
          <cell r="H453" t="str">
            <v>N</v>
          </cell>
          <cell r="I453" t="str">
            <v>Y</v>
          </cell>
          <cell r="J453">
            <v>120</v>
          </cell>
          <cell r="K453">
            <v>1</v>
          </cell>
          <cell r="L453">
            <v>0.98350000000000004</v>
          </cell>
          <cell r="M453">
            <v>17</v>
          </cell>
          <cell r="N453">
            <v>5.0999999999999996</v>
          </cell>
          <cell r="O453">
            <v>1.6500000000000001E-2</v>
          </cell>
          <cell r="P453">
            <v>1.6500000000000001E-2</v>
          </cell>
          <cell r="Q453">
            <v>0</v>
          </cell>
          <cell r="R453" t="str">
            <v>NA</v>
          </cell>
          <cell r="S453" t="str">
            <v>NA</v>
          </cell>
          <cell r="T453">
            <v>59.5</v>
          </cell>
          <cell r="U453">
            <v>4.8</v>
          </cell>
          <cell r="V453">
            <v>74.8</v>
          </cell>
          <cell r="W453">
            <v>7.6</v>
          </cell>
          <cell r="X453" t="str">
            <v>NA</v>
          </cell>
          <cell r="Y453" t="str">
            <v>NA</v>
          </cell>
          <cell r="Z453" t="str">
            <v>NA</v>
          </cell>
          <cell r="AA453" t="str">
            <v>NA</v>
          </cell>
        </row>
        <row r="454">
          <cell r="A454">
            <v>45128</v>
          </cell>
          <cell r="B454" t="str">
            <v>A2</v>
          </cell>
          <cell r="C454">
            <v>2</v>
          </cell>
          <cell r="D454">
            <v>1</v>
          </cell>
          <cell r="E454" t="str">
            <v>ARIS.A2.Aim1.Bin2.RB</v>
          </cell>
          <cell r="F454">
            <v>3</v>
          </cell>
          <cell r="G454" t="str">
            <v>Unweighted</v>
          </cell>
          <cell r="H454" t="str">
            <v>N</v>
          </cell>
          <cell r="I454" t="str">
            <v>Y</v>
          </cell>
          <cell r="J454">
            <v>85</v>
          </cell>
          <cell r="K454">
            <v>1</v>
          </cell>
          <cell r="L454">
            <v>0.91539999999999999</v>
          </cell>
          <cell r="M454">
            <v>29.2</v>
          </cell>
          <cell r="N454">
            <v>9.4</v>
          </cell>
          <cell r="O454">
            <v>8.4599999999999995E-2</v>
          </cell>
          <cell r="P454">
            <v>2.64E-2</v>
          </cell>
          <cell r="Q454">
            <v>5.8200000000000002E-2</v>
          </cell>
          <cell r="R454" t="str">
            <v>NA</v>
          </cell>
          <cell r="S454" t="str">
            <v>NA</v>
          </cell>
          <cell r="T454">
            <v>59.5</v>
          </cell>
          <cell r="U454">
            <v>4.8</v>
          </cell>
          <cell r="V454">
            <v>74.8</v>
          </cell>
          <cell r="W454">
            <v>7.6</v>
          </cell>
          <cell r="X454" t="str">
            <v>NA</v>
          </cell>
          <cell r="Y454" t="str">
            <v>NA</v>
          </cell>
          <cell r="Z454" t="str">
            <v>NA</v>
          </cell>
          <cell r="AA454" t="str">
            <v>NA</v>
          </cell>
        </row>
        <row r="455">
          <cell r="A455">
            <v>45128</v>
          </cell>
          <cell r="B455" t="str">
            <v>A2</v>
          </cell>
          <cell r="C455">
            <v>3</v>
          </cell>
          <cell r="D455">
            <v>1</v>
          </cell>
          <cell r="E455" t="str">
            <v>ARIS.A2.Aim1.Bin3.RB</v>
          </cell>
          <cell r="F455">
            <v>3</v>
          </cell>
          <cell r="G455" t="str">
            <v>Unweighted</v>
          </cell>
          <cell r="H455" t="str">
            <v>N</v>
          </cell>
          <cell r="I455" t="str">
            <v>Y</v>
          </cell>
          <cell r="J455">
            <v>35</v>
          </cell>
          <cell r="K455">
            <v>0.99990000000000001</v>
          </cell>
          <cell r="L455">
            <v>0.89990000000000003</v>
          </cell>
          <cell r="M455">
            <v>23.7</v>
          </cell>
          <cell r="N455">
            <v>16.600000000000001</v>
          </cell>
          <cell r="O455">
            <v>0.1</v>
          </cell>
          <cell r="P455">
            <v>1.14E-2</v>
          </cell>
          <cell r="Q455">
            <v>8.8599999999999998E-2</v>
          </cell>
          <cell r="R455" t="str">
            <v>NA</v>
          </cell>
          <cell r="S455" t="str">
            <v>NA</v>
          </cell>
          <cell r="T455">
            <v>59.5</v>
          </cell>
          <cell r="U455">
            <v>4.8</v>
          </cell>
          <cell r="V455">
            <v>74.8</v>
          </cell>
          <cell r="W455">
            <v>7.6</v>
          </cell>
          <cell r="X455" t="str">
            <v>NA</v>
          </cell>
          <cell r="Y455" t="str">
            <v>NA</v>
          </cell>
          <cell r="Z455" t="str">
            <v>NA</v>
          </cell>
          <cell r="AA455" t="str">
            <v>NA</v>
          </cell>
        </row>
        <row r="456">
          <cell r="A456">
            <v>45128</v>
          </cell>
          <cell r="B456" t="str">
            <v>A2</v>
          </cell>
          <cell r="C456">
            <v>4</v>
          </cell>
          <cell r="D456">
            <v>1</v>
          </cell>
          <cell r="E456" t="str">
            <v>ARIS.A2.Aim1.Bin4.RB</v>
          </cell>
          <cell r="F456">
            <v>3</v>
          </cell>
          <cell r="G456" t="str">
            <v>Unweighted</v>
          </cell>
          <cell r="H456" t="str">
            <v>N</v>
          </cell>
          <cell r="I456" t="str">
            <v>Y</v>
          </cell>
          <cell r="J456">
            <v>35</v>
          </cell>
          <cell r="K456">
            <v>0.99990000000000001</v>
          </cell>
          <cell r="L456">
            <v>0.89990000000000003</v>
          </cell>
          <cell r="M456">
            <v>23.7</v>
          </cell>
          <cell r="N456">
            <v>16.600000000000001</v>
          </cell>
          <cell r="O456">
            <v>0.1</v>
          </cell>
          <cell r="P456">
            <v>1.14E-2</v>
          </cell>
          <cell r="Q456">
            <v>8.8599999999999998E-2</v>
          </cell>
          <cell r="R456" t="str">
            <v>NA</v>
          </cell>
          <cell r="S456" t="str">
            <v>NA</v>
          </cell>
          <cell r="T456">
            <v>59.5</v>
          </cell>
          <cell r="U456">
            <v>4.8</v>
          </cell>
          <cell r="V456">
            <v>74.8</v>
          </cell>
          <cell r="W456">
            <v>7.6</v>
          </cell>
          <cell r="X456" t="str">
            <v>NA</v>
          </cell>
          <cell r="Y456" t="str">
            <v>NA</v>
          </cell>
          <cell r="Z456" t="str">
            <v>NA</v>
          </cell>
          <cell r="AA456" t="str">
            <v>NA</v>
          </cell>
        </row>
        <row r="457">
          <cell r="A457">
            <v>45128</v>
          </cell>
          <cell r="B457" t="str">
            <v>A2</v>
          </cell>
          <cell r="C457">
            <v>1</v>
          </cell>
          <cell r="D457">
            <v>1</v>
          </cell>
          <cell r="E457" t="str">
            <v>ARIS.A2.Aim1.Bin1.RB</v>
          </cell>
          <cell r="F457">
            <v>3</v>
          </cell>
          <cell r="G457" t="str">
            <v>SplineDFA</v>
          </cell>
          <cell r="H457" t="str">
            <v>Y</v>
          </cell>
          <cell r="I457" t="str">
            <v>N</v>
          </cell>
          <cell r="J457">
            <v>120</v>
          </cell>
          <cell r="K457">
            <v>1</v>
          </cell>
          <cell r="L457">
            <v>0.99039999999999995</v>
          </cell>
          <cell r="M457">
            <v>23.7</v>
          </cell>
          <cell r="N457">
            <v>2.7</v>
          </cell>
          <cell r="O457">
            <v>9.5999999999999992E-3</v>
          </cell>
          <cell r="P457">
            <v>9.5999999999999992E-3</v>
          </cell>
          <cell r="Q457">
            <v>0</v>
          </cell>
          <cell r="R457" t="str">
            <v>NA</v>
          </cell>
          <cell r="S457" t="str">
            <v>NA</v>
          </cell>
          <cell r="T457">
            <v>59.5</v>
          </cell>
          <cell r="U457">
            <v>4.8</v>
          </cell>
          <cell r="V457">
            <v>74.8</v>
          </cell>
          <cell r="W457">
            <v>7.6</v>
          </cell>
          <cell r="X457" t="str">
            <v>NA</v>
          </cell>
          <cell r="Y457" t="str">
            <v>NA</v>
          </cell>
          <cell r="Z457" t="str">
            <v>NA</v>
          </cell>
          <cell r="AA457" t="str">
            <v>NA</v>
          </cell>
        </row>
        <row r="458">
          <cell r="A458">
            <v>45128</v>
          </cell>
          <cell r="B458" t="str">
            <v>A2</v>
          </cell>
          <cell r="C458">
            <v>2</v>
          </cell>
          <cell r="D458">
            <v>1</v>
          </cell>
          <cell r="E458" t="str">
            <v>ARIS.A2.Aim1.Bin2.RB</v>
          </cell>
          <cell r="F458">
            <v>3</v>
          </cell>
          <cell r="G458" t="str">
            <v>SplineDFA</v>
          </cell>
          <cell r="H458" t="str">
            <v>Y</v>
          </cell>
          <cell r="I458" t="str">
            <v>N</v>
          </cell>
          <cell r="J458">
            <v>85</v>
          </cell>
          <cell r="K458">
            <v>1.0001</v>
          </cell>
          <cell r="L458">
            <v>0.66439999999999999</v>
          </cell>
          <cell r="M458">
            <v>23.7</v>
          </cell>
          <cell r="N458">
            <v>2.7</v>
          </cell>
          <cell r="O458">
            <v>0.3357</v>
          </cell>
          <cell r="P458">
            <v>0.26629999999999998</v>
          </cell>
          <cell r="Q458">
            <v>6.9400000000000003E-2</v>
          </cell>
          <cell r="R458" t="str">
            <v>NA</v>
          </cell>
          <cell r="S458" t="str">
            <v>NA</v>
          </cell>
          <cell r="T458">
            <v>59.5</v>
          </cell>
          <cell r="U458">
            <v>4.8</v>
          </cell>
          <cell r="V458">
            <v>74.8</v>
          </cell>
          <cell r="W458">
            <v>7.6</v>
          </cell>
          <cell r="X458" t="str">
            <v>NA</v>
          </cell>
          <cell r="Y458" t="str">
            <v>NA</v>
          </cell>
          <cell r="Z458" t="str">
            <v>NA</v>
          </cell>
          <cell r="AA458" t="str">
            <v>NA</v>
          </cell>
        </row>
        <row r="459">
          <cell r="A459">
            <v>45128</v>
          </cell>
          <cell r="B459" t="str">
            <v>A2</v>
          </cell>
          <cell r="C459">
            <v>3</v>
          </cell>
          <cell r="D459">
            <v>1</v>
          </cell>
          <cell r="E459" t="str">
            <v>ARIS.A2.Aim1.Bin3.RB</v>
          </cell>
          <cell r="F459">
            <v>3</v>
          </cell>
          <cell r="G459" t="str">
            <v>SplineDFA</v>
          </cell>
          <cell r="H459" t="str">
            <v>Y</v>
          </cell>
          <cell r="I459" t="str">
            <v>N</v>
          </cell>
          <cell r="J459">
            <v>35</v>
          </cell>
          <cell r="K459">
            <v>1</v>
          </cell>
          <cell r="L459">
            <v>0.32629999999999998</v>
          </cell>
          <cell r="M459">
            <v>23.7</v>
          </cell>
          <cell r="N459">
            <v>2.7</v>
          </cell>
          <cell r="O459">
            <v>0.67369999999999997</v>
          </cell>
          <cell r="P459">
            <v>0.60009999999999997</v>
          </cell>
          <cell r="Q459">
            <v>7.3599999999999999E-2</v>
          </cell>
          <cell r="R459" t="str">
            <v>NA</v>
          </cell>
          <cell r="S459" t="str">
            <v>NA</v>
          </cell>
          <cell r="T459">
            <v>59.5</v>
          </cell>
          <cell r="U459">
            <v>4.8</v>
          </cell>
          <cell r="V459">
            <v>74.8</v>
          </cell>
          <cell r="W459">
            <v>7.6</v>
          </cell>
          <cell r="X459" t="str">
            <v>NA</v>
          </cell>
          <cell r="Y459" t="str">
            <v>NA</v>
          </cell>
          <cell r="Z459" t="str">
            <v>NA</v>
          </cell>
          <cell r="AA459" t="str">
            <v>NA</v>
          </cell>
        </row>
        <row r="460">
          <cell r="A460">
            <v>45128</v>
          </cell>
          <cell r="B460" t="str">
            <v>A2</v>
          </cell>
          <cell r="C460">
            <v>4</v>
          </cell>
          <cell r="D460">
            <v>1</v>
          </cell>
          <cell r="E460" t="str">
            <v>ARIS.A2.Aim1.Bin4.RB</v>
          </cell>
          <cell r="F460">
            <v>3</v>
          </cell>
          <cell r="G460" t="str">
            <v>SplineDFA</v>
          </cell>
          <cell r="H460" t="str">
            <v>Y</v>
          </cell>
          <cell r="I460" t="str">
            <v>N</v>
          </cell>
          <cell r="J460">
            <v>35</v>
          </cell>
          <cell r="K460">
            <v>1</v>
          </cell>
          <cell r="L460">
            <v>0.32629999999999998</v>
          </cell>
          <cell r="M460">
            <v>23.7</v>
          </cell>
          <cell r="N460">
            <v>2.7</v>
          </cell>
          <cell r="O460">
            <v>0.67369999999999997</v>
          </cell>
          <cell r="P460">
            <v>0.60009999999999997</v>
          </cell>
          <cell r="Q460">
            <v>7.3599999999999999E-2</v>
          </cell>
          <cell r="R460" t="str">
            <v>NA</v>
          </cell>
          <cell r="S460" t="str">
            <v>NA</v>
          </cell>
          <cell r="T460">
            <v>59.5</v>
          </cell>
          <cell r="U460">
            <v>4.8</v>
          </cell>
          <cell r="V460">
            <v>74.8</v>
          </cell>
          <cell r="W460">
            <v>7.6</v>
          </cell>
          <cell r="X460" t="str">
            <v>NA</v>
          </cell>
          <cell r="Y460" t="str">
            <v>NA</v>
          </cell>
          <cell r="Z460" t="str">
            <v>NA</v>
          </cell>
          <cell r="AA460" t="str">
            <v>NA</v>
          </cell>
        </row>
        <row r="461">
          <cell r="A461">
            <v>45128</v>
          </cell>
          <cell r="B461" t="str">
            <v>A1</v>
          </cell>
          <cell r="C461">
            <v>1</v>
          </cell>
          <cell r="D461">
            <v>1</v>
          </cell>
          <cell r="E461" t="str">
            <v>ARIS.A1.Aim1.Bin1.LB</v>
          </cell>
          <cell r="F461">
            <v>4</v>
          </cell>
          <cell r="G461" t="str">
            <v>Unweighted</v>
          </cell>
          <cell r="H461" t="str">
            <v>N</v>
          </cell>
          <cell r="I461" t="str">
            <v>N</v>
          </cell>
          <cell r="J461">
            <v>61</v>
          </cell>
          <cell r="K461">
            <v>1</v>
          </cell>
          <cell r="L461">
            <v>0.82630000000000003</v>
          </cell>
          <cell r="M461">
            <v>19.2</v>
          </cell>
          <cell r="N461">
            <v>5.8</v>
          </cell>
          <cell r="O461">
            <v>0.17369999999999999</v>
          </cell>
          <cell r="P461">
            <v>3.8300000000000001E-2</v>
          </cell>
          <cell r="Q461">
            <v>0</v>
          </cell>
          <cell r="R461" t="str">
            <v>NA</v>
          </cell>
          <cell r="S461">
            <v>0.13539999999999999</v>
          </cell>
          <cell r="T461">
            <v>59.5</v>
          </cell>
          <cell r="U461">
            <v>4.8</v>
          </cell>
          <cell r="V461">
            <v>74.8</v>
          </cell>
          <cell r="W461">
            <v>7.6</v>
          </cell>
          <cell r="X461" t="str">
            <v>NA</v>
          </cell>
          <cell r="Y461" t="str">
            <v>NA</v>
          </cell>
          <cell r="Z461">
            <v>39.1</v>
          </cell>
          <cell r="AA461">
            <v>3.5</v>
          </cell>
        </row>
        <row r="462">
          <cell r="A462">
            <v>45128</v>
          </cell>
          <cell r="B462" t="str">
            <v>A1</v>
          </cell>
          <cell r="C462">
            <v>1</v>
          </cell>
          <cell r="D462">
            <v>2</v>
          </cell>
          <cell r="E462" t="str">
            <v>ARIS.A1.Aim2.Bin1.LB</v>
          </cell>
          <cell r="F462">
            <v>4</v>
          </cell>
          <cell r="G462" t="str">
            <v>Unweighted</v>
          </cell>
          <cell r="H462" t="str">
            <v>N</v>
          </cell>
          <cell r="I462" t="str">
            <v>N</v>
          </cell>
          <cell r="J462">
            <v>143</v>
          </cell>
          <cell r="K462">
            <v>1</v>
          </cell>
          <cell r="L462">
            <v>0.90569999999999995</v>
          </cell>
          <cell r="M462">
            <v>14.4</v>
          </cell>
          <cell r="N462">
            <v>4.9000000000000004</v>
          </cell>
          <cell r="O462">
            <v>9.4299999999999995E-2</v>
          </cell>
          <cell r="P462">
            <v>3.1E-2</v>
          </cell>
          <cell r="Q462">
            <v>0</v>
          </cell>
          <cell r="R462" t="str">
            <v>NA</v>
          </cell>
          <cell r="S462">
            <v>6.3299999999999995E-2</v>
          </cell>
          <cell r="T462">
            <v>59.5</v>
          </cell>
          <cell r="U462">
            <v>4.8</v>
          </cell>
          <cell r="V462">
            <v>74.8</v>
          </cell>
          <cell r="W462">
            <v>7.6</v>
          </cell>
          <cell r="X462" t="str">
            <v>NA</v>
          </cell>
          <cell r="Y462" t="str">
            <v>NA</v>
          </cell>
          <cell r="Z462">
            <v>39.1</v>
          </cell>
          <cell r="AA462">
            <v>3.5</v>
          </cell>
        </row>
        <row r="463">
          <cell r="A463">
            <v>45128</v>
          </cell>
          <cell r="B463" t="str">
            <v>A1</v>
          </cell>
          <cell r="C463">
            <v>1</v>
          </cell>
          <cell r="D463" t="str">
            <v>1&amp;2</v>
          </cell>
          <cell r="E463" t="str">
            <v>ARIS.A1.Aim1&amp;Aim2.Bin1.LB</v>
          </cell>
          <cell r="F463">
            <v>4</v>
          </cell>
          <cell r="G463" t="str">
            <v>Unweighted</v>
          </cell>
          <cell r="H463" t="str">
            <v>N</v>
          </cell>
          <cell r="I463" t="str">
            <v>Y</v>
          </cell>
          <cell r="J463">
            <v>204</v>
          </cell>
          <cell r="K463">
            <v>0.99990000000000001</v>
          </cell>
          <cell r="L463">
            <v>0.88160000000000005</v>
          </cell>
          <cell r="M463">
            <v>15.9</v>
          </cell>
          <cell r="N463">
            <v>5.5</v>
          </cell>
          <cell r="O463">
            <v>0.1183</v>
          </cell>
          <cell r="P463">
            <v>3.2800000000000003E-2</v>
          </cell>
          <cell r="Q463">
            <v>0</v>
          </cell>
          <cell r="R463" t="str">
            <v>NA</v>
          </cell>
          <cell r="S463">
            <v>8.5500000000000007E-2</v>
          </cell>
          <cell r="T463">
            <v>59.5</v>
          </cell>
          <cell r="U463">
            <v>4.8</v>
          </cell>
          <cell r="V463">
            <v>74.8</v>
          </cell>
          <cell r="W463">
            <v>7.6</v>
          </cell>
          <cell r="X463" t="str">
            <v>NA</v>
          </cell>
          <cell r="Y463" t="str">
            <v>NA</v>
          </cell>
          <cell r="Z463">
            <v>39.1</v>
          </cell>
          <cell r="AA463">
            <v>3.5</v>
          </cell>
        </row>
        <row r="464">
          <cell r="A464">
            <v>45128</v>
          </cell>
          <cell r="B464" t="str">
            <v>A1</v>
          </cell>
          <cell r="C464">
            <v>2</v>
          </cell>
          <cell r="D464">
            <v>3</v>
          </cell>
          <cell r="E464" t="str">
            <v>ARIS.A1.Aim3.Bin2.LB</v>
          </cell>
          <cell r="F464">
            <v>4</v>
          </cell>
          <cell r="G464" t="str">
            <v>Unweighted</v>
          </cell>
          <cell r="H464" t="str">
            <v>N</v>
          </cell>
          <cell r="I464" t="str">
            <v>N</v>
          </cell>
          <cell r="J464">
            <v>84</v>
          </cell>
          <cell r="K464">
            <v>0.99990000000000001</v>
          </cell>
          <cell r="L464">
            <v>0.35610000000000003</v>
          </cell>
          <cell r="M464">
            <v>23.7</v>
          </cell>
          <cell r="N464">
            <v>6.6</v>
          </cell>
          <cell r="O464">
            <v>0.64380000000000004</v>
          </cell>
          <cell r="P464">
            <v>0.32550000000000001</v>
          </cell>
          <cell r="Q464">
            <v>9.9599999999999994E-2</v>
          </cell>
          <cell r="R464" t="str">
            <v>NA</v>
          </cell>
          <cell r="S464">
            <v>0.21870000000000001</v>
          </cell>
          <cell r="T464">
            <v>59.5</v>
          </cell>
          <cell r="U464">
            <v>4.8</v>
          </cell>
          <cell r="V464">
            <v>74.8</v>
          </cell>
          <cell r="W464">
            <v>7.6</v>
          </cell>
          <cell r="X464" t="str">
            <v>NA</v>
          </cell>
          <cell r="Y464" t="str">
            <v>NA</v>
          </cell>
          <cell r="Z464">
            <v>39.1</v>
          </cell>
          <cell r="AA464">
            <v>3.5</v>
          </cell>
        </row>
        <row r="465">
          <cell r="A465">
            <v>45128</v>
          </cell>
          <cell r="B465" t="str">
            <v>A1</v>
          </cell>
          <cell r="C465">
            <v>3</v>
          </cell>
          <cell r="D465">
            <v>3</v>
          </cell>
          <cell r="E465" t="str">
            <v>ARIS.A1.Aim3.Bin3.LB</v>
          </cell>
          <cell r="F465">
            <v>4</v>
          </cell>
          <cell r="G465" t="str">
            <v>Unweighted</v>
          </cell>
          <cell r="H465" t="str">
            <v>N</v>
          </cell>
          <cell r="I465" t="str">
            <v>N</v>
          </cell>
          <cell r="J465">
            <v>38</v>
          </cell>
          <cell r="K465">
            <v>1</v>
          </cell>
          <cell r="L465">
            <v>0.15359999999999999</v>
          </cell>
          <cell r="M465">
            <v>23.7</v>
          </cell>
          <cell r="N465">
            <v>10.3</v>
          </cell>
          <cell r="O465">
            <v>0.84640000000000004</v>
          </cell>
          <cell r="P465">
            <v>0.2858</v>
          </cell>
          <cell r="Q465">
            <v>0.40820000000000001</v>
          </cell>
          <cell r="R465" t="str">
            <v>NA</v>
          </cell>
          <cell r="S465">
            <v>0.15240000000000001</v>
          </cell>
          <cell r="T465">
            <v>59.5</v>
          </cell>
          <cell r="U465">
            <v>4.8</v>
          </cell>
          <cell r="V465">
            <v>74.8</v>
          </cell>
          <cell r="W465">
            <v>7.6</v>
          </cell>
          <cell r="X465" t="str">
            <v>NA</v>
          </cell>
          <cell r="Y465" t="str">
            <v>NA</v>
          </cell>
          <cell r="Z465">
            <v>39.1</v>
          </cell>
          <cell r="AA465">
            <v>3.5</v>
          </cell>
        </row>
        <row r="466">
          <cell r="A466">
            <v>45128</v>
          </cell>
          <cell r="B466" t="str">
            <v>A1</v>
          </cell>
          <cell r="C466">
            <v>4</v>
          </cell>
          <cell r="D466">
            <v>3</v>
          </cell>
          <cell r="E466" t="str">
            <v>ARIS.A1.Aim3.Bin4.LB</v>
          </cell>
          <cell r="F466">
            <v>4</v>
          </cell>
          <cell r="G466" t="str">
            <v>Unweighted</v>
          </cell>
          <cell r="H466" t="str">
            <v>N</v>
          </cell>
          <cell r="I466" t="str">
            <v>N</v>
          </cell>
          <cell r="J466">
            <v>38</v>
          </cell>
          <cell r="K466">
            <v>1</v>
          </cell>
          <cell r="L466">
            <v>0.15359999999999999</v>
          </cell>
          <cell r="M466">
            <v>23.7</v>
          </cell>
          <cell r="N466">
            <v>10.3</v>
          </cell>
          <cell r="O466">
            <v>0.84640000000000004</v>
          </cell>
          <cell r="P466">
            <v>0.2858</v>
          </cell>
          <cell r="Q466">
            <v>0.40820000000000001</v>
          </cell>
          <cell r="R466" t="str">
            <v>NA</v>
          </cell>
          <cell r="S466">
            <v>0.15240000000000001</v>
          </cell>
          <cell r="T466">
            <v>59.5</v>
          </cell>
          <cell r="U466">
            <v>4.8</v>
          </cell>
          <cell r="V466">
            <v>74.8</v>
          </cell>
          <cell r="W466">
            <v>7.6</v>
          </cell>
          <cell r="X466" t="str">
            <v>NA</v>
          </cell>
          <cell r="Y466" t="str">
            <v>NA</v>
          </cell>
          <cell r="Z466">
            <v>39.1</v>
          </cell>
          <cell r="AA466">
            <v>3.5</v>
          </cell>
        </row>
        <row r="467">
          <cell r="A467">
            <v>45128</v>
          </cell>
          <cell r="B467" t="str">
            <v>A2</v>
          </cell>
          <cell r="C467">
            <v>1</v>
          </cell>
          <cell r="D467">
            <v>1</v>
          </cell>
          <cell r="E467" t="str">
            <v>ARIS.A2.Aim1.Bin1.RB</v>
          </cell>
          <cell r="F467">
            <v>4</v>
          </cell>
          <cell r="G467" t="str">
            <v>Unweighted</v>
          </cell>
          <cell r="H467" t="str">
            <v>N</v>
          </cell>
          <cell r="I467" t="str">
            <v>N</v>
          </cell>
          <cell r="J467">
            <v>120</v>
          </cell>
          <cell r="K467">
            <v>1</v>
          </cell>
          <cell r="L467">
            <v>0.96819999999999995</v>
          </cell>
          <cell r="M467">
            <v>16.7</v>
          </cell>
          <cell r="N467">
            <v>4.7</v>
          </cell>
          <cell r="O467">
            <v>3.1800000000000002E-2</v>
          </cell>
          <cell r="P467">
            <v>8.3000000000000001E-3</v>
          </cell>
          <cell r="Q467">
            <v>0</v>
          </cell>
          <cell r="R467" t="str">
            <v>NA</v>
          </cell>
          <cell r="S467">
            <v>2.35E-2</v>
          </cell>
          <cell r="T467">
            <v>59.5</v>
          </cell>
          <cell r="U467">
            <v>4.8</v>
          </cell>
          <cell r="V467">
            <v>74.8</v>
          </cell>
          <cell r="W467">
            <v>7.6</v>
          </cell>
          <cell r="X467" t="str">
            <v>NA</v>
          </cell>
          <cell r="Y467" t="str">
            <v>NA</v>
          </cell>
          <cell r="Z467">
            <v>39.1</v>
          </cell>
          <cell r="AA467">
            <v>3.5</v>
          </cell>
        </row>
        <row r="468">
          <cell r="A468">
            <v>45128</v>
          </cell>
          <cell r="B468" t="str">
            <v>A2</v>
          </cell>
          <cell r="C468">
            <v>2</v>
          </cell>
          <cell r="D468">
            <v>1</v>
          </cell>
          <cell r="E468" t="str">
            <v>ARIS.A2.Aim1.Bin2.RB</v>
          </cell>
          <cell r="F468">
            <v>4</v>
          </cell>
          <cell r="G468" t="str">
            <v>Unweighted</v>
          </cell>
          <cell r="H468" t="str">
            <v>N</v>
          </cell>
          <cell r="I468" t="str">
            <v>N</v>
          </cell>
          <cell r="J468">
            <v>85</v>
          </cell>
          <cell r="K468">
            <v>1</v>
          </cell>
          <cell r="L468">
            <v>0.61560000000000004</v>
          </cell>
          <cell r="M468">
            <v>23.9</v>
          </cell>
          <cell r="N468">
            <v>5.3</v>
          </cell>
          <cell r="O468">
            <v>0.38440000000000002</v>
          </cell>
          <cell r="P468">
            <v>4.3799999999999999E-2</v>
          </cell>
          <cell r="Q468">
            <v>5.4199999999999998E-2</v>
          </cell>
          <cell r="R468" t="str">
            <v>NA</v>
          </cell>
          <cell r="S468">
            <v>0.28639999999999999</v>
          </cell>
          <cell r="T468">
            <v>59.5</v>
          </cell>
          <cell r="U468">
            <v>4.8</v>
          </cell>
          <cell r="V468">
            <v>74.8</v>
          </cell>
          <cell r="W468">
            <v>7.6</v>
          </cell>
          <cell r="X468" t="str">
            <v>NA</v>
          </cell>
          <cell r="Y468" t="str">
            <v>NA</v>
          </cell>
          <cell r="Z468">
            <v>39.1</v>
          </cell>
          <cell r="AA468">
            <v>3.5</v>
          </cell>
        </row>
        <row r="469">
          <cell r="A469">
            <v>45128</v>
          </cell>
          <cell r="B469" t="str">
            <v>A2</v>
          </cell>
          <cell r="C469">
            <v>3</v>
          </cell>
          <cell r="D469">
            <v>1</v>
          </cell>
          <cell r="E469" t="str">
            <v>ARIS.A2.Aim1.Bin3.RB</v>
          </cell>
          <cell r="F469">
            <v>4</v>
          </cell>
          <cell r="G469" t="str">
            <v>Unweighted</v>
          </cell>
          <cell r="H469" t="str">
            <v>N</v>
          </cell>
          <cell r="I469" t="str">
            <v>N</v>
          </cell>
          <cell r="J469">
            <v>35</v>
          </cell>
          <cell r="K469">
            <v>1</v>
          </cell>
          <cell r="L469">
            <v>0.27450000000000002</v>
          </cell>
          <cell r="M469">
            <v>29.2</v>
          </cell>
          <cell r="N469">
            <v>0.9</v>
          </cell>
          <cell r="O469">
            <v>0.72550000000000003</v>
          </cell>
          <cell r="P469">
            <v>9.35E-2</v>
          </cell>
          <cell r="Q469">
            <v>8.6599999999999996E-2</v>
          </cell>
          <cell r="R469" t="str">
            <v>NA</v>
          </cell>
          <cell r="S469">
            <v>0.5454</v>
          </cell>
          <cell r="T469">
            <v>59.5</v>
          </cell>
          <cell r="U469">
            <v>4.8</v>
          </cell>
          <cell r="V469">
            <v>74.8</v>
          </cell>
          <cell r="W469">
            <v>7.6</v>
          </cell>
          <cell r="X469" t="str">
            <v>NA</v>
          </cell>
          <cell r="Y469" t="str">
            <v>NA</v>
          </cell>
          <cell r="Z469">
            <v>39.1</v>
          </cell>
          <cell r="AA469">
            <v>3.5</v>
          </cell>
        </row>
        <row r="470">
          <cell r="A470">
            <v>45128</v>
          </cell>
          <cell r="B470" t="str">
            <v>A2</v>
          </cell>
          <cell r="C470">
            <v>4</v>
          </cell>
          <cell r="D470">
            <v>1</v>
          </cell>
          <cell r="E470" t="str">
            <v>ARIS.A2.Aim1.Bin4.RB</v>
          </cell>
          <cell r="F470">
            <v>4</v>
          </cell>
          <cell r="G470" t="str">
            <v>Unweighted</v>
          </cell>
          <cell r="H470" t="str">
            <v>N</v>
          </cell>
          <cell r="I470" t="str">
            <v>N</v>
          </cell>
          <cell r="J470">
            <v>35</v>
          </cell>
          <cell r="K470">
            <v>1</v>
          </cell>
          <cell r="L470">
            <v>0.27450000000000002</v>
          </cell>
          <cell r="M470">
            <v>29.2</v>
          </cell>
          <cell r="N470">
            <v>0.9</v>
          </cell>
          <cell r="O470">
            <v>0.72550000000000003</v>
          </cell>
          <cell r="P470">
            <v>9.35E-2</v>
          </cell>
          <cell r="Q470">
            <v>8.6599999999999996E-2</v>
          </cell>
          <cell r="R470" t="str">
            <v>NA</v>
          </cell>
          <cell r="S470">
            <v>0.5454</v>
          </cell>
          <cell r="T470">
            <v>59.5</v>
          </cell>
          <cell r="U470">
            <v>4.8</v>
          </cell>
          <cell r="V470">
            <v>74.8</v>
          </cell>
          <cell r="W470">
            <v>7.6</v>
          </cell>
          <cell r="X470" t="str">
            <v>NA</v>
          </cell>
          <cell r="Y470" t="str">
            <v>NA</v>
          </cell>
          <cell r="Z470">
            <v>39.1</v>
          </cell>
          <cell r="AA470">
            <v>3.5</v>
          </cell>
        </row>
        <row r="471">
          <cell r="A471">
            <v>45129</v>
          </cell>
          <cell r="B471" t="str">
            <v>A1</v>
          </cell>
          <cell r="C471">
            <v>1</v>
          </cell>
          <cell r="D471">
            <v>1</v>
          </cell>
          <cell r="E471" t="str">
            <v>ARIS.A1.Aim1.Bin1.LB</v>
          </cell>
          <cell r="F471">
            <v>3</v>
          </cell>
          <cell r="G471" t="str">
            <v>SplineDFA</v>
          </cell>
          <cell r="H471" t="str">
            <v>Y</v>
          </cell>
          <cell r="I471" t="str">
            <v>N</v>
          </cell>
          <cell r="J471">
            <v>88</v>
          </cell>
          <cell r="K471">
            <v>1</v>
          </cell>
          <cell r="L471">
            <v>0.83309999999999995</v>
          </cell>
          <cell r="M471">
            <v>23.7</v>
          </cell>
          <cell r="N471">
            <v>2.7</v>
          </cell>
          <cell r="O471">
            <v>0.16689999999999999</v>
          </cell>
          <cell r="P471">
            <v>0.16689999999999999</v>
          </cell>
          <cell r="Q471">
            <v>0</v>
          </cell>
          <cell r="R471" t="str">
            <v>NA</v>
          </cell>
          <cell r="S471" t="str">
            <v>NA</v>
          </cell>
          <cell r="T471">
            <v>59.5</v>
          </cell>
          <cell r="U471">
            <v>4.8</v>
          </cell>
          <cell r="V471">
            <v>74.8</v>
          </cell>
          <cell r="W471">
            <v>7.6</v>
          </cell>
          <cell r="X471" t="str">
            <v>NA</v>
          </cell>
          <cell r="Y471" t="str">
            <v>NA</v>
          </cell>
          <cell r="Z471" t="str">
            <v>NA</v>
          </cell>
          <cell r="AA471" t="str">
            <v>NA</v>
          </cell>
        </row>
        <row r="472">
          <cell r="A472">
            <v>45129</v>
          </cell>
          <cell r="B472" t="str">
            <v>A1</v>
          </cell>
          <cell r="C472">
            <v>1</v>
          </cell>
          <cell r="D472">
            <v>2</v>
          </cell>
          <cell r="E472" t="str">
            <v>ARIS.A1.Aim2.Bin1.LB</v>
          </cell>
          <cell r="F472">
            <v>3</v>
          </cell>
          <cell r="G472" t="str">
            <v>SplineDFA</v>
          </cell>
          <cell r="H472" t="str">
            <v>Y</v>
          </cell>
          <cell r="I472" t="str">
            <v>N</v>
          </cell>
          <cell r="J472">
            <v>102</v>
          </cell>
          <cell r="K472">
            <v>1</v>
          </cell>
          <cell r="L472">
            <v>0.94259999999999999</v>
          </cell>
          <cell r="M472">
            <v>23.7</v>
          </cell>
          <cell r="N472">
            <v>2.7</v>
          </cell>
          <cell r="O472">
            <v>5.74E-2</v>
          </cell>
          <cell r="P472">
            <v>5.74E-2</v>
          </cell>
          <cell r="Q472">
            <v>0</v>
          </cell>
          <cell r="R472" t="str">
            <v>NA</v>
          </cell>
          <cell r="S472" t="str">
            <v>NA</v>
          </cell>
          <cell r="T472">
            <v>59.5</v>
          </cell>
          <cell r="U472">
            <v>4.8</v>
          </cell>
          <cell r="V472">
            <v>74.8</v>
          </cell>
          <cell r="W472">
            <v>7.6</v>
          </cell>
          <cell r="X472" t="str">
            <v>NA</v>
          </cell>
          <cell r="Y472" t="str">
            <v>NA</v>
          </cell>
          <cell r="Z472" t="str">
            <v>NA</v>
          </cell>
          <cell r="AA472" t="str">
            <v>NA</v>
          </cell>
        </row>
        <row r="473">
          <cell r="A473">
            <v>45129</v>
          </cell>
          <cell r="B473" t="str">
            <v>A1</v>
          </cell>
          <cell r="C473">
            <v>2</v>
          </cell>
          <cell r="D473">
            <v>3</v>
          </cell>
          <cell r="E473" t="str">
            <v>ARIS.A1.Aim3.Bin2.LB</v>
          </cell>
          <cell r="F473">
            <v>3</v>
          </cell>
          <cell r="G473" t="str">
            <v>SplineDFA</v>
          </cell>
          <cell r="H473" t="str">
            <v>Y</v>
          </cell>
          <cell r="I473" t="str">
            <v>N</v>
          </cell>
          <cell r="J473">
            <v>109</v>
          </cell>
          <cell r="K473">
            <v>0.99990000000000001</v>
          </cell>
          <cell r="L473">
            <v>0.50900000000000001</v>
          </cell>
          <cell r="M473">
            <v>23.7</v>
          </cell>
          <cell r="N473">
            <v>2.7</v>
          </cell>
          <cell r="O473">
            <v>0.4909</v>
          </cell>
          <cell r="P473">
            <v>0.42599999999999999</v>
          </cell>
          <cell r="Q473">
            <v>6.4899999999999999E-2</v>
          </cell>
          <cell r="R473" t="str">
            <v>NA</v>
          </cell>
          <cell r="S473" t="str">
            <v>NA</v>
          </cell>
          <cell r="T473">
            <v>59.5</v>
          </cell>
          <cell r="U473">
            <v>4.8</v>
          </cell>
          <cell r="V473">
            <v>74.8</v>
          </cell>
          <cell r="W473">
            <v>7.6</v>
          </cell>
          <cell r="X473" t="str">
            <v>NA</v>
          </cell>
          <cell r="Y473" t="str">
            <v>NA</v>
          </cell>
          <cell r="Z473" t="str">
            <v>NA</v>
          </cell>
          <cell r="AA473" t="str">
            <v>NA</v>
          </cell>
        </row>
        <row r="474">
          <cell r="A474">
            <v>45129</v>
          </cell>
          <cell r="B474" t="str">
            <v>A1</v>
          </cell>
          <cell r="C474">
            <v>3</v>
          </cell>
          <cell r="D474">
            <v>3</v>
          </cell>
          <cell r="E474" t="str">
            <v>ARIS.A1.Aim3.Bin3.LB</v>
          </cell>
          <cell r="F474">
            <v>3</v>
          </cell>
          <cell r="G474" t="str">
            <v>SplineDFA</v>
          </cell>
          <cell r="H474" t="str">
            <v>Y</v>
          </cell>
          <cell r="I474" t="str">
            <v>N</v>
          </cell>
          <cell r="J474">
            <v>80</v>
          </cell>
          <cell r="K474">
            <v>1</v>
          </cell>
          <cell r="L474">
            <v>0.23830000000000001</v>
          </cell>
          <cell r="M474">
            <v>23.7</v>
          </cell>
          <cell r="N474">
            <v>2.7</v>
          </cell>
          <cell r="O474">
            <v>0.76170000000000004</v>
          </cell>
          <cell r="P474">
            <v>0.40939999999999999</v>
          </cell>
          <cell r="Q474">
            <v>0.3523</v>
          </cell>
          <cell r="R474" t="str">
            <v>NA</v>
          </cell>
          <cell r="S474" t="str">
            <v>NA</v>
          </cell>
          <cell r="T474">
            <v>59.5</v>
          </cell>
          <cell r="U474">
            <v>4.8</v>
          </cell>
          <cell r="V474">
            <v>74.8</v>
          </cell>
          <cell r="W474">
            <v>7.6</v>
          </cell>
          <cell r="X474" t="str">
            <v>NA</v>
          </cell>
          <cell r="Y474" t="str">
            <v>NA</v>
          </cell>
          <cell r="Z474" t="str">
            <v>NA</v>
          </cell>
          <cell r="AA474" t="str">
            <v>NA</v>
          </cell>
        </row>
        <row r="475">
          <cell r="A475">
            <v>45129</v>
          </cell>
          <cell r="B475" t="str">
            <v>A1</v>
          </cell>
          <cell r="C475">
            <v>4</v>
          </cell>
          <cell r="D475">
            <v>3</v>
          </cell>
          <cell r="E475" t="str">
            <v>ARIS.A1.Aim3.Bin4.LB</v>
          </cell>
          <cell r="F475">
            <v>3</v>
          </cell>
          <cell r="G475" t="str">
            <v>SplineDFA</v>
          </cell>
          <cell r="H475" t="str">
            <v>Y</v>
          </cell>
          <cell r="I475" t="str">
            <v>N</v>
          </cell>
          <cell r="J475">
            <v>80</v>
          </cell>
          <cell r="K475">
            <v>1</v>
          </cell>
          <cell r="L475">
            <v>0.23830000000000001</v>
          </cell>
          <cell r="M475">
            <v>23.7</v>
          </cell>
          <cell r="N475">
            <v>2.7</v>
          </cell>
          <cell r="O475">
            <v>0.76170000000000004</v>
          </cell>
          <cell r="P475">
            <v>0.40939999999999999</v>
          </cell>
          <cell r="Q475">
            <v>0.3523</v>
          </cell>
          <cell r="R475" t="str">
            <v>NA</v>
          </cell>
          <cell r="S475" t="str">
            <v>NA</v>
          </cell>
          <cell r="T475">
            <v>59.5</v>
          </cell>
          <cell r="U475">
            <v>4.8</v>
          </cell>
          <cell r="V475">
            <v>74.8</v>
          </cell>
          <cell r="W475">
            <v>7.6</v>
          </cell>
          <cell r="X475" t="str">
            <v>NA</v>
          </cell>
          <cell r="Y475" t="str">
            <v>NA</v>
          </cell>
          <cell r="Z475" t="str">
            <v>NA</v>
          </cell>
          <cell r="AA475" t="str">
            <v>NA</v>
          </cell>
        </row>
        <row r="476">
          <cell r="A476">
            <v>45129</v>
          </cell>
          <cell r="B476" t="str">
            <v>A1</v>
          </cell>
          <cell r="C476">
            <v>1</v>
          </cell>
          <cell r="D476">
            <v>1</v>
          </cell>
          <cell r="E476" t="str">
            <v>ARIS.A1.Aim1.Bin1.LB</v>
          </cell>
          <cell r="F476">
            <v>3</v>
          </cell>
          <cell r="G476" t="str">
            <v>Unweighted</v>
          </cell>
          <cell r="H476" t="str">
            <v>N</v>
          </cell>
          <cell r="I476" t="str">
            <v>Y</v>
          </cell>
          <cell r="J476">
            <v>88</v>
          </cell>
          <cell r="K476">
            <v>1</v>
          </cell>
          <cell r="L476">
            <v>0.90249999999999997</v>
          </cell>
          <cell r="M476">
            <v>20.399999999999999</v>
          </cell>
          <cell r="N476">
            <v>6.8</v>
          </cell>
          <cell r="O476">
            <v>9.7500000000000003E-2</v>
          </cell>
          <cell r="P476">
            <v>9.7500000000000003E-2</v>
          </cell>
          <cell r="Q476">
            <v>0</v>
          </cell>
          <cell r="R476" t="str">
            <v>NA</v>
          </cell>
          <cell r="S476" t="str">
            <v>NA</v>
          </cell>
          <cell r="T476">
            <v>59.5</v>
          </cell>
          <cell r="U476">
            <v>4.8</v>
          </cell>
          <cell r="V476">
            <v>74.8</v>
          </cell>
          <cell r="W476">
            <v>7.6</v>
          </cell>
          <cell r="X476" t="str">
            <v>NA</v>
          </cell>
          <cell r="Y476" t="str">
            <v>NA</v>
          </cell>
          <cell r="Z476" t="str">
            <v>NA</v>
          </cell>
          <cell r="AA476" t="str">
            <v>NA</v>
          </cell>
        </row>
        <row r="477">
          <cell r="A477">
            <v>45129</v>
          </cell>
          <cell r="B477" t="str">
            <v>A1</v>
          </cell>
          <cell r="C477">
            <v>1</v>
          </cell>
          <cell r="D477">
            <v>2</v>
          </cell>
          <cell r="E477" t="str">
            <v>ARIS.A1.Aim2.Bin1.LB</v>
          </cell>
          <cell r="F477">
            <v>3</v>
          </cell>
          <cell r="G477" t="str">
            <v>Unweighted</v>
          </cell>
          <cell r="H477" t="str">
            <v>N</v>
          </cell>
          <cell r="I477" t="str">
            <v>Y</v>
          </cell>
          <cell r="J477">
            <v>102</v>
          </cell>
          <cell r="K477">
            <v>1</v>
          </cell>
          <cell r="L477">
            <v>0.89500000000000002</v>
          </cell>
          <cell r="M477">
            <v>16.100000000000001</v>
          </cell>
          <cell r="N477">
            <v>5.8</v>
          </cell>
          <cell r="O477">
            <v>0.105</v>
          </cell>
          <cell r="P477">
            <v>0.105</v>
          </cell>
          <cell r="Q477">
            <v>0</v>
          </cell>
          <cell r="R477" t="str">
            <v>NA</v>
          </cell>
          <cell r="S477" t="str">
            <v>NA</v>
          </cell>
          <cell r="T477">
            <v>59.5</v>
          </cell>
          <cell r="U477">
            <v>4.8</v>
          </cell>
          <cell r="V477">
            <v>74.8</v>
          </cell>
          <cell r="W477">
            <v>7.6</v>
          </cell>
          <cell r="X477" t="str">
            <v>NA</v>
          </cell>
          <cell r="Y477" t="str">
            <v>NA</v>
          </cell>
          <cell r="Z477" t="str">
            <v>NA</v>
          </cell>
          <cell r="AA477" t="str">
            <v>NA</v>
          </cell>
        </row>
        <row r="478">
          <cell r="A478">
            <v>45129</v>
          </cell>
          <cell r="B478" t="str">
            <v>A1</v>
          </cell>
          <cell r="C478">
            <v>1</v>
          </cell>
          <cell r="D478" t="str">
            <v>1&amp;2</v>
          </cell>
          <cell r="E478" t="str">
            <v>ARIS.A1.Aim1&amp;Aim2.Bin1.LB</v>
          </cell>
          <cell r="F478">
            <v>3</v>
          </cell>
          <cell r="G478" t="str">
            <v>Unweighted</v>
          </cell>
          <cell r="H478" t="str">
            <v>N</v>
          </cell>
          <cell r="I478" t="str">
            <v>Y</v>
          </cell>
          <cell r="J478">
            <v>190</v>
          </cell>
          <cell r="K478">
            <v>1</v>
          </cell>
          <cell r="L478">
            <v>0.89829999999999999</v>
          </cell>
          <cell r="M478">
            <v>18.100000000000001</v>
          </cell>
          <cell r="N478">
            <v>6.7</v>
          </cell>
          <cell r="O478">
            <v>0.1017</v>
          </cell>
          <cell r="P478">
            <v>0.1017</v>
          </cell>
          <cell r="Q478">
            <v>0</v>
          </cell>
          <cell r="R478" t="str">
            <v>NA</v>
          </cell>
          <cell r="S478" t="str">
            <v>NA</v>
          </cell>
          <cell r="T478">
            <v>59.5</v>
          </cell>
          <cell r="U478">
            <v>4.8</v>
          </cell>
          <cell r="V478">
            <v>74.8</v>
          </cell>
          <cell r="W478">
            <v>7.6</v>
          </cell>
          <cell r="X478" t="str">
            <v>NA</v>
          </cell>
          <cell r="Y478" t="str">
            <v>NA</v>
          </cell>
          <cell r="Z478" t="str">
            <v>NA</v>
          </cell>
          <cell r="AA478" t="str">
            <v>NA</v>
          </cell>
        </row>
        <row r="479">
          <cell r="A479">
            <v>45129</v>
          </cell>
          <cell r="B479" t="str">
            <v>A1</v>
          </cell>
          <cell r="C479">
            <v>2</v>
          </cell>
          <cell r="D479">
            <v>3</v>
          </cell>
          <cell r="E479" t="str">
            <v>ARIS.A1.Aim3.Bin2.LB</v>
          </cell>
          <cell r="F479">
            <v>3</v>
          </cell>
          <cell r="G479" t="str">
            <v>Unweighted</v>
          </cell>
          <cell r="H479" t="str">
            <v>N</v>
          </cell>
          <cell r="I479" t="str">
            <v>Y</v>
          </cell>
          <cell r="J479">
            <v>109</v>
          </cell>
          <cell r="K479">
            <v>1</v>
          </cell>
          <cell r="L479">
            <v>0.77229999999999999</v>
          </cell>
          <cell r="M479">
            <v>31.1</v>
          </cell>
          <cell r="N479">
            <v>9.6999999999999993</v>
          </cell>
          <cell r="O479">
            <v>0.22770000000000001</v>
          </cell>
          <cell r="P479">
            <v>0.19889999999999999</v>
          </cell>
          <cell r="Q479">
            <v>2.8799999999999999E-2</v>
          </cell>
          <cell r="R479" t="str">
            <v>NA</v>
          </cell>
          <cell r="S479" t="str">
            <v>NA</v>
          </cell>
          <cell r="T479">
            <v>59.5</v>
          </cell>
          <cell r="U479">
            <v>4.8</v>
          </cell>
          <cell r="V479">
            <v>74.8</v>
          </cell>
          <cell r="W479">
            <v>7.6</v>
          </cell>
          <cell r="X479" t="str">
            <v>NA</v>
          </cell>
          <cell r="Y479" t="str">
            <v>NA</v>
          </cell>
          <cell r="Z479" t="str">
            <v>NA</v>
          </cell>
          <cell r="AA479" t="str">
            <v>NA</v>
          </cell>
        </row>
        <row r="480">
          <cell r="A480">
            <v>45129</v>
          </cell>
          <cell r="B480" t="str">
            <v>A1</v>
          </cell>
          <cell r="C480">
            <v>3</v>
          </cell>
          <cell r="D480">
            <v>3</v>
          </cell>
          <cell r="E480" t="str">
            <v>ARIS.A1.Aim3.Bin3.LB</v>
          </cell>
          <cell r="F480">
            <v>3</v>
          </cell>
          <cell r="G480" t="str">
            <v>Unweighted</v>
          </cell>
          <cell r="H480" t="str">
            <v>N</v>
          </cell>
          <cell r="I480" t="str">
            <v>Y</v>
          </cell>
          <cell r="J480">
            <v>80</v>
          </cell>
          <cell r="K480">
            <v>1</v>
          </cell>
          <cell r="L480">
            <v>0.4294</v>
          </cell>
          <cell r="M480">
            <v>23.7</v>
          </cell>
          <cell r="N480">
            <v>16.899999999999999</v>
          </cell>
          <cell r="O480">
            <v>0.5706</v>
          </cell>
          <cell r="P480">
            <v>0.217</v>
          </cell>
          <cell r="Q480">
            <v>0.35360000000000003</v>
          </cell>
          <cell r="R480" t="str">
            <v>NA</v>
          </cell>
          <cell r="S480" t="str">
            <v>NA</v>
          </cell>
          <cell r="T480">
            <v>59.5</v>
          </cell>
          <cell r="U480">
            <v>4.8</v>
          </cell>
          <cell r="V480">
            <v>74.8</v>
          </cell>
          <cell r="W480">
            <v>7.6</v>
          </cell>
          <cell r="X480" t="str">
            <v>NA</v>
          </cell>
          <cell r="Y480" t="str">
            <v>NA</v>
          </cell>
          <cell r="Z480" t="str">
            <v>NA</v>
          </cell>
          <cell r="AA480" t="str">
            <v>NA</v>
          </cell>
        </row>
        <row r="481">
          <cell r="A481">
            <v>45129</v>
          </cell>
          <cell r="B481" t="str">
            <v>A1</v>
          </cell>
          <cell r="C481">
            <v>4</v>
          </cell>
          <cell r="D481">
            <v>3</v>
          </cell>
          <cell r="E481" t="str">
            <v>ARIS.A1.Aim3.Bin4.LB</v>
          </cell>
          <cell r="F481">
            <v>3</v>
          </cell>
          <cell r="G481" t="str">
            <v>Unweighted</v>
          </cell>
          <cell r="H481" t="str">
            <v>N</v>
          </cell>
          <cell r="I481" t="str">
            <v>Y</v>
          </cell>
          <cell r="J481">
            <v>80</v>
          </cell>
          <cell r="K481">
            <v>1</v>
          </cell>
          <cell r="L481">
            <v>0.4294</v>
          </cell>
          <cell r="M481">
            <v>23.7</v>
          </cell>
          <cell r="N481">
            <v>16.899999999999999</v>
          </cell>
          <cell r="O481">
            <v>0.5706</v>
          </cell>
          <cell r="P481">
            <v>0.217</v>
          </cell>
          <cell r="Q481">
            <v>0.35360000000000003</v>
          </cell>
          <cell r="R481" t="str">
            <v>NA</v>
          </cell>
          <cell r="S481" t="str">
            <v>NA</v>
          </cell>
          <cell r="T481">
            <v>59.5</v>
          </cell>
          <cell r="U481">
            <v>4.8</v>
          </cell>
          <cell r="V481">
            <v>74.8</v>
          </cell>
          <cell r="W481">
            <v>7.6</v>
          </cell>
          <cell r="X481" t="str">
            <v>NA</v>
          </cell>
          <cell r="Y481" t="str">
            <v>NA</v>
          </cell>
          <cell r="Z481" t="str">
            <v>NA</v>
          </cell>
          <cell r="AA481" t="str">
            <v>NA</v>
          </cell>
        </row>
        <row r="482">
          <cell r="A482">
            <v>45129</v>
          </cell>
          <cell r="B482" t="str">
            <v>A2</v>
          </cell>
          <cell r="C482">
            <v>1</v>
          </cell>
          <cell r="D482">
            <v>1</v>
          </cell>
          <cell r="E482" t="str">
            <v>ARIS.A2.Aim1.Bin1.RB</v>
          </cell>
          <cell r="F482">
            <v>3</v>
          </cell>
          <cell r="G482" t="str">
            <v>Unweighted</v>
          </cell>
          <cell r="H482" t="str">
            <v>N</v>
          </cell>
          <cell r="I482" t="str">
            <v>Y</v>
          </cell>
          <cell r="J482">
            <v>124</v>
          </cell>
          <cell r="K482">
            <v>1</v>
          </cell>
          <cell r="L482">
            <v>0.91239999999999999</v>
          </cell>
          <cell r="M482">
            <v>18</v>
          </cell>
          <cell r="N482">
            <v>6.3</v>
          </cell>
          <cell r="O482">
            <v>8.7599999999999997E-2</v>
          </cell>
          <cell r="P482">
            <v>8.7599999999999997E-2</v>
          </cell>
          <cell r="Q482">
            <v>0</v>
          </cell>
          <cell r="R482" t="str">
            <v>NA</v>
          </cell>
          <cell r="S482" t="str">
            <v>NA</v>
          </cell>
          <cell r="T482">
            <v>59.5</v>
          </cell>
          <cell r="U482">
            <v>4.8</v>
          </cell>
          <cell r="V482">
            <v>74.8</v>
          </cell>
          <cell r="W482">
            <v>7.6</v>
          </cell>
          <cell r="X482" t="str">
            <v>NA</v>
          </cell>
          <cell r="Y482" t="str">
            <v>NA</v>
          </cell>
          <cell r="Z482" t="str">
            <v>NA</v>
          </cell>
          <cell r="AA482" t="str">
            <v>NA</v>
          </cell>
        </row>
        <row r="483">
          <cell r="A483">
            <v>45129</v>
          </cell>
          <cell r="B483" t="str">
            <v>A2</v>
          </cell>
          <cell r="C483">
            <v>2</v>
          </cell>
          <cell r="D483">
            <v>1</v>
          </cell>
          <cell r="E483" t="str">
            <v>ARIS.A2.Aim1.Bin2.RB</v>
          </cell>
          <cell r="F483">
            <v>3</v>
          </cell>
          <cell r="G483" t="str">
            <v>Unweighted</v>
          </cell>
          <cell r="H483" t="str">
            <v>N</v>
          </cell>
          <cell r="I483" t="str">
            <v>Y</v>
          </cell>
          <cell r="J483">
            <v>85</v>
          </cell>
          <cell r="K483">
            <v>0.99990000000000001</v>
          </cell>
          <cell r="L483">
            <v>0.85829999999999995</v>
          </cell>
          <cell r="M483">
            <v>32.9</v>
          </cell>
          <cell r="N483">
            <v>9.1999999999999993</v>
          </cell>
          <cell r="O483">
            <v>0.1416</v>
          </cell>
          <cell r="P483">
            <v>4.0099999999999997E-2</v>
          </cell>
          <cell r="Q483">
            <v>0.10150000000000001</v>
          </cell>
          <cell r="R483" t="str">
            <v>NA</v>
          </cell>
          <cell r="S483" t="str">
            <v>NA</v>
          </cell>
          <cell r="T483">
            <v>59.5</v>
          </cell>
          <cell r="U483">
            <v>4.8</v>
          </cell>
          <cell r="V483">
            <v>74.8</v>
          </cell>
          <cell r="W483">
            <v>7.6</v>
          </cell>
          <cell r="X483" t="str">
            <v>NA</v>
          </cell>
          <cell r="Y483" t="str">
            <v>NA</v>
          </cell>
          <cell r="Z483" t="str">
            <v>NA</v>
          </cell>
          <cell r="AA483" t="str">
            <v>NA</v>
          </cell>
        </row>
        <row r="484">
          <cell r="A484">
            <v>45129</v>
          </cell>
          <cell r="B484" t="str">
            <v>A2</v>
          </cell>
          <cell r="C484">
            <v>3</v>
          </cell>
          <cell r="D484">
            <v>1</v>
          </cell>
          <cell r="E484" t="str">
            <v>ARIS.A2.Aim1.Bin3.RB</v>
          </cell>
          <cell r="F484">
            <v>3</v>
          </cell>
          <cell r="G484" t="str">
            <v>Unweighted</v>
          </cell>
          <cell r="H484" t="str">
            <v>N</v>
          </cell>
          <cell r="I484" t="str">
            <v>Y</v>
          </cell>
          <cell r="J484">
            <v>59</v>
          </cell>
          <cell r="K484">
            <v>0.99990000000000001</v>
          </cell>
          <cell r="L484">
            <v>0.59840000000000004</v>
          </cell>
          <cell r="M484">
            <v>23.7</v>
          </cell>
          <cell r="N484">
            <v>21.3</v>
          </cell>
          <cell r="O484">
            <v>0.40150000000000002</v>
          </cell>
          <cell r="P484">
            <v>0.17169999999999999</v>
          </cell>
          <cell r="Q484">
            <v>0.2298</v>
          </cell>
          <cell r="R484" t="str">
            <v>NA</v>
          </cell>
          <cell r="S484" t="str">
            <v>NA</v>
          </cell>
          <cell r="T484">
            <v>59.5</v>
          </cell>
          <cell r="U484">
            <v>4.8</v>
          </cell>
          <cell r="V484">
            <v>74.8</v>
          </cell>
          <cell r="W484">
            <v>7.6</v>
          </cell>
          <cell r="X484" t="str">
            <v>NA</v>
          </cell>
          <cell r="Y484" t="str">
            <v>NA</v>
          </cell>
          <cell r="Z484" t="str">
            <v>NA</v>
          </cell>
          <cell r="AA484" t="str">
            <v>NA</v>
          </cell>
        </row>
        <row r="485">
          <cell r="A485">
            <v>45129</v>
          </cell>
          <cell r="B485" t="str">
            <v>A2</v>
          </cell>
          <cell r="C485">
            <v>4</v>
          </cell>
          <cell r="D485">
            <v>1</v>
          </cell>
          <cell r="E485" t="str">
            <v>ARIS.A2.Aim1.Bin4.RB</v>
          </cell>
          <cell r="F485">
            <v>3</v>
          </cell>
          <cell r="G485" t="str">
            <v>Unweighted</v>
          </cell>
          <cell r="H485" t="str">
            <v>N</v>
          </cell>
          <cell r="I485" t="str">
            <v>Y</v>
          </cell>
          <cell r="J485">
            <v>59</v>
          </cell>
          <cell r="K485">
            <v>0.99990000000000001</v>
          </cell>
          <cell r="L485">
            <v>0.59840000000000004</v>
          </cell>
          <cell r="M485">
            <v>23.7</v>
          </cell>
          <cell r="N485">
            <v>21.3</v>
          </cell>
          <cell r="O485">
            <v>0.40150000000000002</v>
          </cell>
          <cell r="P485">
            <v>0.17169999999999999</v>
          </cell>
          <cell r="Q485">
            <v>0.2298</v>
          </cell>
          <cell r="R485" t="str">
            <v>NA</v>
          </cell>
          <cell r="S485" t="str">
            <v>NA</v>
          </cell>
          <cell r="T485">
            <v>59.5</v>
          </cell>
          <cell r="U485">
            <v>4.8</v>
          </cell>
          <cell r="V485">
            <v>74.8</v>
          </cell>
          <cell r="W485">
            <v>7.6</v>
          </cell>
          <cell r="X485" t="str">
            <v>NA</v>
          </cell>
          <cell r="Y485" t="str">
            <v>NA</v>
          </cell>
          <cell r="Z485" t="str">
            <v>NA</v>
          </cell>
          <cell r="AA485" t="str">
            <v>NA</v>
          </cell>
        </row>
        <row r="486">
          <cell r="A486">
            <v>45129</v>
          </cell>
          <cell r="B486" t="str">
            <v>A2</v>
          </cell>
          <cell r="C486">
            <v>1</v>
          </cell>
          <cell r="D486">
            <v>1</v>
          </cell>
          <cell r="E486" t="str">
            <v>ARIS.A2.Aim1.Bin1.RB</v>
          </cell>
          <cell r="F486">
            <v>3</v>
          </cell>
          <cell r="G486" t="str">
            <v>SplineDFA</v>
          </cell>
          <cell r="H486" t="str">
            <v>Y</v>
          </cell>
          <cell r="I486" t="str">
            <v>N</v>
          </cell>
          <cell r="J486">
            <v>124</v>
          </cell>
          <cell r="K486">
            <v>1</v>
          </cell>
          <cell r="L486">
            <v>0.93989999999999996</v>
          </cell>
          <cell r="M486">
            <v>23.7</v>
          </cell>
          <cell r="N486">
            <v>2.7</v>
          </cell>
          <cell r="O486">
            <v>6.0100000000000001E-2</v>
          </cell>
          <cell r="P486">
            <v>6.0100000000000001E-2</v>
          </cell>
          <cell r="Q486">
            <v>0</v>
          </cell>
          <cell r="R486" t="str">
            <v>NA</v>
          </cell>
          <cell r="S486" t="str">
            <v>NA</v>
          </cell>
          <cell r="T486">
            <v>59.5</v>
          </cell>
          <cell r="U486">
            <v>4.8</v>
          </cell>
          <cell r="V486">
            <v>74.8</v>
          </cell>
          <cell r="W486">
            <v>7.6</v>
          </cell>
          <cell r="X486" t="str">
            <v>NA</v>
          </cell>
          <cell r="Y486" t="str">
            <v>NA</v>
          </cell>
          <cell r="Z486" t="str">
            <v>NA</v>
          </cell>
          <cell r="AA486" t="str">
            <v>NA</v>
          </cell>
        </row>
        <row r="487">
          <cell r="A487">
            <v>45129</v>
          </cell>
          <cell r="B487" t="str">
            <v>A2</v>
          </cell>
          <cell r="C487">
            <v>2</v>
          </cell>
          <cell r="D487">
            <v>1</v>
          </cell>
          <cell r="E487" t="str">
            <v>ARIS.A2.Aim1.Bin2.RB</v>
          </cell>
          <cell r="F487">
            <v>3</v>
          </cell>
          <cell r="G487" t="str">
            <v>SplineDFA</v>
          </cell>
          <cell r="H487" t="str">
            <v>Y</v>
          </cell>
          <cell r="I487" t="str">
            <v>N</v>
          </cell>
          <cell r="J487">
            <v>85</v>
          </cell>
          <cell r="K487">
            <v>1</v>
          </cell>
          <cell r="L487">
            <v>0.6431</v>
          </cell>
          <cell r="M487">
            <v>23.7</v>
          </cell>
          <cell r="N487">
            <v>2.7</v>
          </cell>
          <cell r="O487">
            <v>0.3569</v>
          </cell>
          <cell r="P487">
            <v>0.3024</v>
          </cell>
          <cell r="Q487">
            <v>5.45E-2</v>
          </cell>
          <cell r="R487" t="str">
            <v>NA</v>
          </cell>
          <cell r="S487" t="str">
            <v>NA</v>
          </cell>
          <cell r="T487">
            <v>59.5</v>
          </cell>
          <cell r="U487">
            <v>4.8</v>
          </cell>
          <cell r="V487">
            <v>74.8</v>
          </cell>
          <cell r="W487">
            <v>7.6</v>
          </cell>
          <cell r="X487" t="str">
            <v>NA</v>
          </cell>
          <cell r="Y487" t="str">
            <v>NA</v>
          </cell>
          <cell r="Z487" t="str">
            <v>NA</v>
          </cell>
          <cell r="AA487" t="str">
            <v>NA</v>
          </cell>
        </row>
        <row r="488">
          <cell r="A488">
            <v>45129</v>
          </cell>
          <cell r="B488" t="str">
            <v>A2</v>
          </cell>
          <cell r="C488">
            <v>3</v>
          </cell>
          <cell r="D488">
            <v>1</v>
          </cell>
          <cell r="E488" t="str">
            <v>ARIS.A2.Aim1.Bin3.RB</v>
          </cell>
          <cell r="F488">
            <v>3</v>
          </cell>
          <cell r="G488" t="str">
            <v>SplineDFA</v>
          </cell>
          <cell r="H488" t="str">
            <v>Y</v>
          </cell>
          <cell r="I488" t="str">
            <v>N</v>
          </cell>
          <cell r="J488">
            <v>59</v>
          </cell>
          <cell r="K488">
            <v>0.99990000000000001</v>
          </cell>
          <cell r="L488">
            <v>0.21840000000000001</v>
          </cell>
          <cell r="M488">
            <v>23.7</v>
          </cell>
          <cell r="N488">
            <v>2.7</v>
          </cell>
          <cell r="O488">
            <v>0.78149999999999997</v>
          </cell>
          <cell r="P488">
            <v>0.5091</v>
          </cell>
          <cell r="Q488">
            <v>0.27239999999999998</v>
          </cell>
          <cell r="R488" t="str">
            <v>NA</v>
          </cell>
          <cell r="S488" t="str">
            <v>NA</v>
          </cell>
          <cell r="T488">
            <v>59.5</v>
          </cell>
          <cell r="U488">
            <v>4.8</v>
          </cell>
          <cell r="V488">
            <v>74.8</v>
          </cell>
          <cell r="W488">
            <v>7.6</v>
          </cell>
          <cell r="X488" t="str">
            <v>NA</v>
          </cell>
          <cell r="Y488" t="str">
            <v>NA</v>
          </cell>
          <cell r="Z488" t="str">
            <v>NA</v>
          </cell>
          <cell r="AA488" t="str">
            <v>NA</v>
          </cell>
        </row>
        <row r="489">
          <cell r="A489">
            <v>45129</v>
          </cell>
          <cell r="B489" t="str">
            <v>A2</v>
          </cell>
          <cell r="C489">
            <v>4</v>
          </cell>
          <cell r="D489">
            <v>1</v>
          </cell>
          <cell r="E489" t="str">
            <v>ARIS.A2.Aim1.Bin4.RB</v>
          </cell>
          <cell r="F489">
            <v>3</v>
          </cell>
          <cell r="G489" t="str">
            <v>SplineDFA</v>
          </cell>
          <cell r="H489" t="str">
            <v>Y</v>
          </cell>
          <cell r="I489" t="str">
            <v>N</v>
          </cell>
          <cell r="J489">
            <v>59</v>
          </cell>
          <cell r="K489">
            <v>0.99990000000000001</v>
          </cell>
          <cell r="L489">
            <v>0.21840000000000001</v>
          </cell>
          <cell r="M489">
            <v>23.7</v>
          </cell>
          <cell r="N489">
            <v>2.7</v>
          </cell>
          <cell r="O489">
            <v>0.78149999999999997</v>
          </cell>
          <cell r="P489">
            <v>0.5091</v>
          </cell>
          <cell r="Q489">
            <v>0.27239999999999998</v>
          </cell>
          <cell r="R489" t="str">
            <v>NA</v>
          </cell>
          <cell r="S489" t="str">
            <v>NA</v>
          </cell>
          <cell r="T489">
            <v>59.5</v>
          </cell>
          <cell r="U489">
            <v>4.8</v>
          </cell>
          <cell r="V489">
            <v>74.8</v>
          </cell>
          <cell r="W489">
            <v>7.6</v>
          </cell>
          <cell r="X489" t="str">
            <v>NA</v>
          </cell>
          <cell r="Y489" t="str">
            <v>NA</v>
          </cell>
          <cell r="Z489" t="str">
            <v>NA</v>
          </cell>
          <cell r="AA489" t="str">
            <v>NA</v>
          </cell>
        </row>
        <row r="490">
          <cell r="A490">
            <v>45129</v>
          </cell>
          <cell r="B490" t="str">
            <v>A1</v>
          </cell>
          <cell r="C490">
            <v>1</v>
          </cell>
          <cell r="D490">
            <v>1</v>
          </cell>
          <cell r="E490" t="str">
            <v>ARIS.A1.Aim1.Bin1.LB</v>
          </cell>
          <cell r="F490">
            <v>4</v>
          </cell>
          <cell r="G490" t="str">
            <v>Unweighted</v>
          </cell>
          <cell r="H490" t="str">
            <v>N</v>
          </cell>
          <cell r="I490" t="str">
            <v>N</v>
          </cell>
          <cell r="J490">
            <v>88</v>
          </cell>
          <cell r="K490">
            <v>1</v>
          </cell>
          <cell r="L490">
            <v>0.80679999999999996</v>
          </cell>
          <cell r="M490">
            <v>19</v>
          </cell>
          <cell r="N490">
            <v>5.5</v>
          </cell>
          <cell r="O490">
            <v>0.19320000000000001</v>
          </cell>
          <cell r="P490">
            <v>5.1299999999999998E-2</v>
          </cell>
          <cell r="Q490">
            <v>0</v>
          </cell>
          <cell r="R490" t="str">
            <v>NA</v>
          </cell>
          <cell r="S490">
            <v>0.1419</v>
          </cell>
          <cell r="T490">
            <v>59.5</v>
          </cell>
          <cell r="U490">
            <v>4.8</v>
          </cell>
          <cell r="V490">
            <v>74.8</v>
          </cell>
          <cell r="W490">
            <v>7.6</v>
          </cell>
          <cell r="X490" t="str">
            <v>NA</v>
          </cell>
          <cell r="Y490" t="str">
            <v>NA</v>
          </cell>
          <cell r="Z490">
            <v>39.1</v>
          </cell>
          <cell r="AA490">
            <v>3.5</v>
          </cell>
        </row>
        <row r="491">
          <cell r="A491">
            <v>45129</v>
          </cell>
          <cell r="B491" t="str">
            <v>A1</v>
          </cell>
          <cell r="C491">
            <v>1</v>
          </cell>
          <cell r="D491">
            <v>2</v>
          </cell>
          <cell r="E491" t="str">
            <v>ARIS.A1.Aim2.Bin1.LB</v>
          </cell>
          <cell r="F491">
            <v>4</v>
          </cell>
          <cell r="G491" t="str">
            <v>Unweighted</v>
          </cell>
          <cell r="H491" t="str">
            <v>N</v>
          </cell>
          <cell r="I491" t="str">
            <v>N</v>
          </cell>
          <cell r="J491">
            <v>102</v>
          </cell>
          <cell r="K491">
            <v>0.99990000000000001</v>
          </cell>
          <cell r="L491">
            <v>0.86580000000000001</v>
          </cell>
          <cell r="M491">
            <v>15.6</v>
          </cell>
          <cell r="N491">
            <v>4.9000000000000004</v>
          </cell>
          <cell r="O491">
            <v>0.1341</v>
          </cell>
          <cell r="P491">
            <v>4.82E-2</v>
          </cell>
          <cell r="Q491">
            <v>0</v>
          </cell>
          <cell r="R491" t="str">
            <v>NA</v>
          </cell>
          <cell r="S491">
            <v>8.5900000000000004E-2</v>
          </cell>
          <cell r="T491">
            <v>59.5</v>
          </cell>
          <cell r="U491">
            <v>4.8</v>
          </cell>
          <cell r="V491">
            <v>74.8</v>
          </cell>
          <cell r="W491">
            <v>7.6</v>
          </cell>
          <cell r="X491" t="str">
            <v>NA</v>
          </cell>
          <cell r="Y491" t="str">
            <v>NA</v>
          </cell>
          <cell r="Z491">
            <v>39.1</v>
          </cell>
          <cell r="AA491">
            <v>3.5</v>
          </cell>
        </row>
        <row r="492">
          <cell r="A492">
            <v>45129</v>
          </cell>
          <cell r="B492" t="str">
            <v>A1</v>
          </cell>
          <cell r="C492">
            <v>1</v>
          </cell>
          <cell r="D492" t="str">
            <v>1&amp;2</v>
          </cell>
          <cell r="E492" t="str">
            <v>ARIS.A1.Aim1&amp;Aim2.Bin1.LB</v>
          </cell>
          <cell r="F492">
            <v>4</v>
          </cell>
          <cell r="G492" t="str">
            <v>Unweighted</v>
          </cell>
          <cell r="H492" t="str">
            <v>N</v>
          </cell>
          <cell r="I492" t="str">
            <v>N</v>
          </cell>
          <cell r="J492">
            <v>190</v>
          </cell>
          <cell r="K492">
            <v>1</v>
          </cell>
          <cell r="L492">
            <v>0.8387</v>
          </cell>
          <cell r="M492">
            <v>17.100000000000001</v>
          </cell>
          <cell r="N492">
            <v>5.5</v>
          </cell>
          <cell r="O492">
            <v>0.1613</v>
          </cell>
          <cell r="P492">
            <v>4.9200000000000001E-2</v>
          </cell>
          <cell r="Q492">
            <v>0</v>
          </cell>
          <cell r="R492" t="str">
            <v>NA</v>
          </cell>
          <cell r="S492">
            <v>0.11210000000000001</v>
          </cell>
          <cell r="T492">
            <v>59.5</v>
          </cell>
          <cell r="U492">
            <v>4.8</v>
          </cell>
          <cell r="V492">
            <v>74.8</v>
          </cell>
          <cell r="W492">
            <v>7.6</v>
          </cell>
          <cell r="X492" t="str">
            <v>NA</v>
          </cell>
          <cell r="Y492" t="str">
            <v>NA</v>
          </cell>
          <cell r="Z492">
            <v>39.1</v>
          </cell>
          <cell r="AA492">
            <v>3.5</v>
          </cell>
        </row>
        <row r="493">
          <cell r="A493">
            <v>45129</v>
          </cell>
          <cell r="B493" t="str">
            <v>A1</v>
          </cell>
          <cell r="C493">
            <v>2</v>
          </cell>
          <cell r="D493">
            <v>3</v>
          </cell>
          <cell r="E493" t="str">
            <v>ARIS.A1.Aim3.Bin2.LB</v>
          </cell>
          <cell r="F493">
            <v>4</v>
          </cell>
          <cell r="G493" t="str">
            <v>Unweighted</v>
          </cell>
          <cell r="H493" t="str">
            <v>N</v>
          </cell>
          <cell r="I493" t="str">
            <v>N</v>
          </cell>
          <cell r="J493">
            <v>109</v>
          </cell>
          <cell r="K493">
            <v>0.99990000000000001</v>
          </cell>
          <cell r="L493">
            <v>0.47289999999999999</v>
          </cell>
          <cell r="M493">
            <v>24.9</v>
          </cell>
          <cell r="N493">
            <v>5.6</v>
          </cell>
          <cell r="O493">
            <v>0.52700000000000002</v>
          </cell>
          <cell r="P493">
            <v>0.22739999999999999</v>
          </cell>
          <cell r="Q493">
            <v>2.7300000000000001E-2</v>
          </cell>
          <cell r="R493" t="str">
            <v>NA</v>
          </cell>
          <cell r="S493">
            <v>0.27229999999999999</v>
          </cell>
          <cell r="T493">
            <v>59.5</v>
          </cell>
          <cell r="U493">
            <v>4.8</v>
          </cell>
          <cell r="V493">
            <v>74.8</v>
          </cell>
          <cell r="W493">
            <v>7.6</v>
          </cell>
          <cell r="X493" t="str">
            <v>NA</v>
          </cell>
          <cell r="Y493" t="str">
            <v>NA</v>
          </cell>
          <cell r="Z493">
            <v>39.1</v>
          </cell>
          <cell r="AA493">
            <v>3.5</v>
          </cell>
        </row>
        <row r="494">
          <cell r="A494">
            <v>45129</v>
          </cell>
          <cell r="B494" t="str">
            <v>A1</v>
          </cell>
          <cell r="C494">
            <v>3</v>
          </cell>
          <cell r="D494">
            <v>3</v>
          </cell>
          <cell r="E494" t="str">
            <v>ARIS.A1.Aim3.Bin3.LB</v>
          </cell>
          <cell r="F494">
            <v>4</v>
          </cell>
          <cell r="G494" t="str">
            <v>Unweighted</v>
          </cell>
          <cell r="H494" t="str">
            <v>N</v>
          </cell>
          <cell r="I494" t="str">
            <v>N</v>
          </cell>
          <cell r="J494">
            <v>80</v>
          </cell>
          <cell r="K494">
            <v>0.99990000000000001</v>
          </cell>
          <cell r="L494">
            <v>0.1298</v>
          </cell>
          <cell r="M494">
            <v>26.7</v>
          </cell>
          <cell r="N494">
            <v>3.1</v>
          </cell>
          <cell r="O494">
            <v>0.87009999999999998</v>
          </cell>
          <cell r="P494">
            <v>0.25280000000000002</v>
          </cell>
          <cell r="Q494">
            <v>0.35110000000000002</v>
          </cell>
          <cell r="R494" t="str">
            <v>NA</v>
          </cell>
          <cell r="S494">
            <v>0.26619999999999999</v>
          </cell>
          <cell r="T494">
            <v>59.5</v>
          </cell>
          <cell r="U494">
            <v>4.8</v>
          </cell>
          <cell r="V494">
            <v>74.8</v>
          </cell>
          <cell r="W494">
            <v>7.6</v>
          </cell>
          <cell r="X494" t="str">
            <v>NA</v>
          </cell>
          <cell r="Y494" t="str">
            <v>NA</v>
          </cell>
          <cell r="Z494">
            <v>39.1</v>
          </cell>
          <cell r="AA494">
            <v>3.5</v>
          </cell>
        </row>
        <row r="495">
          <cell r="A495">
            <v>45129</v>
          </cell>
          <cell r="B495" t="str">
            <v>A1</v>
          </cell>
          <cell r="C495">
            <v>4</v>
          </cell>
          <cell r="D495">
            <v>3</v>
          </cell>
          <cell r="E495" t="str">
            <v>ARIS.A1.Aim3.Bin4.LB</v>
          </cell>
          <cell r="F495">
            <v>4</v>
          </cell>
          <cell r="G495" t="str">
            <v>Unweighted</v>
          </cell>
          <cell r="H495" t="str">
            <v>N</v>
          </cell>
          <cell r="I495" t="str">
            <v>N</v>
          </cell>
          <cell r="J495">
            <v>80</v>
          </cell>
          <cell r="K495">
            <v>0.99990000000000001</v>
          </cell>
          <cell r="L495">
            <v>0.1298</v>
          </cell>
          <cell r="M495">
            <v>26.7</v>
          </cell>
          <cell r="N495">
            <v>3.1</v>
          </cell>
          <cell r="O495">
            <v>0.87009999999999998</v>
          </cell>
          <cell r="P495">
            <v>0.25280000000000002</v>
          </cell>
          <cell r="Q495">
            <v>0.35110000000000002</v>
          </cell>
          <cell r="R495" t="str">
            <v>NA</v>
          </cell>
          <cell r="S495">
            <v>0.26619999999999999</v>
          </cell>
          <cell r="T495">
            <v>59.5</v>
          </cell>
          <cell r="U495">
            <v>4.8</v>
          </cell>
          <cell r="V495">
            <v>74.8</v>
          </cell>
          <cell r="W495">
            <v>7.6</v>
          </cell>
          <cell r="X495" t="str">
            <v>NA</v>
          </cell>
          <cell r="Y495" t="str">
            <v>NA</v>
          </cell>
          <cell r="Z495">
            <v>39.1</v>
          </cell>
          <cell r="AA495">
            <v>3.5</v>
          </cell>
        </row>
        <row r="496">
          <cell r="A496">
            <v>45129</v>
          </cell>
          <cell r="B496" t="str">
            <v>A2</v>
          </cell>
          <cell r="C496">
            <v>1</v>
          </cell>
          <cell r="D496">
            <v>1</v>
          </cell>
          <cell r="E496" t="str">
            <v>ARIS.A2.Aim1.Bin1.RB</v>
          </cell>
          <cell r="F496">
            <v>4</v>
          </cell>
          <cell r="G496" t="str">
            <v>Unweighted</v>
          </cell>
          <cell r="H496" t="str">
            <v>N</v>
          </cell>
          <cell r="I496" t="str">
            <v>N</v>
          </cell>
          <cell r="J496">
            <v>124</v>
          </cell>
          <cell r="K496">
            <v>1</v>
          </cell>
          <cell r="L496">
            <v>0.86929999999999996</v>
          </cell>
          <cell r="M496">
            <v>17.3</v>
          </cell>
          <cell r="N496">
            <v>5.5</v>
          </cell>
          <cell r="O496">
            <v>0.13070000000000001</v>
          </cell>
          <cell r="P496">
            <v>4.53E-2</v>
          </cell>
          <cell r="Q496">
            <v>0</v>
          </cell>
          <cell r="R496" t="str">
            <v>NA</v>
          </cell>
          <cell r="S496">
            <v>8.5400000000000004E-2</v>
          </cell>
          <cell r="T496">
            <v>59.5</v>
          </cell>
          <cell r="U496">
            <v>4.8</v>
          </cell>
          <cell r="V496">
            <v>74.8</v>
          </cell>
          <cell r="W496">
            <v>7.6</v>
          </cell>
          <cell r="X496" t="str">
            <v>NA</v>
          </cell>
          <cell r="Y496" t="str">
            <v>NA</v>
          </cell>
          <cell r="Z496">
            <v>39.1</v>
          </cell>
          <cell r="AA496">
            <v>3.5</v>
          </cell>
        </row>
        <row r="497">
          <cell r="A497">
            <v>45129</v>
          </cell>
          <cell r="B497" t="str">
            <v>A2</v>
          </cell>
          <cell r="C497">
            <v>2</v>
          </cell>
          <cell r="D497">
            <v>1</v>
          </cell>
          <cell r="E497" t="str">
            <v>ARIS.A2.Aim1.Bin2.RB</v>
          </cell>
          <cell r="F497">
            <v>4</v>
          </cell>
          <cell r="G497" t="str">
            <v>Unweighted</v>
          </cell>
          <cell r="H497" t="str">
            <v>N</v>
          </cell>
          <cell r="I497" t="str">
            <v>N</v>
          </cell>
          <cell r="J497">
            <v>85</v>
          </cell>
          <cell r="K497">
            <v>0.99990000000000001</v>
          </cell>
          <cell r="L497">
            <v>0.81659999999999999</v>
          </cell>
          <cell r="M497">
            <v>31.4</v>
          </cell>
          <cell r="N497">
            <v>10.4</v>
          </cell>
          <cell r="O497">
            <v>0.18329999999999999</v>
          </cell>
          <cell r="P497">
            <v>6.0600000000000001E-2</v>
          </cell>
          <cell r="Q497">
            <v>0.1227</v>
          </cell>
          <cell r="R497" t="str">
            <v>NA</v>
          </cell>
          <cell r="S497">
            <v>0</v>
          </cell>
          <cell r="T497">
            <v>59.5</v>
          </cell>
          <cell r="U497">
            <v>4.8</v>
          </cell>
          <cell r="V497">
            <v>74.8</v>
          </cell>
          <cell r="W497">
            <v>7.6</v>
          </cell>
          <cell r="X497" t="str">
            <v>NA</v>
          </cell>
          <cell r="Y497" t="str">
            <v>NA</v>
          </cell>
          <cell r="Z497">
            <v>39.1</v>
          </cell>
          <cell r="AA497">
            <v>3.5</v>
          </cell>
        </row>
        <row r="498">
          <cell r="A498">
            <v>45129</v>
          </cell>
          <cell r="B498" t="str">
            <v>A2</v>
          </cell>
          <cell r="C498">
            <v>3</v>
          </cell>
          <cell r="D498">
            <v>1</v>
          </cell>
          <cell r="E498" t="str">
            <v>ARIS.A2.Aim1.Bin3.RB</v>
          </cell>
          <cell r="F498">
            <v>4</v>
          </cell>
          <cell r="G498" t="str">
            <v>Unweighted</v>
          </cell>
          <cell r="H498" t="str">
            <v>N</v>
          </cell>
          <cell r="I498" t="str">
            <v>N</v>
          </cell>
          <cell r="J498">
            <v>59</v>
          </cell>
          <cell r="K498">
            <v>0.99990000000000001</v>
          </cell>
          <cell r="L498">
            <v>6.5600000000000006E-2</v>
          </cell>
          <cell r="M498">
            <v>25.5</v>
          </cell>
          <cell r="N498">
            <v>0.8</v>
          </cell>
          <cell r="O498">
            <v>0.93430000000000002</v>
          </cell>
          <cell r="P498">
            <v>0.25109999999999999</v>
          </cell>
          <cell r="Q498">
            <v>0.23630000000000001</v>
          </cell>
          <cell r="R498" t="str">
            <v>NA</v>
          </cell>
          <cell r="S498">
            <v>0.44690000000000002</v>
          </cell>
          <cell r="T498">
            <v>59.5</v>
          </cell>
          <cell r="U498">
            <v>4.8</v>
          </cell>
          <cell r="V498">
            <v>74.8</v>
          </cell>
          <cell r="W498">
            <v>7.6</v>
          </cell>
          <cell r="X498" t="str">
            <v>NA</v>
          </cell>
          <cell r="Y498" t="str">
            <v>NA</v>
          </cell>
          <cell r="Z498">
            <v>39.1</v>
          </cell>
          <cell r="AA498">
            <v>3.5</v>
          </cell>
        </row>
        <row r="499">
          <cell r="A499">
            <v>45129</v>
          </cell>
          <cell r="B499" t="str">
            <v>A2</v>
          </cell>
          <cell r="C499">
            <v>4</v>
          </cell>
          <cell r="D499">
            <v>1</v>
          </cell>
          <cell r="E499" t="str">
            <v>ARIS.A2.Aim1.Bin4.RB</v>
          </cell>
          <cell r="F499">
            <v>4</v>
          </cell>
          <cell r="G499" t="str">
            <v>Unweighted</v>
          </cell>
          <cell r="H499" t="str">
            <v>N</v>
          </cell>
          <cell r="I499" t="str">
            <v>N</v>
          </cell>
          <cell r="J499">
            <v>59</v>
          </cell>
          <cell r="K499">
            <v>0.99990000000000001</v>
          </cell>
          <cell r="L499">
            <v>6.5600000000000006E-2</v>
          </cell>
          <cell r="M499">
            <v>25.5</v>
          </cell>
          <cell r="N499">
            <v>0.8</v>
          </cell>
          <cell r="O499">
            <v>0.93430000000000002</v>
          </cell>
          <cell r="P499">
            <v>0.25109999999999999</v>
          </cell>
          <cell r="Q499">
            <v>0.23630000000000001</v>
          </cell>
          <cell r="R499" t="str">
            <v>NA</v>
          </cell>
          <cell r="S499">
            <v>0.44690000000000002</v>
          </cell>
          <cell r="T499">
            <v>59.5</v>
          </cell>
          <cell r="U499">
            <v>4.8</v>
          </cell>
          <cell r="V499">
            <v>74.8</v>
          </cell>
          <cell r="W499">
            <v>7.6</v>
          </cell>
          <cell r="X499" t="str">
            <v>NA</v>
          </cell>
          <cell r="Y499" t="str">
            <v>NA</v>
          </cell>
          <cell r="Z499">
            <v>39.1</v>
          </cell>
          <cell r="AA499">
            <v>3.5</v>
          </cell>
        </row>
        <row r="500">
          <cell r="A500">
            <v>45130</v>
          </cell>
          <cell r="B500" t="str">
            <v>A1</v>
          </cell>
          <cell r="C500">
            <v>1</v>
          </cell>
          <cell r="D500">
            <v>1</v>
          </cell>
          <cell r="E500" t="str">
            <v>ARIS.A1.Aim1.Bin1.LB</v>
          </cell>
          <cell r="F500">
            <v>3</v>
          </cell>
          <cell r="G500" t="str">
            <v>SplineDFA</v>
          </cell>
          <cell r="H500" t="str">
            <v>Y</v>
          </cell>
          <cell r="I500" t="str">
            <v>N</v>
          </cell>
          <cell r="J500">
            <v>112</v>
          </cell>
          <cell r="K500">
            <v>1</v>
          </cell>
          <cell r="L500">
            <v>0.88560000000000005</v>
          </cell>
          <cell r="M500">
            <v>23.7</v>
          </cell>
          <cell r="N500">
            <v>2.7</v>
          </cell>
          <cell r="O500">
            <v>0.1144</v>
          </cell>
          <cell r="P500">
            <v>0.1144</v>
          </cell>
          <cell r="Q500">
            <v>0</v>
          </cell>
          <cell r="R500" t="str">
            <v>NA</v>
          </cell>
          <cell r="S500" t="str">
            <v>NA</v>
          </cell>
          <cell r="T500">
            <v>59.5</v>
          </cell>
          <cell r="U500">
            <v>4.8</v>
          </cell>
          <cell r="V500">
            <v>74.8</v>
          </cell>
          <cell r="W500">
            <v>7.6</v>
          </cell>
          <cell r="X500" t="str">
            <v>NA</v>
          </cell>
          <cell r="Y500" t="str">
            <v>NA</v>
          </cell>
          <cell r="Z500" t="str">
            <v>NA</v>
          </cell>
          <cell r="AA500" t="str">
            <v>NA</v>
          </cell>
        </row>
        <row r="501">
          <cell r="A501">
            <v>45130</v>
          </cell>
          <cell r="B501" t="str">
            <v>A1</v>
          </cell>
          <cell r="C501">
            <v>1</v>
          </cell>
          <cell r="D501">
            <v>2</v>
          </cell>
          <cell r="E501" t="str">
            <v>ARIS.A1.Aim2.Bin1.LB</v>
          </cell>
          <cell r="F501">
            <v>3</v>
          </cell>
          <cell r="G501" t="str">
            <v>SplineDFA</v>
          </cell>
          <cell r="H501" t="str">
            <v>Y</v>
          </cell>
          <cell r="I501" t="str">
            <v>N</v>
          </cell>
          <cell r="J501">
            <v>128</v>
          </cell>
          <cell r="K501">
            <v>1</v>
          </cell>
          <cell r="L501">
            <v>0.90010000000000001</v>
          </cell>
          <cell r="M501">
            <v>23.7</v>
          </cell>
          <cell r="N501">
            <v>2.7</v>
          </cell>
          <cell r="O501">
            <v>9.9900000000000003E-2</v>
          </cell>
          <cell r="P501">
            <v>8.9200000000000002E-2</v>
          </cell>
          <cell r="Q501">
            <v>1.0699999999999999E-2</v>
          </cell>
          <cell r="R501" t="str">
            <v>NA</v>
          </cell>
          <cell r="S501" t="str">
            <v>NA</v>
          </cell>
          <cell r="T501">
            <v>59.5</v>
          </cell>
          <cell r="U501">
            <v>4.8</v>
          </cell>
          <cell r="V501">
            <v>74.8</v>
          </cell>
          <cell r="W501">
            <v>7.6</v>
          </cell>
          <cell r="X501" t="str">
            <v>NA</v>
          </cell>
          <cell r="Y501" t="str">
            <v>NA</v>
          </cell>
          <cell r="Z501" t="str">
            <v>NA</v>
          </cell>
          <cell r="AA501" t="str">
            <v>NA</v>
          </cell>
        </row>
        <row r="502">
          <cell r="A502">
            <v>45130</v>
          </cell>
          <cell r="B502" t="str">
            <v>A1</v>
          </cell>
          <cell r="C502">
            <v>2</v>
          </cell>
          <cell r="D502">
            <v>3</v>
          </cell>
          <cell r="E502" t="str">
            <v>ARIS.A1.Aim3.Bin2.LB</v>
          </cell>
          <cell r="F502">
            <v>3</v>
          </cell>
          <cell r="G502" t="str">
            <v>SplineDFA</v>
          </cell>
          <cell r="H502" t="str">
            <v>Y</v>
          </cell>
          <cell r="I502" t="str">
            <v>N</v>
          </cell>
          <cell r="J502">
            <v>127</v>
          </cell>
          <cell r="K502">
            <v>1</v>
          </cell>
          <cell r="L502">
            <v>0.49480000000000002</v>
          </cell>
          <cell r="M502">
            <v>23.7</v>
          </cell>
          <cell r="N502">
            <v>2.7</v>
          </cell>
          <cell r="O502">
            <v>0.50519999999999998</v>
          </cell>
          <cell r="P502">
            <v>0.35070000000000001</v>
          </cell>
          <cell r="Q502">
            <v>0.1545</v>
          </cell>
          <cell r="R502" t="str">
            <v>NA</v>
          </cell>
          <cell r="S502" t="str">
            <v>NA</v>
          </cell>
          <cell r="T502">
            <v>59.5</v>
          </cell>
          <cell r="U502">
            <v>4.8</v>
          </cell>
          <cell r="V502">
            <v>74.8</v>
          </cell>
          <cell r="W502">
            <v>7.6</v>
          </cell>
          <cell r="X502" t="str">
            <v>NA</v>
          </cell>
          <cell r="Y502" t="str">
            <v>NA</v>
          </cell>
          <cell r="Z502" t="str">
            <v>NA</v>
          </cell>
          <cell r="AA502" t="str">
            <v>NA</v>
          </cell>
        </row>
        <row r="503">
          <cell r="A503">
            <v>45130</v>
          </cell>
          <cell r="B503" t="str">
            <v>A1</v>
          </cell>
          <cell r="C503">
            <v>3</v>
          </cell>
          <cell r="D503">
            <v>3</v>
          </cell>
          <cell r="E503" t="str">
            <v>ARIS.A1.Aim3.Bin3.LB</v>
          </cell>
          <cell r="F503">
            <v>3</v>
          </cell>
          <cell r="G503" t="str">
            <v>SplineDFA</v>
          </cell>
          <cell r="H503" t="str">
            <v>Y</v>
          </cell>
          <cell r="I503" t="str">
            <v>N</v>
          </cell>
          <cell r="J503">
            <v>133</v>
          </cell>
          <cell r="K503">
            <v>1</v>
          </cell>
          <cell r="L503">
            <v>9.9900000000000003E-2</v>
          </cell>
          <cell r="M503">
            <v>23.7</v>
          </cell>
          <cell r="N503">
            <v>2.7</v>
          </cell>
          <cell r="O503">
            <v>0.90010000000000001</v>
          </cell>
          <cell r="P503">
            <v>0.45169999999999999</v>
          </cell>
          <cell r="Q503">
            <v>0.44840000000000002</v>
          </cell>
          <cell r="R503" t="str">
            <v>NA</v>
          </cell>
          <cell r="S503" t="str">
            <v>NA</v>
          </cell>
          <cell r="T503">
            <v>59.5</v>
          </cell>
          <cell r="U503">
            <v>4.8</v>
          </cell>
          <cell r="V503">
            <v>74.8</v>
          </cell>
          <cell r="W503">
            <v>7.6</v>
          </cell>
          <cell r="X503" t="str">
            <v>NA</v>
          </cell>
          <cell r="Y503" t="str">
            <v>NA</v>
          </cell>
          <cell r="Z503" t="str">
            <v>NA</v>
          </cell>
          <cell r="AA503" t="str">
            <v>NA</v>
          </cell>
        </row>
        <row r="504">
          <cell r="A504">
            <v>45130</v>
          </cell>
          <cell r="B504" t="str">
            <v>A1</v>
          </cell>
          <cell r="C504">
            <v>4</v>
          </cell>
          <cell r="D504">
            <v>3</v>
          </cell>
          <cell r="E504" t="str">
            <v>ARIS.A1.Aim3.Bin4.LB</v>
          </cell>
          <cell r="F504">
            <v>3</v>
          </cell>
          <cell r="G504" t="str">
            <v>SplineDFA</v>
          </cell>
          <cell r="H504" t="str">
            <v>Y</v>
          </cell>
          <cell r="I504" t="str">
            <v>N</v>
          </cell>
          <cell r="J504">
            <v>133</v>
          </cell>
          <cell r="K504">
            <v>1</v>
          </cell>
          <cell r="L504">
            <v>9.9900000000000003E-2</v>
          </cell>
          <cell r="M504">
            <v>23.7</v>
          </cell>
          <cell r="N504">
            <v>2.7</v>
          </cell>
          <cell r="O504">
            <v>0.90010000000000001</v>
          </cell>
          <cell r="P504">
            <v>0.45169999999999999</v>
          </cell>
          <cell r="Q504">
            <v>0.44840000000000002</v>
          </cell>
          <cell r="R504" t="str">
            <v>NA</v>
          </cell>
          <cell r="S504" t="str">
            <v>NA</v>
          </cell>
          <cell r="T504">
            <v>59.5</v>
          </cell>
          <cell r="U504">
            <v>4.8</v>
          </cell>
          <cell r="V504">
            <v>74.8</v>
          </cell>
          <cell r="W504">
            <v>7.6</v>
          </cell>
          <cell r="X504" t="str">
            <v>NA</v>
          </cell>
          <cell r="Y504" t="str">
            <v>NA</v>
          </cell>
          <cell r="Z504" t="str">
            <v>NA</v>
          </cell>
          <cell r="AA504" t="str">
            <v>NA</v>
          </cell>
        </row>
        <row r="505">
          <cell r="A505">
            <v>45130</v>
          </cell>
          <cell r="B505" t="str">
            <v>A1</v>
          </cell>
          <cell r="C505">
            <v>1</v>
          </cell>
          <cell r="D505">
            <v>1</v>
          </cell>
          <cell r="E505" t="str">
            <v>ARIS.A1.Aim1.Bin1.LB</v>
          </cell>
          <cell r="F505">
            <v>3</v>
          </cell>
          <cell r="G505" t="str">
            <v>Unweighted</v>
          </cell>
          <cell r="H505" t="str">
            <v>N</v>
          </cell>
          <cell r="I505" t="str">
            <v>Y</v>
          </cell>
          <cell r="J505">
            <v>112</v>
          </cell>
          <cell r="K505">
            <v>1</v>
          </cell>
          <cell r="L505">
            <v>0.90169999999999995</v>
          </cell>
          <cell r="M505">
            <v>19.8</v>
          </cell>
          <cell r="N505">
            <v>6.9</v>
          </cell>
          <cell r="O505">
            <v>9.8299999999999998E-2</v>
          </cell>
          <cell r="P505">
            <v>9.8299999999999998E-2</v>
          </cell>
          <cell r="Q505">
            <v>0</v>
          </cell>
          <cell r="R505" t="str">
            <v>NA</v>
          </cell>
          <cell r="S505" t="str">
            <v>NA</v>
          </cell>
          <cell r="T505">
            <v>59.5</v>
          </cell>
          <cell r="U505">
            <v>4.8</v>
          </cell>
          <cell r="V505">
            <v>74.8</v>
          </cell>
          <cell r="W505">
            <v>7.6</v>
          </cell>
          <cell r="X505" t="str">
            <v>NA</v>
          </cell>
          <cell r="Y505" t="str">
            <v>NA</v>
          </cell>
          <cell r="Z505" t="str">
            <v>NA</v>
          </cell>
          <cell r="AA505" t="str">
            <v>NA</v>
          </cell>
        </row>
        <row r="506">
          <cell r="A506">
            <v>45130</v>
          </cell>
          <cell r="B506" t="str">
            <v>A1</v>
          </cell>
          <cell r="C506">
            <v>1</v>
          </cell>
          <cell r="D506">
            <v>2</v>
          </cell>
          <cell r="E506" t="str">
            <v>ARIS.A1.Aim2.Bin1.LB</v>
          </cell>
          <cell r="F506">
            <v>3</v>
          </cell>
          <cell r="G506" t="str">
            <v>Unweighted</v>
          </cell>
          <cell r="H506" t="str">
            <v>N</v>
          </cell>
          <cell r="I506" t="str">
            <v>Y</v>
          </cell>
          <cell r="J506">
            <v>128</v>
          </cell>
          <cell r="K506">
            <v>1</v>
          </cell>
          <cell r="L506">
            <v>0.84619999999999995</v>
          </cell>
          <cell r="M506">
            <v>16.600000000000001</v>
          </cell>
          <cell r="N506">
            <v>8</v>
          </cell>
          <cell r="O506">
            <v>0.15379999999999999</v>
          </cell>
          <cell r="P506">
            <v>0.15379999999999999</v>
          </cell>
          <cell r="Q506">
            <v>0</v>
          </cell>
          <cell r="R506" t="str">
            <v>NA</v>
          </cell>
          <cell r="S506" t="str">
            <v>NA</v>
          </cell>
          <cell r="T506">
            <v>59.5</v>
          </cell>
          <cell r="U506">
            <v>4.8</v>
          </cell>
          <cell r="V506">
            <v>74.8</v>
          </cell>
          <cell r="W506">
            <v>7.6</v>
          </cell>
          <cell r="X506" t="str">
            <v>NA</v>
          </cell>
          <cell r="Y506" t="str">
            <v>NA</v>
          </cell>
          <cell r="Z506" t="str">
            <v>NA</v>
          </cell>
          <cell r="AA506" t="str">
            <v>NA</v>
          </cell>
        </row>
        <row r="507">
          <cell r="A507">
            <v>45130</v>
          </cell>
          <cell r="B507" t="str">
            <v>A1</v>
          </cell>
          <cell r="C507">
            <v>1</v>
          </cell>
          <cell r="D507" t="str">
            <v>1&amp;2</v>
          </cell>
          <cell r="E507" t="str">
            <v>ARIS.A1.Aim1&amp;Aim2.Bin1.LB</v>
          </cell>
          <cell r="F507">
            <v>3</v>
          </cell>
          <cell r="G507" t="str">
            <v>Unweighted</v>
          </cell>
          <cell r="H507" t="str">
            <v>N</v>
          </cell>
          <cell r="I507" t="str">
            <v>Y</v>
          </cell>
          <cell r="J507">
            <v>240</v>
          </cell>
          <cell r="K507">
            <v>1</v>
          </cell>
          <cell r="L507">
            <v>0.85829999999999995</v>
          </cell>
          <cell r="M507">
            <v>18</v>
          </cell>
          <cell r="N507">
            <v>6.7</v>
          </cell>
          <cell r="O507">
            <v>0.14169999999999999</v>
          </cell>
          <cell r="P507">
            <v>0.14169999999999999</v>
          </cell>
          <cell r="Q507">
            <v>0</v>
          </cell>
          <cell r="R507" t="str">
            <v>NA</v>
          </cell>
          <cell r="S507" t="str">
            <v>NA</v>
          </cell>
          <cell r="T507">
            <v>59.5</v>
          </cell>
          <cell r="U507">
            <v>4.8</v>
          </cell>
          <cell r="V507">
            <v>74.8</v>
          </cell>
          <cell r="W507">
            <v>7.6</v>
          </cell>
          <cell r="X507" t="str">
            <v>NA</v>
          </cell>
          <cell r="Y507" t="str">
            <v>NA</v>
          </cell>
          <cell r="Z507" t="str">
            <v>NA</v>
          </cell>
          <cell r="AA507" t="str">
            <v>NA</v>
          </cell>
        </row>
        <row r="508">
          <cell r="A508">
            <v>45130</v>
          </cell>
          <cell r="B508" t="str">
            <v>A1</v>
          </cell>
          <cell r="C508">
            <v>2</v>
          </cell>
          <cell r="D508">
            <v>3</v>
          </cell>
          <cell r="E508" t="str">
            <v>ARIS.A1.Aim3.Bin2.LB</v>
          </cell>
          <cell r="F508">
            <v>3</v>
          </cell>
          <cell r="G508" t="str">
            <v>Unweighted</v>
          </cell>
          <cell r="H508" t="str">
            <v>N</v>
          </cell>
          <cell r="I508" t="str">
            <v>Y</v>
          </cell>
          <cell r="J508">
            <v>127</v>
          </cell>
          <cell r="K508">
            <v>1</v>
          </cell>
          <cell r="L508">
            <v>0.61219999999999997</v>
          </cell>
          <cell r="M508">
            <v>29.4</v>
          </cell>
          <cell r="N508">
            <v>8.9</v>
          </cell>
          <cell r="O508">
            <v>0.38779999999999998</v>
          </cell>
          <cell r="P508">
            <v>0.21879999999999999</v>
          </cell>
          <cell r="Q508">
            <v>0.16900000000000001</v>
          </cell>
          <cell r="R508" t="str">
            <v>NA</v>
          </cell>
          <cell r="S508" t="str">
            <v>NA</v>
          </cell>
          <cell r="T508">
            <v>59.5</v>
          </cell>
          <cell r="U508">
            <v>4.8</v>
          </cell>
          <cell r="V508">
            <v>74.8</v>
          </cell>
          <cell r="W508">
            <v>7.6</v>
          </cell>
          <cell r="X508" t="str">
            <v>NA</v>
          </cell>
          <cell r="Y508" t="str">
            <v>NA</v>
          </cell>
          <cell r="Z508" t="str">
            <v>NA</v>
          </cell>
          <cell r="AA508" t="str">
            <v>NA</v>
          </cell>
        </row>
        <row r="509">
          <cell r="A509">
            <v>45130</v>
          </cell>
          <cell r="B509" t="str">
            <v>A1</v>
          </cell>
          <cell r="C509">
            <v>3</v>
          </cell>
          <cell r="D509">
            <v>3</v>
          </cell>
          <cell r="E509" t="str">
            <v>ARIS.A1.Aim3.Bin3.LB</v>
          </cell>
          <cell r="F509">
            <v>3</v>
          </cell>
          <cell r="G509" t="str">
            <v>Unweighted</v>
          </cell>
          <cell r="H509" t="str">
            <v>N</v>
          </cell>
          <cell r="I509" t="str">
            <v>Y</v>
          </cell>
          <cell r="J509">
            <v>133</v>
          </cell>
          <cell r="K509">
            <v>1.0001</v>
          </cell>
          <cell r="L509">
            <v>0.3085</v>
          </cell>
          <cell r="M509">
            <v>23.7</v>
          </cell>
          <cell r="N509">
            <v>19.2</v>
          </cell>
          <cell r="O509">
            <v>0.69159999999999999</v>
          </cell>
          <cell r="P509">
            <v>0.255</v>
          </cell>
          <cell r="Q509">
            <v>0.43659999999999999</v>
          </cell>
          <cell r="R509" t="str">
            <v>NA</v>
          </cell>
          <cell r="S509" t="str">
            <v>NA</v>
          </cell>
          <cell r="T509">
            <v>59.5</v>
          </cell>
          <cell r="U509">
            <v>4.8</v>
          </cell>
          <cell r="V509">
            <v>74.8</v>
          </cell>
          <cell r="W509">
            <v>7.6</v>
          </cell>
          <cell r="X509" t="str">
            <v>NA</v>
          </cell>
          <cell r="Y509" t="str">
            <v>NA</v>
          </cell>
          <cell r="Z509" t="str">
            <v>NA</v>
          </cell>
          <cell r="AA509" t="str">
            <v>NA</v>
          </cell>
        </row>
        <row r="510">
          <cell r="A510">
            <v>45130</v>
          </cell>
          <cell r="B510" t="str">
            <v>A1</v>
          </cell>
          <cell r="C510">
            <v>4</v>
          </cell>
          <cell r="D510">
            <v>3</v>
          </cell>
          <cell r="E510" t="str">
            <v>ARIS.A1.Aim3.Bin4.LB</v>
          </cell>
          <cell r="F510">
            <v>3</v>
          </cell>
          <cell r="G510" t="str">
            <v>Unweighted</v>
          </cell>
          <cell r="H510" t="str">
            <v>N</v>
          </cell>
          <cell r="I510" t="str">
            <v>Y</v>
          </cell>
          <cell r="J510">
            <v>133</v>
          </cell>
          <cell r="K510">
            <v>1.0001</v>
          </cell>
          <cell r="L510">
            <v>0.3085</v>
          </cell>
          <cell r="M510">
            <v>23.7</v>
          </cell>
          <cell r="N510">
            <v>19.2</v>
          </cell>
          <cell r="O510">
            <v>0.69159999999999999</v>
          </cell>
          <cell r="P510">
            <v>0.255</v>
          </cell>
          <cell r="Q510">
            <v>0.43659999999999999</v>
          </cell>
          <cell r="R510" t="str">
            <v>NA</v>
          </cell>
          <cell r="S510" t="str">
            <v>NA</v>
          </cell>
          <cell r="T510">
            <v>59.5</v>
          </cell>
          <cell r="U510">
            <v>4.8</v>
          </cell>
          <cell r="V510">
            <v>74.8</v>
          </cell>
          <cell r="W510">
            <v>7.6</v>
          </cell>
          <cell r="X510" t="str">
            <v>NA</v>
          </cell>
          <cell r="Y510" t="str">
            <v>NA</v>
          </cell>
          <cell r="Z510" t="str">
            <v>NA</v>
          </cell>
          <cell r="AA510" t="str">
            <v>NA</v>
          </cell>
        </row>
        <row r="511">
          <cell r="A511">
            <v>45130</v>
          </cell>
          <cell r="B511" t="str">
            <v>A2</v>
          </cell>
          <cell r="C511">
            <v>1</v>
          </cell>
          <cell r="D511">
            <v>1</v>
          </cell>
          <cell r="E511" t="str">
            <v>ARIS.A2.Aim1.Bin1.RB</v>
          </cell>
          <cell r="F511">
            <v>3</v>
          </cell>
          <cell r="G511" t="str">
            <v>Unweighted</v>
          </cell>
          <cell r="H511" t="str">
            <v>N</v>
          </cell>
          <cell r="I511" t="str">
            <v>Y</v>
          </cell>
          <cell r="J511">
            <v>124</v>
          </cell>
          <cell r="K511">
            <v>1</v>
          </cell>
          <cell r="L511">
            <v>0.91239999999999999</v>
          </cell>
          <cell r="M511">
            <v>18</v>
          </cell>
          <cell r="N511">
            <v>6.3</v>
          </cell>
          <cell r="O511">
            <v>8.7599999999999997E-2</v>
          </cell>
          <cell r="P511">
            <v>8.7599999999999997E-2</v>
          </cell>
          <cell r="Q511">
            <v>0</v>
          </cell>
          <cell r="R511" t="str">
            <v>NA</v>
          </cell>
          <cell r="S511" t="str">
            <v>NA</v>
          </cell>
          <cell r="T511">
            <v>59.5</v>
          </cell>
          <cell r="U511">
            <v>4.8</v>
          </cell>
          <cell r="V511">
            <v>74.8</v>
          </cell>
          <cell r="W511">
            <v>7.6</v>
          </cell>
          <cell r="X511" t="str">
            <v>NA</v>
          </cell>
          <cell r="Y511" t="str">
            <v>NA</v>
          </cell>
          <cell r="Z511" t="str">
            <v>NA</v>
          </cell>
          <cell r="AA511" t="str">
            <v>NA</v>
          </cell>
        </row>
        <row r="512">
          <cell r="A512">
            <v>45130</v>
          </cell>
          <cell r="B512" t="str">
            <v>A2</v>
          </cell>
          <cell r="C512">
            <v>2</v>
          </cell>
          <cell r="D512">
            <v>1</v>
          </cell>
          <cell r="E512" t="str">
            <v>ARIS.A2.Aim1.Bin2.RB</v>
          </cell>
          <cell r="F512">
            <v>3</v>
          </cell>
          <cell r="G512" t="str">
            <v>Unweighted</v>
          </cell>
          <cell r="H512" t="str">
            <v>N</v>
          </cell>
          <cell r="I512" t="str">
            <v>Y</v>
          </cell>
          <cell r="J512">
            <v>85</v>
          </cell>
          <cell r="K512">
            <v>0.99990000000000001</v>
          </cell>
          <cell r="L512">
            <v>0.85829999999999995</v>
          </cell>
          <cell r="M512">
            <v>32.9</v>
          </cell>
          <cell r="N512">
            <v>9.1999999999999993</v>
          </cell>
          <cell r="O512">
            <v>0.1416</v>
          </cell>
          <cell r="P512">
            <v>4.0099999999999997E-2</v>
          </cell>
          <cell r="Q512">
            <v>0.10150000000000001</v>
          </cell>
          <cell r="R512" t="str">
            <v>NA</v>
          </cell>
          <cell r="S512" t="str">
            <v>NA</v>
          </cell>
          <cell r="T512">
            <v>59.5</v>
          </cell>
          <cell r="U512">
            <v>4.8</v>
          </cell>
          <cell r="V512">
            <v>74.8</v>
          </cell>
          <cell r="W512">
            <v>7.6</v>
          </cell>
          <cell r="X512" t="str">
            <v>NA</v>
          </cell>
          <cell r="Y512" t="str">
            <v>NA</v>
          </cell>
          <cell r="Z512" t="str">
            <v>NA</v>
          </cell>
          <cell r="AA512" t="str">
            <v>NA</v>
          </cell>
        </row>
        <row r="513">
          <cell r="A513">
            <v>45130</v>
          </cell>
          <cell r="B513" t="str">
            <v>A2</v>
          </cell>
          <cell r="C513">
            <v>3</v>
          </cell>
          <cell r="D513">
            <v>1</v>
          </cell>
          <cell r="E513" t="str">
            <v>ARIS.A2.Aim1.Bin3.RB</v>
          </cell>
          <cell r="F513">
            <v>3</v>
          </cell>
          <cell r="G513" t="str">
            <v>Unweighted</v>
          </cell>
          <cell r="H513" t="str">
            <v>N</v>
          </cell>
          <cell r="I513" t="str">
            <v>Y</v>
          </cell>
          <cell r="J513">
            <v>59</v>
          </cell>
          <cell r="K513">
            <v>0.99990000000000001</v>
          </cell>
          <cell r="L513">
            <v>0.59840000000000004</v>
          </cell>
          <cell r="M513">
            <v>23.7</v>
          </cell>
          <cell r="N513">
            <v>21.3</v>
          </cell>
          <cell r="O513">
            <v>0.40150000000000002</v>
          </cell>
          <cell r="P513">
            <v>0.17169999999999999</v>
          </cell>
          <cell r="Q513">
            <v>0.2298</v>
          </cell>
          <cell r="R513" t="str">
            <v>NA</v>
          </cell>
          <cell r="S513" t="str">
            <v>NA</v>
          </cell>
          <cell r="T513">
            <v>59.5</v>
          </cell>
          <cell r="U513">
            <v>4.8</v>
          </cell>
          <cell r="V513">
            <v>74.8</v>
          </cell>
          <cell r="W513">
            <v>7.6</v>
          </cell>
          <cell r="X513" t="str">
            <v>NA</v>
          </cell>
          <cell r="Y513" t="str">
            <v>NA</v>
          </cell>
          <cell r="Z513" t="str">
            <v>NA</v>
          </cell>
          <cell r="AA513" t="str">
            <v>NA</v>
          </cell>
        </row>
        <row r="514">
          <cell r="A514">
            <v>45130</v>
          </cell>
          <cell r="B514" t="str">
            <v>A2</v>
          </cell>
          <cell r="C514">
            <v>4</v>
          </cell>
          <cell r="D514">
            <v>1</v>
          </cell>
          <cell r="E514" t="str">
            <v>ARIS.A2.Aim1.Bin4.RB</v>
          </cell>
          <cell r="F514">
            <v>3</v>
          </cell>
          <cell r="G514" t="str">
            <v>Unweighted</v>
          </cell>
          <cell r="H514" t="str">
            <v>N</v>
          </cell>
          <cell r="I514" t="str">
            <v>Y</v>
          </cell>
          <cell r="J514">
            <v>59</v>
          </cell>
          <cell r="K514">
            <v>0.99990000000000001</v>
          </cell>
          <cell r="L514">
            <v>0.59840000000000004</v>
          </cell>
          <cell r="M514">
            <v>23.7</v>
          </cell>
          <cell r="N514">
            <v>21.3</v>
          </cell>
          <cell r="O514">
            <v>0.40150000000000002</v>
          </cell>
          <cell r="P514">
            <v>0.17169999999999999</v>
          </cell>
          <cell r="Q514">
            <v>0.2298</v>
          </cell>
          <cell r="R514" t="str">
            <v>NA</v>
          </cell>
          <cell r="S514" t="str">
            <v>NA</v>
          </cell>
          <cell r="T514">
            <v>59.5</v>
          </cell>
          <cell r="U514">
            <v>4.8</v>
          </cell>
          <cell r="V514">
            <v>74.8</v>
          </cell>
          <cell r="W514">
            <v>7.6</v>
          </cell>
          <cell r="X514" t="str">
            <v>NA</v>
          </cell>
          <cell r="Y514" t="str">
            <v>NA</v>
          </cell>
          <cell r="Z514" t="str">
            <v>NA</v>
          </cell>
          <cell r="AA514" t="str">
            <v>NA</v>
          </cell>
        </row>
        <row r="515">
          <cell r="A515">
            <v>45130</v>
          </cell>
          <cell r="B515" t="str">
            <v>A2</v>
          </cell>
          <cell r="C515">
            <v>1</v>
          </cell>
          <cell r="D515">
            <v>1</v>
          </cell>
          <cell r="E515" t="str">
            <v>ARIS.A2.Aim1.Bin1.RB</v>
          </cell>
          <cell r="F515">
            <v>3</v>
          </cell>
          <cell r="G515" t="str">
            <v>SplineDFA</v>
          </cell>
          <cell r="H515" t="str">
            <v>Y</v>
          </cell>
          <cell r="I515" t="str">
            <v>N</v>
          </cell>
          <cell r="J515">
            <v>124</v>
          </cell>
          <cell r="K515">
            <v>1</v>
          </cell>
          <cell r="L515">
            <v>0.93989999999999996</v>
          </cell>
          <cell r="M515">
            <v>23.7</v>
          </cell>
          <cell r="N515">
            <v>2.7</v>
          </cell>
          <cell r="O515">
            <v>6.0100000000000001E-2</v>
          </cell>
          <cell r="P515">
            <v>6.0100000000000001E-2</v>
          </cell>
          <cell r="Q515">
            <v>0</v>
          </cell>
          <cell r="R515" t="str">
            <v>NA</v>
          </cell>
          <cell r="S515" t="str">
            <v>NA</v>
          </cell>
          <cell r="T515">
            <v>59.5</v>
          </cell>
          <cell r="U515">
            <v>4.8</v>
          </cell>
          <cell r="V515">
            <v>74.8</v>
          </cell>
          <cell r="W515">
            <v>7.6</v>
          </cell>
          <cell r="X515" t="str">
            <v>NA</v>
          </cell>
          <cell r="Y515" t="str">
            <v>NA</v>
          </cell>
          <cell r="Z515" t="str">
            <v>NA</v>
          </cell>
          <cell r="AA515" t="str">
            <v>NA</v>
          </cell>
        </row>
        <row r="516">
          <cell r="A516">
            <v>45130</v>
          </cell>
          <cell r="B516" t="str">
            <v>A2</v>
          </cell>
          <cell r="C516">
            <v>2</v>
          </cell>
          <cell r="D516">
            <v>1</v>
          </cell>
          <cell r="E516" t="str">
            <v>ARIS.A2.Aim1.Bin2.RB</v>
          </cell>
          <cell r="F516">
            <v>3</v>
          </cell>
          <cell r="G516" t="str">
            <v>SplineDFA</v>
          </cell>
          <cell r="H516" t="str">
            <v>Y</v>
          </cell>
          <cell r="I516" t="str">
            <v>N</v>
          </cell>
          <cell r="J516">
            <v>85</v>
          </cell>
          <cell r="K516">
            <v>1</v>
          </cell>
          <cell r="L516">
            <v>0.6431</v>
          </cell>
          <cell r="M516">
            <v>23.7</v>
          </cell>
          <cell r="N516">
            <v>2.7</v>
          </cell>
          <cell r="O516">
            <v>0.3569</v>
          </cell>
          <cell r="P516">
            <v>0.3024</v>
          </cell>
          <cell r="Q516">
            <v>5.45E-2</v>
          </cell>
          <cell r="R516" t="str">
            <v>NA</v>
          </cell>
          <cell r="S516" t="str">
            <v>NA</v>
          </cell>
          <cell r="T516">
            <v>59.5</v>
          </cell>
          <cell r="U516">
            <v>4.8</v>
          </cell>
          <cell r="V516">
            <v>74.8</v>
          </cell>
          <cell r="W516">
            <v>7.6</v>
          </cell>
          <cell r="X516" t="str">
            <v>NA</v>
          </cell>
          <cell r="Y516" t="str">
            <v>NA</v>
          </cell>
          <cell r="Z516" t="str">
            <v>NA</v>
          </cell>
          <cell r="AA516" t="str">
            <v>NA</v>
          </cell>
        </row>
        <row r="517">
          <cell r="A517">
            <v>45130</v>
          </cell>
          <cell r="B517" t="str">
            <v>A2</v>
          </cell>
          <cell r="C517">
            <v>3</v>
          </cell>
          <cell r="D517">
            <v>1</v>
          </cell>
          <cell r="E517" t="str">
            <v>ARIS.A2.Aim1.Bin3.RB</v>
          </cell>
          <cell r="F517">
            <v>3</v>
          </cell>
          <cell r="G517" t="str">
            <v>SplineDFA</v>
          </cell>
          <cell r="H517" t="str">
            <v>Y</v>
          </cell>
          <cell r="I517" t="str">
            <v>N</v>
          </cell>
          <cell r="J517">
            <v>59</v>
          </cell>
          <cell r="K517">
            <v>0.99990000000000001</v>
          </cell>
          <cell r="L517">
            <v>0.21840000000000001</v>
          </cell>
          <cell r="M517">
            <v>23.7</v>
          </cell>
          <cell r="N517">
            <v>2.7</v>
          </cell>
          <cell r="O517">
            <v>0.78149999999999997</v>
          </cell>
          <cell r="P517">
            <v>0.5091</v>
          </cell>
          <cell r="Q517">
            <v>0.27239999999999998</v>
          </cell>
          <cell r="R517" t="str">
            <v>NA</v>
          </cell>
          <cell r="S517" t="str">
            <v>NA</v>
          </cell>
          <cell r="T517">
            <v>59.5</v>
          </cell>
          <cell r="U517">
            <v>4.8</v>
          </cell>
          <cell r="V517">
            <v>74.8</v>
          </cell>
          <cell r="W517">
            <v>7.6</v>
          </cell>
          <cell r="X517" t="str">
            <v>NA</v>
          </cell>
          <cell r="Y517" t="str">
            <v>NA</v>
          </cell>
          <cell r="Z517" t="str">
            <v>NA</v>
          </cell>
          <cell r="AA517" t="str">
            <v>NA</v>
          </cell>
        </row>
        <row r="518">
          <cell r="A518">
            <v>45130</v>
          </cell>
          <cell r="B518" t="str">
            <v>A2</v>
          </cell>
          <cell r="C518">
            <v>4</v>
          </cell>
          <cell r="D518">
            <v>1</v>
          </cell>
          <cell r="E518" t="str">
            <v>ARIS.A2.Aim1.Bin4.RB</v>
          </cell>
          <cell r="F518">
            <v>3</v>
          </cell>
          <cell r="G518" t="str">
            <v>SplineDFA</v>
          </cell>
          <cell r="H518" t="str">
            <v>Y</v>
          </cell>
          <cell r="I518" t="str">
            <v>N</v>
          </cell>
          <cell r="J518">
            <v>59</v>
          </cell>
          <cell r="K518">
            <v>0.99990000000000001</v>
          </cell>
          <cell r="L518">
            <v>0.21840000000000001</v>
          </cell>
          <cell r="M518">
            <v>23.7</v>
          </cell>
          <cell r="N518">
            <v>2.7</v>
          </cell>
          <cell r="O518">
            <v>0.78149999999999997</v>
          </cell>
          <cell r="P518">
            <v>0.5091</v>
          </cell>
          <cell r="Q518">
            <v>0.27239999999999998</v>
          </cell>
          <cell r="R518" t="str">
            <v>NA</v>
          </cell>
          <cell r="S518" t="str">
            <v>NA</v>
          </cell>
          <cell r="T518">
            <v>59.5</v>
          </cell>
          <cell r="U518">
            <v>4.8</v>
          </cell>
          <cell r="V518">
            <v>74.8</v>
          </cell>
          <cell r="W518">
            <v>7.6</v>
          </cell>
          <cell r="X518" t="str">
            <v>NA</v>
          </cell>
          <cell r="Y518" t="str">
            <v>NA</v>
          </cell>
          <cell r="Z518" t="str">
            <v>NA</v>
          </cell>
          <cell r="AA518" t="str">
            <v>NA</v>
          </cell>
        </row>
        <row r="519">
          <cell r="A519">
            <v>45130</v>
          </cell>
          <cell r="B519" t="str">
            <v>A1</v>
          </cell>
          <cell r="C519">
            <v>1</v>
          </cell>
          <cell r="D519">
            <v>1</v>
          </cell>
          <cell r="E519" t="str">
            <v>ARIS.A1.Aim1.Bin1.LB</v>
          </cell>
          <cell r="F519">
            <v>4</v>
          </cell>
          <cell r="G519" t="str">
            <v>Unweighted</v>
          </cell>
          <cell r="H519" t="str">
            <v>N</v>
          </cell>
          <cell r="I519" t="str">
            <v>N</v>
          </cell>
          <cell r="J519">
            <v>112</v>
          </cell>
          <cell r="K519">
            <v>1</v>
          </cell>
          <cell r="L519">
            <v>0.82289999999999996</v>
          </cell>
          <cell r="M519">
            <v>18.5</v>
          </cell>
          <cell r="N519">
            <v>5.7</v>
          </cell>
          <cell r="O519">
            <v>0.17710000000000001</v>
          </cell>
          <cell r="P519">
            <v>4.9399999999999999E-2</v>
          </cell>
          <cell r="Q519">
            <v>0</v>
          </cell>
          <cell r="R519" t="str">
            <v>NA</v>
          </cell>
          <cell r="S519">
            <v>0.12770000000000001</v>
          </cell>
          <cell r="T519">
            <v>59.5</v>
          </cell>
          <cell r="U519">
            <v>4.8</v>
          </cell>
          <cell r="V519">
            <v>74.8</v>
          </cell>
          <cell r="W519">
            <v>7.6</v>
          </cell>
          <cell r="X519" t="str">
            <v>NA</v>
          </cell>
          <cell r="Y519" t="str">
            <v>NA</v>
          </cell>
          <cell r="Z519">
            <v>39.1</v>
          </cell>
          <cell r="AA519">
            <v>3.5</v>
          </cell>
        </row>
        <row r="520">
          <cell r="A520">
            <v>45130</v>
          </cell>
          <cell r="B520" t="str">
            <v>A1</v>
          </cell>
          <cell r="C520">
            <v>1</v>
          </cell>
          <cell r="D520">
            <v>2</v>
          </cell>
          <cell r="E520" t="str">
            <v>ARIS.A1.Aim2.Bin1.LB</v>
          </cell>
          <cell r="F520">
            <v>4</v>
          </cell>
          <cell r="G520" t="str">
            <v>Unweighted</v>
          </cell>
          <cell r="H520" t="str">
            <v>N</v>
          </cell>
          <cell r="I520" t="str">
            <v>N</v>
          </cell>
          <cell r="J520">
            <v>128</v>
          </cell>
          <cell r="K520">
            <v>0.99990000000000001</v>
          </cell>
          <cell r="L520">
            <v>0.76900000000000002</v>
          </cell>
          <cell r="M520">
            <v>15.6</v>
          </cell>
          <cell r="N520">
            <v>4.9000000000000004</v>
          </cell>
          <cell r="O520">
            <v>0.23089999999999999</v>
          </cell>
          <cell r="P520">
            <v>0.14269999999999999</v>
          </cell>
          <cell r="Q520">
            <v>1.4E-3</v>
          </cell>
          <cell r="R520" t="str">
            <v>NA</v>
          </cell>
          <cell r="S520">
            <v>8.6800000000000002E-2</v>
          </cell>
          <cell r="T520">
            <v>59.5</v>
          </cell>
          <cell r="U520">
            <v>4.8</v>
          </cell>
          <cell r="V520">
            <v>74.8</v>
          </cell>
          <cell r="W520">
            <v>7.6</v>
          </cell>
          <cell r="X520" t="str">
            <v>NA</v>
          </cell>
          <cell r="Y520" t="str">
            <v>NA</v>
          </cell>
          <cell r="Z520">
            <v>39.1</v>
          </cell>
          <cell r="AA520">
            <v>3.5</v>
          </cell>
        </row>
        <row r="521">
          <cell r="A521">
            <v>45130</v>
          </cell>
          <cell r="B521" t="str">
            <v>A1</v>
          </cell>
          <cell r="C521">
            <v>1</v>
          </cell>
          <cell r="D521" t="str">
            <v>1&amp;2</v>
          </cell>
          <cell r="E521" t="str">
            <v>ARIS.A1.Aim1&amp;Aim2.Bin1.LB</v>
          </cell>
          <cell r="F521">
            <v>4</v>
          </cell>
          <cell r="G521" t="str">
            <v>Unweighted</v>
          </cell>
          <cell r="H521" t="str">
            <v>N</v>
          </cell>
          <cell r="I521" t="str">
            <v>N</v>
          </cell>
          <cell r="J521">
            <v>240</v>
          </cell>
          <cell r="K521">
            <v>1</v>
          </cell>
          <cell r="L521">
            <v>0.79610000000000003</v>
          </cell>
          <cell r="M521">
            <v>16.899999999999999</v>
          </cell>
          <cell r="N521">
            <v>5.4</v>
          </cell>
          <cell r="O521">
            <v>0.2039</v>
          </cell>
          <cell r="P521">
            <v>9.64E-2</v>
          </cell>
          <cell r="Q521">
            <v>0</v>
          </cell>
          <cell r="R521" t="str">
            <v>NA</v>
          </cell>
          <cell r="S521">
            <v>0.1075</v>
          </cell>
          <cell r="T521">
            <v>59.5</v>
          </cell>
          <cell r="U521">
            <v>4.8</v>
          </cell>
          <cell r="V521">
            <v>74.8</v>
          </cell>
          <cell r="W521">
            <v>7.6</v>
          </cell>
          <cell r="X521" t="str">
            <v>NA</v>
          </cell>
          <cell r="Y521" t="str">
            <v>NA</v>
          </cell>
          <cell r="Z521">
            <v>39.1</v>
          </cell>
          <cell r="AA521">
            <v>3.5</v>
          </cell>
        </row>
        <row r="522">
          <cell r="A522">
            <v>45130</v>
          </cell>
          <cell r="B522" t="str">
            <v>A1</v>
          </cell>
          <cell r="C522">
            <v>2</v>
          </cell>
          <cell r="D522">
            <v>3</v>
          </cell>
          <cell r="E522" t="str">
            <v>ARIS.A1.Aim3.Bin2.LB</v>
          </cell>
          <cell r="F522">
            <v>4</v>
          </cell>
          <cell r="G522" t="str">
            <v>Unweighted</v>
          </cell>
          <cell r="H522" t="str">
            <v>N</v>
          </cell>
          <cell r="I522" t="str">
            <v>N</v>
          </cell>
          <cell r="J522">
            <v>127</v>
          </cell>
          <cell r="K522">
            <v>1</v>
          </cell>
          <cell r="L522">
            <v>0.46489999999999998</v>
          </cell>
          <cell r="M522">
            <v>25.5</v>
          </cell>
          <cell r="N522">
            <v>5.7</v>
          </cell>
          <cell r="O522">
            <v>0.53510000000000002</v>
          </cell>
          <cell r="P522">
            <v>0.24030000000000001</v>
          </cell>
          <cell r="Q522">
            <v>0.1646</v>
          </cell>
          <cell r="R522" t="str">
            <v>NA</v>
          </cell>
          <cell r="S522">
            <v>0.13020000000000001</v>
          </cell>
          <cell r="T522">
            <v>59.5</v>
          </cell>
          <cell r="U522">
            <v>4.8</v>
          </cell>
          <cell r="V522">
            <v>74.8</v>
          </cell>
          <cell r="W522">
            <v>7.6</v>
          </cell>
          <cell r="X522" t="str">
            <v>NA</v>
          </cell>
          <cell r="Y522" t="str">
            <v>NA</v>
          </cell>
          <cell r="Z522">
            <v>39.1</v>
          </cell>
          <cell r="AA522">
            <v>3.5</v>
          </cell>
        </row>
        <row r="523">
          <cell r="A523">
            <v>45130</v>
          </cell>
          <cell r="B523" t="str">
            <v>A1</v>
          </cell>
          <cell r="C523">
            <v>3</v>
          </cell>
          <cell r="D523">
            <v>3</v>
          </cell>
          <cell r="E523" t="str">
            <v>ARIS.A1.Aim3.Bin3.LB</v>
          </cell>
          <cell r="F523">
            <v>4</v>
          </cell>
          <cell r="G523" t="str">
            <v>Unweighted</v>
          </cell>
          <cell r="H523" t="str">
            <v>N</v>
          </cell>
          <cell r="I523" t="str">
            <v>N</v>
          </cell>
          <cell r="J523">
            <v>133</v>
          </cell>
          <cell r="K523">
            <v>0.99990000000000001</v>
          </cell>
          <cell r="L523">
            <v>7.4300000000000005E-2</v>
          </cell>
          <cell r="M523">
            <v>30</v>
          </cell>
          <cell r="N523">
            <v>0.7</v>
          </cell>
          <cell r="O523">
            <v>0.92559999999999998</v>
          </cell>
          <cell r="P523">
            <v>0.29920000000000002</v>
          </cell>
          <cell r="Q523">
            <v>0.43430000000000002</v>
          </cell>
          <cell r="R523" t="str">
            <v>NA</v>
          </cell>
          <cell r="S523">
            <v>0.19209999999999999</v>
          </cell>
          <cell r="T523">
            <v>59.5</v>
          </cell>
          <cell r="U523">
            <v>4.8</v>
          </cell>
          <cell r="V523">
            <v>74.8</v>
          </cell>
          <cell r="W523">
            <v>7.6</v>
          </cell>
          <cell r="X523" t="str">
            <v>NA</v>
          </cell>
          <cell r="Y523" t="str">
            <v>NA</v>
          </cell>
          <cell r="Z523">
            <v>39.1</v>
          </cell>
          <cell r="AA523">
            <v>3.5</v>
          </cell>
        </row>
        <row r="524">
          <cell r="A524">
            <v>45130</v>
          </cell>
          <cell r="B524" t="str">
            <v>A1</v>
          </cell>
          <cell r="C524">
            <v>4</v>
          </cell>
          <cell r="D524">
            <v>3</v>
          </cell>
          <cell r="E524" t="str">
            <v>ARIS.A1.Aim3.Bin4.LB</v>
          </cell>
          <cell r="F524">
            <v>4</v>
          </cell>
          <cell r="G524" t="str">
            <v>Unweighted</v>
          </cell>
          <cell r="H524" t="str">
            <v>N</v>
          </cell>
          <cell r="I524" t="str">
            <v>N</v>
          </cell>
          <cell r="J524">
            <v>133</v>
          </cell>
          <cell r="K524">
            <v>0.99990000000000001</v>
          </cell>
          <cell r="L524">
            <v>7.4300000000000005E-2</v>
          </cell>
          <cell r="M524">
            <v>30</v>
          </cell>
          <cell r="N524">
            <v>0.7</v>
          </cell>
          <cell r="O524">
            <v>0.92559999999999998</v>
          </cell>
          <cell r="P524">
            <v>0.29920000000000002</v>
          </cell>
          <cell r="Q524">
            <v>0.43430000000000002</v>
          </cell>
          <cell r="R524" t="str">
            <v>NA</v>
          </cell>
          <cell r="S524">
            <v>0.19209999999999999</v>
          </cell>
          <cell r="T524">
            <v>59.5</v>
          </cell>
          <cell r="U524">
            <v>4.8</v>
          </cell>
          <cell r="V524">
            <v>74.8</v>
          </cell>
          <cell r="W524">
            <v>7.6</v>
          </cell>
          <cell r="X524" t="str">
            <v>NA</v>
          </cell>
          <cell r="Y524" t="str">
            <v>NA</v>
          </cell>
          <cell r="Z524">
            <v>39.1</v>
          </cell>
          <cell r="AA524">
            <v>3.5</v>
          </cell>
        </row>
        <row r="525">
          <cell r="A525">
            <v>45130</v>
          </cell>
          <cell r="B525" t="str">
            <v>A2</v>
          </cell>
          <cell r="C525">
            <v>1</v>
          </cell>
          <cell r="D525">
            <v>1</v>
          </cell>
          <cell r="E525" t="str">
            <v>ARIS.A2.Aim1.Bin1.RB</v>
          </cell>
          <cell r="F525">
            <v>4</v>
          </cell>
          <cell r="G525" t="str">
            <v>Unweighted</v>
          </cell>
          <cell r="H525" t="str">
            <v>N</v>
          </cell>
          <cell r="I525" t="str">
            <v>N</v>
          </cell>
          <cell r="J525">
            <v>124</v>
          </cell>
          <cell r="K525">
            <v>1</v>
          </cell>
          <cell r="L525">
            <v>0.86929999999999996</v>
          </cell>
          <cell r="M525">
            <v>17.3</v>
          </cell>
          <cell r="N525">
            <v>5.5</v>
          </cell>
          <cell r="O525">
            <v>0.13070000000000001</v>
          </cell>
          <cell r="P525">
            <v>4.53E-2</v>
          </cell>
          <cell r="Q525">
            <v>0</v>
          </cell>
          <cell r="R525" t="str">
            <v>NA</v>
          </cell>
          <cell r="S525">
            <v>8.5400000000000004E-2</v>
          </cell>
          <cell r="T525">
            <v>59.5</v>
          </cell>
          <cell r="U525">
            <v>4.8</v>
          </cell>
          <cell r="V525">
            <v>74.8</v>
          </cell>
          <cell r="W525">
            <v>7.6</v>
          </cell>
          <cell r="X525" t="str">
            <v>NA</v>
          </cell>
          <cell r="Y525" t="str">
            <v>NA</v>
          </cell>
          <cell r="Z525">
            <v>39.1</v>
          </cell>
          <cell r="AA525">
            <v>3.5</v>
          </cell>
        </row>
        <row r="526">
          <cell r="A526">
            <v>45130</v>
          </cell>
          <cell r="B526" t="str">
            <v>A2</v>
          </cell>
          <cell r="C526">
            <v>2</v>
          </cell>
          <cell r="D526">
            <v>1</v>
          </cell>
          <cell r="E526" t="str">
            <v>ARIS.A2.Aim1.Bin2.RB</v>
          </cell>
          <cell r="F526">
            <v>4</v>
          </cell>
          <cell r="G526" t="str">
            <v>Unweighted</v>
          </cell>
          <cell r="H526" t="str">
            <v>N</v>
          </cell>
          <cell r="I526" t="str">
            <v>N</v>
          </cell>
          <cell r="J526">
            <v>85</v>
          </cell>
          <cell r="K526">
            <v>0.99990000000000001</v>
          </cell>
          <cell r="L526">
            <v>0.81659999999999999</v>
          </cell>
          <cell r="M526">
            <v>31.4</v>
          </cell>
          <cell r="N526">
            <v>10.4</v>
          </cell>
          <cell r="O526">
            <v>0.18329999999999999</v>
          </cell>
          <cell r="P526">
            <v>6.0600000000000001E-2</v>
          </cell>
          <cell r="Q526">
            <v>0.1227</v>
          </cell>
          <cell r="R526" t="str">
            <v>NA</v>
          </cell>
          <cell r="S526">
            <v>0</v>
          </cell>
          <cell r="T526">
            <v>59.5</v>
          </cell>
          <cell r="U526">
            <v>4.8</v>
          </cell>
          <cell r="V526">
            <v>74.8</v>
          </cell>
          <cell r="W526">
            <v>7.6</v>
          </cell>
          <cell r="X526" t="str">
            <v>NA</v>
          </cell>
          <cell r="Y526" t="str">
            <v>NA</v>
          </cell>
          <cell r="Z526">
            <v>39.1</v>
          </cell>
          <cell r="AA526">
            <v>3.5</v>
          </cell>
        </row>
        <row r="527">
          <cell r="A527">
            <v>45130</v>
          </cell>
          <cell r="B527" t="str">
            <v>A2</v>
          </cell>
          <cell r="C527">
            <v>3</v>
          </cell>
          <cell r="D527">
            <v>1</v>
          </cell>
          <cell r="E527" t="str">
            <v>ARIS.A2.Aim1.Bin3.RB</v>
          </cell>
          <cell r="F527">
            <v>4</v>
          </cell>
          <cell r="G527" t="str">
            <v>Unweighted</v>
          </cell>
          <cell r="H527" t="str">
            <v>N</v>
          </cell>
          <cell r="I527" t="str">
            <v>N</v>
          </cell>
          <cell r="J527">
            <v>59</v>
          </cell>
          <cell r="K527">
            <v>0.99990000000000001</v>
          </cell>
          <cell r="L527">
            <v>6.5600000000000006E-2</v>
          </cell>
          <cell r="M527">
            <v>25.5</v>
          </cell>
          <cell r="N527">
            <v>0.8</v>
          </cell>
          <cell r="O527">
            <v>0.93430000000000002</v>
          </cell>
          <cell r="P527">
            <v>0.25109999999999999</v>
          </cell>
          <cell r="Q527">
            <v>0.23630000000000001</v>
          </cell>
          <cell r="R527" t="str">
            <v>NA</v>
          </cell>
          <cell r="S527">
            <v>0.44690000000000002</v>
          </cell>
          <cell r="T527">
            <v>59.5</v>
          </cell>
          <cell r="U527">
            <v>4.8</v>
          </cell>
          <cell r="V527">
            <v>74.8</v>
          </cell>
          <cell r="W527">
            <v>7.6</v>
          </cell>
          <cell r="X527" t="str">
            <v>NA</v>
          </cell>
          <cell r="Y527" t="str">
            <v>NA</v>
          </cell>
          <cell r="Z527">
            <v>39.1</v>
          </cell>
          <cell r="AA527">
            <v>3.5</v>
          </cell>
        </row>
        <row r="528">
          <cell r="A528">
            <v>45130</v>
          </cell>
          <cell r="B528" t="str">
            <v>A2</v>
          </cell>
          <cell r="C528">
            <v>4</v>
          </cell>
          <cell r="D528">
            <v>1</v>
          </cell>
          <cell r="E528" t="str">
            <v>ARIS.A2.Aim1.Bin4.RB</v>
          </cell>
          <cell r="F528">
            <v>4</v>
          </cell>
          <cell r="G528" t="str">
            <v>Unweighted</v>
          </cell>
          <cell r="H528" t="str">
            <v>N</v>
          </cell>
          <cell r="I528" t="str">
            <v>N</v>
          </cell>
          <cell r="J528">
            <v>59</v>
          </cell>
          <cell r="K528">
            <v>0.99990000000000001</v>
          </cell>
          <cell r="L528">
            <v>6.5600000000000006E-2</v>
          </cell>
          <cell r="M528">
            <v>25.5</v>
          </cell>
          <cell r="N528">
            <v>0.8</v>
          </cell>
          <cell r="O528">
            <v>0.93430000000000002</v>
          </cell>
          <cell r="P528">
            <v>0.25109999999999999</v>
          </cell>
          <cell r="Q528">
            <v>0.23630000000000001</v>
          </cell>
          <cell r="R528" t="str">
            <v>NA</v>
          </cell>
          <cell r="S528">
            <v>0.44690000000000002</v>
          </cell>
          <cell r="T528">
            <v>59.5</v>
          </cell>
          <cell r="U528">
            <v>4.8</v>
          </cell>
          <cell r="V528">
            <v>74.8</v>
          </cell>
          <cell r="W528">
            <v>7.6</v>
          </cell>
          <cell r="X528" t="str">
            <v>NA</v>
          </cell>
          <cell r="Y528" t="str">
            <v>NA</v>
          </cell>
          <cell r="Z528">
            <v>39.1</v>
          </cell>
          <cell r="AA528">
            <v>3.5</v>
          </cell>
        </row>
        <row r="529">
          <cell r="A529">
            <v>45131</v>
          </cell>
          <cell r="B529" t="str">
            <v>A1</v>
          </cell>
          <cell r="C529">
            <v>1</v>
          </cell>
          <cell r="D529">
            <v>1</v>
          </cell>
          <cell r="E529" t="str">
            <v>ARIS.A1.Aim1.Bin1.LB</v>
          </cell>
          <cell r="F529">
            <v>3</v>
          </cell>
          <cell r="G529" t="str">
            <v>SplineDFA</v>
          </cell>
          <cell r="H529" t="str">
            <v>Y</v>
          </cell>
          <cell r="I529" t="str">
            <v>N</v>
          </cell>
          <cell r="J529">
            <v>114</v>
          </cell>
          <cell r="K529">
            <v>1</v>
          </cell>
          <cell r="L529">
            <v>0.75749999999999995</v>
          </cell>
          <cell r="M529">
            <v>23.7</v>
          </cell>
          <cell r="N529">
            <v>2.7</v>
          </cell>
          <cell r="O529">
            <v>0.24249999999999999</v>
          </cell>
          <cell r="P529">
            <v>0.2261</v>
          </cell>
          <cell r="Q529">
            <v>1.6400000000000001E-2</v>
          </cell>
          <cell r="R529" t="str">
            <v>NA</v>
          </cell>
          <cell r="S529" t="str">
            <v>NA</v>
          </cell>
          <cell r="T529">
            <v>59.5</v>
          </cell>
          <cell r="U529">
            <v>4.8</v>
          </cell>
          <cell r="V529">
            <v>74.8</v>
          </cell>
          <cell r="W529">
            <v>7.6</v>
          </cell>
          <cell r="X529" t="str">
            <v>NA</v>
          </cell>
          <cell r="Y529" t="str">
            <v>NA</v>
          </cell>
          <cell r="Z529" t="str">
            <v>NA</v>
          </cell>
          <cell r="AA529" t="str">
            <v>NA</v>
          </cell>
        </row>
        <row r="530">
          <cell r="A530">
            <v>45131</v>
          </cell>
          <cell r="B530" t="str">
            <v>A1</v>
          </cell>
          <cell r="C530">
            <v>1</v>
          </cell>
          <cell r="D530">
            <v>2</v>
          </cell>
          <cell r="E530" t="str">
            <v>ARIS.A1.Aim2.Bin1.LB</v>
          </cell>
          <cell r="F530">
            <v>3</v>
          </cell>
          <cell r="G530" t="str">
            <v>SplineDFA</v>
          </cell>
          <cell r="H530" t="str">
            <v>Y</v>
          </cell>
          <cell r="I530" t="str">
            <v>N</v>
          </cell>
          <cell r="J530">
            <v>160</v>
          </cell>
          <cell r="K530">
            <v>1</v>
          </cell>
          <cell r="L530">
            <v>0.6714</v>
          </cell>
          <cell r="M530">
            <v>23.7</v>
          </cell>
          <cell r="N530">
            <v>2.7</v>
          </cell>
          <cell r="O530">
            <v>0.3286</v>
          </cell>
          <cell r="P530">
            <v>0.31490000000000001</v>
          </cell>
          <cell r="Q530">
            <v>1.37E-2</v>
          </cell>
          <cell r="R530" t="str">
            <v>NA</v>
          </cell>
          <cell r="S530" t="str">
            <v>NA</v>
          </cell>
          <cell r="T530">
            <v>59.5</v>
          </cell>
          <cell r="U530">
            <v>4.8</v>
          </cell>
          <cell r="V530">
            <v>74.8</v>
          </cell>
          <cell r="W530">
            <v>7.6</v>
          </cell>
          <cell r="X530" t="str">
            <v>NA</v>
          </cell>
          <cell r="Y530" t="str">
            <v>NA</v>
          </cell>
          <cell r="Z530" t="str">
            <v>NA</v>
          </cell>
          <cell r="AA530" t="str">
            <v>NA</v>
          </cell>
        </row>
        <row r="531">
          <cell r="A531">
            <v>45131</v>
          </cell>
          <cell r="B531" t="str">
            <v>A1</v>
          </cell>
          <cell r="C531">
            <v>2</v>
          </cell>
          <cell r="D531">
            <v>3</v>
          </cell>
          <cell r="E531" t="str">
            <v>ARIS.A1.Aim3.Bin2.LB</v>
          </cell>
          <cell r="F531">
            <v>3</v>
          </cell>
          <cell r="G531" t="str">
            <v>SplineDFA</v>
          </cell>
          <cell r="H531" t="str">
            <v>Y</v>
          </cell>
          <cell r="I531" t="str">
            <v>N</v>
          </cell>
          <cell r="J531">
            <v>149</v>
          </cell>
          <cell r="K531">
            <v>1</v>
          </cell>
          <cell r="L531">
            <v>0.33200000000000002</v>
          </cell>
          <cell r="M531">
            <v>23.7</v>
          </cell>
          <cell r="N531">
            <v>2.7</v>
          </cell>
          <cell r="O531">
            <v>0.66800000000000004</v>
          </cell>
          <cell r="P531">
            <v>0.3987</v>
          </cell>
          <cell r="Q531">
            <v>0.26929999999999998</v>
          </cell>
          <cell r="R531" t="str">
            <v>NA</v>
          </cell>
          <cell r="S531" t="str">
            <v>NA</v>
          </cell>
          <cell r="T531">
            <v>59.5</v>
          </cell>
          <cell r="U531">
            <v>4.8</v>
          </cell>
          <cell r="V531">
            <v>74.8</v>
          </cell>
          <cell r="W531">
            <v>7.6</v>
          </cell>
          <cell r="X531" t="str">
            <v>NA</v>
          </cell>
          <cell r="Y531" t="str">
            <v>NA</v>
          </cell>
          <cell r="Z531" t="str">
            <v>NA</v>
          </cell>
          <cell r="AA531" t="str">
            <v>NA</v>
          </cell>
        </row>
        <row r="532">
          <cell r="A532">
            <v>45131</v>
          </cell>
          <cell r="B532" t="str">
            <v>A1</v>
          </cell>
          <cell r="C532">
            <v>3</v>
          </cell>
          <cell r="D532">
            <v>3</v>
          </cell>
          <cell r="E532" t="str">
            <v>ARIS.A1.Aim3.Bin3.LB</v>
          </cell>
          <cell r="F532">
            <v>3</v>
          </cell>
          <cell r="G532" t="str">
            <v>SplineDFA</v>
          </cell>
          <cell r="H532" t="str">
            <v>Y</v>
          </cell>
          <cell r="I532" t="str">
            <v>N</v>
          </cell>
          <cell r="J532">
            <v>117</v>
          </cell>
          <cell r="K532">
            <v>1</v>
          </cell>
          <cell r="L532">
            <v>8.4400000000000003E-2</v>
          </cell>
          <cell r="M532">
            <v>23.7</v>
          </cell>
          <cell r="N532">
            <v>2.7</v>
          </cell>
          <cell r="O532">
            <v>0.91559999999999997</v>
          </cell>
          <cell r="P532">
            <v>0.39589999999999997</v>
          </cell>
          <cell r="Q532">
            <v>0.51970000000000005</v>
          </cell>
          <cell r="R532" t="str">
            <v>NA</v>
          </cell>
          <cell r="S532" t="str">
            <v>NA</v>
          </cell>
          <cell r="T532">
            <v>59.5</v>
          </cell>
          <cell r="U532">
            <v>4.8</v>
          </cell>
          <cell r="V532">
            <v>74.8</v>
          </cell>
          <cell r="W532">
            <v>7.6</v>
          </cell>
          <cell r="X532" t="str">
            <v>NA</v>
          </cell>
          <cell r="Y532" t="str">
            <v>NA</v>
          </cell>
          <cell r="Z532" t="str">
            <v>NA</v>
          </cell>
          <cell r="AA532" t="str">
            <v>NA</v>
          </cell>
        </row>
        <row r="533">
          <cell r="A533">
            <v>45131</v>
          </cell>
          <cell r="B533" t="str">
            <v>A1</v>
          </cell>
          <cell r="C533">
            <v>4</v>
          </cell>
          <cell r="D533">
            <v>3</v>
          </cell>
          <cell r="E533" t="str">
            <v>ARIS.A1.Aim3.Bin4.LB</v>
          </cell>
          <cell r="F533">
            <v>3</v>
          </cell>
          <cell r="G533" t="str">
            <v>SplineDFA</v>
          </cell>
          <cell r="H533" t="str">
            <v>Y</v>
          </cell>
          <cell r="I533" t="str">
            <v>N</v>
          </cell>
          <cell r="J533">
            <v>117</v>
          </cell>
          <cell r="K533">
            <v>1</v>
          </cell>
          <cell r="L533">
            <v>8.4400000000000003E-2</v>
          </cell>
          <cell r="M533">
            <v>23.7</v>
          </cell>
          <cell r="N533">
            <v>2.7</v>
          </cell>
          <cell r="O533">
            <v>0.91559999999999997</v>
          </cell>
          <cell r="P533">
            <v>0.39589999999999997</v>
          </cell>
          <cell r="Q533">
            <v>0.51970000000000005</v>
          </cell>
          <cell r="R533" t="str">
            <v>NA</v>
          </cell>
          <cell r="S533" t="str">
            <v>NA</v>
          </cell>
          <cell r="T533">
            <v>59.5</v>
          </cell>
          <cell r="U533">
            <v>4.8</v>
          </cell>
          <cell r="V533">
            <v>74.8</v>
          </cell>
          <cell r="W533">
            <v>7.6</v>
          </cell>
          <cell r="X533" t="str">
            <v>NA</v>
          </cell>
          <cell r="Y533" t="str">
            <v>NA</v>
          </cell>
          <cell r="Z533" t="str">
            <v>NA</v>
          </cell>
          <cell r="AA533" t="str">
            <v>NA</v>
          </cell>
        </row>
        <row r="534">
          <cell r="A534">
            <v>45131</v>
          </cell>
          <cell r="B534" t="str">
            <v>A1</v>
          </cell>
          <cell r="C534">
            <v>1</v>
          </cell>
          <cell r="D534">
            <v>1</v>
          </cell>
          <cell r="E534" t="str">
            <v>ARIS.A1.Aim1.Bin1.LB</v>
          </cell>
          <cell r="F534">
            <v>3</v>
          </cell>
          <cell r="G534" t="str">
            <v>Unweighted</v>
          </cell>
          <cell r="H534" t="str">
            <v>N</v>
          </cell>
          <cell r="I534" t="str">
            <v>Y</v>
          </cell>
          <cell r="J534">
            <v>114</v>
          </cell>
          <cell r="K534">
            <v>1</v>
          </cell>
          <cell r="L534">
            <v>0.83479999999999999</v>
          </cell>
          <cell r="M534">
            <v>23.2</v>
          </cell>
          <cell r="N534">
            <v>9.8000000000000007</v>
          </cell>
          <cell r="O534">
            <v>0.16520000000000001</v>
          </cell>
          <cell r="P534">
            <v>0.16239999999999999</v>
          </cell>
          <cell r="Q534">
            <v>2.8E-3</v>
          </cell>
          <cell r="R534" t="str">
            <v>NA</v>
          </cell>
          <cell r="S534" t="str">
            <v>NA</v>
          </cell>
          <cell r="T534">
            <v>59.5</v>
          </cell>
          <cell r="U534">
            <v>4.8</v>
          </cell>
          <cell r="V534">
            <v>74.8</v>
          </cell>
          <cell r="W534">
            <v>7.6</v>
          </cell>
          <cell r="X534" t="str">
            <v>NA</v>
          </cell>
          <cell r="Y534" t="str">
            <v>NA</v>
          </cell>
          <cell r="Z534" t="str">
            <v>NA</v>
          </cell>
          <cell r="AA534" t="str">
            <v>NA</v>
          </cell>
        </row>
        <row r="535">
          <cell r="A535">
            <v>45131</v>
          </cell>
          <cell r="B535" t="str">
            <v>A1</v>
          </cell>
          <cell r="C535">
            <v>1</v>
          </cell>
          <cell r="D535">
            <v>2</v>
          </cell>
          <cell r="E535" t="str">
            <v>ARIS.A1.Aim2.Bin1.LB</v>
          </cell>
          <cell r="F535">
            <v>3</v>
          </cell>
          <cell r="G535" t="str">
            <v>Unweighted</v>
          </cell>
          <cell r="H535" t="str">
            <v>N</v>
          </cell>
          <cell r="I535" t="str">
            <v>Y</v>
          </cell>
          <cell r="J535">
            <v>160</v>
          </cell>
          <cell r="K535">
            <v>1</v>
          </cell>
          <cell r="L535">
            <v>0.66139999999999999</v>
          </cell>
          <cell r="M535">
            <v>15.8</v>
          </cell>
          <cell r="N535">
            <v>6.1</v>
          </cell>
          <cell r="O535">
            <v>0.33860000000000001</v>
          </cell>
          <cell r="P535">
            <v>0.33860000000000001</v>
          </cell>
          <cell r="Q535">
            <v>0</v>
          </cell>
          <cell r="R535" t="str">
            <v>NA</v>
          </cell>
          <cell r="S535" t="str">
            <v>NA</v>
          </cell>
          <cell r="T535">
            <v>59.5</v>
          </cell>
          <cell r="U535">
            <v>4.8</v>
          </cell>
          <cell r="V535">
            <v>74.8</v>
          </cell>
          <cell r="W535">
            <v>7.6</v>
          </cell>
          <cell r="X535" t="str">
            <v>NA</v>
          </cell>
          <cell r="Y535" t="str">
            <v>NA</v>
          </cell>
          <cell r="Z535" t="str">
            <v>NA</v>
          </cell>
          <cell r="AA535" t="str">
            <v>NA</v>
          </cell>
        </row>
        <row r="536">
          <cell r="A536">
            <v>45131</v>
          </cell>
          <cell r="B536" t="str">
            <v>A1</v>
          </cell>
          <cell r="C536">
            <v>1</v>
          </cell>
          <cell r="D536" t="str">
            <v>1&amp;2</v>
          </cell>
          <cell r="E536" t="str">
            <v>ARIS.A1.Aim1&amp;Aim2.Bin1.LB</v>
          </cell>
          <cell r="F536">
            <v>3</v>
          </cell>
          <cell r="G536" t="str">
            <v>Unweighted</v>
          </cell>
          <cell r="H536" t="str">
            <v>N</v>
          </cell>
          <cell r="I536" t="str">
            <v>Y</v>
          </cell>
          <cell r="J536">
            <v>274</v>
          </cell>
          <cell r="K536">
            <v>1</v>
          </cell>
          <cell r="L536">
            <v>0.70189999999999997</v>
          </cell>
          <cell r="M536">
            <v>17.899999999999999</v>
          </cell>
          <cell r="N536">
            <v>7</v>
          </cell>
          <cell r="O536">
            <v>0.29809999999999998</v>
          </cell>
          <cell r="P536">
            <v>0.29809999999999998</v>
          </cell>
          <cell r="Q536">
            <v>0</v>
          </cell>
          <cell r="R536" t="str">
            <v>NA</v>
          </cell>
          <cell r="S536" t="str">
            <v>NA</v>
          </cell>
          <cell r="T536">
            <v>59.5</v>
          </cell>
          <cell r="U536">
            <v>4.8</v>
          </cell>
          <cell r="V536">
            <v>74.8</v>
          </cell>
          <cell r="W536">
            <v>7.6</v>
          </cell>
          <cell r="X536" t="str">
            <v>NA</v>
          </cell>
          <cell r="Y536" t="str">
            <v>NA</v>
          </cell>
          <cell r="Z536" t="str">
            <v>NA</v>
          </cell>
          <cell r="AA536" t="str">
            <v>NA</v>
          </cell>
        </row>
        <row r="537">
          <cell r="A537">
            <v>45131</v>
          </cell>
          <cell r="B537" t="str">
            <v>A1</v>
          </cell>
          <cell r="C537">
            <v>2</v>
          </cell>
          <cell r="D537">
            <v>3</v>
          </cell>
          <cell r="E537" t="str">
            <v>ARIS.A1.Aim3.Bin2.LB</v>
          </cell>
          <cell r="F537">
            <v>3</v>
          </cell>
          <cell r="G537" t="str">
            <v>Unweighted</v>
          </cell>
          <cell r="H537" t="str">
            <v>N</v>
          </cell>
          <cell r="I537" t="str">
            <v>Y</v>
          </cell>
          <cell r="J537">
            <v>149</v>
          </cell>
          <cell r="K537">
            <v>0.99990000000000001</v>
          </cell>
          <cell r="L537">
            <v>0.4582</v>
          </cell>
          <cell r="M537">
            <v>28.2</v>
          </cell>
          <cell r="N537">
            <v>7.5</v>
          </cell>
          <cell r="O537">
            <v>0.54169999999999996</v>
          </cell>
          <cell r="P537">
            <v>0.32769999999999999</v>
          </cell>
          <cell r="Q537">
            <v>0.214</v>
          </cell>
          <cell r="R537" t="str">
            <v>NA</v>
          </cell>
          <cell r="S537" t="str">
            <v>NA</v>
          </cell>
          <cell r="T537">
            <v>59.5</v>
          </cell>
          <cell r="U537">
            <v>4.8</v>
          </cell>
          <cell r="V537">
            <v>74.8</v>
          </cell>
          <cell r="W537">
            <v>7.6</v>
          </cell>
          <cell r="X537" t="str">
            <v>NA</v>
          </cell>
          <cell r="Y537" t="str">
            <v>NA</v>
          </cell>
          <cell r="Z537" t="str">
            <v>NA</v>
          </cell>
          <cell r="AA537" t="str">
            <v>NA</v>
          </cell>
        </row>
        <row r="538">
          <cell r="A538">
            <v>45131</v>
          </cell>
          <cell r="B538" t="str">
            <v>A1</v>
          </cell>
          <cell r="C538">
            <v>3</v>
          </cell>
          <cell r="D538">
            <v>3</v>
          </cell>
          <cell r="E538" t="str">
            <v>ARIS.A1.Aim3.Bin3.LB</v>
          </cell>
          <cell r="F538">
            <v>3</v>
          </cell>
          <cell r="G538" t="str">
            <v>Unweighted</v>
          </cell>
          <cell r="H538" t="str">
            <v>N</v>
          </cell>
          <cell r="I538" t="str">
            <v>Y</v>
          </cell>
          <cell r="J538">
            <v>117</v>
          </cell>
          <cell r="K538">
            <v>1</v>
          </cell>
          <cell r="L538">
            <v>0.25530000000000003</v>
          </cell>
          <cell r="M538">
            <v>23.7</v>
          </cell>
          <cell r="N538">
            <v>20.8</v>
          </cell>
          <cell r="O538">
            <v>0.74470000000000003</v>
          </cell>
          <cell r="P538">
            <v>0.17130000000000001</v>
          </cell>
          <cell r="Q538">
            <v>0.57340000000000002</v>
          </cell>
          <cell r="R538" t="str">
            <v>NA</v>
          </cell>
          <cell r="S538" t="str">
            <v>NA</v>
          </cell>
          <cell r="T538">
            <v>59.5</v>
          </cell>
          <cell r="U538">
            <v>4.8</v>
          </cell>
          <cell r="V538">
            <v>74.8</v>
          </cell>
          <cell r="W538">
            <v>7.6</v>
          </cell>
          <cell r="X538" t="str">
            <v>NA</v>
          </cell>
          <cell r="Y538" t="str">
            <v>NA</v>
          </cell>
          <cell r="Z538" t="str">
            <v>NA</v>
          </cell>
          <cell r="AA538" t="str">
            <v>NA</v>
          </cell>
        </row>
        <row r="539">
          <cell r="A539">
            <v>45131</v>
          </cell>
          <cell r="B539" t="str">
            <v>A1</v>
          </cell>
          <cell r="C539">
            <v>4</v>
          </cell>
          <cell r="D539">
            <v>3</v>
          </cell>
          <cell r="E539" t="str">
            <v>ARIS.A1.Aim3.Bin4.LB</v>
          </cell>
          <cell r="F539">
            <v>3</v>
          </cell>
          <cell r="G539" t="str">
            <v>Unweighted</v>
          </cell>
          <cell r="H539" t="str">
            <v>N</v>
          </cell>
          <cell r="I539" t="str">
            <v>Y</v>
          </cell>
          <cell r="J539">
            <v>117</v>
          </cell>
          <cell r="K539">
            <v>1</v>
          </cell>
          <cell r="L539">
            <v>0.25530000000000003</v>
          </cell>
          <cell r="M539">
            <v>23.7</v>
          </cell>
          <cell r="N539">
            <v>20.8</v>
          </cell>
          <cell r="O539">
            <v>0.74470000000000003</v>
          </cell>
          <cell r="P539">
            <v>0.17130000000000001</v>
          </cell>
          <cell r="Q539">
            <v>0.57340000000000002</v>
          </cell>
          <cell r="R539" t="str">
            <v>NA</v>
          </cell>
          <cell r="S539" t="str">
            <v>NA</v>
          </cell>
          <cell r="T539">
            <v>59.5</v>
          </cell>
          <cell r="U539">
            <v>4.8</v>
          </cell>
          <cell r="V539">
            <v>74.8</v>
          </cell>
          <cell r="W539">
            <v>7.6</v>
          </cell>
          <cell r="X539" t="str">
            <v>NA</v>
          </cell>
          <cell r="Y539" t="str">
            <v>NA</v>
          </cell>
          <cell r="Z539" t="str">
            <v>NA</v>
          </cell>
          <cell r="AA539" t="str">
            <v>NA</v>
          </cell>
        </row>
        <row r="540">
          <cell r="A540">
            <v>45131</v>
          </cell>
          <cell r="B540" t="str">
            <v>A2</v>
          </cell>
          <cell r="C540">
            <v>1</v>
          </cell>
          <cell r="D540">
            <v>1</v>
          </cell>
          <cell r="E540" t="str">
            <v>ARIS.A2.Aim1.Bin1.RB</v>
          </cell>
          <cell r="F540">
            <v>3</v>
          </cell>
          <cell r="G540" t="str">
            <v>Unweighted</v>
          </cell>
          <cell r="H540" t="str">
            <v>N</v>
          </cell>
          <cell r="I540" t="str">
            <v>Y</v>
          </cell>
          <cell r="J540">
            <v>117</v>
          </cell>
          <cell r="K540">
            <v>1.0001</v>
          </cell>
          <cell r="L540">
            <v>0.89429999999999998</v>
          </cell>
          <cell r="M540">
            <v>20</v>
          </cell>
          <cell r="N540">
            <v>8.6999999999999993</v>
          </cell>
          <cell r="O540">
            <v>0.10580000000000001</v>
          </cell>
          <cell r="P540">
            <v>4.9299999999999997E-2</v>
          </cell>
          <cell r="Q540">
            <v>5.6500000000000002E-2</v>
          </cell>
          <cell r="R540" t="str">
            <v>NA</v>
          </cell>
          <cell r="S540" t="str">
            <v>NA</v>
          </cell>
          <cell r="T540">
            <v>59.5</v>
          </cell>
          <cell r="U540">
            <v>4.8</v>
          </cell>
          <cell r="V540">
            <v>74.8</v>
          </cell>
          <cell r="W540">
            <v>7.6</v>
          </cell>
          <cell r="X540" t="str">
            <v>NA</v>
          </cell>
          <cell r="Y540" t="str">
            <v>NA</v>
          </cell>
          <cell r="Z540" t="str">
            <v>NA</v>
          </cell>
          <cell r="AA540" t="str">
            <v>NA</v>
          </cell>
        </row>
        <row r="541">
          <cell r="A541">
            <v>45131</v>
          </cell>
          <cell r="B541" t="str">
            <v>A2</v>
          </cell>
          <cell r="C541">
            <v>2</v>
          </cell>
          <cell r="D541">
            <v>1</v>
          </cell>
          <cell r="E541" t="str">
            <v>ARIS.A2.Aim1.Bin2.RB</v>
          </cell>
          <cell r="F541">
            <v>3</v>
          </cell>
          <cell r="G541" t="str">
            <v>Unweighted</v>
          </cell>
          <cell r="H541" t="str">
            <v>N</v>
          </cell>
          <cell r="I541" t="str">
            <v>Y</v>
          </cell>
          <cell r="J541">
            <v>125</v>
          </cell>
          <cell r="K541">
            <v>1</v>
          </cell>
          <cell r="L541">
            <v>0.77529999999999999</v>
          </cell>
          <cell r="M541">
            <v>30</v>
          </cell>
          <cell r="N541">
            <v>7.1</v>
          </cell>
          <cell r="O541">
            <v>0.22470000000000001</v>
          </cell>
          <cell r="P541">
            <v>0.1411</v>
          </cell>
          <cell r="Q541">
            <v>8.3599999999999994E-2</v>
          </cell>
          <cell r="R541" t="str">
            <v>NA</v>
          </cell>
          <cell r="S541" t="str">
            <v>NA</v>
          </cell>
          <cell r="T541">
            <v>59.5</v>
          </cell>
          <cell r="U541">
            <v>4.8</v>
          </cell>
          <cell r="V541">
            <v>74.8</v>
          </cell>
          <cell r="W541">
            <v>7.6</v>
          </cell>
          <cell r="X541" t="str">
            <v>NA</v>
          </cell>
          <cell r="Y541" t="str">
            <v>NA</v>
          </cell>
          <cell r="Z541" t="str">
            <v>NA</v>
          </cell>
          <cell r="AA541" t="str">
            <v>NA</v>
          </cell>
        </row>
        <row r="542">
          <cell r="A542">
            <v>45131</v>
          </cell>
          <cell r="B542" t="str">
            <v>A2</v>
          </cell>
          <cell r="C542">
            <v>3</v>
          </cell>
          <cell r="D542">
            <v>1</v>
          </cell>
          <cell r="E542" t="str">
            <v>ARIS.A2.Aim1.Bin3.RB</v>
          </cell>
          <cell r="F542">
            <v>3</v>
          </cell>
          <cell r="G542" t="str">
            <v>Unweighted</v>
          </cell>
          <cell r="H542" t="str">
            <v>N</v>
          </cell>
          <cell r="I542" t="str">
            <v>Y</v>
          </cell>
          <cell r="J542">
            <v>110</v>
          </cell>
          <cell r="K542">
            <v>1</v>
          </cell>
          <cell r="L542">
            <v>0.6169</v>
          </cell>
          <cell r="M542">
            <v>23.7</v>
          </cell>
          <cell r="N542">
            <v>17.8</v>
          </cell>
          <cell r="O542">
            <v>0.3831</v>
          </cell>
          <cell r="P542">
            <v>5.4399999999999997E-2</v>
          </cell>
          <cell r="Q542">
            <v>0.32869999999999999</v>
          </cell>
          <cell r="R542" t="str">
            <v>NA</v>
          </cell>
          <cell r="S542" t="str">
            <v>NA</v>
          </cell>
          <cell r="T542">
            <v>59.5</v>
          </cell>
          <cell r="U542">
            <v>4.8</v>
          </cell>
          <cell r="V542">
            <v>74.8</v>
          </cell>
          <cell r="W542">
            <v>7.6</v>
          </cell>
          <cell r="X542" t="str">
            <v>NA</v>
          </cell>
          <cell r="Y542" t="str">
            <v>NA</v>
          </cell>
          <cell r="Z542" t="str">
            <v>NA</v>
          </cell>
          <cell r="AA542" t="str">
            <v>NA</v>
          </cell>
        </row>
        <row r="543">
          <cell r="A543">
            <v>45131</v>
          </cell>
          <cell r="B543" t="str">
            <v>A2</v>
          </cell>
          <cell r="C543">
            <v>4</v>
          </cell>
          <cell r="D543">
            <v>1</v>
          </cell>
          <cell r="E543" t="str">
            <v>ARIS.A2.Aim1.Bin4.RB</v>
          </cell>
          <cell r="F543">
            <v>3</v>
          </cell>
          <cell r="G543" t="str">
            <v>Unweighted</v>
          </cell>
          <cell r="H543" t="str">
            <v>N</v>
          </cell>
          <cell r="I543" t="str">
            <v>Y</v>
          </cell>
          <cell r="J543">
            <v>110</v>
          </cell>
          <cell r="K543">
            <v>1</v>
          </cell>
          <cell r="L543">
            <v>0.6169</v>
          </cell>
          <cell r="M543">
            <v>23.7</v>
          </cell>
          <cell r="N543">
            <v>17.8</v>
          </cell>
          <cell r="O543">
            <v>0.3831</v>
          </cell>
          <cell r="P543">
            <v>5.4399999999999997E-2</v>
          </cell>
          <cell r="Q543">
            <v>0.32869999999999999</v>
          </cell>
          <cell r="R543" t="str">
            <v>NA</v>
          </cell>
          <cell r="S543" t="str">
            <v>NA</v>
          </cell>
          <cell r="T543">
            <v>59.5</v>
          </cell>
          <cell r="U543">
            <v>4.8</v>
          </cell>
          <cell r="V543">
            <v>74.8</v>
          </cell>
          <cell r="W543">
            <v>7.6</v>
          </cell>
          <cell r="X543" t="str">
            <v>NA</v>
          </cell>
          <cell r="Y543" t="str">
            <v>NA</v>
          </cell>
          <cell r="Z543" t="str">
            <v>NA</v>
          </cell>
          <cell r="AA543" t="str">
            <v>NA</v>
          </cell>
        </row>
        <row r="544">
          <cell r="A544">
            <v>45131</v>
          </cell>
          <cell r="B544" t="str">
            <v>A2</v>
          </cell>
          <cell r="C544">
            <v>1</v>
          </cell>
          <cell r="D544">
            <v>1</v>
          </cell>
          <cell r="E544" t="str">
            <v>ARIS.A2.Aim1.Bin1.RB</v>
          </cell>
          <cell r="F544">
            <v>3</v>
          </cell>
          <cell r="G544" t="str">
            <v>SplineDFA</v>
          </cell>
          <cell r="H544" t="str">
            <v>Y</v>
          </cell>
          <cell r="I544" t="str">
            <v>N</v>
          </cell>
          <cell r="J544">
            <v>117</v>
          </cell>
          <cell r="K544">
            <v>1</v>
          </cell>
          <cell r="L544">
            <v>0.8387</v>
          </cell>
          <cell r="M544">
            <v>23.7</v>
          </cell>
          <cell r="N544">
            <v>2.7</v>
          </cell>
          <cell r="O544">
            <v>0.1613</v>
          </cell>
          <cell r="P544">
            <v>7.5499999999999998E-2</v>
          </cell>
          <cell r="Q544">
            <v>8.5800000000000001E-2</v>
          </cell>
          <cell r="R544" t="str">
            <v>NA</v>
          </cell>
          <cell r="S544" t="str">
            <v>NA</v>
          </cell>
          <cell r="T544">
            <v>59.5</v>
          </cell>
          <cell r="U544">
            <v>4.8</v>
          </cell>
          <cell r="V544">
            <v>74.8</v>
          </cell>
          <cell r="W544">
            <v>7.6</v>
          </cell>
          <cell r="X544" t="str">
            <v>NA</v>
          </cell>
          <cell r="Y544" t="str">
            <v>NA</v>
          </cell>
          <cell r="Z544" t="str">
            <v>NA</v>
          </cell>
          <cell r="AA544" t="str">
            <v>NA</v>
          </cell>
        </row>
        <row r="545">
          <cell r="A545">
            <v>45131</v>
          </cell>
          <cell r="B545" t="str">
            <v>A2</v>
          </cell>
          <cell r="C545">
            <v>2</v>
          </cell>
          <cell r="D545">
            <v>1</v>
          </cell>
          <cell r="E545" t="str">
            <v>ARIS.A2.Aim1.Bin2.RB</v>
          </cell>
          <cell r="F545">
            <v>3</v>
          </cell>
          <cell r="G545" t="str">
            <v>SplineDFA</v>
          </cell>
          <cell r="H545" t="str">
            <v>Y</v>
          </cell>
          <cell r="I545" t="str">
            <v>N</v>
          </cell>
          <cell r="J545">
            <v>125</v>
          </cell>
          <cell r="K545">
            <v>1</v>
          </cell>
          <cell r="L545">
            <v>0.5373</v>
          </cell>
          <cell r="M545">
            <v>23.7</v>
          </cell>
          <cell r="N545">
            <v>2.7</v>
          </cell>
          <cell r="O545">
            <v>0.4627</v>
          </cell>
          <cell r="P545">
            <v>0.36580000000000001</v>
          </cell>
          <cell r="Q545">
            <v>9.69E-2</v>
          </cell>
          <cell r="R545" t="str">
            <v>NA</v>
          </cell>
          <cell r="S545" t="str">
            <v>NA</v>
          </cell>
          <cell r="T545">
            <v>59.5</v>
          </cell>
          <cell r="U545">
            <v>4.8</v>
          </cell>
          <cell r="V545">
            <v>74.8</v>
          </cell>
          <cell r="W545">
            <v>7.6</v>
          </cell>
          <cell r="X545" t="str">
            <v>NA</v>
          </cell>
          <cell r="Y545" t="str">
            <v>NA</v>
          </cell>
          <cell r="Z545" t="str">
            <v>NA</v>
          </cell>
          <cell r="AA545" t="str">
            <v>NA</v>
          </cell>
        </row>
        <row r="546">
          <cell r="A546">
            <v>45131</v>
          </cell>
          <cell r="B546" t="str">
            <v>A2</v>
          </cell>
          <cell r="C546">
            <v>3</v>
          </cell>
          <cell r="D546">
            <v>1</v>
          </cell>
          <cell r="E546" t="str">
            <v>ARIS.A2.Aim1.Bin3.RB</v>
          </cell>
          <cell r="F546">
            <v>3</v>
          </cell>
          <cell r="G546" t="str">
            <v>SplineDFA</v>
          </cell>
          <cell r="H546" t="str">
            <v>Y</v>
          </cell>
          <cell r="I546" t="str">
            <v>N</v>
          </cell>
          <cell r="J546">
            <v>110</v>
          </cell>
          <cell r="K546">
            <v>1</v>
          </cell>
          <cell r="L546">
            <v>0.33050000000000002</v>
          </cell>
          <cell r="M546">
            <v>23.7</v>
          </cell>
          <cell r="N546">
            <v>2.7</v>
          </cell>
          <cell r="O546">
            <v>0.66949999999999998</v>
          </cell>
          <cell r="P546">
            <v>0.37019999999999997</v>
          </cell>
          <cell r="Q546">
            <v>0.29930000000000001</v>
          </cell>
          <cell r="R546" t="str">
            <v>NA</v>
          </cell>
          <cell r="S546" t="str">
            <v>NA</v>
          </cell>
          <cell r="T546">
            <v>59.5</v>
          </cell>
          <cell r="U546">
            <v>4.8</v>
          </cell>
          <cell r="V546">
            <v>74.8</v>
          </cell>
          <cell r="W546">
            <v>7.6</v>
          </cell>
          <cell r="X546" t="str">
            <v>NA</v>
          </cell>
          <cell r="Y546" t="str">
            <v>NA</v>
          </cell>
          <cell r="Z546" t="str">
            <v>NA</v>
          </cell>
          <cell r="AA546" t="str">
            <v>NA</v>
          </cell>
        </row>
        <row r="547">
          <cell r="A547">
            <v>45131</v>
          </cell>
          <cell r="B547" t="str">
            <v>A2</v>
          </cell>
          <cell r="C547">
            <v>4</v>
          </cell>
          <cell r="D547">
            <v>1</v>
          </cell>
          <cell r="E547" t="str">
            <v>ARIS.A2.Aim1.Bin4.RB</v>
          </cell>
          <cell r="F547">
            <v>3</v>
          </cell>
          <cell r="G547" t="str">
            <v>SplineDFA</v>
          </cell>
          <cell r="H547" t="str">
            <v>Y</v>
          </cell>
          <cell r="I547" t="str">
            <v>N</v>
          </cell>
          <cell r="J547">
            <v>110</v>
          </cell>
          <cell r="K547">
            <v>1</v>
          </cell>
          <cell r="L547">
            <v>0.33050000000000002</v>
          </cell>
          <cell r="M547">
            <v>23.7</v>
          </cell>
          <cell r="N547">
            <v>2.7</v>
          </cell>
          <cell r="O547">
            <v>0.66949999999999998</v>
          </cell>
          <cell r="P547">
            <v>0.37019999999999997</v>
          </cell>
          <cell r="Q547">
            <v>0.29930000000000001</v>
          </cell>
          <cell r="R547" t="str">
            <v>NA</v>
          </cell>
          <cell r="S547" t="str">
            <v>NA</v>
          </cell>
          <cell r="T547">
            <v>59.5</v>
          </cell>
          <cell r="U547">
            <v>4.8</v>
          </cell>
          <cell r="V547">
            <v>74.8</v>
          </cell>
          <cell r="W547">
            <v>7.6</v>
          </cell>
          <cell r="X547" t="str">
            <v>NA</v>
          </cell>
          <cell r="Y547" t="str">
            <v>NA</v>
          </cell>
          <cell r="Z547" t="str">
            <v>NA</v>
          </cell>
          <cell r="AA547" t="str">
            <v>NA</v>
          </cell>
        </row>
        <row r="548">
          <cell r="A548">
            <v>45131</v>
          </cell>
          <cell r="B548" t="str">
            <v>A1</v>
          </cell>
          <cell r="C548">
            <v>1</v>
          </cell>
          <cell r="D548">
            <v>1</v>
          </cell>
          <cell r="E548" t="str">
            <v>ARIS.A1.Aim1.Bin1.LB</v>
          </cell>
          <cell r="F548">
            <v>4</v>
          </cell>
          <cell r="G548" t="str">
            <v>Unweighted</v>
          </cell>
          <cell r="H548" t="str">
            <v>N</v>
          </cell>
          <cell r="I548" t="str">
            <v>N</v>
          </cell>
          <cell r="J548">
            <v>114</v>
          </cell>
          <cell r="K548">
            <v>1</v>
          </cell>
          <cell r="L548">
            <v>0.69830000000000003</v>
          </cell>
          <cell r="M548">
            <v>19.899999999999999</v>
          </cell>
          <cell r="N548">
            <v>6.1</v>
          </cell>
          <cell r="O548">
            <v>0.30170000000000002</v>
          </cell>
          <cell r="P548">
            <v>0.16950000000000001</v>
          </cell>
          <cell r="Q548">
            <v>2.3E-3</v>
          </cell>
          <cell r="R548" t="str">
            <v>NA</v>
          </cell>
          <cell r="S548">
            <v>0.12989999999999999</v>
          </cell>
          <cell r="T548">
            <v>59.5</v>
          </cell>
          <cell r="U548">
            <v>4.8</v>
          </cell>
          <cell r="V548">
            <v>74.8</v>
          </cell>
          <cell r="W548">
            <v>7.6</v>
          </cell>
          <cell r="X548" t="str">
            <v>NA</v>
          </cell>
          <cell r="Y548" t="str">
            <v>NA</v>
          </cell>
          <cell r="Z548">
            <v>39.1</v>
          </cell>
          <cell r="AA548">
            <v>3.5</v>
          </cell>
        </row>
        <row r="549">
          <cell r="A549">
            <v>45131</v>
          </cell>
          <cell r="B549" t="str">
            <v>A1</v>
          </cell>
          <cell r="C549">
            <v>1</v>
          </cell>
          <cell r="D549">
            <v>2</v>
          </cell>
          <cell r="E549" t="str">
            <v>ARIS.A1.Aim2.Bin1.LB</v>
          </cell>
          <cell r="F549">
            <v>4</v>
          </cell>
          <cell r="G549" t="str">
            <v>Unweighted</v>
          </cell>
          <cell r="H549" t="str">
            <v>N</v>
          </cell>
          <cell r="I549" t="str">
            <v>N</v>
          </cell>
          <cell r="J549">
            <v>160</v>
          </cell>
          <cell r="K549">
            <v>1</v>
          </cell>
          <cell r="L549">
            <v>0.6492</v>
          </cell>
          <cell r="M549">
            <v>15.5</v>
          </cell>
          <cell r="N549">
            <v>5.4</v>
          </cell>
          <cell r="O549">
            <v>0.3508</v>
          </cell>
          <cell r="P549">
            <v>0.3024</v>
          </cell>
          <cell r="Q549">
            <v>0</v>
          </cell>
          <cell r="R549" t="str">
            <v>NA</v>
          </cell>
          <cell r="S549">
            <v>4.8399999999999999E-2</v>
          </cell>
          <cell r="T549">
            <v>59.5</v>
          </cell>
          <cell r="U549">
            <v>4.8</v>
          </cell>
          <cell r="V549">
            <v>74.8</v>
          </cell>
          <cell r="W549">
            <v>7.6</v>
          </cell>
          <cell r="X549" t="str">
            <v>NA</v>
          </cell>
          <cell r="Y549" t="str">
            <v>NA</v>
          </cell>
          <cell r="Z549">
            <v>39.1</v>
          </cell>
          <cell r="AA549">
            <v>3.5</v>
          </cell>
        </row>
        <row r="550">
          <cell r="A550">
            <v>45131</v>
          </cell>
          <cell r="B550" t="str">
            <v>A1</v>
          </cell>
          <cell r="C550">
            <v>1</v>
          </cell>
          <cell r="D550" t="str">
            <v>1&amp;2</v>
          </cell>
          <cell r="E550" t="str">
            <v>ARIS.A1.Aim1&amp;Aim2.Bin1.LB</v>
          </cell>
          <cell r="F550">
            <v>4</v>
          </cell>
          <cell r="G550" t="str">
            <v>Unweighted</v>
          </cell>
          <cell r="H550" t="str">
            <v>N</v>
          </cell>
          <cell r="I550" t="str">
            <v>N</v>
          </cell>
          <cell r="J550">
            <v>274</v>
          </cell>
          <cell r="K550">
            <v>1</v>
          </cell>
          <cell r="L550">
            <v>0.66169999999999995</v>
          </cell>
          <cell r="M550">
            <v>17.100000000000001</v>
          </cell>
          <cell r="N550">
            <v>5.8</v>
          </cell>
          <cell r="O550">
            <v>0.33829999999999999</v>
          </cell>
          <cell r="P550">
            <v>0.2437</v>
          </cell>
          <cell r="Q550">
            <v>0</v>
          </cell>
          <cell r="R550" t="str">
            <v>NA</v>
          </cell>
          <cell r="S550">
            <v>9.4600000000000004E-2</v>
          </cell>
          <cell r="T550">
            <v>59.5</v>
          </cell>
          <cell r="U550">
            <v>4.8</v>
          </cell>
          <cell r="V550">
            <v>74.8</v>
          </cell>
          <cell r="W550">
            <v>7.6</v>
          </cell>
          <cell r="X550" t="str">
            <v>NA</v>
          </cell>
          <cell r="Y550" t="str">
            <v>NA</v>
          </cell>
          <cell r="Z550">
            <v>39.1</v>
          </cell>
          <cell r="AA550">
            <v>3.5</v>
          </cell>
        </row>
        <row r="551">
          <cell r="A551">
            <v>45131</v>
          </cell>
          <cell r="B551" t="str">
            <v>A1</v>
          </cell>
          <cell r="C551">
            <v>2</v>
          </cell>
          <cell r="D551">
            <v>3</v>
          </cell>
          <cell r="E551" t="str">
            <v>ARIS.A1.Aim3.Bin2.LB</v>
          </cell>
          <cell r="F551">
            <v>4</v>
          </cell>
          <cell r="G551" t="str">
            <v>Unweighted</v>
          </cell>
          <cell r="H551" t="str">
            <v>N</v>
          </cell>
          <cell r="I551" t="str">
            <v>N</v>
          </cell>
          <cell r="J551">
            <v>149</v>
          </cell>
          <cell r="K551">
            <v>1</v>
          </cell>
          <cell r="L551">
            <v>0.36780000000000002</v>
          </cell>
          <cell r="M551">
            <v>25.6</v>
          </cell>
          <cell r="N551">
            <v>5.5</v>
          </cell>
          <cell r="O551">
            <v>0.63219999999999998</v>
          </cell>
          <cell r="P551">
            <v>0.32969999999999999</v>
          </cell>
          <cell r="Q551">
            <v>0.21379999999999999</v>
          </cell>
          <cell r="R551" t="str">
            <v>NA</v>
          </cell>
          <cell r="S551">
            <v>8.8700000000000001E-2</v>
          </cell>
          <cell r="T551">
            <v>59.5</v>
          </cell>
          <cell r="U551">
            <v>4.8</v>
          </cell>
          <cell r="V551">
            <v>74.8</v>
          </cell>
          <cell r="W551">
            <v>7.6</v>
          </cell>
          <cell r="X551" t="str">
            <v>NA</v>
          </cell>
          <cell r="Y551" t="str">
            <v>NA</v>
          </cell>
          <cell r="Z551">
            <v>39.1</v>
          </cell>
          <cell r="AA551">
            <v>3.5</v>
          </cell>
        </row>
        <row r="552">
          <cell r="A552">
            <v>45131</v>
          </cell>
          <cell r="B552" t="str">
            <v>A1</v>
          </cell>
          <cell r="C552">
            <v>3</v>
          </cell>
          <cell r="D552">
            <v>3</v>
          </cell>
          <cell r="E552" t="str">
            <v>ARIS.A1.Aim3.Bin3.LB</v>
          </cell>
          <cell r="F552">
            <v>4</v>
          </cell>
          <cell r="G552" t="str">
            <v>Unweighted</v>
          </cell>
          <cell r="H552" t="str">
            <v>N</v>
          </cell>
          <cell r="I552" t="str">
            <v>N</v>
          </cell>
          <cell r="J552">
            <v>117</v>
          </cell>
          <cell r="K552">
            <v>1.0001</v>
          </cell>
          <cell r="L552">
            <v>4.3900000000000002E-2</v>
          </cell>
          <cell r="M552">
            <v>28.8</v>
          </cell>
          <cell r="N552">
            <v>4</v>
          </cell>
          <cell r="O552">
            <v>0.95620000000000005</v>
          </cell>
          <cell r="P552">
            <v>0.21190000000000001</v>
          </cell>
          <cell r="Q552">
            <v>0.57250000000000001</v>
          </cell>
          <cell r="R552" t="str">
            <v>NA</v>
          </cell>
          <cell r="S552">
            <v>0.17180000000000001</v>
          </cell>
          <cell r="T552">
            <v>59.5</v>
          </cell>
          <cell r="U552">
            <v>4.8</v>
          </cell>
          <cell r="V552">
            <v>74.8</v>
          </cell>
          <cell r="W552">
            <v>7.6</v>
          </cell>
          <cell r="X552" t="str">
            <v>NA</v>
          </cell>
          <cell r="Y552" t="str">
            <v>NA</v>
          </cell>
          <cell r="Z552">
            <v>39.1</v>
          </cell>
          <cell r="AA552">
            <v>3.5</v>
          </cell>
        </row>
        <row r="553">
          <cell r="A553">
            <v>45131</v>
          </cell>
          <cell r="B553" t="str">
            <v>A1</v>
          </cell>
          <cell r="C553">
            <v>4</v>
          </cell>
          <cell r="D553">
            <v>3</v>
          </cell>
          <cell r="E553" t="str">
            <v>ARIS.A1.Aim3.Bin4.LB</v>
          </cell>
          <cell r="F553">
            <v>4</v>
          </cell>
          <cell r="G553" t="str">
            <v>Unweighted</v>
          </cell>
          <cell r="H553" t="str">
            <v>N</v>
          </cell>
          <cell r="I553" t="str">
            <v>N</v>
          </cell>
          <cell r="J553">
            <v>117</v>
          </cell>
          <cell r="K553">
            <v>1.0001</v>
          </cell>
          <cell r="L553">
            <v>4.3900000000000002E-2</v>
          </cell>
          <cell r="M553">
            <v>28.8</v>
          </cell>
          <cell r="N553">
            <v>4</v>
          </cell>
          <cell r="O553">
            <v>0.95620000000000005</v>
          </cell>
          <cell r="P553">
            <v>0.21190000000000001</v>
          </cell>
          <cell r="Q553">
            <v>0.57250000000000001</v>
          </cell>
          <cell r="R553" t="str">
            <v>NA</v>
          </cell>
          <cell r="S553">
            <v>0.17180000000000001</v>
          </cell>
          <cell r="T553">
            <v>59.5</v>
          </cell>
          <cell r="U553">
            <v>4.8</v>
          </cell>
          <cell r="V553">
            <v>74.8</v>
          </cell>
          <cell r="W553">
            <v>7.6</v>
          </cell>
          <cell r="X553" t="str">
            <v>NA</v>
          </cell>
          <cell r="Y553" t="str">
            <v>NA</v>
          </cell>
          <cell r="Z553">
            <v>39.1</v>
          </cell>
          <cell r="AA553">
            <v>3.5</v>
          </cell>
        </row>
        <row r="554">
          <cell r="A554">
            <v>45131</v>
          </cell>
          <cell r="B554" t="str">
            <v>A2</v>
          </cell>
          <cell r="C554">
            <v>1</v>
          </cell>
          <cell r="D554">
            <v>1</v>
          </cell>
          <cell r="E554" t="str">
            <v>ARIS.A2.Aim1.Bin1.RB</v>
          </cell>
          <cell r="F554">
            <v>4</v>
          </cell>
          <cell r="G554" t="str">
            <v>Unweighted</v>
          </cell>
          <cell r="H554" t="str">
            <v>N</v>
          </cell>
          <cell r="I554" t="str">
            <v>N</v>
          </cell>
          <cell r="J554">
            <v>117</v>
          </cell>
          <cell r="K554">
            <v>0.99990000000000001</v>
          </cell>
          <cell r="L554">
            <v>0.80549999999999999</v>
          </cell>
          <cell r="M554">
            <v>18.100000000000001</v>
          </cell>
          <cell r="N554">
            <v>6.3</v>
          </cell>
          <cell r="O554">
            <v>0.19439999999999999</v>
          </cell>
          <cell r="P554">
            <v>4.7300000000000002E-2</v>
          </cell>
          <cell r="Q554">
            <v>5.6800000000000003E-2</v>
          </cell>
          <cell r="R554" t="str">
            <v>NA</v>
          </cell>
          <cell r="S554">
            <v>9.0300000000000005E-2</v>
          </cell>
          <cell r="T554">
            <v>59.5</v>
          </cell>
          <cell r="U554">
            <v>4.8</v>
          </cell>
          <cell r="V554">
            <v>74.8</v>
          </cell>
          <cell r="W554">
            <v>7.6</v>
          </cell>
          <cell r="X554" t="str">
            <v>NA</v>
          </cell>
          <cell r="Y554" t="str">
            <v>NA</v>
          </cell>
          <cell r="Z554">
            <v>39.1</v>
          </cell>
          <cell r="AA554">
            <v>3.5</v>
          </cell>
        </row>
        <row r="555">
          <cell r="A555">
            <v>45131</v>
          </cell>
          <cell r="B555" t="str">
            <v>A2</v>
          </cell>
          <cell r="C555">
            <v>2</v>
          </cell>
          <cell r="D555">
            <v>1</v>
          </cell>
          <cell r="E555" t="str">
            <v>ARIS.A2.Aim1.Bin2.RB</v>
          </cell>
          <cell r="F555">
            <v>4</v>
          </cell>
          <cell r="G555" t="str">
            <v>Unweighted</v>
          </cell>
          <cell r="H555" t="str">
            <v>N</v>
          </cell>
          <cell r="I555" t="str">
            <v>N</v>
          </cell>
          <cell r="J555">
            <v>125</v>
          </cell>
          <cell r="K555">
            <v>1.0001</v>
          </cell>
          <cell r="L555">
            <v>0.52559999999999996</v>
          </cell>
          <cell r="M555">
            <v>25.9</v>
          </cell>
          <cell r="N555">
            <v>3.8</v>
          </cell>
          <cell r="O555">
            <v>0.47449999999999998</v>
          </cell>
          <cell r="P555">
            <v>0.14410000000000001</v>
          </cell>
          <cell r="Q555">
            <v>8.3299999999999999E-2</v>
          </cell>
          <cell r="R555" t="str">
            <v>NA</v>
          </cell>
          <cell r="S555">
            <v>0.24709999999999999</v>
          </cell>
          <cell r="T555">
            <v>59.5</v>
          </cell>
          <cell r="U555">
            <v>4.8</v>
          </cell>
          <cell r="V555">
            <v>74.8</v>
          </cell>
          <cell r="W555">
            <v>7.6</v>
          </cell>
          <cell r="X555" t="str">
            <v>NA</v>
          </cell>
          <cell r="Y555" t="str">
            <v>NA</v>
          </cell>
          <cell r="Z555">
            <v>39.1</v>
          </cell>
          <cell r="AA555">
            <v>3.5</v>
          </cell>
        </row>
        <row r="556">
          <cell r="A556">
            <v>45131</v>
          </cell>
          <cell r="B556" t="str">
            <v>A2</v>
          </cell>
          <cell r="C556">
            <v>3</v>
          </cell>
          <cell r="D556">
            <v>1</v>
          </cell>
          <cell r="E556" t="str">
            <v>ARIS.A2.Aim1.Bin3.RB</v>
          </cell>
          <cell r="F556">
            <v>4</v>
          </cell>
          <cell r="G556" t="str">
            <v>Unweighted</v>
          </cell>
          <cell r="H556" t="str">
            <v>N</v>
          </cell>
          <cell r="I556" t="str">
            <v>N</v>
          </cell>
          <cell r="J556">
            <v>110</v>
          </cell>
          <cell r="K556">
            <v>1</v>
          </cell>
          <cell r="L556">
            <v>0.22259999999999999</v>
          </cell>
          <cell r="M556">
            <v>26</v>
          </cell>
          <cell r="N556">
            <v>5.0999999999999996</v>
          </cell>
          <cell r="O556">
            <v>0.77739999999999998</v>
          </cell>
          <cell r="P556">
            <v>0.13619999999999999</v>
          </cell>
          <cell r="Q556">
            <v>0.31759999999999999</v>
          </cell>
          <cell r="R556" t="str">
            <v>NA</v>
          </cell>
          <cell r="S556">
            <v>0.3236</v>
          </cell>
          <cell r="T556">
            <v>59.5</v>
          </cell>
          <cell r="U556">
            <v>4.8</v>
          </cell>
          <cell r="V556">
            <v>74.8</v>
          </cell>
          <cell r="W556">
            <v>7.6</v>
          </cell>
          <cell r="X556" t="str">
            <v>NA</v>
          </cell>
          <cell r="Y556" t="str">
            <v>NA</v>
          </cell>
          <cell r="Z556">
            <v>39.1</v>
          </cell>
          <cell r="AA556">
            <v>3.5</v>
          </cell>
        </row>
        <row r="557">
          <cell r="A557">
            <v>45131</v>
          </cell>
          <cell r="B557" t="str">
            <v>A2</v>
          </cell>
          <cell r="C557">
            <v>4</v>
          </cell>
          <cell r="D557">
            <v>1</v>
          </cell>
          <cell r="E557" t="str">
            <v>ARIS.A2.Aim1.Bin4.RB</v>
          </cell>
          <cell r="F557">
            <v>4</v>
          </cell>
          <cell r="G557" t="str">
            <v>Unweighted</v>
          </cell>
          <cell r="H557" t="str">
            <v>N</v>
          </cell>
          <cell r="I557" t="str">
            <v>N</v>
          </cell>
          <cell r="J557">
            <v>110</v>
          </cell>
          <cell r="K557">
            <v>1</v>
          </cell>
          <cell r="L557">
            <v>0.22259999999999999</v>
          </cell>
          <cell r="M557">
            <v>26</v>
          </cell>
          <cell r="N557">
            <v>5.0999999999999996</v>
          </cell>
          <cell r="O557">
            <v>0.77739999999999998</v>
          </cell>
          <cell r="P557">
            <v>0.13619999999999999</v>
          </cell>
          <cell r="Q557">
            <v>0.31759999999999999</v>
          </cell>
          <cell r="R557" t="str">
            <v>NA</v>
          </cell>
          <cell r="S557">
            <v>0.3236</v>
          </cell>
          <cell r="T557">
            <v>59.5</v>
          </cell>
          <cell r="U557">
            <v>4.8</v>
          </cell>
          <cell r="V557">
            <v>74.8</v>
          </cell>
          <cell r="W557">
            <v>7.6</v>
          </cell>
          <cell r="X557" t="str">
            <v>NA</v>
          </cell>
          <cell r="Y557" t="str">
            <v>NA</v>
          </cell>
          <cell r="Z557">
            <v>39.1</v>
          </cell>
          <cell r="AA557">
            <v>3.5</v>
          </cell>
        </row>
        <row r="558">
          <cell r="A558">
            <v>45132</v>
          </cell>
          <cell r="B558" t="str">
            <v>A1</v>
          </cell>
          <cell r="C558">
            <v>1</v>
          </cell>
          <cell r="D558">
            <v>1</v>
          </cell>
          <cell r="E558" t="str">
            <v>ARIS.A1.Aim1.Bin1.LB</v>
          </cell>
          <cell r="F558">
            <v>3</v>
          </cell>
          <cell r="G558" t="str">
            <v>SplineDFA</v>
          </cell>
          <cell r="H558" t="str">
            <v>Y</v>
          </cell>
          <cell r="I558" t="str">
            <v>N</v>
          </cell>
          <cell r="J558">
            <v>75</v>
          </cell>
          <cell r="K558">
            <v>1</v>
          </cell>
          <cell r="L558">
            <v>0.75170000000000003</v>
          </cell>
          <cell r="M558">
            <v>23.7</v>
          </cell>
          <cell r="N558">
            <v>2.7</v>
          </cell>
          <cell r="O558">
            <v>0.24829999999999999</v>
          </cell>
          <cell r="P558">
            <v>0.2424</v>
          </cell>
          <cell r="Q558">
            <v>5.8999999999999999E-3</v>
          </cell>
          <cell r="R558" t="str">
            <v>NA</v>
          </cell>
          <cell r="S558" t="str">
            <v>NA</v>
          </cell>
          <cell r="T558">
            <v>59.5</v>
          </cell>
          <cell r="U558">
            <v>4.8</v>
          </cell>
          <cell r="V558">
            <v>74.8</v>
          </cell>
          <cell r="W558">
            <v>7.6</v>
          </cell>
          <cell r="X558" t="str">
            <v>NA</v>
          </cell>
          <cell r="Y558" t="str">
            <v>NA</v>
          </cell>
          <cell r="Z558" t="str">
            <v>NA</v>
          </cell>
          <cell r="AA558" t="str">
            <v>NA</v>
          </cell>
        </row>
        <row r="559">
          <cell r="A559">
            <v>45132</v>
          </cell>
          <cell r="B559" t="str">
            <v>A1</v>
          </cell>
          <cell r="C559">
            <v>1</v>
          </cell>
          <cell r="D559">
            <v>2</v>
          </cell>
          <cell r="E559" t="str">
            <v>ARIS.A1.Aim2.Bin1.LB</v>
          </cell>
          <cell r="F559">
            <v>3</v>
          </cell>
          <cell r="G559" t="str">
            <v>SplineDFA</v>
          </cell>
          <cell r="H559" t="str">
            <v>Y</v>
          </cell>
          <cell r="I559" t="str">
            <v>N</v>
          </cell>
          <cell r="J559">
            <v>137</v>
          </cell>
          <cell r="K559">
            <v>1</v>
          </cell>
          <cell r="L559">
            <v>0.80320000000000003</v>
          </cell>
          <cell r="M559">
            <v>23.7</v>
          </cell>
          <cell r="N559">
            <v>2.7</v>
          </cell>
          <cell r="O559">
            <v>0.1968</v>
          </cell>
          <cell r="P559">
            <v>0.16619999999999999</v>
          </cell>
          <cell r="Q559">
            <v>3.0599999999999999E-2</v>
          </cell>
          <cell r="R559" t="str">
            <v>NA</v>
          </cell>
          <cell r="S559" t="str">
            <v>NA</v>
          </cell>
          <cell r="T559">
            <v>59.5</v>
          </cell>
          <cell r="U559">
            <v>4.8</v>
          </cell>
          <cell r="V559">
            <v>74.8</v>
          </cell>
          <cell r="W559">
            <v>7.6</v>
          </cell>
          <cell r="X559" t="str">
            <v>NA</v>
          </cell>
          <cell r="Y559" t="str">
            <v>NA</v>
          </cell>
          <cell r="Z559" t="str">
            <v>NA</v>
          </cell>
          <cell r="AA559" t="str">
            <v>NA</v>
          </cell>
        </row>
        <row r="560">
          <cell r="A560">
            <v>45132</v>
          </cell>
          <cell r="B560" t="str">
            <v>A1</v>
          </cell>
          <cell r="C560">
            <v>2</v>
          </cell>
          <cell r="D560">
            <v>3</v>
          </cell>
          <cell r="E560" t="str">
            <v>ARIS.A1.Aim3.Bin2.LB</v>
          </cell>
          <cell r="F560">
            <v>3</v>
          </cell>
          <cell r="G560" t="str">
            <v>SplineDFA</v>
          </cell>
          <cell r="H560" t="str">
            <v>Y</v>
          </cell>
          <cell r="I560" t="str">
            <v>N</v>
          </cell>
          <cell r="J560">
            <v>120</v>
          </cell>
          <cell r="K560">
            <v>1</v>
          </cell>
          <cell r="L560">
            <v>0.42420000000000002</v>
          </cell>
          <cell r="M560">
            <v>23.7</v>
          </cell>
          <cell r="N560">
            <v>2.7</v>
          </cell>
          <cell r="O560">
            <v>0.57579999999999998</v>
          </cell>
          <cell r="P560">
            <v>0.34739999999999999</v>
          </cell>
          <cell r="Q560">
            <v>0.22839999999999999</v>
          </cell>
          <cell r="R560" t="str">
            <v>NA</v>
          </cell>
          <cell r="S560" t="str">
            <v>NA</v>
          </cell>
          <cell r="T560">
            <v>59.5</v>
          </cell>
          <cell r="U560">
            <v>4.8</v>
          </cell>
          <cell r="V560">
            <v>74.8</v>
          </cell>
          <cell r="W560">
            <v>7.6</v>
          </cell>
          <cell r="X560" t="str">
            <v>NA</v>
          </cell>
          <cell r="Y560" t="str">
            <v>NA</v>
          </cell>
          <cell r="Z560" t="str">
            <v>NA</v>
          </cell>
          <cell r="AA560" t="str">
            <v>NA</v>
          </cell>
        </row>
        <row r="561">
          <cell r="A561">
            <v>45132</v>
          </cell>
          <cell r="B561" t="str">
            <v>A1</v>
          </cell>
          <cell r="C561">
            <v>3</v>
          </cell>
          <cell r="D561">
            <v>3</v>
          </cell>
          <cell r="E561" t="str">
            <v>ARIS.A1.Aim3.Bin3.LB</v>
          </cell>
          <cell r="F561">
            <v>3</v>
          </cell>
          <cell r="G561" t="str">
            <v>SplineDFA</v>
          </cell>
          <cell r="H561" t="str">
            <v>Y</v>
          </cell>
          <cell r="I561" t="str">
            <v>N</v>
          </cell>
          <cell r="J561">
            <v>108</v>
          </cell>
          <cell r="K561">
            <v>1</v>
          </cell>
          <cell r="L561">
            <v>0.13980000000000001</v>
          </cell>
          <cell r="M561">
            <v>23.7</v>
          </cell>
          <cell r="N561">
            <v>2.7</v>
          </cell>
          <cell r="O561">
            <v>0.86019999999999996</v>
          </cell>
          <cell r="P561">
            <v>0.29570000000000002</v>
          </cell>
          <cell r="Q561">
            <v>0.5645</v>
          </cell>
          <cell r="R561" t="str">
            <v>NA</v>
          </cell>
          <cell r="S561" t="str">
            <v>NA</v>
          </cell>
          <cell r="T561">
            <v>59.5</v>
          </cell>
          <cell r="U561">
            <v>4.8</v>
          </cell>
          <cell r="V561">
            <v>74.8</v>
          </cell>
          <cell r="W561">
            <v>7.6</v>
          </cell>
          <cell r="X561" t="str">
            <v>NA</v>
          </cell>
          <cell r="Y561" t="str">
            <v>NA</v>
          </cell>
          <cell r="Z561" t="str">
            <v>NA</v>
          </cell>
          <cell r="AA561" t="str">
            <v>NA</v>
          </cell>
        </row>
        <row r="562">
          <cell r="A562">
            <v>45132</v>
          </cell>
          <cell r="B562" t="str">
            <v>A1</v>
          </cell>
          <cell r="C562">
            <v>4</v>
          </cell>
          <cell r="D562">
            <v>3</v>
          </cell>
          <cell r="E562" t="str">
            <v>ARIS.A1.Aim3.Bin4.LB</v>
          </cell>
          <cell r="F562">
            <v>3</v>
          </cell>
          <cell r="G562" t="str">
            <v>SplineDFA</v>
          </cell>
          <cell r="H562" t="str">
            <v>Y</v>
          </cell>
          <cell r="I562" t="str">
            <v>N</v>
          </cell>
          <cell r="J562">
            <v>108</v>
          </cell>
          <cell r="K562">
            <v>1</v>
          </cell>
          <cell r="L562">
            <v>0.13980000000000001</v>
          </cell>
          <cell r="M562">
            <v>23.7</v>
          </cell>
          <cell r="N562">
            <v>2.7</v>
          </cell>
          <cell r="O562">
            <v>0.86019999999999996</v>
          </cell>
          <cell r="P562">
            <v>0.29570000000000002</v>
          </cell>
          <cell r="Q562">
            <v>0.5645</v>
          </cell>
          <cell r="R562" t="str">
            <v>NA</v>
          </cell>
          <cell r="S562" t="str">
            <v>NA</v>
          </cell>
          <cell r="T562">
            <v>59.5</v>
          </cell>
          <cell r="U562">
            <v>4.8</v>
          </cell>
          <cell r="V562">
            <v>74.8</v>
          </cell>
          <cell r="W562">
            <v>7.6</v>
          </cell>
          <cell r="X562" t="str">
            <v>NA</v>
          </cell>
          <cell r="Y562" t="str">
            <v>NA</v>
          </cell>
          <cell r="Z562" t="str">
            <v>NA</v>
          </cell>
          <cell r="AA562" t="str">
            <v>NA</v>
          </cell>
        </row>
        <row r="563">
          <cell r="A563">
            <v>45132</v>
          </cell>
          <cell r="B563" t="str">
            <v>A1</v>
          </cell>
          <cell r="C563">
            <v>1</v>
          </cell>
          <cell r="D563">
            <v>1</v>
          </cell>
          <cell r="E563" t="str">
            <v>ARIS.A1.Aim1.Bin1.LB</v>
          </cell>
          <cell r="F563">
            <v>3</v>
          </cell>
          <cell r="G563" t="str">
            <v>Unweighted</v>
          </cell>
          <cell r="H563" t="str">
            <v>N</v>
          </cell>
          <cell r="I563" t="str">
            <v>Y</v>
          </cell>
          <cell r="J563">
            <v>75</v>
          </cell>
          <cell r="K563">
            <v>1</v>
          </cell>
          <cell r="L563">
            <v>0.77429999999999999</v>
          </cell>
          <cell r="M563">
            <v>19.5</v>
          </cell>
          <cell r="N563">
            <v>7.1</v>
          </cell>
          <cell r="O563">
            <v>0.22570000000000001</v>
          </cell>
          <cell r="P563">
            <v>0.22570000000000001</v>
          </cell>
          <cell r="Q563">
            <v>0</v>
          </cell>
          <cell r="R563" t="str">
            <v>NA</v>
          </cell>
          <cell r="S563" t="str">
            <v>NA</v>
          </cell>
          <cell r="T563">
            <v>59.5</v>
          </cell>
          <cell r="U563">
            <v>4.8</v>
          </cell>
          <cell r="V563">
            <v>74.8</v>
          </cell>
          <cell r="W563">
            <v>7.6</v>
          </cell>
          <cell r="X563" t="str">
            <v>NA</v>
          </cell>
          <cell r="Y563" t="str">
            <v>NA</v>
          </cell>
          <cell r="Z563" t="str">
            <v>NA</v>
          </cell>
          <cell r="AA563" t="str">
            <v>NA</v>
          </cell>
        </row>
        <row r="564">
          <cell r="A564">
            <v>45132</v>
          </cell>
          <cell r="B564" t="str">
            <v>A1</v>
          </cell>
          <cell r="C564">
            <v>1</v>
          </cell>
          <cell r="D564">
            <v>2</v>
          </cell>
          <cell r="E564" t="str">
            <v>ARIS.A1.Aim2.Bin1.LB</v>
          </cell>
          <cell r="F564">
            <v>3</v>
          </cell>
          <cell r="G564" t="str">
            <v>Unweighted</v>
          </cell>
          <cell r="H564" t="str">
            <v>N</v>
          </cell>
          <cell r="I564" t="str">
            <v>Y</v>
          </cell>
          <cell r="J564">
            <v>137</v>
          </cell>
          <cell r="K564">
            <v>1</v>
          </cell>
          <cell r="L564">
            <v>0.78900000000000003</v>
          </cell>
          <cell r="M564">
            <v>17</v>
          </cell>
          <cell r="N564">
            <v>8.6</v>
          </cell>
          <cell r="O564">
            <v>0.21099999999999999</v>
          </cell>
          <cell r="P564">
            <v>0.17979999999999999</v>
          </cell>
          <cell r="Q564">
            <v>3.1199999999999999E-2</v>
          </cell>
          <cell r="R564" t="str">
            <v>NA</v>
          </cell>
          <cell r="S564" t="str">
            <v>NA</v>
          </cell>
          <cell r="T564">
            <v>59.5</v>
          </cell>
          <cell r="U564">
            <v>4.8</v>
          </cell>
          <cell r="V564">
            <v>74.8</v>
          </cell>
          <cell r="W564">
            <v>7.6</v>
          </cell>
          <cell r="X564" t="str">
            <v>NA</v>
          </cell>
          <cell r="Y564" t="str">
            <v>NA</v>
          </cell>
          <cell r="Z564" t="str">
            <v>NA</v>
          </cell>
          <cell r="AA564" t="str">
            <v>NA</v>
          </cell>
        </row>
        <row r="565">
          <cell r="A565">
            <v>45132</v>
          </cell>
          <cell r="B565" t="str">
            <v>A1</v>
          </cell>
          <cell r="C565">
            <v>1</v>
          </cell>
          <cell r="D565" t="str">
            <v>1&amp;2</v>
          </cell>
          <cell r="E565" t="str">
            <v>ARIS.A1.Aim1&amp;Aim2.Bin1.LB</v>
          </cell>
          <cell r="F565">
            <v>3</v>
          </cell>
          <cell r="G565" t="str">
            <v>Unweighted</v>
          </cell>
          <cell r="H565" t="str">
            <v>N</v>
          </cell>
          <cell r="I565" t="str">
            <v>Y</v>
          </cell>
          <cell r="J565">
            <v>212</v>
          </cell>
          <cell r="K565">
            <v>1</v>
          </cell>
          <cell r="L565">
            <v>0.79959999999999998</v>
          </cell>
          <cell r="M565">
            <v>18.7</v>
          </cell>
          <cell r="N565">
            <v>8.4</v>
          </cell>
          <cell r="O565">
            <v>0.20039999999999999</v>
          </cell>
          <cell r="P565">
            <v>0.18029999999999999</v>
          </cell>
          <cell r="Q565">
            <v>2.01E-2</v>
          </cell>
          <cell r="R565" t="str">
            <v>NA</v>
          </cell>
          <cell r="S565" t="str">
            <v>NA</v>
          </cell>
          <cell r="T565">
            <v>59.5</v>
          </cell>
          <cell r="U565">
            <v>4.8</v>
          </cell>
          <cell r="V565">
            <v>74.8</v>
          </cell>
          <cell r="W565">
            <v>7.6</v>
          </cell>
          <cell r="X565" t="str">
            <v>NA</v>
          </cell>
          <cell r="Y565" t="str">
            <v>NA</v>
          </cell>
          <cell r="Z565" t="str">
            <v>NA</v>
          </cell>
          <cell r="AA565" t="str">
            <v>NA</v>
          </cell>
        </row>
        <row r="566">
          <cell r="A566">
            <v>45132</v>
          </cell>
          <cell r="B566" t="str">
            <v>A1</v>
          </cell>
          <cell r="C566">
            <v>2</v>
          </cell>
          <cell r="D566">
            <v>3</v>
          </cell>
          <cell r="E566" t="str">
            <v>ARIS.A1.Aim3.Bin2.LB</v>
          </cell>
          <cell r="F566">
            <v>3</v>
          </cell>
          <cell r="G566" t="str">
            <v>Unweighted</v>
          </cell>
          <cell r="H566" t="str">
            <v>N</v>
          </cell>
          <cell r="I566" t="str">
            <v>Y</v>
          </cell>
          <cell r="J566">
            <v>120</v>
          </cell>
          <cell r="K566">
            <v>1</v>
          </cell>
          <cell r="L566">
            <v>0.55479999999999996</v>
          </cell>
          <cell r="M566">
            <v>23.7</v>
          </cell>
          <cell r="N566">
            <v>11.5</v>
          </cell>
          <cell r="O566">
            <v>0.44519999999999998</v>
          </cell>
          <cell r="P566">
            <v>0.24779999999999999</v>
          </cell>
          <cell r="Q566">
            <v>0.19739999999999999</v>
          </cell>
          <cell r="R566" t="str">
            <v>NA</v>
          </cell>
          <cell r="S566" t="str">
            <v>NA</v>
          </cell>
          <cell r="T566">
            <v>59.5</v>
          </cell>
          <cell r="U566">
            <v>4.8</v>
          </cell>
          <cell r="V566">
            <v>74.8</v>
          </cell>
          <cell r="W566">
            <v>7.6</v>
          </cell>
          <cell r="X566" t="str">
            <v>NA</v>
          </cell>
          <cell r="Y566" t="str">
            <v>NA</v>
          </cell>
          <cell r="Z566" t="str">
            <v>NA</v>
          </cell>
          <cell r="AA566" t="str">
            <v>NA</v>
          </cell>
        </row>
        <row r="567">
          <cell r="A567">
            <v>45132</v>
          </cell>
          <cell r="B567" t="str">
            <v>A1</v>
          </cell>
          <cell r="C567">
            <v>3</v>
          </cell>
          <cell r="D567">
            <v>3</v>
          </cell>
          <cell r="E567" t="str">
            <v>ARIS.A1.Aim3.Bin3.LB</v>
          </cell>
          <cell r="F567">
            <v>3</v>
          </cell>
          <cell r="G567" t="str">
            <v>Unweighted</v>
          </cell>
          <cell r="H567" t="str">
            <v>N</v>
          </cell>
          <cell r="I567" t="str">
            <v>Y</v>
          </cell>
          <cell r="J567">
            <v>108</v>
          </cell>
          <cell r="K567">
            <v>1</v>
          </cell>
          <cell r="L567">
            <v>0.28389999999999999</v>
          </cell>
          <cell r="M567">
            <v>23.7</v>
          </cell>
          <cell r="N567">
            <v>17.3</v>
          </cell>
          <cell r="O567">
            <v>0.71609999999999996</v>
          </cell>
          <cell r="P567">
            <v>0.1115</v>
          </cell>
          <cell r="Q567">
            <v>0.60460000000000003</v>
          </cell>
          <cell r="R567" t="str">
            <v>NA</v>
          </cell>
          <cell r="S567" t="str">
            <v>NA</v>
          </cell>
          <cell r="T567">
            <v>59.5</v>
          </cell>
          <cell r="U567">
            <v>4.8</v>
          </cell>
          <cell r="V567">
            <v>74.8</v>
          </cell>
          <cell r="W567">
            <v>7.6</v>
          </cell>
          <cell r="X567" t="str">
            <v>NA</v>
          </cell>
          <cell r="Y567" t="str">
            <v>NA</v>
          </cell>
          <cell r="Z567" t="str">
            <v>NA</v>
          </cell>
          <cell r="AA567" t="str">
            <v>NA</v>
          </cell>
        </row>
        <row r="568">
          <cell r="A568">
            <v>45132</v>
          </cell>
          <cell r="B568" t="str">
            <v>A1</v>
          </cell>
          <cell r="C568">
            <v>4</v>
          </cell>
          <cell r="D568">
            <v>3</v>
          </cell>
          <cell r="E568" t="str">
            <v>ARIS.A1.Aim3.Bin4.LB</v>
          </cell>
          <cell r="F568">
            <v>3</v>
          </cell>
          <cell r="G568" t="str">
            <v>Unweighted</v>
          </cell>
          <cell r="H568" t="str">
            <v>N</v>
          </cell>
          <cell r="I568" t="str">
            <v>Y</v>
          </cell>
          <cell r="J568">
            <v>108</v>
          </cell>
          <cell r="K568">
            <v>1</v>
          </cell>
          <cell r="L568">
            <v>0.28389999999999999</v>
          </cell>
          <cell r="M568">
            <v>23.7</v>
          </cell>
          <cell r="N568">
            <v>17.3</v>
          </cell>
          <cell r="O568">
            <v>0.71609999999999996</v>
          </cell>
          <cell r="P568">
            <v>0.1115</v>
          </cell>
          <cell r="Q568">
            <v>0.60460000000000003</v>
          </cell>
          <cell r="R568" t="str">
            <v>NA</v>
          </cell>
          <cell r="S568" t="str">
            <v>NA</v>
          </cell>
          <cell r="T568">
            <v>59.5</v>
          </cell>
          <cell r="U568">
            <v>4.8</v>
          </cell>
          <cell r="V568">
            <v>74.8</v>
          </cell>
          <cell r="W568">
            <v>7.6</v>
          </cell>
          <cell r="X568" t="str">
            <v>NA</v>
          </cell>
          <cell r="Y568" t="str">
            <v>NA</v>
          </cell>
          <cell r="Z568" t="str">
            <v>NA</v>
          </cell>
          <cell r="AA568" t="str">
            <v>NA</v>
          </cell>
        </row>
        <row r="569">
          <cell r="A569">
            <v>45132</v>
          </cell>
          <cell r="B569" t="str">
            <v>A2</v>
          </cell>
          <cell r="C569">
            <v>1</v>
          </cell>
          <cell r="D569">
            <v>1</v>
          </cell>
          <cell r="E569" t="str">
            <v>ARIS.A2.Aim1.Bin1.RB</v>
          </cell>
          <cell r="F569">
            <v>3</v>
          </cell>
          <cell r="G569" t="str">
            <v>Unweighted</v>
          </cell>
          <cell r="H569" t="str">
            <v>N</v>
          </cell>
          <cell r="I569" t="str">
            <v>Y</v>
          </cell>
          <cell r="J569">
            <v>117</v>
          </cell>
          <cell r="K569">
            <v>1.0001</v>
          </cell>
          <cell r="L569">
            <v>0.89429999999999998</v>
          </cell>
          <cell r="M569">
            <v>20</v>
          </cell>
          <cell r="N569">
            <v>8.6999999999999993</v>
          </cell>
          <cell r="O569">
            <v>0.10580000000000001</v>
          </cell>
          <cell r="P569">
            <v>4.9299999999999997E-2</v>
          </cell>
          <cell r="Q569">
            <v>5.6500000000000002E-2</v>
          </cell>
          <cell r="R569" t="str">
            <v>NA</v>
          </cell>
          <cell r="S569" t="str">
            <v>NA</v>
          </cell>
          <cell r="T569">
            <v>59.5</v>
          </cell>
          <cell r="U569">
            <v>4.8</v>
          </cell>
          <cell r="V569">
            <v>74.8</v>
          </cell>
          <cell r="W569">
            <v>7.6</v>
          </cell>
          <cell r="X569" t="str">
            <v>NA</v>
          </cell>
          <cell r="Y569" t="str">
            <v>NA</v>
          </cell>
          <cell r="Z569" t="str">
            <v>NA</v>
          </cell>
          <cell r="AA569" t="str">
            <v>NA</v>
          </cell>
        </row>
        <row r="570">
          <cell r="A570">
            <v>45132</v>
          </cell>
          <cell r="B570" t="str">
            <v>A2</v>
          </cell>
          <cell r="C570">
            <v>2</v>
          </cell>
          <cell r="D570">
            <v>1</v>
          </cell>
          <cell r="E570" t="str">
            <v>ARIS.A2.Aim1.Bin2.RB</v>
          </cell>
          <cell r="F570">
            <v>3</v>
          </cell>
          <cell r="G570" t="str">
            <v>Unweighted</v>
          </cell>
          <cell r="H570" t="str">
            <v>N</v>
          </cell>
          <cell r="I570" t="str">
            <v>Y</v>
          </cell>
          <cell r="J570">
            <v>125</v>
          </cell>
          <cell r="K570">
            <v>1</v>
          </cell>
          <cell r="L570">
            <v>0.77529999999999999</v>
          </cell>
          <cell r="M570">
            <v>30</v>
          </cell>
          <cell r="N570">
            <v>7.1</v>
          </cell>
          <cell r="O570">
            <v>0.22470000000000001</v>
          </cell>
          <cell r="P570">
            <v>0.1411</v>
          </cell>
          <cell r="Q570">
            <v>8.3599999999999994E-2</v>
          </cell>
          <cell r="R570" t="str">
            <v>NA</v>
          </cell>
          <cell r="S570" t="str">
            <v>NA</v>
          </cell>
          <cell r="T570">
            <v>59.5</v>
          </cell>
          <cell r="U570">
            <v>4.8</v>
          </cell>
          <cell r="V570">
            <v>74.8</v>
          </cell>
          <cell r="W570">
            <v>7.6</v>
          </cell>
          <cell r="X570" t="str">
            <v>NA</v>
          </cell>
          <cell r="Y570" t="str">
            <v>NA</v>
          </cell>
          <cell r="Z570" t="str">
            <v>NA</v>
          </cell>
          <cell r="AA570" t="str">
            <v>NA</v>
          </cell>
        </row>
        <row r="571">
          <cell r="A571">
            <v>45132</v>
          </cell>
          <cell r="B571" t="str">
            <v>A2</v>
          </cell>
          <cell r="C571">
            <v>3</v>
          </cell>
          <cell r="D571">
            <v>1</v>
          </cell>
          <cell r="E571" t="str">
            <v>ARIS.A2.Aim1.Bin3.RB</v>
          </cell>
          <cell r="F571">
            <v>3</v>
          </cell>
          <cell r="G571" t="str">
            <v>Unweighted</v>
          </cell>
          <cell r="H571" t="str">
            <v>N</v>
          </cell>
          <cell r="I571" t="str">
            <v>Y</v>
          </cell>
          <cell r="J571">
            <v>110</v>
          </cell>
          <cell r="K571">
            <v>1</v>
          </cell>
          <cell r="L571">
            <v>0.6169</v>
          </cell>
          <cell r="M571">
            <v>23.7</v>
          </cell>
          <cell r="N571">
            <v>17.8</v>
          </cell>
          <cell r="O571">
            <v>0.3831</v>
          </cell>
          <cell r="P571">
            <v>5.4399999999999997E-2</v>
          </cell>
          <cell r="Q571">
            <v>0.32869999999999999</v>
          </cell>
          <cell r="R571" t="str">
            <v>NA</v>
          </cell>
          <cell r="S571" t="str">
            <v>NA</v>
          </cell>
          <cell r="T571">
            <v>59.5</v>
          </cell>
          <cell r="U571">
            <v>4.8</v>
          </cell>
          <cell r="V571">
            <v>74.8</v>
          </cell>
          <cell r="W571">
            <v>7.6</v>
          </cell>
          <cell r="X571" t="str">
            <v>NA</v>
          </cell>
          <cell r="Y571" t="str">
            <v>NA</v>
          </cell>
          <cell r="Z571" t="str">
            <v>NA</v>
          </cell>
          <cell r="AA571" t="str">
            <v>NA</v>
          </cell>
        </row>
        <row r="572">
          <cell r="A572">
            <v>45132</v>
          </cell>
          <cell r="B572" t="str">
            <v>A2</v>
          </cell>
          <cell r="C572">
            <v>4</v>
          </cell>
          <cell r="D572">
            <v>1</v>
          </cell>
          <cell r="E572" t="str">
            <v>ARIS.A2.Aim1.Bin4.RB</v>
          </cell>
          <cell r="F572">
            <v>3</v>
          </cell>
          <cell r="G572" t="str">
            <v>Unweighted</v>
          </cell>
          <cell r="H572" t="str">
            <v>N</v>
          </cell>
          <cell r="I572" t="str">
            <v>Y</v>
          </cell>
          <cell r="J572">
            <v>110</v>
          </cell>
          <cell r="K572">
            <v>1</v>
          </cell>
          <cell r="L572">
            <v>0.6169</v>
          </cell>
          <cell r="M572">
            <v>23.7</v>
          </cell>
          <cell r="N572">
            <v>17.8</v>
          </cell>
          <cell r="O572">
            <v>0.3831</v>
          </cell>
          <cell r="P572">
            <v>5.4399999999999997E-2</v>
          </cell>
          <cell r="Q572">
            <v>0.32869999999999999</v>
          </cell>
          <cell r="R572" t="str">
            <v>NA</v>
          </cell>
          <cell r="S572" t="str">
            <v>NA</v>
          </cell>
          <cell r="T572">
            <v>59.5</v>
          </cell>
          <cell r="U572">
            <v>4.8</v>
          </cell>
          <cell r="V572">
            <v>74.8</v>
          </cell>
          <cell r="W572">
            <v>7.6</v>
          </cell>
          <cell r="X572" t="str">
            <v>NA</v>
          </cell>
          <cell r="Y572" t="str">
            <v>NA</v>
          </cell>
          <cell r="Z572" t="str">
            <v>NA</v>
          </cell>
          <cell r="AA572" t="str">
            <v>NA</v>
          </cell>
        </row>
        <row r="573">
          <cell r="A573">
            <v>45132</v>
          </cell>
          <cell r="B573" t="str">
            <v>A2</v>
          </cell>
          <cell r="C573">
            <v>1</v>
          </cell>
          <cell r="D573">
            <v>1</v>
          </cell>
          <cell r="E573" t="str">
            <v>ARIS.A2.Aim1.Bin1.RB</v>
          </cell>
          <cell r="F573">
            <v>3</v>
          </cell>
          <cell r="G573" t="str">
            <v>SplineDFA</v>
          </cell>
          <cell r="H573" t="str">
            <v>Y</v>
          </cell>
          <cell r="I573" t="str">
            <v>N</v>
          </cell>
          <cell r="J573">
            <v>117</v>
          </cell>
          <cell r="K573">
            <v>1</v>
          </cell>
          <cell r="L573">
            <v>0.8387</v>
          </cell>
          <cell r="M573">
            <v>23.7</v>
          </cell>
          <cell r="N573">
            <v>2.7</v>
          </cell>
          <cell r="O573">
            <v>0.1613</v>
          </cell>
          <cell r="P573">
            <v>7.5499999999999998E-2</v>
          </cell>
          <cell r="Q573">
            <v>8.5800000000000001E-2</v>
          </cell>
          <cell r="R573" t="str">
            <v>NA</v>
          </cell>
          <cell r="S573" t="str">
            <v>NA</v>
          </cell>
          <cell r="T573">
            <v>59.5</v>
          </cell>
          <cell r="U573">
            <v>4.8</v>
          </cell>
          <cell r="V573">
            <v>74.8</v>
          </cell>
          <cell r="W573">
            <v>7.6</v>
          </cell>
          <cell r="X573" t="str">
            <v>NA</v>
          </cell>
          <cell r="Y573" t="str">
            <v>NA</v>
          </cell>
          <cell r="Z573" t="str">
            <v>NA</v>
          </cell>
          <cell r="AA573" t="str">
            <v>NA</v>
          </cell>
        </row>
        <row r="574">
          <cell r="A574">
            <v>45132</v>
          </cell>
          <cell r="B574" t="str">
            <v>A2</v>
          </cell>
          <cell r="C574">
            <v>2</v>
          </cell>
          <cell r="D574">
            <v>1</v>
          </cell>
          <cell r="E574" t="str">
            <v>ARIS.A2.Aim1.Bin2.RB</v>
          </cell>
          <cell r="F574">
            <v>3</v>
          </cell>
          <cell r="G574" t="str">
            <v>SplineDFA</v>
          </cell>
          <cell r="H574" t="str">
            <v>Y</v>
          </cell>
          <cell r="I574" t="str">
            <v>N</v>
          </cell>
          <cell r="J574">
            <v>125</v>
          </cell>
          <cell r="K574">
            <v>1</v>
          </cell>
          <cell r="L574">
            <v>0.5373</v>
          </cell>
          <cell r="M574">
            <v>23.7</v>
          </cell>
          <cell r="N574">
            <v>2.7</v>
          </cell>
          <cell r="O574">
            <v>0.4627</v>
          </cell>
          <cell r="P574">
            <v>0.36580000000000001</v>
          </cell>
          <cell r="Q574">
            <v>9.69E-2</v>
          </cell>
          <cell r="R574" t="str">
            <v>NA</v>
          </cell>
          <cell r="S574" t="str">
            <v>NA</v>
          </cell>
          <cell r="T574">
            <v>59.5</v>
          </cell>
          <cell r="U574">
            <v>4.8</v>
          </cell>
          <cell r="V574">
            <v>74.8</v>
          </cell>
          <cell r="W574">
            <v>7.6</v>
          </cell>
          <cell r="X574" t="str">
            <v>NA</v>
          </cell>
          <cell r="Y574" t="str">
            <v>NA</v>
          </cell>
          <cell r="Z574" t="str">
            <v>NA</v>
          </cell>
          <cell r="AA574" t="str">
            <v>NA</v>
          </cell>
        </row>
        <row r="575">
          <cell r="A575">
            <v>45132</v>
          </cell>
          <cell r="B575" t="str">
            <v>A2</v>
          </cell>
          <cell r="C575">
            <v>3</v>
          </cell>
          <cell r="D575">
            <v>1</v>
          </cell>
          <cell r="E575" t="str">
            <v>ARIS.A2.Aim1.Bin3.RB</v>
          </cell>
          <cell r="F575">
            <v>3</v>
          </cell>
          <cell r="G575" t="str">
            <v>SplineDFA</v>
          </cell>
          <cell r="H575" t="str">
            <v>Y</v>
          </cell>
          <cell r="I575" t="str">
            <v>N</v>
          </cell>
          <cell r="J575">
            <v>110</v>
          </cell>
          <cell r="K575">
            <v>1</v>
          </cell>
          <cell r="L575">
            <v>0.33050000000000002</v>
          </cell>
          <cell r="M575">
            <v>23.7</v>
          </cell>
          <cell r="N575">
            <v>2.7</v>
          </cell>
          <cell r="O575">
            <v>0.66949999999999998</v>
          </cell>
          <cell r="P575">
            <v>0.37019999999999997</v>
          </cell>
          <cell r="Q575">
            <v>0.29930000000000001</v>
          </cell>
          <cell r="R575" t="str">
            <v>NA</v>
          </cell>
          <cell r="S575" t="str">
            <v>NA</v>
          </cell>
          <cell r="T575">
            <v>59.5</v>
          </cell>
          <cell r="U575">
            <v>4.8</v>
          </cell>
          <cell r="V575">
            <v>74.8</v>
          </cell>
          <cell r="W575">
            <v>7.6</v>
          </cell>
          <cell r="X575" t="str">
            <v>NA</v>
          </cell>
          <cell r="Y575" t="str">
            <v>NA</v>
          </cell>
          <cell r="Z575" t="str">
            <v>NA</v>
          </cell>
          <cell r="AA575" t="str">
            <v>NA</v>
          </cell>
        </row>
        <row r="576">
          <cell r="A576">
            <v>45132</v>
          </cell>
          <cell r="B576" t="str">
            <v>A2</v>
          </cell>
          <cell r="C576">
            <v>4</v>
          </cell>
          <cell r="D576">
            <v>1</v>
          </cell>
          <cell r="E576" t="str">
            <v>ARIS.A2.Aim1.Bin4.RB</v>
          </cell>
          <cell r="F576">
            <v>3</v>
          </cell>
          <cell r="G576" t="str">
            <v>SplineDFA</v>
          </cell>
          <cell r="H576" t="str">
            <v>Y</v>
          </cell>
          <cell r="I576" t="str">
            <v>N</v>
          </cell>
          <cell r="J576">
            <v>110</v>
          </cell>
          <cell r="K576">
            <v>1</v>
          </cell>
          <cell r="L576">
            <v>0.33050000000000002</v>
          </cell>
          <cell r="M576">
            <v>23.7</v>
          </cell>
          <cell r="N576">
            <v>2.7</v>
          </cell>
          <cell r="O576">
            <v>0.66949999999999998</v>
          </cell>
          <cell r="P576">
            <v>0.37019999999999997</v>
          </cell>
          <cell r="Q576">
            <v>0.29930000000000001</v>
          </cell>
          <cell r="R576" t="str">
            <v>NA</v>
          </cell>
          <cell r="S576" t="str">
            <v>NA</v>
          </cell>
          <cell r="T576">
            <v>59.5</v>
          </cell>
          <cell r="U576">
            <v>4.8</v>
          </cell>
          <cell r="V576">
            <v>74.8</v>
          </cell>
          <cell r="W576">
            <v>7.6</v>
          </cell>
          <cell r="X576" t="str">
            <v>NA</v>
          </cell>
          <cell r="Y576" t="str">
            <v>NA</v>
          </cell>
          <cell r="Z576" t="str">
            <v>NA</v>
          </cell>
          <cell r="AA576" t="str">
            <v>NA</v>
          </cell>
        </row>
        <row r="577">
          <cell r="A577">
            <v>45132</v>
          </cell>
          <cell r="B577" t="str">
            <v>A1</v>
          </cell>
          <cell r="C577">
            <v>1</v>
          </cell>
          <cell r="D577">
            <v>1</v>
          </cell>
          <cell r="E577" t="str">
            <v>ARIS.A1.Aim1.Bin1.LB</v>
          </cell>
          <cell r="F577">
            <v>4</v>
          </cell>
          <cell r="G577" t="str">
            <v>Unweighted</v>
          </cell>
          <cell r="H577" t="str">
            <v>N</v>
          </cell>
          <cell r="I577" t="str">
            <v>N</v>
          </cell>
          <cell r="J577">
            <v>75</v>
          </cell>
          <cell r="K577">
            <v>1</v>
          </cell>
          <cell r="L577">
            <v>0.68210000000000004</v>
          </cell>
          <cell r="M577">
            <v>17.7</v>
          </cell>
          <cell r="N577">
            <v>5.2</v>
          </cell>
          <cell r="O577">
            <v>0.31790000000000002</v>
          </cell>
          <cell r="P577">
            <v>0.14649999999999999</v>
          </cell>
          <cell r="Q577">
            <v>0</v>
          </cell>
          <cell r="R577" t="str">
            <v>NA</v>
          </cell>
          <cell r="S577">
            <v>0.1714</v>
          </cell>
          <cell r="T577">
            <v>59.5</v>
          </cell>
          <cell r="U577">
            <v>4.8</v>
          </cell>
          <cell r="V577">
            <v>74.8</v>
          </cell>
          <cell r="W577">
            <v>7.6</v>
          </cell>
          <cell r="X577" t="str">
            <v>NA</v>
          </cell>
          <cell r="Y577" t="str">
            <v>NA</v>
          </cell>
          <cell r="Z577">
            <v>39.1</v>
          </cell>
          <cell r="AA577">
            <v>3.5</v>
          </cell>
        </row>
        <row r="578">
          <cell r="A578">
            <v>45132</v>
          </cell>
          <cell r="B578" t="str">
            <v>A1</v>
          </cell>
          <cell r="C578">
            <v>1</v>
          </cell>
          <cell r="D578">
            <v>2</v>
          </cell>
          <cell r="E578" t="str">
            <v>ARIS.A1.Aim2.Bin1.LB</v>
          </cell>
          <cell r="F578">
            <v>4</v>
          </cell>
          <cell r="G578" t="str">
            <v>Unweighted</v>
          </cell>
          <cell r="H578" t="str">
            <v>N</v>
          </cell>
          <cell r="I578" t="str">
            <v>N</v>
          </cell>
          <cell r="J578">
            <v>137</v>
          </cell>
          <cell r="K578">
            <v>0.99990000000000001</v>
          </cell>
          <cell r="L578">
            <v>0.72130000000000005</v>
          </cell>
          <cell r="M578">
            <v>15.4</v>
          </cell>
          <cell r="N578">
            <v>5.7</v>
          </cell>
          <cell r="O578">
            <v>0.27860000000000001</v>
          </cell>
          <cell r="P578">
            <v>0.17349999999999999</v>
          </cell>
          <cell r="Q578">
            <v>3.1399999999999997E-2</v>
          </cell>
          <cell r="R578" t="str">
            <v>NA</v>
          </cell>
          <cell r="S578">
            <v>7.3700000000000002E-2</v>
          </cell>
          <cell r="T578">
            <v>59.5</v>
          </cell>
          <cell r="U578">
            <v>4.8</v>
          </cell>
          <cell r="V578">
            <v>74.8</v>
          </cell>
          <cell r="W578">
            <v>7.6</v>
          </cell>
          <cell r="X578" t="str">
            <v>NA</v>
          </cell>
          <cell r="Y578" t="str">
            <v>NA</v>
          </cell>
          <cell r="Z578">
            <v>39.1</v>
          </cell>
          <cell r="AA578">
            <v>3.5</v>
          </cell>
        </row>
        <row r="579">
          <cell r="A579">
            <v>45132</v>
          </cell>
          <cell r="B579" t="str">
            <v>A1</v>
          </cell>
          <cell r="C579">
            <v>1</v>
          </cell>
          <cell r="D579" t="str">
            <v>1&amp;2</v>
          </cell>
          <cell r="E579" t="str">
            <v>ARIS.A1.Aim1&amp;Aim2.Bin1.LB</v>
          </cell>
          <cell r="F579">
            <v>4</v>
          </cell>
          <cell r="G579" t="str">
            <v>Unweighted</v>
          </cell>
          <cell r="H579" t="str">
            <v>N</v>
          </cell>
          <cell r="I579" t="str">
            <v>N</v>
          </cell>
          <cell r="J579">
            <v>212</v>
          </cell>
          <cell r="K579">
            <v>1</v>
          </cell>
          <cell r="L579">
            <v>0.71099999999999997</v>
          </cell>
          <cell r="M579">
            <v>16.5</v>
          </cell>
          <cell r="N579">
            <v>5.6</v>
          </cell>
          <cell r="O579">
            <v>0.28899999999999998</v>
          </cell>
          <cell r="P579">
            <v>0.16980000000000001</v>
          </cell>
          <cell r="Q579">
            <v>2.0400000000000001E-2</v>
          </cell>
          <cell r="R579" t="str">
            <v>NA</v>
          </cell>
          <cell r="S579">
            <v>9.8799999999999999E-2</v>
          </cell>
          <cell r="T579">
            <v>59.5</v>
          </cell>
          <cell r="U579">
            <v>4.8</v>
          </cell>
          <cell r="V579">
            <v>74.8</v>
          </cell>
          <cell r="W579">
            <v>7.6</v>
          </cell>
          <cell r="X579" t="str">
            <v>NA</v>
          </cell>
          <cell r="Y579" t="str">
            <v>NA</v>
          </cell>
          <cell r="Z579">
            <v>39.1</v>
          </cell>
          <cell r="AA579">
            <v>3.5</v>
          </cell>
        </row>
        <row r="580">
          <cell r="A580">
            <v>45132</v>
          </cell>
          <cell r="B580" t="str">
            <v>A1</v>
          </cell>
          <cell r="C580">
            <v>2</v>
          </cell>
          <cell r="D580">
            <v>3</v>
          </cell>
          <cell r="E580" t="str">
            <v>ARIS.A1.Aim3.Bin2.LB</v>
          </cell>
          <cell r="F580">
            <v>4</v>
          </cell>
          <cell r="G580" t="str">
            <v>Unweighted</v>
          </cell>
          <cell r="H580" t="str">
            <v>N</v>
          </cell>
          <cell r="I580" t="str">
            <v>N</v>
          </cell>
          <cell r="J580">
            <v>120</v>
          </cell>
          <cell r="K580">
            <v>1</v>
          </cell>
          <cell r="L580">
            <v>0.37190000000000001</v>
          </cell>
          <cell r="M580">
            <v>26</v>
          </cell>
          <cell r="N580">
            <v>4.9000000000000004</v>
          </cell>
          <cell r="O580">
            <v>0.62809999999999999</v>
          </cell>
          <cell r="P580">
            <v>0.26</v>
          </cell>
          <cell r="Q580">
            <v>0.1951</v>
          </cell>
          <cell r="R580" t="str">
            <v>NA</v>
          </cell>
          <cell r="S580">
            <v>0.17299999999999999</v>
          </cell>
          <cell r="T580">
            <v>59.5</v>
          </cell>
          <cell r="U580">
            <v>4.8</v>
          </cell>
          <cell r="V580">
            <v>74.8</v>
          </cell>
          <cell r="W580">
            <v>7.6</v>
          </cell>
          <cell r="X580" t="str">
            <v>NA</v>
          </cell>
          <cell r="Y580" t="str">
            <v>NA</v>
          </cell>
          <cell r="Z580">
            <v>39.1</v>
          </cell>
          <cell r="AA580">
            <v>3.5</v>
          </cell>
        </row>
        <row r="581">
          <cell r="A581">
            <v>45132</v>
          </cell>
          <cell r="B581" t="str">
            <v>A1</v>
          </cell>
          <cell r="C581">
            <v>3</v>
          </cell>
          <cell r="D581">
            <v>3</v>
          </cell>
          <cell r="E581" t="str">
            <v>ARIS.A1.Aim3.Bin3.LB</v>
          </cell>
          <cell r="F581">
            <v>4</v>
          </cell>
          <cell r="G581" t="str">
            <v>Unweighted</v>
          </cell>
          <cell r="H581" t="str">
            <v>N</v>
          </cell>
          <cell r="I581" t="str">
            <v>N</v>
          </cell>
          <cell r="J581">
            <v>108</v>
          </cell>
          <cell r="K581">
            <v>1.0001</v>
          </cell>
          <cell r="L581">
            <v>9.1200000000000003E-2</v>
          </cell>
          <cell r="M581">
            <v>28.6</v>
          </cell>
          <cell r="N581">
            <v>4.0999999999999996</v>
          </cell>
          <cell r="O581">
            <v>0.90890000000000004</v>
          </cell>
          <cell r="P581">
            <v>0.1421</v>
          </cell>
          <cell r="Q581">
            <v>0.60119999999999996</v>
          </cell>
          <cell r="R581" t="str">
            <v>NA</v>
          </cell>
          <cell r="S581">
            <v>0.1656</v>
          </cell>
          <cell r="T581">
            <v>59.5</v>
          </cell>
          <cell r="U581">
            <v>4.8</v>
          </cell>
          <cell r="V581">
            <v>74.8</v>
          </cell>
          <cell r="W581">
            <v>7.6</v>
          </cell>
          <cell r="X581" t="str">
            <v>NA</v>
          </cell>
          <cell r="Y581" t="str">
            <v>NA</v>
          </cell>
          <cell r="Z581">
            <v>39.1</v>
          </cell>
          <cell r="AA581">
            <v>3.5</v>
          </cell>
        </row>
        <row r="582">
          <cell r="A582">
            <v>45132</v>
          </cell>
          <cell r="B582" t="str">
            <v>A1</v>
          </cell>
          <cell r="C582">
            <v>4</v>
          </cell>
          <cell r="D582">
            <v>3</v>
          </cell>
          <cell r="E582" t="str">
            <v>ARIS.A1.Aim3.Bin4.LB</v>
          </cell>
          <cell r="F582">
            <v>4</v>
          </cell>
          <cell r="G582" t="str">
            <v>Unweighted</v>
          </cell>
          <cell r="H582" t="str">
            <v>N</v>
          </cell>
          <cell r="I582" t="str">
            <v>N</v>
          </cell>
          <cell r="J582">
            <v>108</v>
          </cell>
          <cell r="K582">
            <v>1.0001</v>
          </cell>
          <cell r="L582">
            <v>9.1200000000000003E-2</v>
          </cell>
          <cell r="M582">
            <v>28.6</v>
          </cell>
          <cell r="N582">
            <v>4.0999999999999996</v>
          </cell>
          <cell r="O582">
            <v>0.90890000000000004</v>
          </cell>
          <cell r="P582">
            <v>0.1421</v>
          </cell>
          <cell r="Q582">
            <v>0.60119999999999996</v>
          </cell>
          <cell r="R582" t="str">
            <v>NA</v>
          </cell>
          <cell r="S582">
            <v>0.1656</v>
          </cell>
          <cell r="T582">
            <v>59.5</v>
          </cell>
          <cell r="U582">
            <v>4.8</v>
          </cell>
          <cell r="V582">
            <v>74.8</v>
          </cell>
          <cell r="W582">
            <v>7.6</v>
          </cell>
          <cell r="X582" t="str">
            <v>NA</v>
          </cell>
          <cell r="Y582" t="str">
            <v>NA</v>
          </cell>
          <cell r="Z582">
            <v>39.1</v>
          </cell>
          <cell r="AA582">
            <v>3.5</v>
          </cell>
        </row>
        <row r="583">
          <cell r="A583">
            <v>45132</v>
          </cell>
          <cell r="B583" t="str">
            <v>A2</v>
          </cell>
          <cell r="C583">
            <v>1</v>
          </cell>
          <cell r="D583">
            <v>1</v>
          </cell>
          <cell r="E583" t="str">
            <v>ARIS.A2.Aim1.Bin1.RB</v>
          </cell>
          <cell r="F583">
            <v>4</v>
          </cell>
          <cell r="G583" t="str">
            <v>Unweighted</v>
          </cell>
          <cell r="H583" t="str">
            <v>N</v>
          </cell>
          <cell r="I583" t="str">
            <v>N</v>
          </cell>
          <cell r="J583">
            <v>117</v>
          </cell>
          <cell r="K583">
            <v>0.99990000000000001</v>
          </cell>
          <cell r="L583">
            <v>0.80549999999999999</v>
          </cell>
          <cell r="M583">
            <v>18.100000000000001</v>
          </cell>
          <cell r="N583">
            <v>6.3</v>
          </cell>
          <cell r="O583">
            <v>0.19439999999999999</v>
          </cell>
          <cell r="P583">
            <v>4.7300000000000002E-2</v>
          </cell>
          <cell r="Q583">
            <v>5.6800000000000003E-2</v>
          </cell>
          <cell r="R583" t="str">
            <v>NA</v>
          </cell>
          <cell r="S583">
            <v>9.0300000000000005E-2</v>
          </cell>
          <cell r="T583">
            <v>59.5</v>
          </cell>
          <cell r="U583">
            <v>4.8</v>
          </cell>
          <cell r="V583">
            <v>74.8</v>
          </cell>
          <cell r="W583">
            <v>7.6</v>
          </cell>
          <cell r="X583" t="str">
            <v>NA</v>
          </cell>
          <cell r="Y583" t="str">
            <v>NA</v>
          </cell>
          <cell r="Z583">
            <v>39.1</v>
          </cell>
          <cell r="AA583">
            <v>3.5</v>
          </cell>
        </row>
        <row r="584">
          <cell r="A584">
            <v>45132</v>
          </cell>
          <cell r="B584" t="str">
            <v>A2</v>
          </cell>
          <cell r="C584">
            <v>2</v>
          </cell>
          <cell r="D584">
            <v>1</v>
          </cell>
          <cell r="E584" t="str">
            <v>ARIS.A2.Aim1.Bin2.RB</v>
          </cell>
          <cell r="F584">
            <v>4</v>
          </cell>
          <cell r="G584" t="str">
            <v>Unweighted</v>
          </cell>
          <cell r="H584" t="str">
            <v>N</v>
          </cell>
          <cell r="I584" t="str">
            <v>N</v>
          </cell>
          <cell r="J584">
            <v>125</v>
          </cell>
          <cell r="K584">
            <v>1.0001</v>
          </cell>
          <cell r="L584">
            <v>0.52559999999999996</v>
          </cell>
          <cell r="M584">
            <v>25.9</v>
          </cell>
          <cell r="N584">
            <v>3.8</v>
          </cell>
          <cell r="O584">
            <v>0.47449999999999998</v>
          </cell>
          <cell r="P584">
            <v>0.14410000000000001</v>
          </cell>
          <cell r="Q584">
            <v>8.3299999999999999E-2</v>
          </cell>
          <cell r="R584" t="str">
            <v>NA</v>
          </cell>
          <cell r="S584">
            <v>0.24709999999999999</v>
          </cell>
          <cell r="T584">
            <v>59.5</v>
          </cell>
          <cell r="U584">
            <v>4.8</v>
          </cell>
          <cell r="V584">
            <v>74.8</v>
          </cell>
          <cell r="W584">
            <v>7.6</v>
          </cell>
          <cell r="X584" t="str">
            <v>NA</v>
          </cell>
          <cell r="Y584" t="str">
            <v>NA</v>
          </cell>
          <cell r="Z584">
            <v>39.1</v>
          </cell>
          <cell r="AA584">
            <v>3.5</v>
          </cell>
        </row>
        <row r="585">
          <cell r="A585">
            <v>45132</v>
          </cell>
          <cell r="B585" t="str">
            <v>A2</v>
          </cell>
          <cell r="C585">
            <v>3</v>
          </cell>
          <cell r="D585">
            <v>1</v>
          </cell>
          <cell r="E585" t="str">
            <v>ARIS.A2.Aim1.Bin3.RB</v>
          </cell>
          <cell r="F585">
            <v>4</v>
          </cell>
          <cell r="G585" t="str">
            <v>Unweighted</v>
          </cell>
          <cell r="H585" t="str">
            <v>N</v>
          </cell>
          <cell r="I585" t="str">
            <v>N</v>
          </cell>
          <cell r="J585">
            <v>110</v>
          </cell>
          <cell r="K585">
            <v>1</v>
          </cell>
          <cell r="L585">
            <v>0.22259999999999999</v>
          </cell>
          <cell r="M585">
            <v>26</v>
          </cell>
          <cell r="N585">
            <v>5.0999999999999996</v>
          </cell>
          <cell r="O585">
            <v>0.77739999999999998</v>
          </cell>
          <cell r="P585">
            <v>0.13619999999999999</v>
          </cell>
          <cell r="Q585">
            <v>0.31759999999999999</v>
          </cell>
          <cell r="R585" t="str">
            <v>NA</v>
          </cell>
          <cell r="S585">
            <v>0.3236</v>
          </cell>
          <cell r="T585">
            <v>59.5</v>
          </cell>
          <cell r="U585">
            <v>4.8</v>
          </cell>
          <cell r="V585">
            <v>74.8</v>
          </cell>
          <cell r="W585">
            <v>7.6</v>
          </cell>
          <cell r="X585" t="str">
            <v>NA</v>
          </cell>
          <cell r="Y585" t="str">
            <v>NA</v>
          </cell>
          <cell r="Z585">
            <v>39.1</v>
          </cell>
          <cell r="AA585">
            <v>3.5</v>
          </cell>
        </row>
        <row r="586">
          <cell r="A586">
            <v>45132</v>
          </cell>
          <cell r="B586" t="str">
            <v>A2</v>
          </cell>
          <cell r="C586">
            <v>4</v>
          </cell>
          <cell r="D586">
            <v>1</v>
          </cell>
          <cell r="E586" t="str">
            <v>ARIS.A2.Aim1.Bin4.RB</v>
          </cell>
          <cell r="F586">
            <v>4</v>
          </cell>
          <cell r="G586" t="str">
            <v>Unweighted</v>
          </cell>
          <cell r="H586" t="str">
            <v>N</v>
          </cell>
          <cell r="I586" t="str">
            <v>N</v>
          </cell>
          <cell r="J586">
            <v>110</v>
          </cell>
          <cell r="K586">
            <v>1</v>
          </cell>
          <cell r="L586">
            <v>0.22259999999999999</v>
          </cell>
          <cell r="M586">
            <v>26</v>
          </cell>
          <cell r="N586">
            <v>5.0999999999999996</v>
          </cell>
          <cell r="O586">
            <v>0.77739999999999998</v>
          </cell>
          <cell r="P586">
            <v>0.13619999999999999</v>
          </cell>
          <cell r="Q586">
            <v>0.31759999999999999</v>
          </cell>
          <cell r="R586" t="str">
            <v>NA</v>
          </cell>
          <cell r="S586">
            <v>0.3236</v>
          </cell>
          <cell r="T586">
            <v>59.5</v>
          </cell>
          <cell r="U586">
            <v>4.8</v>
          </cell>
          <cell r="V586">
            <v>74.8</v>
          </cell>
          <cell r="W586">
            <v>7.6</v>
          </cell>
          <cell r="X586" t="str">
            <v>NA</v>
          </cell>
          <cell r="Y586" t="str">
            <v>NA</v>
          </cell>
          <cell r="Z586">
            <v>39.1</v>
          </cell>
          <cell r="AA586">
            <v>3.5</v>
          </cell>
        </row>
        <row r="587">
          <cell r="A587">
            <v>45133</v>
          </cell>
          <cell r="B587" t="str">
            <v>A1</v>
          </cell>
          <cell r="C587">
            <v>1</v>
          </cell>
          <cell r="D587">
            <v>1</v>
          </cell>
          <cell r="E587" t="str">
            <v>ARIS.A1.Aim1.Bin1.LB</v>
          </cell>
          <cell r="F587">
            <v>3</v>
          </cell>
          <cell r="G587" t="str">
            <v>SplineDFA</v>
          </cell>
          <cell r="H587" t="str">
            <v>Y</v>
          </cell>
          <cell r="I587" t="str">
            <v>N</v>
          </cell>
          <cell r="J587">
            <v>111</v>
          </cell>
          <cell r="K587">
            <v>1</v>
          </cell>
          <cell r="L587">
            <v>0.77200000000000002</v>
          </cell>
          <cell r="M587">
            <v>23.7</v>
          </cell>
          <cell r="N587">
            <v>2.7</v>
          </cell>
          <cell r="O587">
            <v>0.22800000000000001</v>
          </cell>
          <cell r="P587">
            <v>0.1671</v>
          </cell>
          <cell r="Q587">
            <v>6.0900000000000003E-2</v>
          </cell>
          <cell r="R587" t="str">
            <v>NA</v>
          </cell>
          <cell r="S587" t="str">
            <v>NA</v>
          </cell>
          <cell r="T587">
            <v>58.4</v>
          </cell>
          <cell r="U587">
            <v>4.7</v>
          </cell>
          <cell r="V587">
            <v>72.900000000000006</v>
          </cell>
          <cell r="W587">
            <v>7.4</v>
          </cell>
          <cell r="X587" t="str">
            <v>NA</v>
          </cell>
          <cell r="Y587" t="str">
            <v>NA</v>
          </cell>
          <cell r="Z587" t="str">
            <v>NA</v>
          </cell>
          <cell r="AA587" t="str">
            <v>NA</v>
          </cell>
        </row>
        <row r="588">
          <cell r="A588">
            <v>45133</v>
          </cell>
          <cell r="B588" t="str">
            <v>A1</v>
          </cell>
          <cell r="C588">
            <v>1</v>
          </cell>
          <cell r="D588">
            <v>2</v>
          </cell>
          <cell r="E588" t="str">
            <v>ARIS.A1.Aim2.Bin1.LB</v>
          </cell>
          <cell r="F588">
            <v>3</v>
          </cell>
          <cell r="G588" t="str">
            <v>SplineDFA</v>
          </cell>
          <cell r="H588" t="str">
            <v>Y</v>
          </cell>
          <cell r="I588" t="str">
            <v>N</v>
          </cell>
          <cell r="J588">
            <v>143</v>
          </cell>
          <cell r="K588">
            <v>1</v>
          </cell>
          <cell r="L588">
            <v>0.872</v>
          </cell>
          <cell r="M588">
            <v>23.7</v>
          </cell>
          <cell r="N588">
            <v>2.7</v>
          </cell>
          <cell r="O588">
            <v>0.128</v>
          </cell>
          <cell r="P588">
            <v>0.1167</v>
          </cell>
          <cell r="Q588">
            <v>1.1299999999999999E-2</v>
          </cell>
          <cell r="R588" t="str">
            <v>NA</v>
          </cell>
          <cell r="S588" t="str">
            <v>NA</v>
          </cell>
          <cell r="T588">
            <v>58.4</v>
          </cell>
          <cell r="U588">
            <v>4.7</v>
          </cell>
          <cell r="V588">
            <v>72.900000000000006</v>
          </cell>
          <cell r="W588">
            <v>7.4</v>
          </cell>
          <cell r="X588" t="str">
            <v>NA</v>
          </cell>
          <cell r="Y588" t="str">
            <v>NA</v>
          </cell>
          <cell r="Z588" t="str">
            <v>NA</v>
          </cell>
          <cell r="AA588" t="str">
            <v>NA</v>
          </cell>
        </row>
        <row r="589">
          <cell r="A589">
            <v>45133</v>
          </cell>
          <cell r="B589" t="str">
            <v>A1</v>
          </cell>
          <cell r="C589">
            <v>2</v>
          </cell>
          <cell r="D589">
            <v>3</v>
          </cell>
          <cell r="E589" t="str">
            <v>ARIS.A1.Aim3.Bin2.LB</v>
          </cell>
          <cell r="F589">
            <v>3</v>
          </cell>
          <cell r="G589" t="str">
            <v>SplineDFA</v>
          </cell>
          <cell r="H589" t="str">
            <v>Y</v>
          </cell>
          <cell r="I589" t="str">
            <v>N</v>
          </cell>
          <cell r="J589">
            <v>140</v>
          </cell>
          <cell r="K589">
            <v>1</v>
          </cell>
          <cell r="L589">
            <v>0.52669999999999995</v>
          </cell>
          <cell r="M589">
            <v>23.7</v>
          </cell>
          <cell r="N589">
            <v>2.7</v>
          </cell>
          <cell r="O589">
            <v>0.4733</v>
          </cell>
          <cell r="P589">
            <v>0.28820000000000001</v>
          </cell>
          <cell r="Q589">
            <v>0.18509999999999999</v>
          </cell>
          <cell r="R589" t="str">
            <v>NA</v>
          </cell>
          <cell r="S589" t="str">
            <v>NA</v>
          </cell>
          <cell r="T589">
            <v>58.4</v>
          </cell>
          <cell r="U589">
            <v>4.7</v>
          </cell>
          <cell r="V589">
            <v>72.900000000000006</v>
          </cell>
          <cell r="W589">
            <v>7.4</v>
          </cell>
          <cell r="X589" t="str">
            <v>NA</v>
          </cell>
          <cell r="Y589" t="str">
            <v>NA</v>
          </cell>
          <cell r="Z589" t="str">
            <v>NA</v>
          </cell>
          <cell r="AA589" t="str">
            <v>NA</v>
          </cell>
        </row>
        <row r="590">
          <cell r="A590">
            <v>45133</v>
          </cell>
          <cell r="B590" t="str">
            <v>A1</v>
          </cell>
          <cell r="C590">
            <v>3</v>
          </cell>
          <cell r="D590">
            <v>3</v>
          </cell>
          <cell r="E590" t="str">
            <v>ARIS.A1.Aim3.Bin3.LB</v>
          </cell>
          <cell r="F590">
            <v>3</v>
          </cell>
          <cell r="G590" t="str">
            <v>SplineDFA</v>
          </cell>
          <cell r="H590" t="str">
            <v>Y</v>
          </cell>
          <cell r="I590" t="str">
            <v>N</v>
          </cell>
          <cell r="J590">
            <v>114</v>
          </cell>
          <cell r="K590">
            <v>1</v>
          </cell>
          <cell r="L590">
            <v>0.17580000000000001</v>
          </cell>
          <cell r="M590">
            <v>23.7</v>
          </cell>
          <cell r="N590">
            <v>2.7</v>
          </cell>
          <cell r="O590">
            <v>0.82420000000000004</v>
          </cell>
          <cell r="P590">
            <v>0.40579999999999999</v>
          </cell>
          <cell r="Q590">
            <v>0.41839999999999999</v>
          </cell>
          <cell r="R590" t="str">
            <v>NA</v>
          </cell>
          <cell r="S590" t="str">
            <v>NA</v>
          </cell>
          <cell r="T590">
            <v>58.4</v>
          </cell>
          <cell r="U590">
            <v>4.7</v>
          </cell>
          <cell r="V590">
            <v>72.900000000000006</v>
          </cell>
          <cell r="W590">
            <v>7.4</v>
          </cell>
          <cell r="X590" t="str">
            <v>NA</v>
          </cell>
          <cell r="Y590" t="str">
            <v>NA</v>
          </cell>
          <cell r="Z590" t="str">
            <v>NA</v>
          </cell>
          <cell r="AA590" t="str">
            <v>NA</v>
          </cell>
        </row>
        <row r="591">
          <cell r="A591">
            <v>45133</v>
          </cell>
          <cell r="B591" t="str">
            <v>A1</v>
          </cell>
          <cell r="C591">
            <v>4</v>
          </cell>
          <cell r="D591">
            <v>3</v>
          </cell>
          <cell r="E591" t="str">
            <v>ARIS.A1.Aim3.Bin4.LB</v>
          </cell>
          <cell r="F591">
            <v>3</v>
          </cell>
          <cell r="G591" t="str">
            <v>SplineDFA</v>
          </cell>
          <cell r="H591" t="str">
            <v>Y</v>
          </cell>
          <cell r="I591" t="str">
            <v>N</v>
          </cell>
          <cell r="J591">
            <v>114</v>
          </cell>
          <cell r="K591">
            <v>1</v>
          </cell>
          <cell r="L591">
            <v>0.17580000000000001</v>
          </cell>
          <cell r="M591">
            <v>23.7</v>
          </cell>
          <cell r="N591">
            <v>2.7</v>
          </cell>
          <cell r="O591">
            <v>0.82420000000000004</v>
          </cell>
          <cell r="P591">
            <v>0.40579999999999999</v>
          </cell>
          <cell r="Q591">
            <v>0.41839999999999999</v>
          </cell>
          <cell r="R591" t="str">
            <v>NA</v>
          </cell>
          <cell r="S591" t="str">
            <v>NA</v>
          </cell>
          <cell r="T591">
            <v>58.4</v>
          </cell>
          <cell r="U591">
            <v>4.7</v>
          </cell>
          <cell r="V591">
            <v>72.900000000000006</v>
          </cell>
          <cell r="W591">
            <v>7.4</v>
          </cell>
          <cell r="X591" t="str">
            <v>NA</v>
          </cell>
          <cell r="Y591" t="str">
            <v>NA</v>
          </cell>
          <cell r="Z591" t="str">
            <v>NA</v>
          </cell>
          <cell r="AA591" t="str">
            <v>NA</v>
          </cell>
        </row>
        <row r="592">
          <cell r="A592">
            <v>45133</v>
          </cell>
          <cell r="B592" t="str">
            <v>A1</v>
          </cell>
          <cell r="C592">
            <v>1</v>
          </cell>
          <cell r="D592">
            <v>1</v>
          </cell>
          <cell r="E592" t="str">
            <v>ARIS.A1.Aim1.Bin1.LB</v>
          </cell>
          <cell r="F592">
            <v>3</v>
          </cell>
          <cell r="G592" t="str">
            <v>Unweighted</v>
          </cell>
          <cell r="H592" t="str">
            <v>N</v>
          </cell>
          <cell r="I592" t="str">
            <v>Y</v>
          </cell>
          <cell r="J592">
            <v>111</v>
          </cell>
          <cell r="K592">
            <v>1</v>
          </cell>
          <cell r="L592">
            <v>0.89729999999999999</v>
          </cell>
          <cell r="M592">
            <v>21.9</v>
          </cell>
          <cell r="N592">
            <v>11</v>
          </cell>
          <cell r="O592">
            <v>0.1027</v>
          </cell>
          <cell r="P592">
            <v>6.4699999999999994E-2</v>
          </cell>
          <cell r="Q592">
            <v>3.7999999999999999E-2</v>
          </cell>
          <cell r="R592" t="str">
            <v>NA</v>
          </cell>
          <cell r="S592" t="str">
            <v>NA</v>
          </cell>
          <cell r="T592">
            <v>58.4</v>
          </cell>
          <cell r="U592">
            <v>4.7</v>
          </cell>
          <cell r="V592">
            <v>72.900000000000006</v>
          </cell>
          <cell r="W592">
            <v>7.4</v>
          </cell>
          <cell r="X592" t="str">
            <v>NA</v>
          </cell>
          <cell r="Y592" t="str">
            <v>NA</v>
          </cell>
          <cell r="Z592" t="str">
            <v>NA</v>
          </cell>
          <cell r="AA592" t="str">
            <v>NA</v>
          </cell>
        </row>
        <row r="593">
          <cell r="A593">
            <v>45133</v>
          </cell>
          <cell r="B593" t="str">
            <v>A1</v>
          </cell>
          <cell r="C593">
            <v>1</v>
          </cell>
          <cell r="D593">
            <v>2</v>
          </cell>
          <cell r="E593" t="str">
            <v>ARIS.A1.Aim2.Bin1.LB</v>
          </cell>
          <cell r="F593">
            <v>3</v>
          </cell>
          <cell r="G593" t="str">
            <v>Unweighted</v>
          </cell>
          <cell r="H593" t="str">
            <v>N</v>
          </cell>
          <cell r="I593" t="str">
            <v>Y</v>
          </cell>
          <cell r="J593">
            <v>143</v>
          </cell>
          <cell r="K593">
            <v>1.0001</v>
          </cell>
          <cell r="L593">
            <v>0.86750000000000005</v>
          </cell>
          <cell r="M593">
            <v>16.899999999999999</v>
          </cell>
          <cell r="N593">
            <v>9.4</v>
          </cell>
          <cell r="O593">
            <v>0.1326</v>
          </cell>
          <cell r="P593">
            <v>0.1222</v>
          </cell>
          <cell r="Q593">
            <v>1.04E-2</v>
          </cell>
          <cell r="R593" t="str">
            <v>NA</v>
          </cell>
          <cell r="S593" t="str">
            <v>NA</v>
          </cell>
          <cell r="T593">
            <v>58.4</v>
          </cell>
          <cell r="U593">
            <v>4.7</v>
          </cell>
          <cell r="V593">
            <v>72.900000000000006</v>
          </cell>
          <cell r="W593">
            <v>7.4</v>
          </cell>
          <cell r="X593" t="str">
            <v>NA</v>
          </cell>
          <cell r="Y593" t="str">
            <v>NA</v>
          </cell>
          <cell r="Z593" t="str">
            <v>NA</v>
          </cell>
          <cell r="AA593" t="str">
            <v>NA</v>
          </cell>
        </row>
        <row r="594">
          <cell r="A594">
            <v>45133</v>
          </cell>
          <cell r="B594" t="str">
            <v>A1</v>
          </cell>
          <cell r="C594">
            <v>1</v>
          </cell>
          <cell r="D594" t="str">
            <v>1&amp;2</v>
          </cell>
          <cell r="E594" t="str">
            <v>ARIS.A1.Aim1&amp;Aim2.Bin1.LB</v>
          </cell>
          <cell r="F594">
            <v>3</v>
          </cell>
          <cell r="G594" t="str">
            <v>Unweighted</v>
          </cell>
          <cell r="H594" t="str">
            <v>N</v>
          </cell>
          <cell r="I594" t="str">
            <v>Y</v>
          </cell>
          <cell r="J594">
            <v>254</v>
          </cell>
          <cell r="K594">
            <v>1</v>
          </cell>
          <cell r="L594">
            <v>0.87629999999999997</v>
          </cell>
          <cell r="M594">
            <v>19</v>
          </cell>
          <cell r="N594">
            <v>10.3</v>
          </cell>
          <cell r="O594">
            <v>0.1237</v>
          </cell>
          <cell r="P594">
            <v>0.1067</v>
          </cell>
          <cell r="Q594">
            <v>1.7000000000000001E-2</v>
          </cell>
          <cell r="R594" t="str">
            <v>NA</v>
          </cell>
          <cell r="S594" t="str">
            <v>NA</v>
          </cell>
          <cell r="T594">
            <v>58.4</v>
          </cell>
          <cell r="U594">
            <v>4.7</v>
          </cell>
          <cell r="V594">
            <v>72.900000000000006</v>
          </cell>
          <cell r="W594">
            <v>7.4</v>
          </cell>
          <cell r="X594" t="str">
            <v>NA</v>
          </cell>
          <cell r="Y594" t="str">
            <v>NA</v>
          </cell>
          <cell r="Z594" t="str">
            <v>NA</v>
          </cell>
          <cell r="AA594" t="str">
            <v>NA</v>
          </cell>
        </row>
        <row r="595">
          <cell r="A595">
            <v>45133</v>
          </cell>
          <cell r="B595" t="str">
            <v>A1</v>
          </cell>
          <cell r="C595">
            <v>2</v>
          </cell>
          <cell r="D595">
            <v>3</v>
          </cell>
          <cell r="E595" t="str">
            <v>ARIS.A1.Aim3.Bin2.LB</v>
          </cell>
          <cell r="F595">
            <v>3</v>
          </cell>
          <cell r="G595" t="str">
            <v>Unweighted</v>
          </cell>
          <cell r="H595" t="str">
            <v>N</v>
          </cell>
          <cell r="I595" t="str">
            <v>Y</v>
          </cell>
          <cell r="J595">
            <v>140</v>
          </cell>
          <cell r="K595">
            <v>0.99990000000000001</v>
          </cell>
          <cell r="L595">
            <v>0.65110000000000001</v>
          </cell>
          <cell r="M595">
            <v>27.1</v>
          </cell>
          <cell r="N595">
            <v>9.3000000000000007</v>
          </cell>
          <cell r="O595">
            <v>0.3488</v>
          </cell>
          <cell r="P595">
            <v>0.18740000000000001</v>
          </cell>
          <cell r="Q595">
            <v>0.16139999999999999</v>
          </cell>
          <cell r="R595" t="str">
            <v>NA</v>
          </cell>
          <cell r="S595" t="str">
            <v>NA</v>
          </cell>
          <cell r="T595">
            <v>58.4</v>
          </cell>
          <cell r="U595">
            <v>4.7</v>
          </cell>
          <cell r="V595">
            <v>72.900000000000006</v>
          </cell>
          <cell r="W595">
            <v>7.4</v>
          </cell>
          <cell r="X595" t="str">
            <v>NA</v>
          </cell>
          <cell r="Y595" t="str">
            <v>NA</v>
          </cell>
          <cell r="Z595" t="str">
            <v>NA</v>
          </cell>
          <cell r="AA595" t="str">
            <v>NA</v>
          </cell>
        </row>
        <row r="596">
          <cell r="A596">
            <v>45133</v>
          </cell>
          <cell r="B596" t="str">
            <v>A1</v>
          </cell>
          <cell r="C596">
            <v>3</v>
          </cell>
          <cell r="D596">
            <v>3</v>
          </cell>
          <cell r="E596" t="str">
            <v>ARIS.A1.Aim3.Bin3.LB</v>
          </cell>
          <cell r="F596">
            <v>3</v>
          </cell>
          <cell r="G596" t="str">
            <v>Unweighted</v>
          </cell>
          <cell r="H596" t="str">
            <v>N</v>
          </cell>
          <cell r="I596" t="str">
            <v>Y</v>
          </cell>
          <cell r="J596">
            <v>114</v>
          </cell>
          <cell r="K596">
            <v>1</v>
          </cell>
          <cell r="L596">
            <v>0.434</v>
          </cell>
          <cell r="M596">
            <v>23.7</v>
          </cell>
          <cell r="N596">
            <v>18.899999999999999</v>
          </cell>
          <cell r="O596">
            <v>0.56599999999999995</v>
          </cell>
          <cell r="P596">
            <v>0.12909999999999999</v>
          </cell>
          <cell r="Q596">
            <v>0.43690000000000001</v>
          </cell>
          <cell r="R596" t="str">
            <v>NA</v>
          </cell>
          <cell r="S596" t="str">
            <v>NA</v>
          </cell>
          <cell r="T596">
            <v>58.4</v>
          </cell>
          <cell r="U596">
            <v>4.7</v>
          </cell>
          <cell r="V596">
            <v>72.900000000000006</v>
          </cell>
          <cell r="W596">
            <v>7.4</v>
          </cell>
          <cell r="X596" t="str">
            <v>NA</v>
          </cell>
          <cell r="Y596" t="str">
            <v>NA</v>
          </cell>
          <cell r="Z596" t="str">
            <v>NA</v>
          </cell>
          <cell r="AA596" t="str">
            <v>NA</v>
          </cell>
        </row>
        <row r="597">
          <cell r="A597">
            <v>45133</v>
          </cell>
          <cell r="B597" t="str">
            <v>A1</v>
          </cell>
          <cell r="C597">
            <v>4</v>
          </cell>
          <cell r="D597">
            <v>3</v>
          </cell>
          <cell r="E597" t="str">
            <v>ARIS.A1.Aim3.Bin4.LB</v>
          </cell>
          <cell r="F597">
            <v>3</v>
          </cell>
          <cell r="G597" t="str">
            <v>Unweighted</v>
          </cell>
          <cell r="H597" t="str">
            <v>N</v>
          </cell>
          <cell r="I597" t="str">
            <v>Y</v>
          </cell>
          <cell r="J597">
            <v>114</v>
          </cell>
          <cell r="K597">
            <v>1</v>
          </cell>
          <cell r="L597">
            <v>0.434</v>
          </cell>
          <cell r="M597">
            <v>23.7</v>
          </cell>
          <cell r="N597">
            <v>18.899999999999999</v>
          </cell>
          <cell r="O597">
            <v>0.56599999999999995</v>
          </cell>
          <cell r="P597">
            <v>0.12909999999999999</v>
          </cell>
          <cell r="Q597">
            <v>0.43690000000000001</v>
          </cell>
          <cell r="R597" t="str">
            <v>NA</v>
          </cell>
          <cell r="S597" t="str">
            <v>NA</v>
          </cell>
          <cell r="T597">
            <v>58.4</v>
          </cell>
          <cell r="U597">
            <v>4.7</v>
          </cell>
          <cell r="V597">
            <v>72.900000000000006</v>
          </cell>
          <cell r="W597">
            <v>7.4</v>
          </cell>
          <cell r="X597" t="str">
            <v>NA</v>
          </cell>
          <cell r="Y597" t="str">
            <v>NA</v>
          </cell>
          <cell r="Z597" t="str">
            <v>NA</v>
          </cell>
          <cell r="AA597" t="str">
            <v>NA</v>
          </cell>
        </row>
        <row r="598">
          <cell r="A598">
            <v>45133</v>
          </cell>
          <cell r="B598" t="str">
            <v>A2</v>
          </cell>
          <cell r="C598">
            <v>1</v>
          </cell>
          <cell r="D598">
            <v>1</v>
          </cell>
          <cell r="E598" t="str">
            <v>ARIS.A2.Aim1.Bin1.RB</v>
          </cell>
          <cell r="F598">
            <v>3</v>
          </cell>
          <cell r="G598" t="str">
            <v>Unweighted</v>
          </cell>
          <cell r="H598" t="str">
            <v>N</v>
          </cell>
          <cell r="I598" t="str">
            <v>Y</v>
          </cell>
          <cell r="J598">
            <v>143</v>
          </cell>
          <cell r="K598">
            <v>1</v>
          </cell>
          <cell r="L598">
            <v>0.95389999999999997</v>
          </cell>
          <cell r="M598">
            <v>18.2</v>
          </cell>
          <cell r="N598">
            <v>6.7</v>
          </cell>
          <cell r="O598">
            <v>4.6100000000000002E-2</v>
          </cell>
          <cell r="P598">
            <v>4.6100000000000002E-2</v>
          </cell>
          <cell r="Q598">
            <v>0</v>
          </cell>
          <cell r="R598" t="str">
            <v>NA</v>
          </cell>
          <cell r="S598" t="str">
            <v>NA</v>
          </cell>
          <cell r="T598">
            <v>58.4</v>
          </cell>
          <cell r="U598">
            <v>4.7</v>
          </cell>
          <cell r="V598">
            <v>72.900000000000006</v>
          </cell>
          <cell r="W598">
            <v>7.4</v>
          </cell>
          <cell r="X598" t="str">
            <v>NA</v>
          </cell>
          <cell r="Y598" t="str">
            <v>NA</v>
          </cell>
          <cell r="Z598" t="str">
            <v>NA</v>
          </cell>
          <cell r="AA598" t="str">
            <v>NA</v>
          </cell>
        </row>
        <row r="599">
          <cell r="A599">
            <v>45133</v>
          </cell>
          <cell r="B599" t="str">
            <v>A2</v>
          </cell>
          <cell r="C599">
            <v>2</v>
          </cell>
          <cell r="D599">
            <v>1</v>
          </cell>
          <cell r="E599" t="str">
            <v>ARIS.A2.Aim1.Bin2.RB</v>
          </cell>
          <cell r="F599">
            <v>3</v>
          </cell>
          <cell r="G599" t="str">
            <v>Unweighted</v>
          </cell>
          <cell r="H599" t="str">
            <v>N</v>
          </cell>
          <cell r="I599" t="str">
            <v>Y</v>
          </cell>
          <cell r="J599">
            <v>109</v>
          </cell>
          <cell r="K599">
            <v>0.99990000000000001</v>
          </cell>
          <cell r="L599">
            <v>0.84119999999999995</v>
          </cell>
          <cell r="M599">
            <v>23.7</v>
          </cell>
          <cell r="N599">
            <v>11.1</v>
          </cell>
          <cell r="O599">
            <v>0.15870000000000001</v>
          </cell>
          <cell r="P599">
            <v>8.48E-2</v>
          </cell>
          <cell r="Q599">
            <v>7.3899999999999993E-2</v>
          </cell>
          <cell r="R599" t="str">
            <v>NA</v>
          </cell>
          <cell r="S599" t="str">
            <v>NA</v>
          </cell>
          <cell r="T599">
            <v>58.4</v>
          </cell>
          <cell r="U599">
            <v>4.7</v>
          </cell>
          <cell r="V599">
            <v>72.900000000000006</v>
          </cell>
          <cell r="W599">
            <v>7.4</v>
          </cell>
          <cell r="X599" t="str">
            <v>NA</v>
          </cell>
          <cell r="Y599" t="str">
            <v>NA</v>
          </cell>
          <cell r="Z599" t="str">
            <v>NA</v>
          </cell>
          <cell r="AA599" t="str">
            <v>NA</v>
          </cell>
        </row>
        <row r="600">
          <cell r="A600">
            <v>45133</v>
          </cell>
          <cell r="B600" t="str">
            <v>A2</v>
          </cell>
          <cell r="C600">
            <v>3</v>
          </cell>
          <cell r="D600">
            <v>1</v>
          </cell>
          <cell r="E600" t="str">
            <v>ARIS.A2.Aim1.Bin3.RB</v>
          </cell>
          <cell r="F600">
            <v>3</v>
          </cell>
          <cell r="G600" t="str">
            <v>Unweighted</v>
          </cell>
          <cell r="H600" t="str">
            <v>N</v>
          </cell>
          <cell r="I600" t="str">
            <v>Y</v>
          </cell>
          <cell r="J600">
            <v>77</v>
          </cell>
          <cell r="K600">
            <v>1</v>
          </cell>
          <cell r="L600">
            <v>0.65769999999999995</v>
          </cell>
          <cell r="M600">
            <v>23.7</v>
          </cell>
          <cell r="N600">
            <v>15.9</v>
          </cell>
          <cell r="O600">
            <v>0.34229999999999999</v>
          </cell>
          <cell r="P600">
            <v>0.12839999999999999</v>
          </cell>
          <cell r="Q600">
            <v>0.21390000000000001</v>
          </cell>
          <cell r="R600" t="str">
            <v>NA</v>
          </cell>
          <cell r="S600" t="str">
            <v>NA</v>
          </cell>
          <cell r="T600">
            <v>58.4</v>
          </cell>
          <cell r="U600">
            <v>4.7</v>
          </cell>
          <cell r="V600">
            <v>72.900000000000006</v>
          </cell>
          <cell r="W600">
            <v>7.4</v>
          </cell>
          <cell r="X600" t="str">
            <v>NA</v>
          </cell>
          <cell r="Y600" t="str">
            <v>NA</v>
          </cell>
          <cell r="Z600" t="str">
            <v>NA</v>
          </cell>
          <cell r="AA600" t="str">
            <v>NA</v>
          </cell>
        </row>
        <row r="601">
          <cell r="A601">
            <v>45133</v>
          </cell>
          <cell r="B601" t="str">
            <v>A2</v>
          </cell>
          <cell r="C601">
            <v>4</v>
          </cell>
          <cell r="D601">
            <v>1</v>
          </cell>
          <cell r="E601" t="str">
            <v>ARIS.A2.Aim1.Bin4.RB</v>
          </cell>
          <cell r="F601">
            <v>3</v>
          </cell>
          <cell r="G601" t="str">
            <v>Unweighted</v>
          </cell>
          <cell r="H601" t="str">
            <v>N</v>
          </cell>
          <cell r="I601" t="str">
            <v>Y</v>
          </cell>
          <cell r="J601">
            <v>77</v>
          </cell>
          <cell r="K601">
            <v>1</v>
          </cell>
          <cell r="L601">
            <v>0.65769999999999995</v>
          </cell>
          <cell r="M601">
            <v>23.7</v>
          </cell>
          <cell r="N601">
            <v>15.9</v>
          </cell>
          <cell r="O601">
            <v>0.34229999999999999</v>
          </cell>
          <cell r="P601">
            <v>0.12839999999999999</v>
          </cell>
          <cell r="Q601">
            <v>0.21390000000000001</v>
          </cell>
          <cell r="R601" t="str">
            <v>NA</v>
          </cell>
          <cell r="S601" t="str">
            <v>NA</v>
          </cell>
          <cell r="T601">
            <v>58.4</v>
          </cell>
          <cell r="U601">
            <v>4.7</v>
          </cell>
          <cell r="V601">
            <v>72.900000000000006</v>
          </cell>
          <cell r="W601">
            <v>7.4</v>
          </cell>
          <cell r="X601" t="str">
            <v>NA</v>
          </cell>
          <cell r="Y601" t="str">
            <v>NA</v>
          </cell>
          <cell r="Z601" t="str">
            <v>NA</v>
          </cell>
          <cell r="AA601" t="str">
            <v>NA</v>
          </cell>
        </row>
        <row r="602">
          <cell r="A602">
            <v>45133</v>
          </cell>
          <cell r="B602" t="str">
            <v>A2</v>
          </cell>
          <cell r="C602">
            <v>1</v>
          </cell>
          <cell r="D602">
            <v>1</v>
          </cell>
          <cell r="E602" t="str">
            <v>ARIS.A2.Aim1.Bin1.RB</v>
          </cell>
          <cell r="F602">
            <v>3</v>
          </cell>
          <cell r="G602" t="str">
            <v>SplineDFA</v>
          </cell>
          <cell r="H602" t="str">
            <v>Y</v>
          </cell>
          <cell r="I602" t="str">
            <v>N</v>
          </cell>
          <cell r="J602">
            <v>143</v>
          </cell>
          <cell r="K602">
            <v>1</v>
          </cell>
          <cell r="L602">
            <v>0.94159999999999999</v>
          </cell>
          <cell r="M602">
            <v>23.7</v>
          </cell>
          <cell r="N602">
            <v>2.7</v>
          </cell>
          <cell r="O602">
            <v>5.8400000000000001E-2</v>
          </cell>
          <cell r="P602">
            <v>5.8400000000000001E-2</v>
          </cell>
          <cell r="Q602">
            <v>0</v>
          </cell>
          <cell r="R602" t="str">
            <v>NA</v>
          </cell>
          <cell r="S602" t="str">
            <v>NA</v>
          </cell>
          <cell r="T602">
            <v>58.4</v>
          </cell>
          <cell r="U602">
            <v>4.7</v>
          </cell>
          <cell r="V602">
            <v>72.900000000000006</v>
          </cell>
          <cell r="W602">
            <v>7.4</v>
          </cell>
          <cell r="X602" t="str">
            <v>NA</v>
          </cell>
          <cell r="Y602" t="str">
            <v>NA</v>
          </cell>
          <cell r="Z602" t="str">
            <v>NA</v>
          </cell>
          <cell r="AA602" t="str">
            <v>NA</v>
          </cell>
        </row>
        <row r="603">
          <cell r="A603">
            <v>45133</v>
          </cell>
          <cell r="B603" t="str">
            <v>A2</v>
          </cell>
          <cell r="C603">
            <v>2</v>
          </cell>
          <cell r="D603">
            <v>1</v>
          </cell>
          <cell r="E603" t="str">
            <v>ARIS.A2.Aim1.Bin2.RB</v>
          </cell>
          <cell r="F603">
            <v>3</v>
          </cell>
          <cell r="G603" t="str">
            <v>SplineDFA</v>
          </cell>
          <cell r="H603" t="str">
            <v>Y</v>
          </cell>
          <cell r="I603" t="str">
            <v>N</v>
          </cell>
          <cell r="J603">
            <v>109</v>
          </cell>
          <cell r="K603">
            <v>1</v>
          </cell>
          <cell r="L603">
            <v>0.66810000000000003</v>
          </cell>
          <cell r="M603">
            <v>23.7</v>
          </cell>
          <cell r="N603">
            <v>2.7</v>
          </cell>
          <cell r="O603">
            <v>0.33189999999999997</v>
          </cell>
          <cell r="P603">
            <v>0.25569999999999998</v>
          </cell>
          <cell r="Q603">
            <v>7.6200000000000004E-2</v>
          </cell>
          <cell r="R603" t="str">
            <v>NA</v>
          </cell>
          <cell r="S603" t="str">
            <v>NA</v>
          </cell>
          <cell r="T603">
            <v>58.4</v>
          </cell>
          <cell r="U603">
            <v>4.7</v>
          </cell>
          <cell r="V603">
            <v>72.900000000000006</v>
          </cell>
          <cell r="W603">
            <v>7.4</v>
          </cell>
          <cell r="X603" t="str">
            <v>NA</v>
          </cell>
          <cell r="Y603" t="str">
            <v>NA</v>
          </cell>
          <cell r="Z603" t="str">
            <v>NA</v>
          </cell>
          <cell r="AA603" t="str">
            <v>NA</v>
          </cell>
        </row>
        <row r="604">
          <cell r="A604">
            <v>45133</v>
          </cell>
          <cell r="B604" t="str">
            <v>A2</v>
          </cell>
          <cell r="C604">
            <v>3</v>
          </cell>
          <cell r="D604">
            <v>1</v>
          </cell>
          <cell r="E604" t="str">
            <v>ARIS.A2.Aim1.Bin3.RB</v>
          </cell>
          <cell r="F604">
            <v>3</v>
          </cell>
          <cell r="G604" t="str">
            <v>SplineDFA</v>
          </cell>
          <cell r="H604" t="str">
            <v>Y</v>
          </cell>
          <cell r="I604" t="str">
            <v>N</v>
          </cell>
          <cell r="J604">
            <v>77</v>
          </cell>
          <cell r="K604">
            <v>1</v>
          </cell>
          <cell r="L604">
            <v>0.3095</v>
          </cell>
          <cell r="M604">
            <v>23.7</v>
          </cell>
          <cell r="N604">
            <v>2.7</v>
          </cell>
          <cell r="O604">
            <v>0.6905</v>
          </cell>
          <cell r="P604">
            <v>0.50360000000000005</v>
          </cell>
          <cell r="Q604">
            <v>0.18690000000000001</v>
          </cell>
          <cell r="R604" t="str">
            <v>NA</v>
          </cell>
          <cell r="S604" t="str">
            <v>NA</v>
          </cell>
          <cell r="T604">
            <v>58.4</v>
          </cell>
          <cell r="U604">
            <v>4.7</v>
          </cell>
          <cell r="V604">
            <v>72.900000000000006</v>
          </cell>
          <cell r="W604">
            <v>7.4</v>
          </cell>
          <cell r="X604" t="str">
            <v>NA</v>
          </cell>
          <cell r="Y604" t="str">
            <v>NA</v>
          </cell>
          <cell r="Z604" t="str">
            <v>NA</v>
          </cell>
          <cell r="AA604" t="str">
            <v>NA</v>
          </cell>
        </row>
        <row r="605">
          <cell r="A605">
            <v>45133</v>
          </cell>
          <cell r="B605" t="str">
            <v>A2</v>
          </cell>
          <cell r="C605">
            <v>4</v>
          </cell>
          <cell r="D605">
            <v>1</v>
          </cell>
          <cell r="E605" t="str">
            <v>ARIS.A2.Aim1.Bin4.RB</v>
          </cell>
          <cell r="F605">
            <v>3</v>
          </cell>
          <cell r="G605" t="str">
            <v>SplineDFA</v>
          </cell>
          <cell r="H605" t="str">
            <v>Y</v>
          </cell>
          <cell r="I605" t="str">
            <v>N</v>
          </cell>
          <cell r="J605">
            <v>77</v>
          </cell>
          <cell r="K605">
            <v>1</v>
          </cell>
          <cell r="L605">
            <v>0.3095</v>
          </cell>
          <cell r="M605">
            <v>23.7</v>
          </cell>
          <cell r="N605">
            <v>2.7</v>
          </cell>
          <cell r="O605">
            <v>0.6905</v>
          </cell>
          <cell r="P605">
            <v>0.50360000000000005</v>
          </cell>
          <cell r="Q605">
            <v>0.18690000000000001</v>
          </cell>
          <cell r="R605" t="str">
            <v>NA</v>
          </cell>
          <cell r="S605" t="str">
            <v>NA</v>
          </cell>
          <cell r="T605">
            <v>58.4</v>
          </cell>
          <cell r="U605">
            <v>4.7</v>
          </cell>
          <cell r="V605">
            <v>72.900000000000006</v>
          </cell>
          <cell r="W605">
            <v>7.4</v>
          </cell>
          <cell r="X605" t="str">
            <v>NA</v>
          </cell>
          <cell r="Y605" t="str">
            <v>NA</v>
          </cell>
          <cell r="Z605" t="str">
            <v>NA</v>
          </cell>
          <cell r="AA605" t="str">
            <v>NA</v>
          </cell>
        </row>
        <row r="606">
          <cell r="A606">
            <v>45133</v>
          </cell>
          <cell r="B606" t="str">
            <v>A1</v>
          </cell>
          <cell r="C606">
            <v>1</v>
          </cell>
          <cell r="D606">
            <v>1</v>
          </cell>
          <cell r="E606" t="str">
            <v>ARIS.A1.Aim1.Bin1.LB</v>
          </cell>
          <cell r="F606">
            <v>4</v>
          </cell>
          <cell r="G606" t="str">
            <v>Unweighted</v>
          </cell>
          <cell r="H606" t="str">
            <v>N</v>
          </cell>
          <cell r="I606" t="str">
            <v>N</v>
          </cell>
          <cell r="J606">
            <v>111</v>
          </cell>
          <cell r="K606">
            <v>1.0001</v>
          </cell>
          <cell r="L606">
            <v>0.75770000000000004</v>
          </cell>
          <cell r="M606">
            <v>18.7</v>
          </cell>
          <cell r="N606">
            <v>7.8</v>
          </cell>
          <cell r="O606">
            <v>0.2424</v>
          </cell>
          <cell r="P606">
            <v>7.4899999999999994E-2</v>
          </cell>
          <cell r="Q606">
            <v>3.5099999999999999E-2</v>
          </cell>
          <cell r="R606" t="str">
            <v>NA</v>
          </cell>
          <cell r="S606">
            <v>0.13239999999999999</v>
          </cell>
          <cell r="T606">
            <v>58.4</v>
          </cell>
          <cell r="U606">
            <v>4.7</v>
          </cell>
          <cell r="V606">
            <v>72.900000000000006</v>
          </cell>
          <cell r="W606">
            <v>7.4</v>
          </cell>
          <cell r="X606" t="str">
            <v>NA</v>
          </cell>
          <cell r="Y606" t="str">
            <v>NA</v>
          </cell>
          <cell r="Z606">
            <v>39.1</v>
          </cell>
          <cell r="AA606">
            <v>3.5</v>
          </cell>
        </row>
        <row r="607">
          <cell r="A607">
            <v>45133</v>
          </cell>
          <cell r="B607" t="str">
            <v>A1</v>
          </cell>
          <cell r="C607">
            <v>1</v>
          </cell>
          <cell r="D607">
            <v>2</v>
          </cell>
          <cell r="E607" t="str">
            <v>ARIS.A1.Aim2.Bin1.LB</v>
          </cell>
          <cell r="F607">
            <v>4</v>
          </cell>
          <cell r="G607" t="str">
            <v>Unweighted</v>
          </cell>
          <cell r="H607" t="str">
            <v>N</v>
          </cell>
          <cell r="I607" t="str">
            <v>N</v>
          </cell>
          <cell r="J607">
            <v>143</v>
          </cell>
          <cell r="K607">
            <v>1</v>
          </cell>
          <cell r="L607">
            <v>0.80489999999999995</v>
          </cell>
          <cell r="M607">
            <v>15.5</v>
          </cell>
          <cell r="N607">
            <v>6.9</v>
          </cell>
          <cell r="O607">
            <v>0.1951</v>
          </cell>
          <cell r="P607">
            <v>0.1197</v>
          </cell>
          <cell r="Q607">
            <v>1.0500000000000001E-2</v>
          </cell>
          <cell r="R607" t="str">
            <v>NA</v>
          </cell>
          <cell r="S607">
            <v>6.4899999999999999E-2</v>
          </cell>
          <cell r="T607">
            <v>58.4</v>
          </cell>
          <cell r="U607">
            <v>4.7</v>
          </cell>
          <cell r="V607">
            <v>72.900000000000006</v>
          </cell>
          <cell r="W607">
            <v>7.4</v>
          </cell>
          <cell r="X607" t="str">
            <v>NA</v>
          </cell>
          <cell r="Y607" t="str">
            <v>NA</v>
          </cell>
          <cell r="Z607">
            <v>39.1</v>
          </cell>
          <cell r="AA607">
            <v>3.5</v>
          </cell>
        </row>
        <row r="608">
          <cell r="A608">
            <v>45133</v>
          </cell>
          <cell r="B608" t="str">
            <v>A1</v>
          </cell>
          <cell r="C608">
            <v>1</v>
          </cell>
          <cell r="D608" t="str">
            <v>1&amp;2</v>
          </cell>
          <cell r="E608" t="str">
            <v>ARIS.A1.Aim1&amp;Aim2.Bin1.LB</v>
          </cell>
          <cell r="F608">
            <v>4</v>
          </cell>
          <cell r="G608" t="str">
            <v>Unweighted</v>
          </cell>
          <cell r="H608" t="str">
            <v>N</v>
          </cell>
          <cell r="I608" t="str">
            <v>N</v>
          </cell>
          <cell r="J608">
            <v>254</v>
          </cell>
          <cell r="K608">
            <v>1</v>
          </cell>
          <cell r="L608">
            <v>0.78180000000000005</v>
          </cell>
          <cell r="M608">
            <v>16.8</v>
          </cell>
          <cell r="N608">
            <v>7.4</v>
          </cell>
          <cell r="O608">
            <v>0.21820000000000001</v>
          </cell>
          <cell r="P608">
            <v>0.10639999999999999</v>
          </cell>
          <cell r="Q608">
            <v>1.7000000000000001E-2</v>
          </cell>
          <cell r="R608" t="str">
            <v>NA</v>
          </cell>
          <cell r="S608">
            <v>9.4799999999999995E-2</v>
          </cell>
          <cell r="T608">
            <v>58.4</v>
          </cell>
          <cell r="U608">
            <v>4.7</v>
          </cell>
          <cell r="V608">
            <v>72.900000000000006</v>
          </cell>
          <cell r="W608">
            <v>7.4</v>
          </cell>
          <cell r="X608" t="str">
            <v>NA</v>
          </cell>
          <cell r="Y608" t="str">
            <v>NA</v>
          </cell>
          <cell r="Z608">
            <v>39.1</v>
          </cell>
          <cell r="AA608">
            <v>3.5</v>
          </cell>
        </row>
        <row r="609">
          <cell r="A609">
            <v>45133</v>
          </cell>
          <cell r="B609" t="str">
            <v>A1</v>
          </cell>
          <cell r="C609">
            <v>2</v>
          </cell>
          <cell r="D609">
            <v>3</v>
          </cell>
          <cell r="E609" t="str">
            <v>ARIS.A1.Aim3.Bin2.LB</v>
          </cell>
          <cell r="F609">
            <v>4</v>
          </cell>
          <cell r="G609" t="str">
            <v>Unweighted</v>
          </cell>
          <cell r="H609" t="str">
            <v>N</v>
          </cell>
          <cell r="I609" t="str">
            <v>N</v>
          </cell>
          <cell r="J609">
            <v>140</v>
          </cell>
          <cell r="K609">
            <v>0.99990000000000001</v>
          </cell>
          <cell r="L609">
            <v>0.55649999999999999</v>
          </cell>
          <cell r="M609">
            <v>24.9</v>
          </cell>
          <cell r="N609">
            <v>8</v>
          </cell>
          <cell r="O609">
            <v>0.44340000000000002</v>
          </cell>
          <cell r="P609">
            <v>0.1971</v>
          </cell>
          <cell r="Q609">
            <v>0.15970000000000001</v>
          </cell>
          <cell r="R609" t="str">
            <v>NA</v>
          </cell>
          <cell r="S609">
            <v>8.6599999999999996E-2</v>
          </cell>
          <cell r="T609">
            <v>58.4</v>
          </cell>
          <cell r="U609">
            <v>4.7</v>
          </cell>
          <cell r="V609">
            <v>72.900000000000006</v>
          </cell>
          <cell r="W609">
            <v>7.4</v>
          </cell>
          <cell r="X609" t="str">
            <v>NA</v>
          </cell>
          <cell r="Y609" t="str">
            <v>NA</v>
          </cell>
          <cell r="Z609">
            <v>39.1</v>
          </cell>
          <cell r="AA609">
            <v>3.5</v>
          </cell>
        </row>
        <row r="610">
          <cell r="A610">
            <v>45133</v>
          </cell>
          <cell r="B610" t="str">
            <v>A1</v>
          </cell>
          <cell r="C610">
            <v>3</v>
          </cell>
          <cell r="D610">
            <v>3</v>
          </cell>
          <cell r="E610" t="str">
            <v>ARIS.A1.Aim3.Bin3.LB</v>
          </cell>
          <cell r="F610">
            <v>4</v>
          </cell>
          <cell r="G610" t="str">
            <v>Unweighted</v>
          </cell>
          <cell r="H610" t="str">
            <v>N</v>
          </cell>
          <cell r="I610" t="str">
            <v>N</v>
          </cell>
          <cell r="J610">
            <v>114</v>
          </cell>
          <cell r="K610">
            <v>1</v>
          </cell>
          <cell r="L610">
            <v>0.108</v>
          </cell>
          <cell r="M610">
            <v>27.6</v>
          </cell>
          <cell r="N610">
            <v>5.6</v>
          </cell>
          <cell r="O610">
            <v>0.89200000000000002</v>
          </cell>
          <cell r="P610">
            <v>0.17899999999999999</v>
          </cell>
          <cell r="Q610">
            <v>0.43569999999999998</v>
          </cell>
          <cell r="R610" t="str">
            <v>NA</v>
          </cell>
          <cell r="S610">
            <v>0.27729999999999999</v>
          </cell>
          <cell r="T610">
            <v>58.4</v>
          </cell>
          <cell r="U610">
            <v>4.7</v>
          </cell>
          <cell r="V610">
            <v>72.900000000000006</v>
          </cell>
          <cell r="W610">
            <v>7.4</v>
          </cell>
          <cell r="X610" t="str">
            <v>NA</v>
          </cell>
          <cell r="Y610" t="str">
            <v>NA</v>
          </cell>
          <cell r="Z610">
            <v>39.1</v>
          </cell>
          <cell r="AA610">
            <v>3.5</v>
          </cell>
        </row>
        <row r="611">
          <cell r="A611">
            <v>45133</v>
          </cell>
          <cell r="B611" t="str">
            <v>A1</v>
          </cell>
          <cell r="C611">
            <v>4</v>
          </cell>
          <cell r="D611">
            <v>3</v>
          </cell>
          <cell r="E611" t="str">
            <v>ARIS.A1.Aim3.Bin4.LB</v>
          </cell>
          <cell r="F611">
            <v>4</v>
          </cell>
          <cell r="G611" t="str">
            <v>Unweighted</v>
          </cell>
          <cell r="H611" t="str">
            <v>N</v>
          </cell>
          <cell r="I611" t="str">
            <v>N</v>
          </cell>
          <cell r="J611">
            <v>114</v>
          </cell>
          <cell r="K611">
            <v>1</v>
          </cell>
          <cell r="L611">
            <v>0.108</v>
          </cell>
          <cell r="M611">
            <v>27.6</v>
          </cell>
          <cell r="N611">
            <v>5.6</v>
          </cell>
          <cell r="O611">
            <v>0.89200000000000002</v>
          </cell>
          <cell r="P611">
            <v>0.17899999999999999</v>
          </cell>
          <cell r="Q611">
            <v>0.43569999999999998</v>
          </cell>
          <cell r="R611" t="str">
            <v>NA</v>
          </cell>
          <cell r="S611">
            <v>0.27729999999999999</v>
          </cell>
          <cell r="T611">
            <v>58.4</v>
          </cell>
          <cell r="U611">
            <v>4.7</v>
          </cell>
          <cell r="V611">
            <v>72.900000000000006</v>
          </cell>
          <cell r="W611">
            <v>7.4</v>
          </cell>
          <cell r="X611" t="str">
            <v>NA</v>
          </cell>
          <cell r="Y611" t="str">
            <v>NA</v>
          </cell>
          <cell r="Z611">
            <v>39.1</v>
          </cell>
          <cell r="AA611">
            <v>3.5</v>
          </cell>
        </row>
        <row r="612">
          <cell r="A612">
            <v>45133</v>
          </cell>
          <cell r="B612" t="str">
            <v>A2</v>
          </cell>
          <cell r="C612">
            <v>1</v>
          </cell>
          <cell r="D612">
            <v>1</v>
          </cell>
          <cell r="E612" t="str">
            <v>ARIS.A2.Aim1.Bin1.RB</v>
          </cell>
          <cell r="F612">
            <v>4</v>
          </cell>
          <cell r="G612" t="str">
            <v>Unweighted</v>
          </cell>
          <cell r="H612" t="str">
            <v>N</v>
          </cell>
          <cell r="I612" t="str">
            <v>N</v>
          </cell>
          <cell r="J612">
            <v>143</v>
          </cell>
          <cell r="K612">
            <v>1</v>
          </cell>
          <cell r="L612">
            <v>0.90149999999999997</v>
          </cell>
          <cell r="M612">
            <v>17.399999999999999</v>
          </cell>
          <cell r="N612">
            <v>5.9</v>
          </cell>
          <cell r="O612">
            <v>9.8500000000000004E-2</v>
          </cell>
          <cell r="P612">
            <v>3.4299999999999997E-2</v>
          </cell>
          <cell r="Q612">
            <v>0</v>
          </cell>
          <cell r="R612" t="str">
            <v>NA</v>
          </cell>
          <cell r="S612">
            <v>6.4199999999999993E-2</v>
          </cell>
          <cell r="T612">
            <v>58.4</v>
          </cell>
          <cell r="U612">
            <v>4.7</v>
          </cell>
          <cell r="V612">
            <v>72.900000000000006</v>
          </cell>
          <cell r="W612">
            <v>7.4</v>
          </cell>
          <cell r="X612" t="str">
            <v>NA</v>
          </cell>
          <cell r="Y612" t="str">
            <v>NA</v>
          </cell>
          <cell r="Z612">
            <v>39.1</v>
          </cell>
          <cell r="AA612">
            <v>3.5</v>
          </cell>
        </row>
        <row r="613">
          <cell r="A613">
            <v>45133</v>
          </cell>
          <cell r="B613" t="str">
            <v>A2</v>
          </cell>
          <cell r="C613">
            <v>2</v>
          </cell>
          <cell r="D613">
            <v>1</v>
          </cell>
          <cell r="E613" t="str">
            <v>ARIS.A2.Aim1.Bin2.RB</v>
          </cell>
          <cell r="F613">
            <v>4</v>
          </cell>
          <cell r="G613" t="str">
            <v>Unweighted</v>
          </cell>
          <cell r="H613" t="str">
            <v>N</v>
          </cell>
          <cell r="I613" t="str">
            <v>N</v>
          </cell>
          <cell r="J613">
            <v>109</v>
          </cell>
          <cell r="K613">
            <v>1</v>
          </cell>
          <cell r="L613">
            <v>0.65280000000000005</v>
          </cell>
          <cell r="M613">
            <v>25.3</v>
          </cell>
          <cell r="N613">
            <v>5.9</v>
          </cell>
          <cell r="O613">
            <v>0.34720000000000001</v>
          </cell>
          <cell r="P613">
            <v>0.1002</v>
          </cell>
          <cell r="Q613">
            <v>7.2599999999999998E-2</v>
          </cell>
          <cell r="R613" t="str">
            <v>NA</v>
          </cell>
          <cell r="S613">
            <v>0.1744</v>
          </cell>
          <cell r="T613">
            <v>58.4</v>
          </cell>
          <cell r="U613">
            <v>4.7</v>
          </cell>
          <cell r="V613">
            <v>72.900000000000006</v>
          </cell>
          <cell r="W613">
            <v>7.4</v>
          </cell>
          <cell r="X613" t="str">
            <v>NA</v>
          </cell>
          <cell r="Y613" t="str">
            <v>NA</v>
          </cell>
          <cell r="Z613">
            <v>39.1</v>
          </cell>
          <cell r="AA613">
            <v>3.5</v>
          </cell>
        </row>
        <row r="614">
          <cell r="A614">
            <v>45133</v>
          </cell>
          <cell r="B614" t="str">
            <v>A2</v>
          </cell>
          <cell r="C614">
            <v>3</v>
          </cell>
          <cell r="D614">
            <v>1</v>
          </cell>
          <cell r="E614" t="str">
            <v>ARIS.A2.Aim1.Bin3.RB</v>
          </cell>
          <cell r="F614">
            <v>4</v>
          </cell>
          <cell r="G614" t="str">
            <v>Unweighted</v>
          </cell>
          <cell r="H614" t="str">
            <v>N</v>
          </cell>
          <cell r="I614" t="str">
            <v>N</v>
          </cell>
          <cell r="J614">
            <v>77</v>
          </cell>
          <cell r="K614">
            <v>1</v>
          </cell>
          <cell r="L614">
            <v>0.22869999999999999</v>
          </cell>
          <cell r="M614">
            <v>29</v>
          </cell>
          <cell r="N614">
            <v>4</v>
          </cell>
          <cell r="O614">
            <v>0.77129999999999999</v>
          </cell>
          <cell r="P614">
            <v>0.16520000000000001</v>
          </cell>
          <cell r="Q614">
            <v>0.21149999999999999</v>
          </cell>
          <cell r="R614" t="str">
            <v>NA</v>
          </cell>
          <cell r="S614">
            <v>0.39460000000000001</v>
          </cell>
          <cell r="T614">
            <v>58.4</v>
          </cell>
          <cell r="U614">
            <v>4.7</v>
          </cell>
          <cell r="V614">
            <v>72.900000000000006</v>
          </cell>
          <cell r="W614">
            <v>7.4</v>
          </cell>
          <cell r="X614" t="str">
            <v>NA</v>
          </cell>
          <cell r="Y614" t="str">
            <v>NA</v>
          </cell>
          <cell r="Z614">
            <v>39.1</v>
          </cell>
          <cell r="AA614">
            <v>3.5</v>
          </cell>
        </row>
        <row r="615">
          <cell r="A615">
            <v>45133</v>
          </cell>
          <cell r="B615" t="str">
            <v>A2</v>
          </cell>
          <cell r="C615">
            <v>4</v>
          </cell>
          <cell r="D615">
            <v>1</v>
          </cell>
          <cell r="E615" t="str">
            <v>ARIS.A2.Aim1.Bin4.RB</v>
          </cell>
          <cell r="F615">
            <v>4</v>
          </cell>
          <cell r="G615" t="str">
            <v>Unweighted</v>
          </cell>
          <cell r="H615" t="str">
            <v>N</v>
          </cell>
          <cell r="I615" t="str">
            <v>N</v>
          </cell>
          <cell r="J615">
            <v>77</v>
          </cell>
          <cell r="K615">
            <v>1</v>
          </cell>
          <cell r="L615">
            <v>0.22869999999999999</v>
          </cell>
          <cell r="M615">
            <v>29</v>
          </cell>
          <cell r="N615">
            <v>4</v>
          </cell>
          <cell r="O615">
            <v>0.77129999999999999</v>
          </cell>
          <cell r="P615">
            <v>0.16520000000000001</v>
          </cell>
          <cell r="Q615">
            <v>0.21149999999999999</v>
          </cell>
          <cell r="R615" t="str">
            <v>NA</v>
          </cell>
          <cell r="S615">
            <v>0.39460000000000001</v>
          </cell>
          <cell r="T615">
            <v>58.4</v>
          </cell>
          <cell r="U615">
            <v>4.7</v>
          </cell>
          <cell r="V615">
            <v>72.900000000000006</v>
          </cell>
          <cell r="W615">
            <v>7.4</v>
          </cell>
          <cell r="X615" t="str">
            <v>NA</v>
          </cell>
          <cell r="Y615" t="str">
            <v>NA</v>
          </cell>
          <cell r="Z615">
            <v>39.1</v>
          </cell>
          <cell r="AA615">
            <v>3.5</v>
          </cell>
        </row>
        <row r="616">
          <cell r="A616">
            <v>45134</v>
          </cell>
          <cell r="B616" t="str">
            <v>A1</v>
          </cell>
          <cell r="C616">
            <v>1</v>
          </cell>
          <cell r="D616">
            <v>1</v>
          </cell>
          <cell r="E616" t="str">
            <v>ARIS.A1.Aim1.Bin1.LB</v>
          </cell>
          <cell r="F616">
            <v>3</v>
          </cell>
          <cell r="G616" t="str">
            <v>SplineDFA</v>
          </cell>
          <cell r="H616" t="str">
            <v>Y</v>
          </cell>
          <cell r="I616" t="str">
            <v>N</v>
          </cell>
          <cell r="J616">
            <v>111</v>
          </cell>
          <cell r="K616">
            <v>1</v>
          </cell>
          <cell r="L616">
            <v>0.94159999999999999</v>
          </cell>
          <cell r="M616">
            <v>23.7</v>
          </cell>
          <cell r="N616">
            <v>2.7</v>
          </cell>
          <cell r="O616">
            <v>5.8400000000000001E-2</v>
          </cell>
          <cell r="P616">
            <v>5.8400000000000001E-2</v>
          </cell>
          <cell r="Q616">
            <v>0</v>
          </cell>
          <cell r="R616" t="str">
            <v>NA</v>
          </cell>
          <cell r="S616" t="str">
            <v>NA</v>
          </cell>
          <cell r="T616">
            <v>58.4</v>
          </cell>
          <cell r="U616">
            <v>4.7</v>
          </cell>
          <cell r="V616">
            <v>72.900000000000006</v>
          </cell>
          <cell r="W616">
            <v>7.4</v>
          </cell>
          <cell r="X616" t="str">
            <v>NA</v>
          </cell>
          <cell r="Y616" t="str">
            <v>NA</v>
          </cell>
          <cell r="Z616" t="str">
            <v>NA</v>
          </cell>
          <cell r="AA616" t="str">
            <v>NA</v>
          </cell>
        </row>
        <row r="617">
          <cell r="A617">
            <v>45134</v>
          </cell>
          <cell r="B617" t="str">
            <v>A1</v>
          </cell>
          <cell r="C617">
            <v>1</v>
          </cell>
          <cell r="D617">
            <v>2</v>
          </cell>
          <cell r="E617" t="str">
            <v>ARIS.A1.Aim2.Bin1.LB</v>
          </cell>
          <cell r="F617">
            <v>3</v>
          </cell>
          <cell r="G617" t="str">
            <v>SplineDFA</v>
          </cell>
          <cell r="H617" t="str">
            <v>Y</v>
          </cell>
          <cell r="I617" t="str">
            <v>N</v>
          </cell>
          <cell r="J617">
            <v>160</v>
          </cell>
          <cell r="K617">
            <v>1</v>
          </cell>
          <cell r="L617">
            <v>0.81299999999999994</v>
          </cell>
          <cell r="M617">
            <v>23.7</v>
          </cell>
          <cell r="N617">
            <v>2.7</v>
          </cell>
          <cell r="O617">
            <v>0.187</v>
          </cell>
          <cell r="P617">
            <v>0.17910000000000001</v>
          </cell>
          <cell r="Q617">
            <v>7.9000000000000008E-3</v>
          </cell>
          <cell r="R617" t="str">
            <v>NA</v>
          </cell>
          <cell r="S617" t="str">
            <v>NA</v>
          </cell>
          <cell r="T617">
            <v>58.4</v>
          </cell>
          <cell r="U617">
            <v>4.7</v>
          </cell>
          <cell r="V617">
            <v>72.900000000000006</v>
          </cell>
          <cell r="W617">
            <v>7.4</v>
          </cell>
          <cell r="X617" t="str">
            <v>NA</v>
          </cell>
          <cell r="Y617" t="str">
            <v>NA</v>
          </cell>
          <cell r="Z617" t="str">
            <v>NA</v>
          </cell>
          <cell r="AA617" t="str">
            <v>NA</v>
          </cell>
        </row>
        <row r="618">
          <cell r="A618">
            <v>45134</v>
          </cell>
          <cell r="B618" t="str">
            <v>A1</v>
          </cell>
          <cell r="C618">
            <v>2</v>
          </cell>
          <cell r="D618">
            <v>3</v>
          </cell>
          <cell r="E618" t="str">
            <v>ARIS.A1.Aim3.Bin2.LB</v>
          </cell>
          <cell r="F618">
            <v>3</v>
          </cell>
          <cell r="G618" t="str">
            <v>SplineDFA</v>
          </cell>
          <cell r="H618" t="str">
            <v>Y</v>
          </cell>
          <cell r="I618" t="str">
            <v>N</v>
          </cell>
          <cell r="J618">
            <v>147</v>
          </cell>
          <cell r="K618">
            <v>1.0001</v>
          </cell>
          <cell r="L618">
            <v>0.62029999999999996</v>
          </cell>
          <cell r="M618">
            <v>23.7</v>
          </cell>
          <cell r="N618">
            <v>2.7</v>
          </cell>
          <cell r="O618">
            <v>0.37980000000000003</v>
          </cell>
          <cell r="P618">
            <v>0.30520000000000003</v>
          </cell>
          <cell r="Q618">
            <v>7.46E-2</v>
          </cell>
          <cell r="R618" t="str">
            <v>NA</v>
          </cell>
          <cell r="S618" t="str">
            <v>NA</v>
          </cell>
          <cell r="T618">
            <v>58.4</v>
          </cell>
          <cell r="U618">
            <v>4.7</v>
          </cell>
          <cell r="V618">
            <v>72.900000000000006</v>
          </cell>
          <cell r="W618">
            <v>7.4</v>
          </cell>
          <cell r="X618" t="str">
            <v>NA</v>
          </cell>
          <cell r="Y618" t="str">
            <v>NA</v>
          </cell>
          <cell r="Z618" t="str">
            <v>NA</v>
          </cell>
          <cell r="AA618" t="str">
            <v>NA</v>
          </cell>
        </row>
        <row r="619">
          <cell r="A619">
            <v>45134</v>
          </cell>
          <cell r="B619" t="str">
            <v>A1</v>
          </cell>
          <cell r="C619">
            <v>3</v>
          </cell>
          <cell r="D619">
            <v>3</v>
          </cell>
          <cell r="E619" t="str">
            <v>ARIS.A1.Aim3.Bin3.LB</v>
          </cell>
          <cell r="F619">
            <v>3</v>
          </cell>
          <cell r="G619" t="str">
            <v>SplineDFA</v>
          </cell>
          <cell r="H619" t="str">
            <v>Y</v>
          </cell>
          <cell r="I619" t="str">
            <v>N</v>
          </cell>
          <cell r="J619">
            <v>125</v>
          </cell>
          <cell r="K619">
            <v>1</v>
          </cell>
          <cell r="L619">
            <v>0.17699999999999999</v>
          </cell>
          <cell r="M619">
            <v>23.7</v>
          </cell>
          <cell r="N619">
            <v>2.7</v>
          </cell>
          <cell r="O619">
            <v>0.82299999999999995</v>
          </cell>
          <cell r="P619">
            <v>0.53249999999999997</v>
          </cell>
          <cell r="Q619">
            <v>0.29049999999999998</v>
          </cell>
          <cell r="R619" t="str">
            <v>NA</v>
          </cell>
          <cell r="S619" t="str">
            <v>NA</v>
          </cell>
          <cell r="T619">
            <v>58.4</v>
          </cell>
          <cell r="U619">
            <v>4.7</v>
          </cell>
          <cell r="V619">
            <v>72.900000000000006</v>
          </cell>
          <cell r="W619">
            <v>7.4</v>
          </cell>
          <cell r="X619" t="str">
            <v>NA</v>
          </cell>
          <cell r="Y619" t="str">
            <v>NA</v>
          </cell>
          <cell r="Z619" t="str">
            <v>NA</v>
          </cell>
          <cell r="AA619" t="str">
            <v>NA</v>
          </cell>
        </row>
        <row r="620">
          <cell r="A620">
            <v>45134</v>
          </cell>
          <cell r="B620" t="str">
            <v>A1</v>
          </cell>
          <cell r="C620">
            <v>4</v>
          </cell>
          <cell r="D620">
            <v>3</v>
          </cell>
          <cell r="E620" t="str">
            <v>ARIS.A1.Aim3.Bin4.LB</v>
          </cell>
          <cell r="F620">
            <v>3</v>
          </cell>
          <cell r="G620" t="str">
            <v>SplineDFA</v>
          </cell>
          <cell r="H620" t="str">
            <v>Y</v>
          </cell>
          <cell r="I620" t="str">
            <v>N</v>
          </cell>
          <cell r="J620">
            <v>125</v>
          </cell>
          <cell r="K620">
            <v>1</v>
          </cell>
          <cell r="L620">
            <v>0.17699999999999999</v>
          </cell>
          <cell r="M620">
            <v>23.7</v>
          </cell>
          <cell r="N620">
            <v>2.7</v>
          </cell>
          <cell r="O620">
            <v>0.82299999999999995</v>
          </cell>
          <cell r="P620">
            <v>0.53249999999999997</v>
          </cell>
          <cell r="Q620">
            <v>0.29049999999999998</v>
          </cell>
          <cell r="R620" t="str">
            <v>NA</v>
          </cell>
          <cell r="S620" t="str">
            <v>NA</v>
          </cell>
          <cell r="T620">
            <v>58.4</v>
          </cell>
          <cell r="U620">
            <v>4.7</v>
          </cell>
          <cell r="V620">
            <v>72.900000000000006</v>
          </cell>
          <cell r="W620">
            <v>7.4</v>
          </cell>
          <cell r="X620" t="str">
            <v>NA</v>
          </cell>
          <cell r="Y620" t="str">
            <v>NA</v>
          </cell>
          <cell r="Z620" t="str">
            <v>NA</v>
          </cell>
          <cell r="AA620" t="str">
            <v>NA</v>
          </cell>
        </row>
        <row r="621">
          <cell r="A621">
            <v>45134</v>
          </cell>
          <cell r="B621" t="str">
            <v>A1</v>
          </cell>
          <cell r="C621">
            <v>1</v>
          </cell>
          <cell r="D621">
            <v>1</v>
          </cell>
          <cell r="E621" t="str">
            <v>ARIS.A1.Aim1.Bin1.LB</v>
          </cell>
          <cell r="F621">
            <v>3</v>
          </cell>
          <cell r="G621" t="str">
            <v>Unweighted</v>
          </cell>
          <cell r="H621" t="str">
            <v>N</v>
          </cell>
          <cell r="I621" t="str">
            <v>Y</v>
          </cell>
          <cell r="J621">
            <v>111</v>
          </cell>
          <cell r="K621">
            <v>1</v>
          </cell>
          <cell r="L621">
            <v>0.92959999999999998</v>
          </cell>
          <cell r="M621">
            <v>18.399999999999999</v>
          </cell>
          <cell r="N621">
            <v>7.9</v>
          </cell>
          <cell r="O621">
            <v>7.0400000000000004E-2</v>
          </cell>
          <cell r="P621">
            <v>7.0400000000000004E-2</v>
          </cell>
          <cell r="Q621">
            <v>0</v>
          </cell>
          <cell r="R621" t="str">
            <v>NA</v>
          </cell>
          <cell r="S621" t="str">
            <v>NA</v>
          </cell>
          <cell r="T621">
            <v>58.4</v>
          </cell>
          <cell r="U621">
            <v>4.7</v>
          </cell>
          <cell r="V621">
            <v>72.900000000000006</v>
          </cell>
          <cell r="W621">
            <v>7.4</v>
          </cell>
          <cell r="X621" t="str">
            <v>NA</v>
          </cell>
          <cell r="Y621" t="str">
            <v>NA</v>
          </cell>
          <cell r="Z621" t="str">
            <v>NA</v>
          </cell>
          <cell r="AA621" t="str">
            <v>NA</v>
          </cell>
        </row>
        <row r="622">
          <cell r="A622">
            <v>45134</v>
          </cell>
          <cell r="B622" t="str">
            <v>A1</v>
          </cell>
          <cell r="C622">
            <v>1</v>
          </cell>
          <cell r="D622">
            <v>2</v>
          </cell>
          <cell r="E622" t="str">
            <v>ARIS.A1.Aim2.Bin1.LB</v>
          </cell>
          <cell r="F622">
            <v>3</v>
          </cell>
          <cell r="G622" t="str">
            <v>Unweighted</v>
          </cell>
          <cell r="H622" t="str">
            <v>N</v>
          </cell>
          <cell r="I622" t="str">
            <v>Y</v>
          </cell>
          <cell r="J622">
            <v>160</v>
          </cell>
          <cell r="K622">
            <v>1</v>
          </cell>
          <cell r="L622">
            <v>0.82940000000000003</v>
          </cell>
          <cell r="M622">
            <v>15.4</v>
          </cell>
          <cell r="N622">
            <v>6.4</v>
          </cell>
          <cell r="O622">
            <v>0.1706</v>
          </cell>
          <cell r="P622">
            <v>0.1706</v>
          </cell>
          <cell r="Q622">
            <v>0</v>
          </cell>
          <cell r="R622" t="str">
            <v>NA</v>
          </cell>
          <cell r="S622" t="str">
            <v>NA</v>
          </cell>
          <cell r="T622">
            <v>58.4</v>
          </cell>
          <cell r="U622">
            <v>4.7</v>
          </cell>
          <cell r="V622">
            <v>72.900000000000006</v>
          </cell>
          <cell r="W622">
            <v>7.4</v>
          </cell>
          <cell r="X622" t="str">
            <v>NA</v>
          </cell>
          <cell r="Y622" t="str">
            <v>NA</v>
          </cell>
          <cell r="Z622" t="str">
            <v>NA</v>
          </cell>
          <cell r="AA622" t="str">
            <v>NA</v>
          </cell>
        </row>
        <row r="623">
          <cell r="A623">
            <v>45134</v>
          </cell>
          <cell r="B623" t="str">
            <v>A1</v>
          </cell>
          <cell r="C623">
            <v>1</v>
          </cell>
          <cell r="D623" t="str">
            <v>1&amp;2</v>
          </cell>
          <cell r="E623" t="str">
            <v>ARIS.A1.Aim1&amp;Aim2.Bin1.LB</v>
          </cell>
          <cell r="F623">
            <v>3</v>
          </cell>
          <cell r="G623" t="str">
            <v>Unweighted</v>
          </cell>
          <cell r="H623" t="str">
            <v>N</v>
          </cell>
          <cell r="I623" t="str">
            <v>Y</v>
          </cell>
          <cell r="J623">
            <v>271</v>
          </cell>
          <cell r="K623">
            <v>1</v>
          </cell>
          <cell r="L623">
            <v>0.87</v>
          </cell>
          <cell r="M623">
            <v>16.899999999999999</v>
          </cell>
          <cell r="N623">
            <v>7.1</v>
          </cell>
          <cell r="O623">
            <v>0.13</v>
          </cell>
          <cell r="P623">
            <v>0.13</v>
          </cell>
          <cell r="Q623">
            <v>0</v>
          </cell>
          <cell r="R623" t="str">
            <v>NA</v>
          </cell>
          <cell r="S623" t="str">
            <v>NA</v>
          </cell>
          <cell r="T623">
            <v>58.4</v>
          </cell>
          <cell r="U623">
            <v>4.7</v>
          </cell>
          <cell r="V623">
            <v>72.900000000000006</v>
          </cell>
          <cell r="W623">
            <v>7.4</v>
          </cell>
          <cell r="X623" t="str">
            <v>NA</v>
          </cell>
          <cell r="Y623" t="str">
            <v>NA</v>
          </cell>
          <cell r="Z623" t="str">
            <v>NA</v>
          </cell>
          <cell r="AA623" t="str">
            <v>NA</v>
          </cell>
        </row>
        <row r="624">
          <cell r="A624">
            <v>45134</v>
          </cell>
          <cell r="B624" t="str">
            <v>A1</v>
          </cell>
          <cell r="C624">
            <v>2</v>
          </cell>
          <cell r="D624">
            <v>3</v>
          </cell>
          <cell r="E624" t="str">
            <v>ARIS.A1.Aim3.Bin2.LB</v>
          </cell>
          <cell r="F624">
            <v>3</v>
          </cell>
          <cell r="G624" t="str">
            <v>Unweighted</v>
          </cell>
          <cell r="H624" t="str">
            <v>N</v>
          </cell>
          <cell r="I624" t="str">
            <v>Y</v>
          </cell>
          <cell r="J624">
            <v>147</v>
          </cell>
          <cell r="K624">
            <v>1</v>
          </cell>
          <cell r="L624">
            <v>0.72960000000000003</v>
          </cell>
          <cell r="M624">
            <v>27.1</v>
          </cell>
          <cell r="N624">
            <v>10.3</v>
          </cell>
          <cell r="O624">
            <v>0.27039999999999997</v>
          </cell>
          <cell r="P624">
            <v>0.19309999999999999</v>
          </cell>
          <cell r="Q624">
            <v>7.7299999999999994E-2</v>
          </cell>
          <cell r="R624" t="str">
            <v>NA</v>
          </cell>
          <cell r="S624" t="str">
            <v>NA</v>
          </cell>
          <cell r="T624">
            <v>58.4</v>
          </cell>
          <cell r="U624">
            <v>4.7</v>
          </cell>
          <cell r="V624">
            <v>72.900000000000006</v>
          </cell>
          <cell r="W624">
            <v>7.4</v>
          </cell>
          <cell r="X624" t="str">
            <v>NA</v>
          </cell>
          <cell r="Y624" t="str">
            <v>NA</v>
          </cell>
          <cell r="Z624" t="str">
            <v>NA</v>
          </cell>
          <cell r="AA624" t="str">
            <v>NA</v>
          </cell>
        </row>
        <row r="625">
          <cell r="A625">
            <v>45134</v>
          </cell>
          <cell r="B625" t="str">
            <v>A1</v>
          </cell>
          <cell r="C625">
            <v>3</v>
          </cell>
          <cell r="D625">
            <v>3</v>
          </cell>
          <cell r="E625" t="str">
            <v>ARIS.A1.Aim3.Bin3.LB</v>
          </cell>
          <cell r="F625">
            <v>3</v>
          </cell>
          <cell r="G625" t="str">
            <v>Unweighted</v>
          </cell>
          <cell r="H625" t="str">
            <v>N</v>
          </cell>
          <cell r="I625" t="str">
            <v>Y</v>
          </cell>
          <cell r="J625">
            <v>125</v>
          </cell>
          <cell r="K625">
            <v>1</v>
          </cell>
          <cell r="L625">
            <v>0.55220000000000002</v>
          </cell>
          <cell r="M625">
            <v>40</v>
          </cell>
          <cell r="N625">
            <v>8.6</v>
          </cell>
          <cell r="O625">
            <v>0.44779999999999998</v>
          </cell>
          <cell r="P625">
            <v>0.12609999999999999</v>
          </cell>
          <cell r="Q625">
            <v>0.32169999999999999</v>
          </cell>
          <cell r="R625" t="str">
            <v>NA</v>
          </cell>
          <cell r="S625" t="str">
            <v>NA</v>
          </cell>
          <cell r="T625">
            <v>58.4</v>
          </cell>
          <cell r="U625">
            <v>4.7</v>
          </cell>
          <cell r="V625">
            <v>72.900000000000006</v>
          </cell>
          <cell r="W625">
            <v>7.4</v>
          </cell>
          <cell r="X625" t="str">
            <v>NA</v>
          </cell>
          <cell r="Y625" t="str">
            <v>NA</v>
          </cell>
          <cell r="Z625" t="str">
            <v>NA</v>
          </cell>
          <cell r="AA625" t="str">
            <v>NA</v>
          </cell>
        </row>
        <row r="626">
          <cell r="A626">
            <v>45134</v>
          </cell>
          <cell r="B626" t="str">
            <v>A1</v>
          </cell>
          <cell r="C626">
            <v>4</v>
          </cell>
          <cell r="D626">
            <v>3</v>
          </cell>
          <cell r="E626" t="str">
            <v>ARIS.A1.Aim3.Bin4.LB</v>
          </cell>
          <cell r="F626">
            <v>3</v>
          </cell>
          <cell r="G626" t="str">
            <v>Unweighted</v>
          </cell>
          <cell r="H626" t="str">
            <v>N</v>
          </cell>
          <cell r="I626" t="str">
            <v>Y</v>
          </cell>
          <cell r="J626">
            <v>125</v>
          </cell>
          <cell r="K626">
            <v>1</v>
          </cell>
          <cell r="L626">
            <v>0.55220000000000002</v>
          </cell>
          <cell r="M626">
            <v>40</v>
          </cell>
          <cell r="N626">
            <v>8.6</v>
          </cell>
          <cell r="O626">
            <v>0.44779999999999998</v>
          </cell>
          <cell r="P626">
            <v>0.12609999999999999</v>
          </cell>
          <cell r="Q626">
            <v>0.32169999999999999</v>
          </cell>
          <cell r="R626" t="str">
            <v>NA</v>
          </cell>
          <cell r="S626" t="str">
            <v>NA</v>
          </cell>
          <cell r="T626">
            <v>58.4</v>
          </cell>
          <cell r="U626">
            <v>4.7</v>
          </cell>
          <cell r="V626">
            <v>72.900000000000006</v>
          </cell>
          <cell r="W626">
            <v>7.4</v>
          </cell>
          <cell r="X626" t="str">
            <v>NA</v>
          </cell>
          <cell r="Y626" t="str">
            <v>NA</v>
          </cell>
          <cell r="Z626" t="str">
            <v>NA</v>
          </cell>
          <cell r="AA626" t="str">
            <v>NA</v>
          </cell>
        </row>
        <row r="627">
          <cell r="A627">
            <v>45134</v>
          </cell>
          <cell r="B627" t="str">
            <v>A2</v>
          </cell>
          <cell r="C627">
            <v>1</v>
          </cell>
          <cell r="D627">
            <v>1</v>
          </cell>
          <cell r="E627" t="str">
            <v>ARIS.A2.Aim1.Bin1.RB</v>
          </cell>
          <cell r="F627">
            <v>3</v>
          </cell>
          <cell r="G627" t="str">
            <v>Unweighted</v>
          </cell>
          <cell r="H627" t="str">
            <v>N</v>
          </cell>
          <cell r="I627" t="str">
            <v>Y</v>
          </cell>
          <cell r="J627">
            <v>143</v>
          </cell>
          <cell r="K627">
            <v>1</v>
          </cell>
          <cell r="L627">
            <v>0.95389999999999997</v>
          </cell>
          <cell r="M627">
            <v>18.2</v>
          </cell>
          <cell r="N627">
            <v>6.7</v>
          </cell>
          <cell r="O627">
            <v>4.6100000000000002E-2</v>
          </cell>
          <cell r="P627">
            <v>4.6100000000000002E-2</v>
          </cell>
          <cell r="Q627">
            <v>0</v>
          </cell>
          <cell r="R627" t="str">
            <v>NA</v>
          </cell>
          <cell r="S627" t="str">
            <v>NA</v>
          </cell>
          <cell r="T627">
            <v>58.4</v>
          </cell>
          <cell r="U627">
            <v>4.7</v>
          </cell>
          <cell r="V627">
            <v>72.900000000000006</v>
          </cell>
          <cell r="W627">
            <v>7.4</v>
          </cell>
          <cell r="X627" t="str">
            <v>NA</v>
          </cell>
          <cell r="Y627" t="str">
            <v>NA</v>
          </cell>
          <cell r="Z627" t="str">
            <v>NA</v>
          </cell>
          <cell r="AA627" t="str">
            <v>NA</v>
          </cell>
        </row>
        <row r="628">
          <cell r="A628">
            <v>45134</v>
          </cell>
          <cell r="B628" t="str">
            <v>A2</v>
          </cell>
          <cell r="C628">
            <v>2</v>
          </cell>
          <cell r="D628">
            <v>1</v>
          </cell>
          <cell r="E628" t="str">
            <v>ARIS.A2.Aim1.Bin2.RB</v>
          </cell>
          <cell r="F628">
            <v>3</v>
          </cell>
          <cell r="G628" t="str">
            <v>Unweighted</v>
          </cell>
          <cell r="H628" t="str">
            <v>N</v>
          </cell>
          <cell r="I628" t="str">
            <v>Y</v>
          </cell>
          <cell r="J628">
            <v>109</v>
          </cell>
          <cell r="K628">
            <v>0.99990000000000001</v>
          </cell>
          <cell r="L628">
            <v>0.84119999999999995</v>
          </cell>
          <cell r="M628">
            <v>23.7</v>
          </cell>
          <cell r="N628">
            <v>11.1</v>
          </cell>
          <cell r="O628">
            <v>0.15870000000000001</v>
          </cell>
          <cell r="P628">
            <v>8.48E-2</v>
          </cell>
          <cell r="Q628">
            <v>7.3899999999999993E-2</v>
          </cell>
          <cell r="R628" t="str">
            <v>NA</v>
          </cell>
          <cell r="S628" t="str">
            <v>NA</v>
          </cell>
          <cell r="T628">
            <v>58.4</v>
          </cell>
          <cell r="U628">
            <v>4.7</v>
          </cell>
          <cell r="V628">
            <v>72.900000000000006</v>
          </cell>
          <cell r="W628">
            <v>7.4</v>
          </cell>
          <cell r="X628" t="str">
            <v>NA</v>
          </cell>
          <cell r="Y628" t="str">
            <v>NA</v>
          </cell>
          <cell r="Z628" t="str">
            <v>NA</v>
          </cell>
          <cell r="AA628" t="str">
            <v>NA</v>
          </cell>
        </row>
        <row r="629">
          <cell r="A629">
            <v>45134</v>
          </cell>
          <cell r="B629" t="str">
            <v>A2</v>
          </cell>
          <cell r="C629">
            <v>3</v>
          </cell>
          <cell r="D629">
            <v>1</v>
          </cell>
          <cell r="E629" t="str">
            <v>ARIS.A2.Aim1.Bin3.RB</v>
          </cell>
          <cell r="F629">
            <v>3</v>
          </cell>
          <cell r="G629" t="str">
            <v>Unweighted</v>
          </cell>
          <cell r="H629" t="str">
            <v>N</v>
          </cell>
          <cell r="I629" t="str">
            <v>Y</v>
          </cell>
          <cell r="J629">
            <v>77</v>
          </cell>
          <cell r="K629">
            <v>1</v>
          </cell>
          <cell r="L629">
            <v>0.65769999999999995</v>
          </cell>
          <cell r="M629">
            <v>23.7</v>
          </cell>
          <cell r="N629">
            <v>15.9</v>
          </cell>
          <cell r="O629">
            <v>0.34229999999999999</v>
          </cell>
          <cell r="P629">
            <v>0.12839999999999999</v>
          </cell>
          <cell r="Q629">
            <v>0.21390000000000001</v>
          </cell>
          <cell r="R629" t="str">
            <v>NA</v>
          </cell>
          <cell r="S629" t="str">
            <v>NA</v>
          </cell>
          <cell r="T629">
            <v>58.4</v>
          </cell>
          <cell r="U629">
            <v>4.7</v>
          </cell>
          <cell r="V629">
            <v>72.900000000000006</v>
          </cell>
          <cell r="W629">
            <v>7.4</v>
          </cell>
          <cell r="X629" t="str">
            <v>NA</v>
          </cell>
          <cell r="Y629" t="str">
            <v>NA</v>
          </cell>
          <cell r="Z629" t="str">
            <v>NA</v>
          </cell>
          <cell r="AA629" t="str">
            <v>NA</v>
          </cell>
        </row>
        <row r="630">
          <cell r="A630">
            <v>45134</v>
          </cell>
          <cell r="B630" t="str">
            <v>A2</v>
          </cell>
          <cell r="C630">
            <v>4</v>
          </cell>
          <cell r="D630">
            <v>1</v>
          </cell>
          <cell r="E630" t="str">
            <v>ARIS.A2.Aim1.Bin4.RB</v>
          </cell>
          <cell r="F630">
            <v>3</v>
          </cell>
          <cell r="G630" t="str">
            <v>Unweighted</v>
          </cell>
          <cell r="H630" t="str">
            <v>N</v>
          </cell>
          <cell r="I630" t="str">
            <v>Y</v>
          </cell>
          <cell r="J630">
            <v>77</v>
          </cell>
          <cell r="K630">
            <v>1</v>
          </cell>
          <cell r="L630">
            <v>0.65769999999999995</v>
          </cell>
          <cell r="M630">
            <v>23.7</v>
          </cell>
          <cell r="N630">
            <v>15.9</v>
          </cell>
          <cell r="O630">
            <v>0.34229999999999999</v>
          </cell>
          <cell r="P630">
            <v>0.12839999999999999</v>
          </cell>
          <cell r="Q630">
            <v>0.21390000000000001</v>
          </cell>
          <cell r="R630" t="str">
            <v>NA</v>
          </cell>
          <cell r="S630" t="str">
            <v>NA</v>
          </cell>
          <cell r="T630">
            <v>58.4</v>
          </cell>
          <cell r="U630">
            <v>4.7</v>
          </cell>
          <cell r="V630">
            <v>72.900000000000006</v>
          </cell>
          <cell r="W630">
            <v>7.4</v>
          </cell>
          <cell r="X630" t="str">
            <v>NA</v>
          </cell>
          <cell r="Y630" t="str">
            <v>NA</v>
          </cell>
          <cell r="Z630" t="str">
            <v>NA</v>
          </cell>
          <cell r="AA630" t="str">
            <v>NA</v>
          </cell>
        </row>
        <row r="631">
          <cell r="A631">
            <v>45134</v>
          </cell>
          <cell r="B631" t="str">
            <v>A2</v>
          </cell>
          <cell r="C631">
            <v>1</v>
          </cell>
          <cell r="D631">
            <v>1</v>
          </cell>
          <cell r="E631" t="str">
            <v>ARIS.A2.Aim1.Bin1.RB</v>
          </cell>
          <cell r="F631">
            <v>3</v>
          </cell>
          <cell r="G631" t="str">
            <v>SplineDFA</v>
          </cell>
          <cell r="H631" t="str">
            <v>Y</v>
          </cell>
          <cell r="I631" t="str">
            <v>N</v>
          </cell>
          <cell r="J631">
            <v>143</v>
          </cell>
          <cell r="K631">
            <v>1</v>
          </cell>
          <cell r="L631">
            <v>0.94159999999999999</v>
          </cell>
          <cell r="M631">
            <v>23.7</v>
          </cell>
          <cell r="N631">
            <v>2.7</v>
          </cell>
          <cell r="O631">
            <v>5.8400000000000001E-2</v>
          </cell>
          <cell r="P631">
            <v>5.8400000000000001E-2</v>
          </cell>
          <cell r="Q631">
            <v>0</v>
          </cell>
          <cell r="R631" t="str">
            <v>NA</v>
          </cell>
          <cell r="S631" t="str">
            <v>NA</v>
          </cell>
          <cell r="T631">
            <v>58.4</v>
          </cell>
          <cell r="U631">
            <v>4.7</v>
          </cell>
          <cell r="V631">
            <v>72.900000000000006</v>
          </cell>
          <cell r="W631">
            <v>7.4</v>
          </cell>
          <cell r="X631" t="str">
            <v>NA</v>
          </cell>
          <cell r="Y631" t="str">
            <v>NA</v>
          </cell>
          <cell r="Z631" t="str">
            <v>NA</v>
          </cell>
          <cell r="AA631" t="str">
            <v>NA</v>
          </cell>
        </row>
        <row r="632">
          <cell r="A632">
            <v>45134</v>
          </cell>
          <cell r="B632" t="str">
            <v>A2</v>
          </cell>
          <cell r="C632">
            <v>2</v>
          </cell>
          <cell r="D632">
            <v>1</v>
          </cell>
          <cell r="E632" t="str">
            <v>ARIS.A2.Aim1.Bin2.RB</v>
          </cell>
          <cell r="F632">
            <v>3</v>
          </cell>
          <cell r="G632" t="str">
            <v>SplineDFA</v>
          </cell>
          <cell r="H632" t="str">
            <v>Y</v>
          </cell>
          <cell r="I632" t="str">
            <v>N</v>
          </cell>
          <cell r="J632">
            <v>109</v>
          </cell>
          <cell r="K632">
            <v>1</v>
          </cell>
          <cell r="L632">
            <v>0.66810000000000003</v>
          </cell>
          <cell r="M632">
            <v>23.7</v>
          </cell>
          <cell r="N632">
            <v>2.7</v>
          </cell>
          <cell r="O632">
            <v>0.33189999999999997</v>
          </cell>
          <cell r="P632">
            <v>0.25569999999999998</v>
          </cell>
          <cell r="Q632">
            <v>7.6200000000000004E-2</v>
          </cell>
          <cell r="R632" t="str">
            <v>NA</v>
          </cell>
          <cell r="S632" t="str">
            <v>NA</v>
          </cell>
          <cell r="T632">
            <v>58.4</v>
          </cell>
          <cell r="U632">
            <v>4.7</v>
          </cell>
          <cell r="V632">
            <v>72.900000000000006</v>
          </cell>
          <cell r="W632">
            <v>7.4</v>
          </cell>
          <cell r="X632" t="str">
            <v>NA</v>
          </cell>
          <cell r="Y632" t="str">
            <v>NA</v>
          </cell>
          <cell r="Z632" t="str">
            <v>NA</v>
          </cell>
          <cell r="AA632" t="str">
            <v>NA</v>
          </cell>
        </row>
        <row r="633">
          <cell r="A633">
            <v>45134</v>
          </cell>
          <cell r="B633" t="str">
            <v>A2</v>
          </cell>
          <cell r="C633">
            <v>3</v>
          </cell>
          <cell r="D633">
            <v>1</v>
          </cell>
          <cell r="E633" t="str">
            <v>ARIS.A2.Aim1.Bin3.RB</v>
          </cell>
          <cell r="F633">
            <v>3</v>
          </cell>
          <cell r="G633" t="str">
            <v>SplineDFA</v>
          </cell>
          <cell r="H633" t="str">
            <v>Y</v>
          </cell>
          <cell r="I633" t="str">
            <v>N</v>
          </cell>
          <cell r="J633">
            <v>77</v>
          </cell>
          <cell r="K633">
            <v>1</v>
          </cell>
          <cell r="L633">
            <v>0.3095</v>
          </cell>
          <cell r="M633">
            <v>23.7</v>
          </cell>
          <cell r="N633">
            <v>2.7</v>
          </cell>
          <cell r="O633">
            <v>0.6905</v>
          </cell>
          <cell r="P633">
            <v>0.50360000000000005</v>
          </cell>
          <cell r="Q633">
            <v>0.18690000000000001</v>
          </cell>
          <cell r="R633" t="str">
            <v>NA</v>
          </cell>
          <cell r="S633" t="str">
            <v>NA</v>
          </cell>
          <cell r="T633">
            <v>58.4</v>
          </cell>
          <cell r="U633">
            <v>4.7</v>
          </cell>
          <cell r="V633">
            <v>72.900000000000006</v>
          </cell>
          <cell r="W633">
            <v>7.4</v>
          </cell>
          <cell r="X633" t="str">
            <v>NA</v>
          </cell>
          <cell r="Y633" t="str">
            <v>NA</v>
          </cell>
          <cell r="Z633" t="str">
            <v>NA</v>
          </cell>
          <cell r="AA633" t="str">
            <v>NA</v>
          </cell>
        </row>
        <row r="634">
          <cell r="A634">
            <v>45134</v>
          </cell>
          <cell r="B634" t="str">
            <v>A2</v>
          </cell>
          <cell r="C634">
            <v>4</v>
          </cell>
          <cell r="D634">
            <v>1</v>
          </cell>
          <cell r="E634" t="str">
            <v>ARIS.A2.Aim1.Bin4.RB</v>
          </cell>
          <cell r="F634">
            <v>3</v>
          </cell>
          <cell r="G634" t="str">
            <v>SplineDFA</v>
          </cell>
          <cell r="H634" t="str">
            <v>Y</v>
          </cell>
          <cell r="I634" t="str">
            <v>N</v>
          </cell>
          <cell r="J634">
            <v>77</v>
          </cell>
          <cell r="K634">
            <v>1</v>
          </cell>
          <cell r="L634">
            <v>0.3095</v>
          </cell>
          <cell r="M634">
            <v>23.7</v>
          </cell>
          <cell r="N634">
            <v>2.7</v>
          </cell>
          <cell r="O634">
            <v>0.6905</v>
          </cell>
          <cell r="P634">
            <v>0.50360000000000005</v>
          </cell>
          <cell r="Q634">
            <v>0.18690000000000001</v>
          </cell>
          <cell r="R634" t="str">
            <v>NA</v>
          </cell>
          <cell r="S634" t="str">
            <v>NA</v>
          </cell>
          <cell r="T634">
            <v>58.4</v>
          </cell>
          <cell r="U634">
            <v>4.7</v>
          </cell>
          <cell r="V634">
            <v>72.900000000000006</v>
          </cell>
          <cell r="W634">
            <v>7.4</v>
          </cell>
          <cell r="X634" t="str">
            <v>NA</v>
          </cell>
          <cell r="Y634" t="str">
            <v>NA</v>
          </cell>
          <cell r="Z634" t="str">
            <v>NA</v>
          </cell>
          <cell r="AA634" t="str">
            <v>NA</v>
          </cell>
        </row>
        <row r="635">
          <cell r="A635">
            <v>45134</v>
          </cell>
          <cell r="B635" t="str">
            <v>A1</v>
          </cell>
          <cell r="C635">
            <v>1</v>
          </cell>
          <cell r="D635">
            <v>1</v>
          </cell>
          <cell r="E635" t="str">
            <v>ARIS.A1.Aim1.Bin1.LB</v>
          </cell>
          <cell r="F635">
            <v>4</v>
          </cell>
          <cell r="G635" t="str">
            <v>Unweighted</v>
          </cell>
          <cell r="H635" t="str">
            <v>N</v>
          </cell>
          <cell r="I635" t="str">
            <v>N</v>
          </cell>
          <cell r="J635">
            <v>111</v>
          </cell>
          <cell r="K635">
            <v>1.0001</v>
          </cell>
          <cell r="L635">
            <v>0.84509999999999996</v>
          </cell>
          <cell r="M635">
            <v>17.100000000000001</v>
          </cell>
          <cell r="N635">
            <v>6.7</v>
          </cell>
          <cell r="O635">
            <v>0.155</v>
          </cell>
          <cell r="P635">
            <v>3.27E-2</v>
          </cell>
          <cell r="Q635">
            <v>0</v>
          </cell>
          <cell r="R635" t="str">
            <v>NA</v>
          </cell>
          <cell r="S635">
            <v>0.12230000000000001</v>
          </cell>
          <cell r="T635">
            <v>58.4</v>
          </cell>
          <cell r="U635">
            <v>4.7</v>
          </cell>
          <cell r="V635">
            <v>72.900000000000006</v>
          </cell>
          <cell r="W635">
            <v>7.4</v>
          </cell>
          <cell r="X635" t="str">
            <v>NA</v>
          </cell>
          <cell r="Y635" t="str">
            <v>NA</v>
          </cell>
          <cell r="Z635">
            <v>39.1</v>
          </cell>
          <cell r="AA635">
            <v>3.5</v>
          </cell>
        </row>
        <row r="636">
          <cell r="A636">
            <v>45134</v>
          </cell>
          <cell r="B636" t="str">
            <v>A1</v>
          </cell>
          <cell r="C636">
            <v>1</v>
          </cell>
          <cell r="D636">
            <v>2</v>
          </cell>
          <cell r="E636" t="str">
            <v>ARIS.A1.Aim2.Bin1.LB</v>
          </cell>
          <cell r="F636">
            <v>4</v>
          </cell>
          <cell r="G636" t="str">
            <v>Unweighted</v>
          </cell>
          <cell r="H636" t="str">
            <v>N</v>
          </cell>
          <cell r="I636" t="str">
            <v>N</v>
          </cell>
          <cell r="J636">
            <v>160</v>
          </cell>
          <cell r="K636">
            <v>1</v>
          </cell>
          <cell r="L636">
            <v>0.80130000000000001</v>
          </cell>
          <cell r="M636">
            <v>14.9</v>
          </cell>
          <cell r="N636">
            <v>5.6</v>
          </cell>
          <cell r="O636">
            <v>0.19869999999999999</v>
          </cell>
          <cell r="P636">
            <v>0.1203</v>
          </cell>
          <cell r="Q636">
            <v>0</v>
          </cell>
          <cell r="R636" t="str">
            <v>NA</v>
          </cell>
          <cell r="S636">
            <v>7.8399999999999997E-2</v>
          </cell>
          <cell r="T636">
            <v>58.4</v>
          </cell>
          <cell r="U636">
            <v>4.7</v>
          </cell>
          <cell r="V636">
            <v>72.900000000000006</v>
          </cell>
          <cell r="W636">
            <v>7.4</v>
          </cell>
          <cell r="X636" t="str">
            <v>NA</v>
          </cell>
          <cell r="Y636" t="str">
            <v>NA</v>
          </cell>
          <cell r="Z636">
            <v>39.1</v>
          </cell>
          <cell r="AA636">
            <v>3.5</v>
          </cell>
        </row>
        <row r="637">
          <cell r="A637">
            <v>45134</v>
          </cell>
          <cell r="B637" t="str">
            <v>A1</v>
          </cell>
          <cell r="C637">
            <v>1</v>
          </cell>
          <cell r="D637" t="str">
            <v>1&amp;2</v>
          </cell>
          <cell r="E637" t="str">
            <v>ARIS.A1.Aim1&amp;Aim2.Bin1.LB</v>
          </cell>
          <cell r="F637">
            <v>4</v>
          </cell>
          <cell r="G637" t="str">
            <v>Unweighted</v>
          </cell>
          <cell r="H637" t="str">
            <v>N</v>
          </cell>
          <cell r="I637" t="str">
            <v>N</v>
          </cell>
          <cell r="J637">
            <v>271</v>
          </cell>
          <cell r="K637">
            <v>1</v>
          </cell>
          <cell r="L637">
            <v>0.82030000000000003</v>
          </cell>
          <cell r="M637">
            <v>15.9</v>
          </cell>
          <cell r="N637">
            <v>6.1</v>
          </cell>
          <cell r="O637">
            <v>0.1797</v>
          </cell>
          <cell r="P637">
            <v>8.4099999999999994E-2</v>
          </cell>
          <cell r="Q637">
            <v>0</v>
          </cell>
          <cell r="R637" t="str">
            <v>NA</v>
          </cell>
          <cell r="S637">
            <v>9.5600000000000004E-2</v>
          </cell>
          <cell r="T637">
            <v>58.4</v>
          </cell>
          <cell r="U637">
            <v>4.7</v>
          </cell>
          <cell r="V637">
            <v>72.900000000000006</v>
          </cell>
          <cell r="W637">
            <v>7.4</v>
          </cell>
          <cell r="X637" t="str">
            <v>NA</v>
          </cell>
          <cell r="Y637" t="str">
            <v>NA</v>
          </cell>
          <cell r="Z637">
            <v>39.1</v>
          </cell>
          <cell r="AA637">
            <v>3.5</v>
          </cell>
        </row>
        <row r="638">
          <cell r="A638">
            <v>45134</v>
          </cell>
          <cell r="B638" t="str">
            <v>A1</v>
          </cell>
          <cell r="C638">
            <v>2</v>
          </cell>
          <cell r="D638">
            <v>3</v>
          </cell>
          <cell r="E638" t="str">
            <v>ARIS.A1.Aim3.Bin2.LB</v>
          </cell>
          <cell r="F638">
            <v>4</v>
          </cell>
          <cell r="G638" t="str">
            <v>Unweighted</v>
          </cell>
          <cell r="H638" t="str">
            <v>N</v>
          </cell>
          <cell r="I638" t="str">
            <v>N</v>
          </cell>
          <cell r="J638">
            <v>147</v>
          </cell>
          <cell r="K638">
            <v>0.99990000000000001</v>
          </cell>
          <cell r="L638">
            <v>0.73599999999999999</v>
          </cell>
          <cell r="M638">
            <v>27</v>
          </cell>
          <cell r="N638">
            <v>10.5</v>
          </cell>
          <cell r="O638">
            <v>0.26390000000000002</v>
          </cell>
          <cell r="P638">
            <v>0.193</v>
          </cell>
          <cell r="Q638">
            <v>7.0900000000000005E-2</v>
          </cell>
          <cell r="R638" t="str">
            <v>NA</v>
          </cell>
          <cell r="S638">
            <v>0</v>
          </cell>
          <cell r="T638">
            <v>58.4</v>
          </cell>
          <cell r="U638">
            <v>4.7</v>
          </cell>
          <cell r="V638">
            <v>72.900000000000006</v>
          </cell>
          <cell r="W638">
            <v>7.4</v>
          </cell>
          <cell r="X638" t="str">
            <v>NA</v>
          </cell>
          <cell r="Y638" t="str">
            <v>NA</v>
          </cell>
          <cell r="Z638">
            <v>39.1</v>
          </cell>
          <cell r="AA638">
            <v>3.5</v>
          </cell>
        </row>
        <row r="639">
          <cell r="A639">
            <v>45134</v>
          </cell>
          <cell r="B639" t="str">
            <v>A1</v>
          </cell>
          <cell r="C639">
            <v>3</v>
          </cell>
          <cell r="D639">
            <v>3</v>
          </cell>
          <cell r="E639" t="str">
            <v>ARIS.A1.Aim3.Bin3.LB</v>
          </cell>
          <cell r="F639">
            <v>4</v>
          </cell>
          <cell r="G639" t="str">
            <v>Unweighted</v>
          </cell>
          <cell r="H639" t="str">
            <v>N</v>
          </cell>
          <cell r="I639" t="str">
            <v>N</v>
          </cell>
          <cell r="J639">
            <v>125</v>
          </cell>
          <cell r="K639">
            <v>1</v>
          </cell>
          <cell r="L639">
            <v>9.8199999999999996E-2</v>
          </cell>
          <cell r="M639">
            <v>27.7</v>
          </cell>
          <cell r="N639">
            <v>3.8</v>
          </cell>
          <cell r="O639">
            <v>0.90180000000000005</v>
          </cell>
          <cell r="P639">
            <v>0.2389</v>
          </cell>
          <cell r="Q639">
            <v>0.30080000000000001</v>
          </cell>
          <cell r="R639" t="str">
            <v>NA</v>
          </cell>
          <cell r="S639">
            <v>0.36209999999999998</v>
          </cell>
          <cell r="T639">
            <v>58.4</v>
          </cell>
          <cell r="U639">
            <v>4.7</v>
          </cell>
          <cell r="V639">
            <v>72.900000000000006</v>
          </cell>
          <cell r="W639">
            <v>7.4</v>
          </cell>
          <cell r="X639" t="str">
            <v>NA</v>
          </cell>
          <cell r="Y639" t="str">
            <v>NA</v>
          </cell>
          <cell r="Z639">
            <v>39.1</v>
          </cell>
          <cell r="AA639">
            <v>3.5</v>
          </cell>
        </row>
        <row r="640">
          <cell r="A640">
            <v>45134</v>
          </cell>
          <cell r="B640" t="str">
            <v>A1</v>
          </cell>
          <cell r="C640">
            <v>4</v>
          </cell>
          <cell r="D640">
            <v>3</v>
          </cell>
          <cell r="E640" t="str">
            <v>ARIS.A1.Aim3.Bin4.LB</v>
          </cell>
          <cell r="F640">
            <v>4</v>
          </cell>
          <cell r="G640" t="str">
            <v>Unweighted</v>
          </cell>
          <cell r="H640" t="str">
            <v>N</v>
          </cell>
          <cell r="I640" t="str">
            <v>N</v>
          </cell>
          <cell r="J640">
            <v>125</v>
          </cell>
          <cell r="K640">
            <v>1</v>
          </cell>
          <cell r="L640">
            <v>9.8199999999999996E-2</v>
          </cell>
          <cell r="M640">
            <v>27.7</v>
          </cell>
          <cell r="N640">
            <v>3.8</v>
          </cell>
          <cell r="O640">
            <v>0.90180000000000005</v>
          </cell>
          <cell r="P640">
            <v>0.2389</v>
          </cell>
          <cell r="Q640">
            <v>0.30080000000000001</v>
          </cell>
          <cell r="R640" t="str">
            <v>NA</v>
          </cell>
          <cell r="S640">
            <v>0.36209999999999998</v>
          </cell>
          <cell r="T640">
            <v>58.4</v>
          </cell>
          <cell r="U640">
            <v>4.7</v>
          </cell>
          <cell r="V640">
            <v>72.900000000000006</v>
          </cell>
          <cell r="W640">
            <v>7.4</v>
          </cell>
          <cell r="X640" t="str">
            <v>NA</v>
          </cell>
          <cell r="Y640" t="str">
            <v>NA</v>
          </cell>
          <cell r="Z640">
            <v>39.1</v>
          </cell>
          <cell r="AA640">
            <v>3.5</v>
          </cell>
        </row>
        <row r="641">
          <cell r="A641">
            <v>45134</v>
          </cell>
          <cell r="B641" t="str">
            <v>A2</v>
          </cell>
          <cell r="C641">
            <v>1</v>
          </cell>
          <cell r="D641">
            <v>1</v>
          </cell>
          <cell r="E641" t="str">
            <v>ARIS.A2.Aim1.Bin1.RB</v>
          </cell>
          <cell r="F641">
            <v>4</v>
          </cell>
          <cell r="G641" t="str">
            <v>Unweighted</v>
          </cell>
          <cell r="H641" t="str">
            <v>N</v>
          </cell>
          <cell r="I641" t="str">
            <v>N</v>
          </cell>
          <cell r="J641">
            <v>143</v>
          </cell>
          <cell r="K641">
            <v>1</v>
          </cell>
          <cell r="L641">
            <v>0.90149999999999997</v>
          </cell>
          <cell r="M641">
            <v>17.399999999999999</v>
          </cell>
          <cell r="N641">
            <v>5.9</v>
          </cell>
          <cell r="O641">
            <v>9.8500000000000004E-2</v>
          </cell>
          <cell r="P641">
            <v>3.4299999999999997E-2</v>
          </cell>
          <cell r="Q641">
            <v>0</v>
          </cell>
          <cell r="R641" t="str">
            <v>NA</v>
          </cell>
          <cell r="S641">
            <v>6.4199999999999993E-2</v>
          </cell>
          <cell r="T641">
            <v>58.4</v>
          </cell>
          <cell r="U641">
            <v>4.7</v>
          </cell>
          <cell r="V641">
            <v>72.900000000000006</v>
          </cell>
          <cell r="W641">
            <v>7.4</v>
          </cell>
          <cell r="X641" t="str">
            <v>NA</v>
          </cell>
          <cell r="Y641" t="str">
            <v>NA</v>
          </cell>
          <cell r="Z641">
            <v>39.1</v>
          </cell>
          <cell r="AA641">
            <v>3.5</v>
          </cell>
        </row>
        <row r="642">
          <cell r="A642">
            <v>45134</v>
          </cell>
          <cell r="B642" t="str">
            <v>A2</v>
          </cell>
          <cell r="C642">
            <v>2</v>
          </cell>
          <cell r="D642">
            <v>1</v>
          </cell>
          <cell r="E642" t="str">
            <v>ARIS.A2.Aim1.Bin2.RB</v>
          </cell>
          <cell r="F642">
            <v>4</v>
          </cell>
          <cell r="G642" t="str">
            <v>Unweighted</v>
          </cell>
          <cell r="H642" t="str">
            <v>N</v>
          </cell>
          <cell r="I642" t="str">
            <v>N</v>
          </cell>
          <cell r="J642">
            <v>109</v>
          </cell>
          <cell r="K642">
            <v>1</v>
          </cell>
          <cell r="L642">
            <v>0.65280000000000005</v>
          </cell>
          <cell r="M642">
            <v>25.3</v>
          </cell>
          <cell r="N642">
            <v>5.9</v>
          </cell>
          <cell r="O642">
            <v>0.34720000000000001</v>
          </cell>
          <cell r="P642">
            <v>0.1002</v>
          </cell>
          <cell r="Q642">
            <v>7.2599999999999998E-2</v>
          </cell>
          <cell r="R642" t="str">
            <v>NA</v>
          </cell>
          <cell r="S642">
            <v>0.1744</v>
          </cell>
          <cell r="T642">
            <v>58.4</v>
          </cell>
          <cell r="U642">
            <v>4.7</v>
          </cell>
          <cell r="V642">
            <v>72.900000000000006</v>
          </cell>
          <cell r="W642">
            <v>7.4</v>
          </cell>
          <cell r="X642" t="str">
            <v>NA</v>
          </cell>
          <cell r="Y642" t="str">
            <v>NA</v>
          </cell>
          <cell r="Z642">
            <v>39.1</v>
          </cell>
          <cell r="AA642">
            <v>3.5</v>
          </cell>
        </row>
        <row r="643">
          <cell r="A643">
            <v>45134</v>
          </cell>
          <cell r="B643" t="str">
            <v>A2</v>
          </cell>
          <cell r="C643">
            <v>3</v>
          </cell>
          <cell r="D643">
            <v>1</v>
          </cell>
          <cell r="E643" t="str">
            <v>ARIS.A2.Aim1.Bin3.RB</v>
          </cell>
          <cell r="F643">
            <v>4</v>
          </cell>
          <cell r="G643" t="str">
            <v>Unweighted</v>
          </cell>
          <cell r="H643" t="str">
            <v>N</v>
          </cell>
          <cell r="I643" t="str">
            <v>N</v>
          </cell>
          <cell r="J643">
            <v>77</v>
          </cell>
          <cell r="K643">
            <v>1</v>
          </cell>
          <cell r="L643">
            <v>0.22869999999999999</v>
          </cell>
          <cell r="M643">
            <v>29</v>
          </cell>
          <cell r="N643">
            <v>4</v>
          </cell>
          <cell r="O643">
            <v>0.77129999999999999</v>
          </cell>
          <cell r="P643">
            <v>0.16520000000000001</v>
          </cell>
          <cell r="Q643">
            <v>0.21149999999999999</v>
          </cell>
          <cell r="R643" t="str">
            <v>NA</v>
          </cell>
          <cell r="S643">
            <v>0.39460000000000001</v>
          </cell>
          <cell r="T643">
            <v>58.4</v>
          </cell>
          <cell r="U643">
            <v>4.7</v>
          </cell>
          <cell r="V643">
            <v>72.900000000000006</v>
          </cell>
          <cell r="W643">
            <v>7.4</v>
          </cell>
          <cell r="X643" t="str">
            <v>NA</v>
          </cell>
          <cell r="Y643" t="str">
            <v>NA</v>
          </cell>
          <cell r="Z643">
            <v>39.1</v>
          </cell>
          <cell r="AA643">
            <v>3.5</v>
          </cell>
        </row>
        <row r="644">
          <cell r="A644">
            <v>45134</v>
          </cell>
          <cell r="B644" t="str">
            <v>A2</v>
          </cell>
          <cell r="C644">
            <v>4</v>
          </cell>
          <cell r="D644">
            <v>1</v>
          </cell>
          <cell r="E644" t="str">
            <v>ARIS.A2.Aim1.Bin4.RB</v>
          </cell>
          <cell r="F644">
            <v>4</v>
          </cell>
          <cell r="G644" t="str">
            <v>Unweighted</v>
          </cell>
          <cell r="H644" t="str">
            <v>N</v>
          </cell>
          <cell r="I644" t="str">
            <v>N</v>
          </cell>
          <cell r="J644">
            <v>77</v>
          </cell>
          <cell r="K644">
            <v>1</v>
          </cell>
          <cell r="L644">
            <v>0.22869999999999999</v>
          </cell>
          <cell r="M644">
            <v>29</v>
          </cell>
          <cell r="N644">
            <v>4</v>
          </cell>
          <cell r="O644">
            <v>0.77129999999999999</v>
          </cell>
          <cell r="P644">
            <v>0.16520000000000001</v>
          </cell>
          <cell r="Q644">
            <v>0.21149999999999999</v>
          </cell>
          <cell r="R644" t="str">
            <v>NA</v>
          </cell>
          <cell r="S644">
            <v>0.39460000000000001</v>
          </cell>
          <cell r="T644">
            <v>58.4</v>
          </cell>
          <cell r="U644">
            <v>4.7</v>
          </cell>
          <cell r="V644">
            <v>72.900000000000006</v>
          </cell>
          <cell r="W644">
            <v>7.4</v>
          </cell>
          <cell r="X644" t="str">
            <v>NA</v>
          </cell>
          <cell r="Y644" t="str">
            <v>NA</v>
          </cell>
          <cell r="Z644">
            <v>39.1</v>
          </cell>
          <cell r="AA644">
            <v>3.5</v>
          </cell>
        </row>
        <row r="645">
          <cell r="A645">
            <v>45135</v>
          </cell>
          <cell r="B645" t="str">
            <v>A1</v>
          </cell>
          <cell r="C645">
            <v>1</v>
          </cell>
          <cell r="D645">
            <v>1</v>
          </cell>
          <cell r="E645" t="str">
            <v>ARIS.A1.Aim1.Bin1.LB</v>
          </cell>
          <cell r="F645">
            <v>3</v>
          </cell>
          <cell r="G645" t="str">
            <v>SplineDFA</v>
          </cell>
          <cell r="H645" t="str">
            <v>Y</v>
          </cell>
          <cell r="I645" t="str">
            <v>N</v>
          </cell>
          <cell r="J645">
            <v>86</v>
          </cell>
          <cell r="K645">
            <v>1</v>
          </cell>
          <cell r="L645">
            <v>0.7399</v>
          </cell>
          <cell r="M645">
            <v>23.7</v>
          </cell>
          <cell r="N645">
            <v>2.7</v>
          </cell>
          <cell r="O645">
            <v>0.2601</v>
          </cell>
          <cell r="P645">
            <v>0.21190000000000001</v>
          </cell>
          <cell r="Q645">
            <v>4.82E-2</v>
          </cell>
          <cell r="R645" t="str">
            <v>NA</v>
          </cell>
          <cell r="S645" t="str">
            <v>NA</v>
          </cell>
          <cell r="T645">
            <v>58.4</v>
          </cell>
          <cell r="U645">
            <v>4.7</v>
          </cell>
          <cell r="V645">
            <v>72.900000000000006</v>
          </cell>
          <cell r="W645">
            <v>7.4</v>
          </cell>
          <cell r="X645" t="str">
            <v>NA</v>
          </cell>
          <cell r="Y645" t="str">
            <v>NA</v>
          </cell>
          <cell r="Z645" t="str">
            <v>NA</v>
          </cell>
          <cell r="AA645" t="str">
            <v>NA</v>
          </cell>
        </row>
        <row r="646">
          <cell r="A646">
            <v>45135</v>
          </cell>
          <cell r="B646" t="str">
            <v>A1</v>
          </cell>
          <cell r="C646">
            <v>1</v>
          </cell>
          <cell r="D646">
            <v>2</v>
          </cell>
          <cell r="E646" t="str">
            <v>ARIS.A1.Aim2.Bin1.LB</v>
          </cell>
          <cell r="F646">
            <v>3</v>
          </cell>
          <cell r="G646" t="str">
            <v>SplineDFA</v>
          </cell>
          <cell r="H646" t="str">
            <v>Y</v>
          </cell>
          <cell r="I646" t="str">
            <v>N</v>
          </cell>
          <cell r="J646">
            <v>149</v>
          </cell>
          <cell r="K646">
            <v>1.0001</v>
          </cell>
          <cell r="L646">
            <v>0.80230000000000001</v>
          </cell>
          <cell r="M646">
            <v>23.7</v>
          </cell>
          <cell r="N646">
            <v>2.7</v>
          </cell>
          <cell r="O646">
            <v>0.1978</v>
          </cell>
          <cell r="P646">
            <v>0.1759</v>
          </cell>
          <cell r="Q646">
            <v>2.1899999999999999E-2</v>
          </cell>
          <cell r="R646" t="str">
            <v>NA</v>
          </cell>
          <cell r="S646" t="str">
            <v>NA</v>
          </cell>
          <cell r="T646">
            <v>58.4</v>
          </cell>
          <cell r="U646">
            <v>4.7</v>
          </cell>
          <cell r="V646">
            <v>72.900000000000006</v>
          </cell>
          <cell r="W646">
            <v>7.4</v>
          </cell>
          <cell r="X646" t="str">
            <v>NA</v>
          </cell>
          <cell r="Y646" t="str">
            <v>NA</v>
          </cell>
          <cell r="Z646" t="str">
            <v>NA</v>
          </cell>
          <cell r="AA646" t="str">
            <v>NA</v>
          </cell>
        </row>
        <row r="647">
          <cell r="A647">
            <v>45135</v>
          </cell>
          <cell r="B647" t="str">
            <v>A1</v>
          </cell>
          <cell r="C647">
            <v>2</v>
          </cell>
          <cell r="D647">
            <v>3</v>
          </cell>
          <cell r="E647" t="str">
            <v>ARIS.A1.Aim3.Bin2.LB</v>
          </cell>
          <cell r="F647">
            <v>3</v>
          </cell>
          <cell r="G647" t="str">
            <v>SplineDFA</v>
          </cell>
          <cell r="H647" t="str">
            <v>Y</v>
          </cell>
          <cell r="I647" t="str">
            <v>N</v>
          </cell>
          <cell r="J647">
            <v>87</v>
          </cell>
          <cell r="K647">
            <v>1</v>
          </cell>
          <cell r="L647">
            <v>0.47560000000000002</v>
          </cell>
          <cell r="M647">
            <v>23.7</v>
          </cell>
          <cell r="N647">
            <v>2.7</v>
          </cell>
          <cell r="O647">
            <v>0.52439999999999998</v>
          </cell>
          <cell r="P647">
            <v>0.35410000000000003</v>
          </cell>
          <cell r="Q647">
            <v>0.17030000000000001</v>
          </cell>
          <cell r="R647" t="str">
            <v>NA</v>
          </cell>
          <cell r="S647" t="str">
            <v>NA</v>
          </cell>
          <cell r="T647">
            <v>58.4</v>
          </cell>
          <cell r="U647">
            <v>4.7</v>
          </cell>
          <cell r="V647">
            <v>72.900000000000006</v>
          </cell>
          <cell r="W647">
            <v>7.4</v>
          </cell>
          <cell r="X647" t="str">
            <v>NA</v>
          </cell>
          <cell r="Y647" t="str">
            <v>NA</v>
          </cell>
          <cell r="Z647" t="str">
            <v>NA</v>
          </cell>
          <cell r="AA647" t="str">
            <v>NA</v>
          </cell>
        </row>
        <row r="648">
          <cell r="A648">
            <v>45135</v>
          </cell>
          <cell r="B648" t="str">
            <v>A1</v>
          </cell>
          <cell r="C648">
            <v>3</v>
          </cell>
          <cell r="D648">
            <v>3</v>
          </cell>
          <cell r="E648" t="str">
            <v>ARIS.A1.Aim3.Bin3.LB</v>
          </cell>
          <cell r="F648">
            <v>3</v>
          </cell>
          <cell r="G648" t="str">
            <v>SplineDFA</v>
          </cell>
          <cell r="H648" t="str">
            <v>Y</v>
          </cell>
          <cell r="I648" t="str">
            <v>N</v>
          </cell>
          <cell r="J648">
            <v>90</v>
          </cell>
          <cell r="K648">
            <v>1</v>
          </cell>
          <cell r="L648">
            <v>0.1673</v>
          </cell>
          <cell r="M648">
            <v>23.7</v>
          </cell>
          <cell r="N648">
            <v>2.7</v>
          </cell>
          <cell r="O648">
            <v>0.8327</v>
          </cell>
          <cell r="P648">
            <v>0.37659999999999999</v>
          </cell>
          <cell r="Q648">
            <v>0.45610000000000001</v>
          </cell>
          <cell r="R648" t="str">
            <v>NA</v>
          </cell>
          <cell r="S648" t="str">
            <v>NA</v>
          </cell>
          <cell r="T648">
            <v>58.4</v>
          </cell>
          <cell r="U648">
            <v>4.7</v>
          </cell>
          <cell r="V648">
            <v>72.900000000000006</v>
          </cell>
          <cell r="W648">
            <v>7.4</v>
          </cell>
          <cell r="X648" t="str">
            <v>NA</v>
          </cell>
          <cell r="Y648" t="str">
            <v>NA</v>
          </cell>
          <cell r="Z648" t="str">
            <v>NA</v>
          </cell>
          <cell r="AA648" t="str">
            <v>NA</v>
          </cell>
        </row>
        <row r="649">
          <cell r="A649">
            <v>45135</v>
          </cell>
          <cell r="B649" t="str">
            <v>A1</v>
          </cell>
          <cell r="C649">
            <v>4</v>
          </cell>
          <cell r="D649">
            <v>3</v>
          </cell>
          <cell r="E649" t="str">
            <v>ARIS.A1.Aim3.Bin4.LB</v>
          </cell>
          <cell r="F649">
            <v>3</v>
          </cell>
          <cell r="G649" t="str">
            <v>SplineDFA</v>
          </cell>
          <cell r="H649" t="str">
            <v>Y</v>
          </cell>
          <cell r="I649" t="str">
            <v>N</v>
          </cell>
          <cell r="J649">
            <v>90</v>
          </cell>
          <cell r="K649">
            <v>1</v>
          </cell>
          <cell r="L649">
            <v>0.1673</v>
          </cell>
          <cell r="M649">
            <v>23.7</v>
          </cell>
          <cell r="N649">
            <v>2.7</v>
          </cell>
          <cell r="O649">
            <v>0.8327</v>
          </cell>
          <cell r="P649">
            <v>0.37659999999999999</v>
          </cell>
          <cell r="Q649">
            <v>0.45610000000000001</v>
          </cell>
          <cell r="R649" t="str">
            <v>NA</v>
          </cell>
          <cell r="S649" t="str">
            <v>NA</v>
          </cell>
          <cell r="T649">
            <v>58.4</v>
          </cell>
          <cell r="U649">
            <v>4.7</v>
          </cell>
          <cell r="V649">
            <v>72.900000000000006</v>
          </cell>
          <cell r="W649">
            <v>7.4</v>
          </cell>
          <cell r="X649" t="str">
            <v>NA</v>
          </cell>
          <cell r="Y649" t="str">
            <v>NA</v>
          </cell>
          <cell r="Z649" t="str">
            <v>NA</v>
          </cell>
          <cell r="AA649" t="str">
            <v>NA</v>
          </cell>
        </row>
        <row r="650">
          <cell r="A650">
            <v>45135</v>
          </cell>
          <cell r="B650" t="str">
            <v>A1</v>
          </cell>
          <cell r="C650">
            <v>1</v>
          </cell>
          <cell r="D650">
            <v>1</v>
          </cell>
          <cell r="E650" t="str">
            <v>ARIS.A1.Aim1.Bin1.LB</v>
          </cell>
          <cell r="F650">
            <v>3</v>
          </cell>
          <cell r="G650" t="str">
            <v>Unweighted</v>
          </cell>
          <cell r="H650" t="str">
            <v>N</v>
          </cell>
          <cell r="I650" t="str">
            <v>Y</v>
          </cell>
          <cell r="J650">
            <v>86</v>
          </cell>
          <cell r="K650">
            <v>1</v>
          </cell>
          <cell r="L650">
            <v>0.86899999999999999</v>
          </cell>
          <cell r="M650">
            <v>22</v>
          </cell>
          <cell r="N650">
            <v>9.1999999999999993</v>
          </cell>
          <cell r="O650">
            <v>0.13100000000000001</v>
          </cell>
          <cell r="P650">
            <v>8.6999999999999994E-2</v>
          </cell>
          <cell r="Q650">
            <v>4.3999999999999997E-2</v>
          </cell>
          <cell r="R650" t="str">
            <v>NA</v>
          </cell>
          <cell r="S650" t="str">
            <v>NA</v>
          </cell>
          <cell r="T650">
            <v>58.4</v>
          </cell>
          <cell r="U650">
            <v>4.7</v>
          </cell>
          <cell r="V650">
            <v>72.900000000000006</v>
          </cell>
          <cell r="W650">
            <v>7.4</v>
          </cell>
          <cell r="X650" t="str">
            <v>NA</v>
          </cell>
          <cell r="Y650" t="str">
            <v>NA</v>
          </cell>
          <cell r="Z650" t="str">
            <v>NA</v>
          </cell>
          <cell r="AA650" t="str">
            <v>NA</v>
          </cell>
        </row>
        <row r="651">
          <cell r="A651">
            <v>45135</v>
          </cell>
          <cell r="B651" t="str">
            <v>A1</v>
          </cell>
          <cell r="C651">
            <v>1</v>
          </cell>
          <cell r="D651">
            <v>2</v>
          </cell>
          <cell r="E651" t="str">
            <v>ARIS.A1.Aim2.Bin1.LB</v>
          </cell>
          <cell r="F651">
            <v>3</v>
          </cell>
          <cell r="G651" t="str">
            <v>Unweighted</v>
          </cell>
          <cell r="H651" t="str">
            <v>N</v>
          </cell>
          <cell r="I651" t="str">
            <v>Y</v>
          </cell>
          <cell r="J651">
            <v>149</v>
          </cell>
          <cell r="K651">
            <v>1</v>
          </cell>
          <cell r="L651">
            <v>0.84960000000000002</v>
          </cell>
          <cell r="M651">
            <v>17</v>
          </cell>
          <cell r="N651">
            <v>7.8</v>
          </cell>
          <cell r="O651">
            <v>0.15040000000000001</v>
          </cell>
          <cell r="P651">
            <v>0.14019999999999999</v>
          </cell>
          <cell r="Q651">
            <v>1.0200000000000001E-2</v>
          </cell>
          <cell r="R651" t="str">
            <v>NA</v>
          </cell>
          <cell r="S651" t="str">
            <v>NA</v>
          </cell>
          <cell r="T651">
            <v>58.4</v>
          </cell>
          <cell r="U651">
            <v>4.7</v>
          </cell>
          <cell r="V651">
            <v>72.900000000000006</v>
          </cell>
          <cell r="W651">
            <v>7.4</v>
          </cell>
          <cell r="X651" t="str">
            <v>NA</v>
          </cell>
          <cell r="Y651" t="str">
            <v>NA</v>
          </cell>
          <cell r="Z651" t="str">
            <v>NA</v>
          </cell>
          <cell r="AA651" t="str">
            <v>NA</v>
          </cell>
        </row>
        <row r="652">
          <cell r="A652">
            <v>45135</v>
          </cell>
          <cell r="B652" t="str">
            <v>A1</v>
          </cell>
          <cell r="C652">
            <v>1</v>
          </cell>
          <cell r="D652" t="str">
            <v>1&amp;2</v>
          </cell>
          <cell r="E652" t="str">
            <v>ARIS.A1.Aim1&amp;Aim2.Bin1.LB</v>
          </cell>
          <cell r="F652">
            <v>3</v>
          </cell>
          <cell r="G652" t="str">
            <v>Unweighted</v>
          </cell>
          <cell r="H652" t="str">
            <v>N</v>
          </cell>
          <cell r="I652" t="str">
            <v>Y</v>
          </cell>
          <cell r="J652">
            <v>235</v>
          </cell>
          <cell r="K652">
            <v>1.0001</v>
          </cell>
          <cell r="L652">
            <v>0.85470000000000002</v>
          </cell>
          <cell r="M652">
            <v>18.8</v>
          </cell>
          <cell r="N652">
            <v>8.5</v>
          </cell>
          <cell r="O652">
            <v>0.1454</v>
          </cell>
          <cell r="P652">
            <v>0.1225</v>
          </cell>
          <cell r="Q652">
            <v>2.29E-2</v>
          </cell>
          <cell r="R652" t="str">
            <v>NA</v>
          </cell>
          <cell r="S652" t="str">
            <v>NA</v>
          </cell>
          <cell r="T652">
            <v>58.4</v>
          </cell>
          <cell r="U652">
            <v>4.7</v>
          </cell>
          <cell r="V652">
            <v>72.900000000000006</v>
          </cell>
          <cell r="W652">
            <v>7.4</v>
          </cell>
          <cell r="X652" t="str">
            <v>NA</v>
          </cell>
          <cell r="Y652" t="str">
            <v>NA</v>
          </cell>
          <cell r="Z652" t="str">
            <v>NA</v>
          </cell>
          <cell r="AA652" t="str">
            <v>NA</v>
          </cell>
        </row>
        <row r="653">
          <cell r="A653">
            <v>45135</v>
          </cell>
          <cell r="B653" t="str">
            <v>A1</v>
          </cell>
          <cell r="C653">
            <v>2</v>
          </cell>
          <cell r="D653">
            <v>3</v>
          </cell>
          <cell r="E653" t="str">
            <v>ARIS.A1.Aim3.Bin2.LB</v>
          </cell>
          <cell r="F653">
            <v>3</v>
          </cell>
          <cell r="G653" t="str">
            <v>Unweighted</v>
          </cell>
          <cell r="H653" t="str">
            <v>N</v>
          </cell>
          <cell r="I653" t="str">
            <v>Y</v>
          </cell>
          <cell r="J653">
            <v>87</v>
          </cell>
          <cell r="K653">
            <v>1</v>
          </cell>
          <cell r="L653">
            <v>0.5927</v>
          </cell>
          <cell r="M653">
            <v>28.3</v>
          </cell>
          <cell r="N653">
            <v>6.9</v>
          </cell>
          <cell r="O653">
            <v>0.4073</v>
          </cell>
          <cell r="P653">
            <v>0.2666</v>
          </cell>
          <cell r="Q653">
            <v>0.14069999999999999</v>
          </cell>
          <cell r="R653" t="str">
            <v>NA</v>
          </cell>
          <cell r="S653" t="str">
            <v>NA</v>
          </cell>
          <cell r="T653">
            <v>58.4</v>
          </cell>
          <cell r="U653">
            <v>4.7</v>
          </cell>
          <cell r="V653">
            <v>72.900000000000006</v>
          </cell>
          <cell r="W653">
            <v>7.4</v>
          </cell>
          <cell r="X653" t="str">
            <v>NA</v>
          </cell>
          <cell r="Y653" t="str">
            <v>NA</v>
          </cell>
          <cell r="Z653" t="str">
            <v>NA</v>
          </cell>
          <cell r="AA653" t="str">
            <v>NA</v>
          </cell>
        </row>
        <row r="654">
          <cell r="A654">
            <v>45135</v>
          </cell>
          <cell r="B654" t="str">
            <v>A1</v>
          </cell>
          <cell r="C654">
            <v>3</v>
          </cell>
          <cell r="D654">
            <v>3</v>
          </cell>
          <cell r="E654" t="str">
            <v>ARIS.A1.Aim3.Bin3.LB</v>
          </cell>
          <cell r="F654">
            <v>3</v>
          </cell>
          <cell r="G654" t="str">
            <v>Unweighted</v>
          </cell>
          <cell r="H654" t="str">
            <v>N</v>
          </cell>
          <cell r="I654" t="str">
            <v>Y</v>
          </cell>
          <cell r="J654">
            <v>90</v>
          </cell>
          <cell r="K654">
            <v>1.0001</v>
          </cell>
          <cell r="L654">
            <v>0.46860000000000002</v>
          </cell>
          <cell r="M654">
            <v>37.299999999999997</v>
          </cell>
          <cell r="N654">
            <v>7.9</v>
          </cell>
          <cell r="O654">
            <v>0.53149999999999997</v>
          </cell>
          <cell r="P654">
            <v>4.1500000000000002E-2</v>
          </cell>
          <cell r="Q654">
            <v>0.49</v>
          </cell>
          <cell r="R654" t="str">
            <v>NA</v>
          </cell>
          <cell r="S654" t="str">
            <v>NA</v>
          </cell>
          <cell r="T654">
            <v>58.4</v>
          </cell>
          <cell r="U654">
            <v>4.7</v>
          </cell>
          <cell r="V654">
            <v>72.900000000000006</v>
          </cell>
          <cell r="W654">
            <v>7.4</v>
          </cell>
          <cell r="X654" t="str">
            <v>NA</v>
          </cell>
          <cell r="Y654" t="str">
            <v>NA</v>
          </cell>
          <cell r="Z654" t="str">
            <v>NA</v>
          </cell>
          <cell r="AA654" t="str">
            <v>NA</v>
          </cell>
        </row>
        <row r="655">
          <cell r="A655">
            <v>45135</v>
          </cell>
          <cell r="B655" t="str">
            <v>A1</v>
          </cell>
          <cell r="C655">
            <v>4</v>
          </cell>
          <cell r="D655">
            <v>3</v>
          </cell>
          <cell r="E655" t="str">
            <v>ARIS.A1.Aim3.Bin4.LB</v>
          </cell>
          <cell r="F655">
            <v>3</v>
          </cell>
          <cell r="G655" t="str">
            <v>Unweighted</v>
          </cell>
          <cell r="H655" t="str">
            <v>N</v>
          </cell>
          <cell r="I655" t="str">
            <v>Y</v>
          </cell>
          <cell r="J655">
            <v>90</v>
          </cell>
          <cell r="K655">
            <v>1.0001</v>
          </cell>
          <cell r="L655">
            <v>0.46860000000000002</v>
          </cell>
          <cell r="M655">
            <v>37.299999999999997</v>
          </cell>
          <cell r="N655">
            <v>7.9</v>
          </cell>
          <cell r="O655">
            <v>0.53149999999999997</v>
          </cell>
          <cell r="P655">
            <v>4.1500000000000002E-2</v>
          </cell>
          <cell r="Q655">
            <v>0.49</v>
          </cell>
          <cell r="R655" t="str">
            <v>NA</v>
          </cell>
          <cell r="S655" t="str">
            <v>NA</v>
          </cell>
          <cell r="T655">
            <v>58.4</v>
          </cell>
          <cell r="U655">
            <v>4.7</v>
          </cell>
          <cell r="V655">
            <v>72.900000000000006</v>
          </cell>
          <cell r="W655">
            <v>7.4</v>
          </cell>
          <cell r="X655" t="str">
            <v>NA</v>
          </cell>
          <cell r="Y655" t="str">
            <v>NA</v>
          </cell>
          <cell r="Z655" t="str">
            <v>NA</v>
          </cell>
          <cell r="AA655" t="str">
            <v>NA</v>
          </cell>
        </row>
        <row r="656">
          <cell r="A656">
            <v>45135</v>
          </cell>
          <cell r="B656" t="str">
            <v>A2</v>
          </cell>
          <cell r="C656">
            <v>1</v>
          </cell>
          <cell r="D656">
            <v>1</v>
          </cell>
          <cell r="E656" t="str">
            <v>ARIS.A2.Aim1.Bin1.RB</v>
          </cell>
          <cell r="F656">
            <v>3</v>
          </cell>
          <cell r="G656" t="str">
            <v>Unweighted</v>
          </cell>
          <cell r="H656" t="str">
            <v>N</v>
          </cell>
          <cell r="I656" t="str">
            <v>Y</v>
          </cell>
          <cell r="J656">
            <v>166</v>
          </cell>
          <cell r="K656">
            <v>1</v>
          </cell>
          <cell r="L656">
            <v>0.93240000000000001</v>
          </cell>
          <cell r="M656">
            <v>18.100000000000001</v>
          </cell>
          <cell r="N656">
            <v>5.8</v>
          </cell>
          <cell r="O656">
            <v>6.7599999999999993E-2</v>
          </cell>
          <cell r="P656">
            <v>6.7599999999999993E-2</v>
          </cell>
          <cell r="Q656">
            <v>0</v>
          </cell>
          <cell r="R656" t="str">
            <v>NA</v>
          </cell>
          <cell r="S656" t="str">
            <v>NA</v>
          </cell>
          <cell r="T656">
            <v>58.4</v>
          </cell>
          <cell r="U656">
            <v>4.7</v>
          </cell>
          <cell r="V656">
            <v>72.900000000000006</v>
          </cell>
          <cell r="W656">
            <v>7.4</v>
          </cell>
          <cell r="X656" t="str">
            <v>NA</v>
          </cell>
          <cell r="Y656" t="str">
            <v>NA</v>
          </cell>
          <cell r="Z656" t="str">
            <v>NA</v>
          </cell>
          <cell r="AA656" t="str">
            <v>NA</v>
          </cell>
        </row>
        <row r="657">
          <cell r="A657">
            <v>45135</v>
          </cell>
          <cell r="B657" t="str">
            <v>A2</v>
          </cell>
          <cell r="C657">
            <v>2</v>
          </cell>
          <cell r="D657">
            <v>1</v>
          </cell>
          <cell r="E657" t="str">
            <v>ARIS.A2.Aim1.Bin2.RB</v>
          </cell>
          <cell r="F657">
            <v>3</v>
          </cell>
          <cell r="G657" t="str">
            <v>Unweighted</v>
          </cell>
          <cell r="H657" t="str">
            <v>N</v>
          </cell>
          <cell r="I657" t="str">
            <v>Y</v>
          </cell>
          <cell r="J657">
            <v>126</v>
          </cell>
          <cell r="K657">
            <v>1</v>
          </cell>
          <cell r="L657">
            <v>0.78720000000000001</v>
          </cell>
          <cell r="M657">
            <v>23.7</v>
          </cell>
          <cell r="N657">
            <v>8.9</v>
          </cell>
          <cell r="O657">
            <v>0.21279999999999999</v>
          </cell>
          <cell r="P657">
            <v>0.19040000000000001</v>
          </cell>
          <cell r="Q657">
            <v>2.24E-2</v>
          </cell>
          <cell r="R657" t="str">
            <v>NA</v>
          </cell>
          <cell r="S657" t="str">
            <v>NA</v>
          </cell>
          <cell r="T657">
            <v>58.4</v>
          </cell>
          <cell r="U657">
            <v>4.7</v>
          </cell>
          <cell r="V657">
            <v>72.900000000000006</v>
          </cell>
          <cell r="W657">
            <v>7.4</v>
          </cell>
          <cell r="X657" t="str">
            <v>NA</v>
          </cell>
          <cell r="Y657" t="str">
            <v>NA</v>
          </cell>
          <cell r="Z657" t="str">
            <v>NA</v>
          </cell>
          <cell r="AA657" t="str">
            <v>NA</v>
          </cell>
        </row>
        <row r="658">
          <cell r="A658">
            <v>45135</v>
          </cell>
          <cell r="B658" t="str">
            <v>A2</v>
          </cell>
          <cell r="C658">
            <v>3</v>
          </cell>
          <cell r="D658">
            <v>1</v>
          </cell>
          <cell r="E658" t="str">
            <v>ARIS.A2.Aim1.Bin3.RB</v>
          </cell>
          <cell r="F658">
            <v>3</v>
          </cell>
          <cell r="G658" t="str">
            <v>Unweighted</v>
          </cell>
          <cell r="H658" t="str">
            <v>N</v>
          </cell>
          <cell r="I658" t="str">
            <v>Y</v>
          </cell>
          <cell r="J658">
            <v>89</v>
          </cell>
          <cell r="K658">
            <v>1</v>
          </cell>
          <cell r="L658">
            <v>0.62439999999999996</v>
          </cell>
          <cell r="M658">
            <v>33.4</v>
          </cell>
          <cell r="N658">
            <v>6.5</v>
          </cell>
          <cell r="O658">
            <v>0.37559999999999999</v>
          </cell>
          <cell r="P658">
            <v>0.19839999999999999</v>
          </cell>
          <cell r="Q658">
            <v>0.1772</v>
          </cell>
          <cell r="R658" t="str">
            <v>NA</v>
          </cell>
          <cell r="S658" t="str">
            <v>NA</v>
          </cell>
          <cell r="T658">
            <v>58.4</v>
          </cell>
          <cell r="U658">
            <v>4.7</v>
          </cell>
          <cell r="V658">
            <v>72.900000000000006</v>
          </cell>
          <cell r="W658">
            <v>7.4</v>
          </cell>
          <cell r="X658" t="str">
            <v>NA</v>
          </cell>
          <cell r="Y658" t="str">
            <v>NA</v>
          </cell>
          <cell r="Z658" t="str">
            <v>NA</v>
          </cell>
          <cell r="AA658" t="str">
            <v>NA</v>
          </cell>
        </row>
        <row r="659">
          <cell r="A659">
            <v>45135</v>
          </cell>
          <cell r="B659" t="str">
            <v>A2</v>
          </cell>
          <cell r="C659">
            <v>4</v>
          </cell>
          <cell r="D659">
            <v>1</v>
          </cell>
          <cell r="E659" t="str">
            <v>ARIS.A2.Aim1.Bin4.RB</v>
          </cell>
          <cell r="F659">
            <v>3</v>
          </cell>
          <cell r="G659" t="str">
            <v>Unweighted</v>
          </cell>
          <cell r="H659" t="str">
            <v>N</v>
          </cell>
          <cell r="I659" t="str">
            <v>Y</v>
          </cell>
          <cell r="J659">
            <v>89</v>
          </cell>
          <cell r="K659">
            <v>1</v>
          </cell>
          <cell r="L659">
            <v>0.62439999999999996</v>
          </cell>
          <cell r="M659">
            <v>33.4</v>
          </cell>
          <cell r="N659">
            <v>6.5</v>
          </cell>
          <cell r="O659">
            <v>0.37559999999999999</v>
          </cell>
          <cell r="P659">
            <v>0.19839999999999999</v>
          </cell>
          <cell r="Q659">
            <v>0.1772</v>
          </cell>
          <cell r="R659" t="str">
            <v>NA</v>
          </cell>
          <cell r="S659" t="str">
            <v>NA</v>
          </cell>
          <cell r="T659">
            <v>58.4</v>
          </cell>
          <cell r="U659">
            <v>4.7</v>
          </cell>
          <cell r="V659">
            <v>72.900000000000006</v>
          </cell>
          <cell r="W659">
            <v>7.4</v>
          </cell>
          <cell r="X659" t="str">
            <v>NA</v>
          </cell>
          <cell r="Y659" t="str">
            <v>NA</v>
          </cell>
          <cell r="Z659" t="str">
            <v>NA</v>
          </cell>
          <cell r="AA659" t="str">
            <v>NA</v>
          </cell>
        </row>
        <row r="660">
          <cell r="A660">
            <v>45135</v>
          </cell>
          <cell r="B660" t="str">
            <v>A2</v>
          </cell>
          <cell r="C660">
            <v>1</v>
          </cell>
          <cell r="D660">
            <v>1</v>
          </cell>
          <cell r="E660" t="str">
            <v>ARIS.A2.Aim1.Bin1.RB</v>
          </cell>
          <cell r="F660">
            <v>3</v>
          </cell>
          <cell r="G660" t="str">
            <v>SplineDFA</v>
          </cell>
          <cell r="H660" t="str">
            <v>Y</v>
          </cell>
          <cell r="I660" t="str">
            <v>N</v>
          </cell>
          <cell r="J660">
            <v>166</v>
          </cell>
          <cell r="K660">
            <v>1.0001</v>
          </cell>
          <cell r="L660">
            <v>0.96450000000000002</v>
          </cell>
          <cell r="M660">
            <v>23.7</v>
          </cell>
          <cell r="N660">
            <v>2.7</v>
          </cell>
          <cell r="O660">
            <v>3.56E-2</v>
          </cell>
          <cell r="P660">
            <v>3.3700000000000001E-2</v>
          </cell>
          <cell r="Q660">
            <v>1.9E-3</v>
          </cell>
          <cell r="R660" t="str">
            <v>NA</v>
          </cell>
          <cell r="S660" t="str">
            <v>NA</v>
          </cell>
          <cell r="T660">
            <v>58.4</v>
          </cell>
          <cell r="U660">
            <v>4.7</v>
          </cell>
          <cell r="V660">
            <v>72.900000000000006</v>
          </cell>
          <cell r="W660">
            <v>7.4</v>
          </cell>
          <cell r="X660" t="str">
            <v>NA</v>
          </cell>
          <cell r="Y660" t="str">
            <v>NA</v>
          </cell>
          <cell r="Z660" t="str">
            <v>NA</v>
          </cell>
          <cell r="AA660" t="str">
            <v>NA</v>
          </cell>
        </row>
        <row r="661">
          <cell r="A661">
            <v>45135</v>
          </cell>
          <cell r="B661" t="str">
            <v>A2</v>
          </cell>
          <cell r="C661">
            <v>2</v>
          </cell>
          <cell r="D661">
            <v>1</v>
          </cell>
          <cell r="E661" t="str">
            <v>ARIS.A2.Aim1.Bin2.RB</v>
          </cell>
          <cell r="F661">
            <v>3</v>
          </cell>
          <cell r="G661" t="str">
            <v>SplineDFA</v>
          </cell>
          <cell r="H661" t="str">
            <v>Y</v>
          </cell>
          <cell r="I661" t="str">
            <v>N</v>
          </cell>
          <cell r="J661">
            <v>126</v>
          </cell>
          <cell r="K661">
            <v>1.0001</v>
          </cell>
          <cell r="L661">
            <v>0.68889999999999996</v>
          </cell>
          <cell r="M661">
            <v>23.7</v>
          </cell>
          <cell r="N661">
            <v>2.7</v>
          </cell>
          <cell r="O661">
            <v>0.31119999999999998</v>
          </cell>
          <cell r="P661">
            <v>0.28360000000000002</v>
          </cell>
          <cell r="Q661">
            <v>2.76E-2</v>
          </cell>
          <cell r="R661" t="str">
            <v>NA</v>
          </cell>
          <cell r="S661" t="str">
            <v>NA</v>
          </cell>
          <cell r="T661">
            <v>58.4</v>
          </cell>
          <cell r="U661">
            <v>4.7</v>
          </cell>
          <cell r="V661">
            <v>72.900000000000006</v>
          </cell>
          <cell r="W661">
            <v>7.4</v>
          </cell>
          <cell r="X661" t="str">
            <v>NA</v>
          </cell>
          <cell r="Y661" t="str">
            <v>NA</v>
          </cell>
          <cell r="Z661" t="str">
            <v>NA</v>
          </cell>
          <cell r="AA661" t="str">
            <v>NA</v>
          </cell>
        </row>
        <row r="662">
          <cell r="A662">
            <v>45135</v>
          </cell>
          <cell r="B662" t="str">
            <v>A2</v>
          </cell>
          <cell r="C662">
            <v>3</v>
          </cell>
          <cell r="D662">
            <v>1</v>
          </cell>
          <cell r="E662" t="str">
            <v>ARIS.A2.Aim1.Bin3.RB</v>
          </cell>
          <cell r="F662">
            <v>3</v>
          </cell>
          <cell r="G662" t="str">
            <v>SplineDFA</v>
          </cell>
          <cell r="H662" t="str">
            <v>Y</v>
          </cell>
          <cell r="I662" t="str">
            <v>N</v>
          </cell>
          <cell r="J662">
            <v>89</v>
          </cell>
          <cell r="K662">
            <v>1.0001</v>
          </cell>
          <cell r="L662">
            <v>0.45450000000000002</v>
          </cell>
          <cell r="M662">
            <v>23.7</v>
          </cell>
          <cell r="N662">
            <v>2.7</v>
          </cell>
          <cell r="O662">
            <v>0.54559999999999997</v>
          </cell>
          <cell r="P662">
            <v>0.38919999999999999</v>
          </cell>
          <cell r="Q662">
            <v>0.15640000000000001</v>
          </cell>
          <cell r="R662" t="str">
            <v>NA</v>
          </cell>
          <cell r="S662" t="str">
            <v>NA</v>
          </cell>
          <cell r="T662">
            <v>58.4</v>
          </cell>
          <cell r="U662">
            <v>4.7</v>
          </cell>
          <cell r="V662">
            <v>72.900000000000006</v>
          </cell>
          <cell r="W662">
            <v>7.4</v>
          </cell>
          <cell r="X662" t="str">
            <v>NA</v>
          </cell>
          <cell r="Y662" t="str">
            <v>NA</v>
          </cell>
          <cell r="Z662" t="str">
            <v>NA</v>
          </cell>
          <cell r="AA662" t="str">
            <v>NA</v>
          </cell>
        </row>
        <row r="663">
          <cell r="A663">
            <v>45135</v>
          </cell>
          <cell r="B663" t="str">
            <v>A2</v>
          </cell>
          <cell r="C663">
            <v>4</v>
          </cell>
          <cell r="D663">
            <v>1</v>
          </cell>
          <cell r="E663" t="str">
            <v>ARIS.A2.Aim1.Bin4.RB</v>
          </cell>
          <cell r="F663">
            <v>3</v>
          </cell>
          <cell r="G663" t="str">
            <v>SplineDFA</v>
          </cell>
          <cell r="H663" t="str">
            <v>Y</v>
          </cell>
          <cell r="I663" t="str">
            <v>N</v>
          </cell>
          <cell r="J663">
            <v>89</v>
          </cell>
          <cell r="K663">
            <v>1.0001</v>
          </cell>
          <cell r="L663">
            <v>0.45450000000000002</v>
          </cell>
          <cell r="M663">
            <v>23.7</v>
          </cell>
          <cell r="N663">
            <v>2.7</v>
          </cell>
          <cell r="O663">
            <v>0.54559999999999997</v>
          </cell>
          <cell r="P663">
            <v>0.38919999999999999</v>
          </cell>
          <cell r="Q663">
            <v>0.15640000000000001</v>
          </cell>
          <cell r="R663" t="str">
            <v>NA</v>
          </cell>
          <cell r="S663" t="str">
            <v>NA</v>
          </cell>
          <cell r="T663">
            <v>58.4</v>
          </cell>
          <cell r="U663">
            <v>4.7</v>
          </cell>
          <cell r="V663">
            <v>72.900000000000006</v>
          </cell>
          <cell r="W663">
            <v>7.4</v>
          </cell>
          <cell r="X663" t="str">
            <v>NA</v>
          </cell>
          <cell r="Y663" t="str">
            <v>NA</v>
          </cell>
          <cell r="Z663" t="str">
            <v>NA</v>
          </cell>
          <cell r="AA663" t="str">
            <v>NA</v>
          </cell>
        </row>
        <row r="664">
          <cell r="A664">
            <v>45135</v>
          </cell>
          <cell r="B664" t="str">
            <v>A1</v>
          </cell>
          <cell r="C664">
            <v>1</v>
          </cell>
          <cell r="D664">
            <v>1</v>
          </cell>
          <cell r="E664" t="str">
            <v>ARIS.A1.Aim1.Bin1.LB</v>
          </cell>
          <cell r="F664">
            <v>4</v>
          </cell>
          <cell r="G664" t="str">
            <v>Unweighted</v>
          </cell>
          <cell r="H664" t="str">
            <v>N</v>
          </cell>
          <cell r="I664" t="str">
            <v>N</v>
          </cell>
          <cell r="J664">
            <v>86</v>
          </cell>
          <cell r="K664">
            <v>1</v>
          </cell>
          <cell r="L664">
            <v>0.76149999999999995</v>
          </cell>
          <cell r="M664">
            <v>19.600000000000001</v>
          </cell>
          <cell r="N664">
            <v>6.3</v>
          </cell>
          <cell r="O664">
            <v>0.23849999999999999</v>
          </cell>
          <cell r="P664">
            <v>8.8599999999999998E-2</v>
          </cell>
          <cell r="Q664">
            <v>4.3900000000000002E-2</v>
          </cell>
          <cell r="R664" t="str">
            <v>NA</v>
          </cell>
          <cell r="S664">
            <v>0.106</v>
          </cell>
          <cell r="T664">
            <v>58.4</v>
          </cell>
          <cell r="U664">
            <v>4.7</v>
          </cell>
          <cell r="V664">
            <v>72.900000000000006</v>
          </cell>
          <cell r="W664">
            <v>7.4</v>
          </cell>
          <cell r="X664" t="str">
            <v>NA</v>
          </cell>
          <cell r="Y664" t="str">
            <v>NA</v>
          </cell>
          <cell r="Z664">
            <v>39.1</v>
          </cell>
          <cell r="AA664">
            <v>3.5</v>
          </cell>
        </row>
        <row r="665">
          <cell r="A665">
            <v>45135</v>
          </cell>
          <cell r="B665" t="str">
            <v>A1</v>
          </cell>
          <cell r="C665">
            <v>1</v>
          </cell>
          <cell r="D665">
            <v>2</v>
          </cell>
          <cell r="E665" t="str">
            <v>ARIS.A1.Aim2.Bin1.LB</v>
          </cell>
          <cell r="F665">
            <v>4</v>
          </cell>
          <cell r="G665" t="str">
            <v>Unweighted</v>
          </cell>
          <cell r="H665" t="str">
            <v>N</v>
          </cell>
          <cell r="I665" t="str">
            <v>N</v>
          </cell>
          <cell r="J665">
            <v>149</v>
          </cell>
          <cell r="K665">
            <v>1</v>
          </cell>
          <cell r="L665">
            <v>0.81569999999999998</v>
          </cell>
          <cell r="M665">
            <v>16.100000000000001</v>
          </cell>
          <cell r="N665">
            <v>6.7</v>
          </cell>
          <cell r="O665">
            <v>0.18429999999999999</v>
          </cell>
          <cell r="P665">
            <v>0.13769999999999999</v>
          </cell>
          <cell r="Q665">
            <v>1.0200000000000001E-2</v>
          </cell>
          <cell r="R665" t="str">
            <v>NA</v>
          </cell>
          <cell r="S665">
            <v>3.6400000000000002E-2</v>
          </cell>
          <cell r="T665">
            <v>58.4</v>
          </cell>
          <cell r="U665">
            <v>4.7</v>
          </cell>
          <cell r="V665">
            <v>72.900000000000006</v>
          </cell>
          <cell r="W665">
            <v>7.4</v>
          </cell>
          <cell r="X665" t="str">
            <v>NA</v>
          </cell>
          <cell r="Y665" t="str">
            <v>NA</v>
          </cell>
          <cell r="Z665">
            <v>39.1</v>
          </cell>
          <cell r="AA665">
            <v>3.5</v>
          </cell>
        </row>
        <row r="666">
          <cell r="A666">
            <v>45135</v>
          </cell>
          <cell r="B666" t="str">
            <v>A1</v>
          </cell>
          <cell r="C666">
            <v>1</v>
          </cell>
          <cell r="D666" t="str">
            <v>1&amp;2</v>
          </cell>
          <cell r="E666" t="str">
            <v>ARIS.A1.Aim1&amp;Aim2.Bin1.LB</v>
          </cell>
          <cell r="F666">
            <v>4</v>
          </cell>
          <cell r="G666" t="str">
            <v>Unweighted</v>
          </cell>
          <cell r="H666" t="str">
            <v>N</v>
          </cell>
          <cell r="I666" t="str">
            <v>N</v>
          </cell>
          <cell r="J666">
            <v>235</v>
          </cell>
          <cell r="K666">
            <v>0.99990000000000001</v>
          </cell>
          <cell r="L666">
            <v>0.79569999999999996</v>
          </cell>
          <cell r="M666">
            <v>17.399999999999999</v>
          </cell>
          <cell r="N666">
            <v>6.7</v>
          </cell>
          <cell r="O666">
            <v>0.20419999999999999</v>
          </cell>
          <cell r="P666">
            <v>0.1202</v>
          </cell>
          <cell r="Q666">
            <v>2.3E-2</v>
          </cell>
          <cell r="R666" t="str">
            <v>NA</v>
          </cell>
          <cell r="S666">
            <v>6.0999999999999999E-2</v>
          </cell>
          <cell r="T666">
            <v>58.4</v>
          </cell>
          <cell r="U666">
            <v>4.7</v>
          </cell>
          <cell r="V666">
            <v>72.900000000000006</v>
          </cell>
          <cell r="W666">
            <v>7.4</v>
          </cell>
          <cell r="X666" t="str">
            <v>NA</v>
          </cell>
          <cell r="Y666" t="str">
            <v>NA</v>
          </cell>
          <cell r="Z666">
            <v>39.1</v>
          </cell>
          <cell r="AA666">
            <v>3.5</v>
          </cell>
        </row>
        <row r="667">
          <cell r="A667">
            <v>45135</v>
          </cell>
          <cell r="B667" t="str">
            <v>A1</v>
          </cell>
          <cell r="C667">
            <v>2</v>
          </cell>
          <cell r="D667">
            <v>3</v>
          </cell>
          <cell r="E667" t="str">
            <v>ARIS.A1.Aim3.Bin2.LB</v>
          </cell>
          <cell r="F667">
            <v>4</v>
          </cell>
          <cell r="G667" t="str">
            <v>Unweighted</v>
          </cell>
          <cell r="H667" t="str">
            <v>N</v>
          </cell>
          <cell r="I667" t="str">
            <v>N</v>
          </cell>
          <cell r="J667">
            <v>87</v>
          </cell>
          <cell r="K667">
            <v>1.0001</v>
          </cell>
          <cell r="L667">
            <v>0.50939999999999996</v>
          </cell>
          <cell r="M667">
            <v>26.6</v>
          </cell>
          <cell r="N667">
            <v>5.6</v>
          </cell>
          <cell r="O667">
            <v>0.49070000000000003</v>
          </cell>
          <cell r="P667">
            <v>0.26669999999999999</v>
          </cell>
          <cell r="Q667">
            <v>0.14069999999999999</v>
          </cell>
          <cell r="R667" t="str">
            <v>NA</v>
          </cell>
          <cell r="S667">
            <v>8.3299999999999999E-2</v>
          </cell>
          <cell r="T667">
            <v>58.4</v>
          </cell>
          <cell r="U667">
            <v>4.7</v>
          </cell>
          <cell r="V667">
            <v>72.900000000000006</v>
          </cell>
          <cell r="W667">
            <v>7.4</v>
          </cell>
          <cell r="X667" t="str">
            <v>NA</v>
          </cell>
          <cell r="Y667" t="str">
            <v>NA</v>
          </cell>
          <cell r="Z667">
            <v>39.1</v>
          </cell>
          <cell r="AA667">
            <v>3.5</v>
          </cell>
        </row>
        <row r="668">
          <cell r="A668">
            <v>45135</v>
          </cell>
          <cell r="B668" t="str">
            <v>A1</v>
          </cell>
          <cell r="C668">
            <v>3</v>
          </cell>
          <cell r="D668">
            <v>3</v>
          </cell>
          <cell r="E668" t="str">
            <v>ARIS.A1.Aim3.Bin3.LB</v>
          </cell>
          <cell r="F668">
            <v>4</v>
          </cell>
          <cell r="G668" t="str">
            <v>Unweighted</v>
          </cell>
          <cell r="H668" t="str">
            <v>N</v>
          </cell>
          <cell r="I668" t="str">
            <v>N</v>
          </cell>
          <cell r="J668">
            <v>90</v>
          </cell>
          <cell r="K668">
            <v>0.99990000000000001</v>
          </cell>
          <cell r="L668">
            <v>0.1356</v>
          </cell>
          <cell r="M668">
            <v>27.8</v>
          </cell>
          <cell r="N668">
            <v>4.3</v>
          </cell>
          <cell r="O668">
            <v>0.86429999999999996</v>
          </cell>
          <cell r="P668">
            <v>7.4899999999999994E-2</v>
          </cell>
          <cell r="Q668">
            <v>0.47939999999999999</v>
          </cell>
          <cell r="R668" t="str">
            <v>NA</v>
          </cell>
          <cell r="S668">
            <v>0.31</v>
          </cell>
          <cell r="T668">
            <v>58.4</v>
          </cell>
          <cell r="U668">
            <v>4.7</v>
          </cell>
          <cell r="V668">
            <v>72.900000000000006</v>
          </cell>
          <cell r="W668">
            <v>7.4</v>
          </cell>
          <cell r="X668" t="str">
            <v>NA</v>
          </cell>
          <cell r="Y668" t="str">
            <v>NA</v>
          </cell>
          <cell r="Z668">
            <v>39.1</v>
          </cell>
          <cell r="AA668">
            <v>3.5</v>
          </cell>
        </row>
        <row r="669">
          <cell r="A669">
            <v>45135</v>
          </cell>
          <cell r="B669" t="str">
            <v>A1</v>
          </cell>
          <cell r="C669">
            <v>4</v>
          </cell>
          <cell r="D669">
            <v>3</v>
          </cell>
          <cell r="E669" t="str">
            <v>ARIS.A1.Aim3.Bin4.LB</v>
          </cell>
          <cell r="F669">
            <v>4</v>
          </cell>
          <cell r="G669" t="str">
            <v>Unweighted</v>
          </cell>
          <cell r="H669" t="str">
            <v>N</v>
          </cell>
          <cell r="I669" t="str">
            <v>N</v>
          </cell>
          <cell r="J669">
            <v>90</v>
          </cell>
          <cell r="K669">
            <v>0.99990000000000001</v>
          </cell>
          <cell r="L669">
            <v>0.1356</v>
          </cell>
          <cell r="M669">
            <v>27.8</v>
          </cell>
          <cell r="N669">
            <v>4.3</v>
          </cell>
          <cell r="O669">
            <v>0.86429999999999996</v>
          </cell>
          <cell r="P669">
            <v>7.4899999999999994E-2</v>
          </cell>
          <cell r="Q669">
            <v>0.47939999999999999</v>
          </cell>
          <cell r="R669" t="str">
            <v>NA</v>
          </cell>
          <cell r="S669">
            <v>0.31</v>
          </cell>
          <cell r="T669">
            <v>58.4</v>
          </cell>
          <cell r="U669">
            <v>4.7</v>
          </cell>
          <cell r="V669">
            <v>72.900000000000006</v>
          </cell>
          <cell r="W669">
            <v>7.4</v>
          </cell>
          <cell r="X669" t="str">
            <v>NA</v>
          </cell>
          <cell r="Y669" t="str">
            <v>NA</v>
          </cell>
          <cell r="Z669">
            <v>39.1</v>
          </cell>
          <cell r="AA669">
            <v>3.5</v>
          </cell>
        </row>
        <row r="670">
          <cell r="A670">
            <v>45135</v>
          </cell>
          <cell r="B670" t="str">
            <v>A2</v>
          </cell>
          <cell r="C670">
            <v>1</v>
          </cell>
          <cell r="D670">
            <v>1</v>
          </cell>
          <cell r="E670" t="str">
            <v>ARIS.A2.Aim1.Bin1.RB</v>
          </cell>
          <cell r="F670">
            <v>4</v>
          </cell>
          <cell r="G670" t="str">
            <v>Unweighted</v>
          </cell>
          <cell r="H670" t="str">
            <v>N</v>
          </cell>
          <cell r="I670" t="str">
            <v>N</v>
          </cell>
          <cell r="J670">
            <v>166</v>
          </cell>
          <cell r="K670">
            <v>0.99990000000000001</v>
          </cell>
          <cell r="L670">
            <v>0.90549999999999997</v>
          </cell>
          <cell r="M670">
            <v>17.7</v>
          </cell>
          <cell r="N670">
            <v>5.2</v>
          </cell>
          <cell r="O670">
            <v>9.4399999999999998E-2</v>
          </cell>
          <cell r="P670">
            <v>2.6100000000000002E-2</v>
          </cell>
          <cell r="Q670">
            <v>0</v>
          </cell>
          <cell r="R670" t="str">
            <v>NA</v>
          </cell>
          <cell r="S670">
            <v>6.83E-2</v>
          </cell>
          <cell r="T670">
            <v>58.4</v>
          </cell>
          <cell r="U670">
            <v>4.7</v>
          </cell>
          <cell r="V670">
            <v>72.900000000000006</v>
          </cell>
          <cell r="W670">
            <v>7.4</v>
          </cell>
          <cell r="X670" t="str">
            <v>NA</v>
          </cell>
          <cell r="Y670" t="str">
            <v>NA</v>
          </cell>
          <cell r="Z670">
            <v>39.1</v>
          </cell>
          <cell r="AA670">
            <v>3.5</v>
          </cell>
        </row>
        <row r="671">
          <cell r="A671">
            <v>45135</v>
          </cell>
          <cell r="B671" t="str">
            <v>A2</v>
          </cell>
          <cell r="C671">
            <v>2</v>
          </cell>
          <cell r="D671">
            <v>1</v>
          </cell>
          <cell r="E671" t="str">
            <v>ARIS.A2.Aim1.Bin2.RB</v>
          </cell>
          <cell r="F671">
            <v>4</v>
          </cell>
          <cell r="G671" t="str">
            <v>Unweighted</v>
          </cell>
          <cell r="H671" t="str">
            <v>N</v>
          </cell>
          <cell r="I671" t="str">
            <v>N</v>
          </cell>
          <cell r="J671">
            <v>126</v>
          </cell>
          <cell r="K671">
            <v>0.99990000000000001</v>
          </cell>
          <cell r="L671">
            <v>0.65</v>
          </cell>
          <cell r="M671">
            <v>23.8</v>
          </cell>
          <cell r="N671">
            <v>5.5</v>
          </cell>
          <cell r="O671">
            <v>0.34989999999999999</v>
          </cell>
          <cell r="P671">
            <v>0.18870000000000001</v>
          </cell>
          <cell r="Q671">
            <v>2.2499999999999999E-2</v>
          </cell>
          <cell r="R671" t="str">
            <v>NA</v>
          </cell>
          <cell r="S671">
            <v>0.13869999999999999</v>
          </cell>
          <cell r="T671">
            <v>58.4</v>
          </cell>
          <cell r="U671">
            <v>4.7</v>
          </cell>
          <cell r="V671">
            <v>72.900000000000006</v>
          </cell>
          <cell r="W671">
            <v>7.4</v>
          </cell>
          <cell r="X671" t="str">
            <v>NA</v>
          </cell>
          <cell r="Y671" t="str">
            <v>NA</v>
          </cell>
          <cell r="Z671">
            <v>39.1</v>
          </cell>
          <cell r="AA671">
            <v>3.5</v>
          </cell>
        </row>
        <row r="672">
          <cell r="A672">
            <v>45135</v>
          </cell>
          <cell r="B672" t="str">
            <v>A2</v>
          </cell>
          <cell r="C672">
            <v>3</v>
          </cell>
          <cell r="D672">
            <v>1</v>
          </cell>
          <cell r="E672" t="str">
            <v>ARIS.A2.Aim1.Bin3.RB</v>
          </cell>
          <cell r="F672">
            <v>4</v>
          </cell>
          <cell r="G672" t="str">
            <v>Unweighted</v>
          </cell>
          <cell r="H672" t="str">
            <v>N</v>
          </cell>
          <cell r="I672" t="str">
            <v>N</v>
          </cell>
          <cell r="J672">
            <v>89</v>
          </cell>
          <cell r="K672">
            <v>1</v>
          </cell>
          <cell r="L672">
            <v>0.55940000000000001</v>
          </cell>
          <cell r="M672">
            <v>32.799999999999997</v>
          </cell>
          <cell r="N672">
            <v>6.3</v>
          </cell>
          <cell r="O672">
            <v>0.44059999999999999</v>
          </cell>
          <cell r="P672">
            <v>0.26540000000000002</v>
          </cell>
          <cell r="Q672">
            <v>0.17519999999999999</v>
          </cell>
          <cell r="R672" t="str">
            <v>NA</v>
          </cell>
          <cell r="S672">
            <v>0</v>
          </cell>
          <cell r="T672">
            <v>58.4</v>
          </cell>
          <cell r="U672">
            <v>4.7</v>
          </cell>
          <cell r="V672">
            <v>72.900000000000006</v>
          </cell>
          <cell r="W672">
            <v>7.4</v>
          </cell>
          <cell r="X672" t="str">
            <v>NA</v>
          </cell>
          <cell r="Y672" t="str">
            <v>NA</v>
          </cell>
          <cell r="Z672">
            <v>39.1</v>
          </cell>
          <cell r="AA672">
            <v>3.5</v>
          </cell>
        </row>
        <row r="673">
          <cell r="A673">
            <v>45135</v>
          </cell>
          <cell r="B673" t="str">
            <v>A2</v>
          </cell>
          <cell r="C673">
            <v>4</v>
          </cell>
          <cell r="D673">
            <v>1</v>
          </cell>
          <cell r="E673" t="str">
            <v>ARIS.A2.Aim1.Bin4.RB</v>
          </cell>
          <cell r="F673">
            <v>4</v>
          </cell>
          <cell r="G673" t="str">
            <v>Unweighted</v>
          </cell>
          <cell r="H673" t="str">
            <v>N</v>
          </cell>
          <cell r="I673" t="str">
            <v>N</v>
          </cell>
          <cell r="J673">
            <v>89</v>
          </cell>
          <cell r="K673">
            <v>1</v>
          </cell>
          <cell r="L673">
            <v>0.55940000000000001</v>
          </cell>
          <cell r="M673">
            <v>32.799999999999997</v>
          </cell>
          <cell r="N673">
            <v>6.3</v>
          </cell>
          <cell r="O673">
            <v>0.44059999999999999</v>
          </cell>
          <cell r="P673">
            <v>0.26540000000000002</v>
          </cell>
          <cell r="Q673">
            <v>0.17519999999999999</v>
          </cell>
          <cell r="R673" t="str">
            <v>NA</v>
          </cell>
          <cell r="S673">
            <v>0</v>
          </cell>
          <cell r="T673">
            <v>58.4</v>
          </cell>
          <cell r="U673">
            <v>4.7</v>
          </cell>
          <cell r="V673">
            <v>72.900000000000006</v>
          </cell>
          <cell r="W673">
            <v>7.4</v>
          </cell>
          <cell r="X673" t="str">
            <v>NA</v>
          </cell>
          <cell r="Y673" t="str">
            <v>NA</v>
          </cell>
          <cell r="Z673">
            <v>39.1</v>
          </cell>
          <cell r="AA673">
            <v>3.5</v>
          </cell>
        </row>
        <row r="674">
          <cell r="A674">
            <v>45136</v>
          </cell>
          <cell r="B674" t="str">
            <v>A1</v>
          </cell>
          <cell r="C674">
            <v>1</v>
          </cell>
          <cell r="D674">
            <v>1</v>
          </cell>
          <cell r="E674" t="str">
            <v>ARIS.A1.Aim1.Bin1.LB</v>
          </cell>
          <cell r="F674">
            <v>3</v>
          </cell>
          <cell r="G674" t="str">
            <v>SplineDFA</v>
          </cell>
          <cell r="H674" t="str">
            <v>Y</v>
          </cell>
          <cell r="I674" t="str">
            <v>N</v>
          </cell>
          <cell r="J674">
            <v>95</v>
          </cell>
          <cell r="K674">
            <v>1</v>
          </cell>
          <cell r="L674">
            <v>0.83740000000000003</v>
          </cell>
          <cell r="M674">
            <v>23.7</v>
          </cell>
          <cell r="N674">
            <v>2.7</v>
          </cell>
          <cell r="O674">
            <v>0.16259999999999999</v>
          </cell>
          <cell r="P674">
            <v>0.10580000000000001</v>
          </cell>
          <cell r="Q674">
            <v>5.6800000000000003E-2</v>
          </cell>
          <cell r="R674" t="str">
            <v>NA</v>
          </cell>
          <cell r="S674" t="str">
            <v>NA</v>
          </cell>
          <cell r="T674">
            <v>58.4</v>
          </cell>
          <cell r="U674">
            <v>4.7</v>
          </cell>
          <cell r="V674">
            <v>72.900000000000006</v>
          </cell>
          <cell r="W674">
            <v>7.4</v>
          </cell>
          <cell r="X674" t="str">
            <v>NA</v>
          </cell>
          <cell r="Y674" t="str">
            <v>NA</v>
          </cell>
          <cell r="Z674" t="str">
            <v>NA</v>
          </cell>
          <cell r="AA674" t="str">
            <v>NA</v>
          </cell>
        </row>
        <row r="675">
          <cell r="A675">
            <v>45136</v>
          </cell>
          <cell r="B675" t="str">
            <v>A1</v>
          </cell>
          <cell r="C675">
            <v>1</v>
          </cell>
          <cell r="D675">
            <v>2</v>
          </cell>
          <cell r="E675" t="str">
            <v>ARIS.A1.Aim2.Bin1.LB</v>
          </cell>
          <cell r="F675">
            <v>3</v>
          </cell>
          <cell r="G675" t="str">
            <v>SplineDFA</v>
          </cell>
          <cell r="H675" t="str">
            <v>Y</v>
          </cell>
          <cell r="I675" t="str">
            <v>N</v>
          </cell>
          <cell r="J675">
            <v>127</v>
          </cell>
          <cell r="K675">
            <v>1</v>
          </cell>
          <cell r="L675">
            <v>0.92920000000000003</v>
          </cell>
          <cell r="M675">
            <v>23.7</v>
          </cell>
          <cell r="N675">
            <v>2.7</v>
          </cell>
          <cell r="O675">
            <v>7.0800000000000002E-2</v>
          </cell>
          <cell r="P675">
            <v>5.3999999999999999E-2</v>
          </cell>
          <cell r="Q675">
            <v>1.6799999999999999E-2</v>
          </cell>
          <cell r="R675" t="str">
            <v>NA</v>
          </cell>
          <cell r="S675" t="str">
            <v>NA</v>
          </cell>
          <cell r="T675">
            <v>58.4</v>
          </cell>
          <cell r="U675">
            <v>4.7</v>
          </cell>
          <cell r="V675">
            <v>72.900000000000006</v>
          </cell>
          <cell r="W675">
            <v>7.4</v>
          </cell>
          <cell r="X675" t="str">
            <v>NA</v>
          </cell>
          <cell r="Y675" t="str">
            <v>NA</v>
          </cell>
          <cell r="Z675" t="str">
            <v>NA</v>
          </cell>
          <cell r="AA675" t="str">
            <v>NA</v>
          </cell>
        </row>
        <row r="676">
          <cell r="A676">
            <v>45136</v>
          </cell>
          <cell r="B676" t="str">
            <v>A1</v>
          </cell>
          <cell r="C676">
            <v>2</v>
          </cell>
          <cell r="D676">
            <v>3</v>
          </cell>
          <cell r="E676" t="str">
            <v>ARIS.A1.Aim3.Bin2.LB</v>
          </cell>
          <cell r="F676">
            <v>3</v>
          </cell>
          <cell r="G676" t="str">
            <v>SplineDFA</v>
          </cell>
          <cell r="H676" t="str">
            <v>Y</v>
          </cell>
          <cell r="I676" t="str">
            <v>N</v>
          </cell>
          <cell r="J676">
            <v>108</v>
          </cell>
          <cell r="K676">
            <v>1</v>
          </cell>
          <cell r="L676">
            <v>0.5151</v>
          </cell>
          <cell r="M676">
            <v>23.7</v>
          </cell>
          <cell r="N676">
            <v>2.7</v>
          </cell>
          <cell r="O676">
            <v>0.4849</v>
          </cell>
          <cell r="P676">
            <v>0.29380000000000001</v>
          </cell>
          <cell r="Q676">
            <v>0.19109999999999999</v>
          </cell>
          <cell r="R676" t="str">
            <v>NA</v>
          </cell>
          <cell r="S676" t="str">
            <v>NA</v>
          </cell>
          <cell r="T676">
            <v>58.4</v>
          </cell>
          <cell r="U676">
            <v>4.7</v>
          </cell>
          <cell r="V676">
            <v>72.900000000000006</v>
          </cell>
          <cell r="W676">
            <v>7.4</v>
          </cell>
          <cell r="X676" t="str">
            <v>NA</v>
          </cell>
          <cell r="Y676" t="str">
            <v>NA</v>
          </cell>
          <cell r="Z676" t="str">
            <v>NA</v>
          </cell>
          <cell r="AA676" t="str">
            <v>NA</v>
          </cell>
        </row>
        <row r="677">
          <cell r="A677">
            <v>45136</v>
          </cell>
          <cell r="B677" t="str">
            <v>A1</v>
          </cell>
          <cell r="C677">
            <v>3</v>
          </cell>
          <cell r="D677">
            <v>3</v>
          </cell>
          <cell r="E677" t="str">
            <v>ARIS.A1.Aim3.Bin3.LB</v>
          </cell>
          <cell r="F677">
            <v>3</v>
          </cell>
          <cell r="G677" t="str">
            <v>SplineDFA</v>
          </cell>
          <cell r="H677" t="str">
            <v>Y</v>
          </cell>
          <cell r="I677" t="str">
            <v>N</v>
          </cell>
          <cell r="J677">
            <v>91</v>
          </cell>
          <cell r="K677">
            <v>1</v>
          </cell>
          <cell r="L677">
            <v>0.1013</v>
          </cell>
          <cell r="M677">
            <v>23.7</v>
          </cell>
          <cell r="N677">
            <v>2.7</v>
          </cell>
          <cell r="O677">
            <v>0.89870000000000005</v>
          </cell>
          <cell r="P677">
            <v>0.44929999999999998</v>
          </cell>
          <cell r="Q677">
            <v>0.44940000000000002</v>
          </cell>
          <cell r="R677" t="str">
            <v>NA</v>
          </cell>
          <cell r="S677" t="str">
            <v>NA</v>
          </cell>
          <cell r="T677">
            <v>58.4</v>
          </cell>
          <cell r="U677">
            <v>4.7</v>
          </cell>
          <cell r="V677">
            <v>72.900000000000006</v>
          </cell>
          <cell r="W677">
            <v>7.4</v>
          </cell>
          <cell r="X677" t="str">
            <v>NA</v>
          </cell>
          <cell r="Y677" t="str">
            <v>NA</v>
          </cell>
          <cell r="Z677" t="str">
            <v>NA</v>
          </cell>
          <cell r="AA677" t="str">
            <v>NA</v>
          </cell>
        </row>
        <row r="678">
          <cell r="A678">
            <v>45136</v>
          </cell>
          <cell r="B678" t="str">
            <v>A1</v>
          </cell>
          <cell r="C678">
            <v>4</v>
          </cell>
          <cell r="D678">
            <v>3</v>
          </cell>
          <cell r="E678" t="str">
            <v>ARIS.A1.Aim3.Bin4.LB</v>
          </cell>
          <cell r="F678">
            <v>3</v>
          </cell>
          <cell r="G678" t="str">
            <v>SplineDFA</v>
          </cell>
          <cell r="H678" t="str">
            <v>Y</v>
          </cell>
          <cell r="I678" t="str">
            <v>N</v>
          </cell>
          <cell r="J678">
            <v>91</v>
          </cell>
          <cell r="K678">
            <v>1</v>
          </cell>
          <cell r="L678">
            <v>0.1013</v>
          </cell>
          <cell r="M678">
            <v>23.7</v>
          </cell>
          <cell r="N678">
            <v>2.7</v>
          </cell>
          <cell r="O678">
            <v>0.89870000000000005</v>
          </cell>
          <cell r="P678">
            <v>0.44929999999999998</v>
          </cell>
          <cell r="Q678">
            <v>0.44940000000000002</v>
          </cell>
          <cell r="R678" t="str">
            <v>NA</v>
          </cell>
          <cell r="S678" t="str">
            <v>NA</v>
          </cell>
          <cell r="T678">
            <v>58.4</v>
          </cell>
          <cell r="U678">
            <v>4.7</v>
          </cell>
          <cell r="V678">
            <v>72.900000000000006</v>
          </cell>
          <cell r="W678">
            <v>7.4</v>
          </cell>
          <cell r="X678" t="str">
            <v>NA</v>
          </cell>
          <cell r="Y678" t="str">
            <v>NA</v>
          </cell>
          <cell r="Z678" t="str">
            <v>NA</v>
          </cell>
          <cell r="AA678" t="str">
            <v>NA</v>
          </cell>
        </row>
        <row r="679">
          <cell r="A679">
            <v>45136</v>
          </cell>
          <cell r="B679" t="str">
            <v>A1</v>
          </cell>
          <cell r="C679">
            <v>1</v>
          </cell>
          <cell r="D679">
            <v>1</v>
          </cell>
          <cell r="E679" t="str">
            <v>ARIS.A1.Aim1.Bin1.LB</v>
          </cell>
          <cell r="F679">
            <v>3</v>
          </cell>
          <cell r="G679" t="str">
            <v>Unweighted</v>
          </cell>
          <cell r="H679" t="str">
            <v>N</v>
          </cell>
          <cell r="I679" t="str">
            <v>Y</v>
          </cell>
          <cell r="J679">
            <v>95</v>
          </cell>
          <cell r="K679">
            <v>1</v>
          </cell>
          <cell r="L679">
            <v>0.87819999999999998</v>
          </cell>
          <cell r="M679">
            <v>21.1</v>
          </cell>
          <cell r="N679">
            <v>8.6</v>
          </cell>
          <cell r="O679">
            <v>0.12180000000000001</v>
          </cell>
          <cell r="P679">
            <v>7.6499999999999999E-2</v>
          </cell>
          <cell r="Q679">
            <v>4.53E-2</v>
          </cell>
          <cell r="R679" t="str">
            <v>NA</v>
          </cell>
          <cell r="S679" t="str">
            <v>NA</v>
          </cell>
          <cell r="T679">
            <v>58.4</v>
          </cell>
          <cell r="U679">
            <v>4.7</v>
          </cell>
          <cell r="V679">
            <v>72.900000000000006</v>
          </cell>
          <cell r="W679">
            <v>7.4</v>
          </cell>
          <cell r="X679" t="str">
            <v>NA</v>
          </cell>
          <cell r="Y679" t="str">
            <v>NA</v>
          </cell>
          <cell r="Z679" t="str">
            <v>NA</v>
          </cell>
          <cell r="AA679" t="str">
            <v>NA</v>
          </cell>
        </row>
        <row r="680">
          <cell r="A680">
            <v>45136</v>
          </cell>
          <cell r="B680" t="str">
            <v>A1</v>
          </cell>
          <cell r="C680">
            <v>1</v>
          </cell>
          <cell r="D680">
            <v>2</v>
          </cell>
          <cell r="E680" t="str">
            <v>ARIS.A1.Aim2.Bin1.LB</v>
          </cell>
          <cell r="F680">
            <v>3</v>
          </cell>
          <cell r="G680" t="str">
            <v>Unweighted</v>
          </cell>
          <cell r="H680" t="str">
            <v>N</v>
          </cell>
          <cell r="I680" t="str">
            <v>Y</v>
          </cell>
          <cell r="J680">
            <v>127</v>
          </cell>
          <cell r="K680">
            <v>1</v>
          </cell>
          <cell r="L680">
            <v>0.95569999999999999</v>
          </cell>
          <cell r="M680">
            <v>19.3</v>
          </cell>
          <cell r="N680">
            <v>8.3000000000000007</v>
          </cell>
          <cell r="O680">
            <v>4.4299999999999999E-2</v>
          </cell>
          <cell r="P680">
            <v>3.0300000000000001E-2</v>
          </cell>
          <cell r="Q680">
            <v>1.4E-2</v>
          </cell>
          <cell r="R680" t="str">
            <v>NA</v>
          </cell>
          <cell r="S680" t="str">
            <v>NA</v>
          </cell>
          <cell r="T680">
            <v>58.4</v>
          </cell>
          <cell r="U680">
            <v>4.7</v>
          </cell>
          <cell r="V680">
            <v>72.900000000000006</v>
          </cell>
          <cell r="W680">
            <v>7.4</v>
          </cell>
          <cell r="X680" t="str">
            <v>NA</v>
          </cell>
          <cell r="Y680" t="str">
            <v>NA</v>
          </cell>
          <cell r="Z680" t="str">
            <v>NA</v>
          </cell>
          <cell r="AA680" t="str">
            <v>NA</v>
          </cell>
        </row>
        <row r="681">
          <cell r="A681">
            <v>45136</v>
          </cell>
          <cell r="B681" t="str">
            <v>A1</v>
          </cell>
          <cell r="C681">
            <v>1</v>
          </cell>
          <cell r="D681" t="str">
            <v>1&amp;2</v>
          </cell>
          <cell r="E681" t="str">
            <v>ARIS.A1.Aim1&amp;Aim2.Bin1.LB</v>
          </cell>
          <cell r="F681">
            <v>3</v>
          </cell>
          <cell r="G681" t="str">
            <v>Unweighted</v>
          </cell>
          <cell r="H681" t="str">
            <v>N</v>
          </cell>
          <cell r="I681" t="str">
            <v>Y</v>
          </cell>
          <cell r="J681">
            <v>222</v>
          </cell>
          <cell r="K681">
            <v>1</v>
          </cell>
          <cell r="L681">
            <v>0.92230000000000001</v>
          </cell>
          <cell r="M681">
            <v>20</v>
          </cell>
          <cell r="N681">
            <v>8.5</v>
          </cell>
          <cell r="O681">
            <v>7.7700000000000005E-2</v>
          </cell>
          <cell r="P681">
            <v>5.0500000000000003E-2</v>
          </cell>
          <cell r="Q681">
            <v>2.7199999999999998E-2</v>
          </cell>
          <cell r="R681" t="str">
            <v>NA</v>
          </cell>
          <cell r="S681" t="str">
            <v>NA</v>
          </cell>
          <cell r="T681">
            <v>58.4</v>
          </cell>
          <cell r="U681">
            <v>4.7</v>
          </cell>
          <cell r="V681">
            <v>72.900000000000006</v>
          </cell>
          <cell r="W681">
            <v>7.4</v>
          </cell>
          <cell r="X681" t="str">
            <v>NA</v>
          </cell>
          <cell r="Y681" t="str">
            <v>NA</v>
          </cell>
          <cell r="Z681" t="str">
            <v>NA</v>
          </cell>
          <cell r="AA681" t="str">
            <v>NA</v>
          </cell>
        </row>
        <row r="682">
          <cell r="A682">
            <v>45136</v>
          </cell>
          <cell r="B682" t="str">
            <v>A1</v>
          </cell>
          <cell r="C682">
            <v>2</v>
          </cell>
          <cell r="D682">
            <v>3</v>
          </cell>
          <cell r="E682" t="str">
            <v>ARIS.A1.Aim3.Bin2.LB</v>
          </cell>
          <cell r="F682">
            <v>3</v>
          </cell>
          <cell r="G682" t="str">
            <v>Unweighted</v>
          </cell>
          <cell r="H682" t="str">
            <v>N</v>
          </cell>
          <cell r="I682" t="str">
            <v>Y</v>
          </cell>
          <cell r="J682">
            <v>108</v>
          </cell>
          <cell r="K682">
            <v>1.0001</v>
          </cell>
          <cell r="L682">
            <v>0.62890000000000001</v>
          </cell>
          <cell r="M682">
            <v>28.2</v>
          </cell>
          <cell r="N682">
            <v>9.1999999999999993</v>
          </cell>
          <cell r="O682">
            <v>0.37119999999999997</v>
          </cell>
          <cell r="P682">
            <v>0.1686</v>
          </cell>
          <cell r="Q682">
            <v>0.2026</v>
          </cell>
          <cell r="R682" t="str">
            <v>NA</v>
          </cell>
          <cell r="S682" t="str">
            <v>NA</v>
          </cell>
          <cell r="T682">
            <v>58.4</v>
          </cell>
          <cell r="U682">
            <v>4.7</v>
          </cell>
          <cell r="V682">
            <v>72.900000000000006</v>
          </cell>
          <cell r="W682">
            <v>7.4</v>
          </cell>
          <cell r="X682" t="str">
            <v>NA</v>
          </cell>
          <cell r="Y682" t="str">
            <v>NA</v>
          </cell>
          <cell r="Z682" t="str">
            <v>NA</v>
          </cell>
          <cell r="AA682" t="str">
            <v>NA</v>
          </cell>
        </row>
        <row r="683">
          <cell r="A683">
            <v>45136</v>
          </cell>
          <cell r="B683" t="str">
            <v>A1</v>
          </cell>
          <cell r="C683">
            <v>3</v>
          </cell>
          <cell r="D683">
            <v>3</v>
          </cell>
          <cell r="E683" t="str">
            <v>ARIS.A1.Aim3.Bin3.LB</v>
          </cell>
          <cell r="F683">
            <v>3</v>
          </cell>
          <cell r="G683" t="str">
            <v>Unweighted</v>
          </cell>
          <cell r="H683" t="str">
            <v>N</v>
          </cell>
          <cell r="I683" t="str">
            <v>Y</v>
          </cell>
          <cell r="J683">
            <v>91</v>
          </cell>
          <cell r="K683">
            <v>1</v>
          </cell>
          <cell r="L683">
            <v>0.39950000000000002</v>
          </cell>
          <cell r="M683">
            <v>23.7</v>
          </cell>
          <cell r="N683">
            <v>37.1</v>
          </cell>
          <cell r="O683">
            <v>0.60050000000000003</v>
          </cell>
          <cell r="P683">
            <v>0.1797</v>
          </cell>
          <cell r="Q683">
            <v>0.42080000000000001</v>
          </cell>
          <cell r="R683" t="str">
            <v>NA</v>
          </cell>
          <cell r="S683" t="str">
            <v>NA</v>
          </cell>
          <cell r="T683">
            <v>58.4</v>
          </cell>
          <cell r="U683">
            <v>4.7</v>
          </cell>
          <cell r="V683">
            <v>72.900000000000006</v>
          </cell>
          <cell r="W683">
            <v>7.4</v>
          </cell>
          <cell r="X683" t="str">
            <v>NA</v>
          </cell>
          <cell r="Y683" t="str">
            <v>NA</v>
          </cell>
          <cell r="Z683" t="str">
            <v>NA</v>
          </cell>
          <cell r="AA683" t="str">
            <v>NA</v>
          </cell>
        </row>
        <row r="684">
          <cell r="A684">
            <v>45136</v>
          </cell>
          <cell r="B684" t="str">
            <v>A1</v>
          </cell>
          <cell r="C684">
            <v>4</v>
          </cell>
          <cell r="D684">
            <v>3</v>
          </cell>
          <cell r="E684" t="str">
            <v>ARIS.A1.Aim3.Bin4.LB</v>
          </cell>
          <cell r="F684">
            <v>3</v>
          </cell>
          <cell r="G684" t="str">
            <v>Unweighted</v>
          </cell>
          <cell r="H684" t="str">
            <v>N</v>
          </cell>
          <cell r="I684" t="str">
            <v>Y</v>
          </cell>
          <cell r="J684">
            <v>91</v>
          </cell>
          <cell r="K684">
            <v>1</v>
          </cell>
          <cell r="L684">
            <v>0.39950000000000002</v>
          </cell>
          <cell r="M684">
            <v>23.7</v>
          </cell>
          <cell r="N684">
            <v>37.1</v>
          </cell>
          <cell r="O684">
            <v>0.60050000000000003</v>
          </cell>
          <cell r="P684">
            <v>0.1797</v>
          </cell>
          <cell r="Q684">
            <v>0.42080000000000001</v>
          </cell>
          <cell r="R684" t="str">
            <v>NA</v>
          </cell>
          <cell r="S684" t="str">
            <v>NA</v>
          </cell>
          <cell r="T684">
            <v>58.4</v>
          </cell>
          <cell r="U684">
            <v>4.7</v>
          </cell>
          <cell r="V684">
            <v>72.900000000000006</v>
          </cell>
          <cell r="W684">
            <v>7.4</v>
          </cell>
          <cell r="X684" t="str">
            <v>NA</v>
          </cell>
          <cell r="Y684" t="str">
            <v>NA</v>
          </cell>
          <cell r="Z684" t="str">
            <v>NA</v>
          </cell>
          <cell r="AA684" t="str">
            <v>NA</v>
          </cell>
        </row>
        <row r="685">
          <cell r="A685">
            <v>45136</v>
          </cell>
          <cell r="B685" t="str">
            <v>A2</v>
          </cell>
          <cell r="C685">
            <v>1</v>
          </cell>
          <cell r="D685">
            <v>1</v>
          </cell>
          <cell r="E685" t="str">
            <v>ARIS.A2.Aim1.Bin1.RB</v>
          </cell>
          <cell r="F685">
            <v>3</v>
          </cell>
          <cell r="G685" t="str">
            <v>Unweighted</v>
          </cell>
          <cell r="H685" t="str">
            <v>N</v>
          </cell>
          <cell r="I685" t="str">
            <v>Y</v>
          </cell>
          <cell r="J685">
            <v>166</v>
          </cell>
          <cell r="K685">
            <v>1</v>
          </cell>
          <cell r="L685">
            <v>0.93240000000000001</v>
          </cell>
          <cell r="M685">
            <v>18.100000000000001</v>
          </cell>
          <cell r="N685">
            <v>5.8</v>
          </cell>
          <cell r="O685">
            <v>6.7599999999999993E-2</v>
          </cell>
          <cell r="P685">
            <v>6.7599999999999993E-2</v>
          </cell>
          <cell r="Q685">
            <v>0</v>
          </cell>
          <cell r="R685" t="str">
            <v>NA</v>
          </cell>
          <cell r="S685" t="str">
            <v>NA</v>
          </cell>
          <cell r="T685">
            <v>58.4</v>
          </cell>
          <cell r="U685">
            <v>4.7</v>
          </cell>
          <cell r="V685">
            <v>72.900000000000006</v>
          </cell>
          <cell r="W685">
            <v>7.4</v>
          </cell>
          <cell r="X685" t="str">
            <v>NA</v>
          </cell>
          <cell r="Y685" t="str">
            <v>NA</v>
          </cell>
          <cell r="Z685" t="str">
            <v>NA</v>
          </cell>
          <cell r="AA685" t="str">
            <v>NA</v>
          </cell>
        </row>
        <row r="686">
          <cell r="A686">
            <v>45136</v>
          </cell>
          <cell r="B686" t="str">
            <v>A2</v>
          </cell>
          <cell r="C686">
            <v>2</v>
          </cell>
          <cell r="D686">
            <v>1</v>
          </cell>
          <cell r="E686" t="str">
            <v>ARIS.A2.Aim1.Bin2.RB</v>
          </cell>
          <cell r="F686">
            <v>3</v>
          </cell>
          <cell r="G686" t="str">
            <v>Unweighted</v>
          </cell>
          <cell r="H686" t="str">
            <v>N</v>
          </cell>
          <cell r="I686" t="str">
            <v>Y</v>
          </cell>
          <cell r="J686">
            <v>126</v>
          </cell>
          <cell r="K686">
            <v>1</v>
          </cell>
          <cell r="L686">
            <v>0.78720000000000001</v>
          </cell>
          <cell r="M686">
            <v>23.7</v>
          </cell>
          <cell r="N686">
            <v>8.9</v>
          </cell>
          <cell r="O686">
            <v>0.21279999999999999</v>
          </cell>
          <cell r="P686">
            <v>0.19040000000000001</v>
          </cell>
          <cell r="Q686">
            <v>2.24E-2</v>
          </cell>
          <cell r="R686" t="str">
            <v>NA</v>
          </cell>
          <cell r="S686" t="str">
            <v>NA</v>
          </cell>
          <cell r="T686">
            <v>58.4</v>
          </cell>
          <cell r="U686">
            <v>4.7</v>
          </cell>
          <cell r="V686">
            <v>72.900000000000006</v>
          </cell>
          <cell r="W686">
            <v>7.4</v>
          </cell>
          <cell r="X686" t="str">
            <v>NA</v>
          </cell>
          <cell r="Y686" t="str">
            <v>NA</v>
          </cell>
          <cell r="Z686" t="str">
            <v>NA</v>
          </cell>
          <cell r="AA686" t="str">
            <v>NA</v>
          </cell>
        </row>
        <row r="687">
          <cell r="A687">
            <v>45136</v>
          </cell>
          <cell r="B687" t="str">
            <v>A2</v>
          </cell>
          <cell r="C687">
            <v>3</v>
          </cell>
          <cell r="D687">
            <v>1</v>
          </cell>
          <cell r="E687" t="str">
            <v>ARIS.A2.Aim1.Bin3.RB</v>
          </cell>
          <cell r="F687">
            <v>3</v>
          </cell>
          <cell r="G687" t="str">
            <v>Unweighted</v>
          </cell>
          <cell r="H687" t="str">
            <v>N</v>
          </cell>
          <cell r="I687" t="str">
            <v>Y</v>
          </cell>
          <cell r="J687">
            <v>89</v>
          </cell>
          <cell r="K687">
            <v>1</v>
          </cell>
          <cell r="L687">
            <v>0.62439999999999996</v>
          </cell>
          <cell r="M687">
            <v>33.4</v>
          </cell>
          <cell r="N687">
            <v>6.5</v>
          </cell>
          <cell r="O687">
            <v>0.37559999999999999</v>
          </cell>
          <cell r="P687">
            <v>0.19839999999999999</v>
          </cell>
          <cell r="Q687">
            <v>0.1772</v>
          </cell>
          <cell r="R687" t="str">
            <v>NA</v>
          </cell>
          <cell r="S687" t="str">
            <v>NA</v>
          </cell>
          <cell r="T687">
            <v>58.4</v>
          </cell>
          <cell r="U687">
            <v>4.7</v>
          </cell>
          <cell r="V687">
            <v>72.900000000000006</v>
          </cell>
          <cell r="W687">
            <v>7.4</v>
          </cell>
          <cell r="X687" t="str">
            <v>NA</v>
          </cell>
          <cell r="Y687" t="str">
            <v>NA</v>
          </cell>
          <cell r="Z687" t="str">
            <v>NA</v>
          </cell>
          <cell r="AA687" t="str">
            <v>NA</v>
          </cell>
        </row>
        <row r="688">
          <cell r="A688">
            <v>45136</v>
          </cell>
          <cell r="B688" t="str">
            <v>A2</v>
          </cell>
          <cell r="C688">
            <v>4</v>
          </cell>
          <cell r="D688">
            <v>1</v>
          </cell>
          <cell r="E688" t="str">
            <v>ARIS.A2.Aim1.Bin4.RB</v>
          </cell>
          <cell r="F688">
            <v>3</v>
          </cell>
          <cell r="G688" t="str">
            <v>Unweighted</v>
          </cell>
          <cell r="H688" t="str">
            <v>N</v>
          </cell>
          <cell r="I688" t="str">
            <v>Y</v>
          </cell>
          <cell r="J688">
            <v>89</v>
          </cell>
          <cell r="K688">
            <v>1</v>
          </cell>
          <cell r="L688">
            <v>0.62439999999999996</v>
          </cell>
          <cell r="M688">
            <v>33.4</v>
          </cell>
          <cell r="N688">
            <v>6.5</v>
          </cell>
          <cell r="O688">
            <v>0.37559999999999999</v>
          </cell>
          <cell r="P688">
            <v>0.19839999999999999</v>
          </cell>
          <cell r="Q688">
            <v>0.1772</v>
          </cell>
          <cell r="R688" t="str">
            <v>NA</v>
          </cell>
          <cell r="S688" t="str">
            <v>NA</v>
          </cell>
          <cell r="T688">
            <v>58.4</v>
          </cell>
          <cell r="U688">
            <v>4.7</v>
          </cell>
          <cell r="V688">
            <v>72.900000000000006</v>
          </cell>
          <cell r="W688">
            <v>7.4</v>
          </cell>
          <cell r="X688" t="str">
            <v>NA</v>
          </cell>
          <cell r="Y688" t="str">
            <v>NA</v>
          </cell>
          <cell r="Z688" t="str">
            <v>NA</v>
          </cell>
          <cell r="AA688" t="str">
            <v>NA</v>
          </cell>
        </row>
        <row r="689">
          <cell r="A689">
            <v>45136</v>
          </cell>
          <cell r="B689" t="str">
            <v>A2</v>
          </cell>
          <cell r="C689">
            <v>1</v>
          </cell>
          <cell r="D689">
            <v>1</v>
          </cell>
          <cell r="E689" t="str">
            <v>ARIS.A2.Aim1.Bin1.RB</v>
          </cell>
          <cell r="F689">
            <v>3</v>
          </cell>
          <cell r="G689" t="str">
            <v>SplineDFA</v>
          </cell>
          <cell r="H689" t="str">
            <v>Y</v>
          </cell>
          <cell r="I689" t="str">
            <v>N</v>
          </cell>
          <cell r="J689">
            <v>166</v>
          </cell>
          <cell r="K689">
            <v>1.0001</v>
          </cell>
          <cell r="L689">
            <v>0.96450000000000002</v>
          </cell>
          <cell r="M689">
            <v>23.7</v>
          </cell>
          <cell r="N689">
            <v>2.7</v>
          </cell>
          <cell r="O689">
            <v>3.56E-2</v>
          </cell>
          <cell r="P689">
            <v>3.3700000000000001E-2</v>
          </cell>
          <cell r="Q689">
            <v>1.9E-3</v>
          </cell>
          <cell r="R689" t="str">
            <v>NA</v>
          </cell>
          <cell r="S689" t="str">
            <v>NA</v>
          </cell>
          <cell r="T689">
            <v>58.4</v>
          </cell>
          <cell r="U689">
            <v>4.7</v>
          </cell>
          <cell r="V689">
            <v>72.900000000000006</v>
          </cell>
          <cell r="W689">
            <v>7.4</v>
          </cell>
          <cell r="X689" t="str">
            <v>NA</v>
          </cell>
          <cell r="Y689" t="str">
            <v>NA</v>
          </cell>
          <cell r="Z689" t="str">
            <v>NA</v>
          </cell>
          <cell r="AA689" t="str">
            <v>NA</v>
          </cell>
        </row>
        <row r="690">
          <cell r="A690">
            <v>45136</v>
          </cell>
          <cell r="B690" t="str">
            <v>A2</v>
          </cell>
          <cell r="C690">
            <v>2</v>
          </cell>
          <cell r="D690">
            <v>1</v>
          </cell>
          <cell r="E690" t="str">
            <v>ARIS.A2.Aim1.Bin2.RB</v>
          </cell>
          <cell r="F690">
            <v>3</v>
          </cell>
          <cell r="G690" t="str">
            <v>SplineDFA</v>
          </cell>
          <cell r="H690" t="str">
            <v>Y</v>
          </cell>
          <cell r="I690" t="str">
            <v>N</v>
          </cell>
          <cell r="J690">
            <v>126</v>
          </cell>
          <cell r="K690">
            <v>1.0001</v>
          </cell>
          <cell r="L690">
            <v>0.68889999999999996</v>
          </cell>
          <cell r="M690">
            <v>23.7</v>
          </cell>
          <cell r="N690">
            <v>2.7</v>
          </cell>
          <cell r="O690">
            <v>0.31119999999999998</v>
          </cell>
          <cell r="P690">
            <v>0.28360000000000002</v>
          </cell>
          <cell r="Q690">
            <v>2.76E-2</v>
          </cell>
          <cell r="R690" t="str">
            <v>NA</v>
          </cell>
          <cell r="S690" t="str">
            <v>NA</v>
          </cell>
          <cell r="T690">
            <v>58.4</v>
          </cell>
          <cell r="U690">
            <v>4.7</v>
          </cell>
          <cell r="V690">
            <v>72.900000000000006</v>
          </cell>
          <cell r="W690">
            <v>7.4</v>
          </cell>
          <cell r="X690" t="str">
            <v>NA</v>
          </cell>
          <cell r="Y690" t="str">
            <v>NA</v>
          </cell>
          <cell r="Z690" t="str">
            <v>NA</v>
          </cell>
          <cell r="AA690" t="str">
            <v>NA</v>
          </cell>
        </row>
        <row r="691">
          <cell r="A691">
            <v>45136</v>
          </cell>
          <cell r="B691" t="str">
            <v>A2</v>
          </cell>
          <cell r="C691">
            <v>3</v>
          </cell>
          <cell r="D691">
            <v>1</v>
          </cell>
          <cell r="E691" t="str">
            <v>ARIS.A2.Aim1.Bin3.RB</v>
          </cell>
          <cell r="F691">
            <v>3</v>
          </cell>
          <cell r="G691" t="str">
            <v>SplineDFA</v>
          </cell>
          <cell r="H691" t="str">
            <v>Y</v>
          </cell>
          <cell r="I691" t="str">
            <v>N</v>
          </cell>
          <cell r="J691">
            <v>89</v>
          </cell>
          <cell r="K691">
            <v>1.0001</v>
          </cell>
          <cell r="L691">
            <v>0.45450000000000002</v>
          </cell>
          <cell r="M691">
            <v>23.7</v>
          </cell>
          <cell r="N691">
            <v>2.7</v>
          </cell>
          <cell r="O691">
            <v>0.54559999999999997</v>
          </cell>
          <cell r="P691">
            <v>0.38919999999999999</v>
          </cell>
          <cell r="Q691">
            <v>0.15640000000000001</v>
          </cell>
          <cell r="R691" t="str">
            <v>NA</v>
          </cell>
          <cell r="S691" t="str">
            <v>NA</v>
          </cell>
          <cell r="T691">
            <v>58.4</v>
          </cell>
          <cell r="U691">
            <v>4.7</v>
          </cell>
          <cell r="V691">
            <v>72.900000000000006</v>
          </cell>
          <cell r="W691">
            <v>7.4</v>
          </cell>
          <cell r="X691" t="str">
            <v>NA</v>
          </cell>
          <cell r="Y691" t="str">
            <v>NA</v>
          </cell>
          <cell r="Z691" t="str">
            <v>NA</v>
          </cell>
          <cell r="AA691" t="str">
            <v>NA</v>
          </cell>
        </row>
        <row r="692">
          <cell r="A692">
            <v>45136</v>
          </cell>
          <cell r="B692" t="str">
            <v>A2</v>
          </cell>
          <cell r="C692">
            <v>4</v>
          </cell>
          <cell r="D692">
            <v>1</v>
          </cell>
          <cell r="E692" t="str">
            <v>ARIS.A2.Aim1.Bin4.RB</v>
          </cell>
          <cell r="F692">
            <v>3</v>
          </cell>
          <cell r="G692" t="str">
            <v>SplineDFA</v>
          </cell>
          <cell r="H692" t="str">
            <v>Y</v>
          </cell>
          <cell r="I692" t="str">
            <v>N</v>
          </cell>
          <cell r="J692">
            <v>89</v>
          </cell>
          <cell r="K692">
            <v>1.0001</v>
          </cell>
          <cell r="L692">
            <v>0.45450000000000002</v>
          </cell>
          <cell r="M692">
            <v>23.7</v>
          </cell>
          <cell r="N692">
            <v>2.7</v>
          </cell>
          <cell r="O692">
            <v>0.54559999999999997</v>
          </cell>
          <cell r="P692">
            <v>0.38919999999999999</v>
          </cell>
          <cell r="Q692">
            <v>0.15640000000000001</v>
          </cell>
          <cell r="R692" t="str">
            <v>NA</v>
          </cell>
          <cell r="S692" t="str">
            <v>NA</v>
          </cell>
          <cell r="T692">
            <v>58.4</v>
          </cell>
          <cell r="U692">
            <v>4.7</v>
          </cell>
          <cell r="V692">
            <v>72.900000000000006</v>
          </cell>
          <cell r="W692">
            <v>7.4</v>
          </cell>
          <cell r="X692" t="str">
            <v>NA</v>
          </cell>
          <cell r="Y692" t="str">
            <v>NA</v>
          </cell>
          <cell r="Z692" t="str">
            <v>NA</v>
          </cell>
          <cell r="AA692" t="str">
            <v>NA</v>
          </cell>
        </row>
        <row r="693">
          <cell r="A693">
            <v>45136</v>
          </cell>
          <cell r="B693" t="str">
            <v>A1</v>
          </cell>
          <cell r="C693">
            <v>1</v>
          </cell>
          <cell r="D693">
            <v>1</v>
          </cell>
          <cell r="E693" t="str">
            <v>ARIS.A1.Aim1.Bin1.LB</v>
          </cell>
          <cell r="F693">
            <v>4</v>
          </cell>
          <cell r="G693" t="str">
            <v>Unweighted</v>
          </cell>
          <cell r="H693" t="str">
            <v>N</v>
          </cell>
          <cell r="I693" t="str">
            <v>N</v>
          </cell>
          <cell r="J693">
            <v>95</v>
          </cell>
          <cell r="K693">
            <v>1</v>
          </cell>
          <cell r="L693">
            <v>0.82979999999999998</v>
          </cell>
          <cell r="M693">
            <v>20</v>
          </cell>
          <cell r="N693">
            <v>7.4</v>
          </cell>
          <cell r="O693">
            <v>0.17019999999999999</v>
          </cell>
          <cell r="P693">
            <v>7.5899999999999995E-2</v>
          </cell>
          <cell r="Q693">
            <v>4.5400000000000003E-2</v>
          </cell>
          <cell r="R693" t="str">
            <v>NA</v>
          </cell>
          <cell r="S693">
            <v>4.8899999999999999E-2</v>
          </cell>
          <cell r="T693">
            <v>58.4</v>
          </cell>
          <cell r="U693">
            <v>4.7</v>
          </cell>
          <cell r="V693">
            <v>72.900000000000006</v>
          </cell>
          <cell r="W693">
            <v>7.4</v>
          </cell>
          <cell r="X693" t="str">
            <v>NA</v>
          </cell>
          <cell r="Y693" t="str">
            <v>NA</v>
          </cell>
          <cell r="Z693">
            <v>39.1</v>
          </cell>
          <cell r="AA693">
            <v>3.5</v>
          </cell>
        </row>
        <row r="694">
          <cell r="A694">
            <v>45136</v>
          </cell>
          <cell r="B694" t="str">
            <v>A1</v>
          </cell>
          <cell r="C694">
            <v>1</v>
          </cell>
          <cell r="D694">
            <v>2</v>
          </cell>
          <cell r="E694" t="str">
            <v>ARIS.A1.Aim2.Bin1.LB</v>
          </cell>
          <cell r="F694">
            <v>4</v>
          </cell>
          <cell r="G694" t="str">
            <v>Unweighted</v>
          </cell>
          <cell r="H694" t="str">
            <v>N</v>
          </cell>
          <cell r="I694" t="str">
            <v>N</v>
          </cell>
          <cell r="J694">
            <v>127</v>
          </cell>
          <cell r="K694">
            <v>1</v>
          </cell>
          <cell r="L694">
            <v>0.878</v>
          </cell>
          <cell r="M694">
            <v>17.7</v>
          </cell>
          <cell r="N694">
            <v>6.1</v>
          </cell>
          <cell r="O694">
            <v>0.122</v>
          </cell>
          <cell r="P694">
            <v>2.64E-2</v>
          </cell>
          <cell r="Q694">
            <v>1.46E-2</v>
          </cell>
          <cell r="R694" t="str">
            <v>NA</v>
          </cell>
          <cell r="S694">
            <v>8.1000000000000003E-2</v>
          </cell>
          <cell r="T694">
            <v>58.4</v>
          </cell>
          <cell r="U694">
            <v>4.7</v>
          </cell>
          <cell r="V694">
            <v>72.900000000000006</v>
          </cell>
          <cell r="W694">
            <v>7.4</v>
          </cell>
          <cell r="X694" t="str">
            <v>NA</v>
          </cell>
          <cell r="Y694" t="str">
            <v>NA</v>
          </cell>
          <cell r="Z694">
            <v>39.1</v>
          </cell>
          <cell r="AA694">
            <v>3.5</v>
          </cell>
        </row>
        <row r="695">
          <cell r="A695">
            <v>45136</v>
          </cell>
          <cell r="B695" t="str">
            <v>A1</v>
          </cell>
          <cell r="C695">
            <v>1</v>
          </cell>
          <cell r="D695" t="str">
            <v>1&amp;2</v>
          </cell>
          <cell r="E695" t="str">
            <v>ARIS.A1.Aim1&amp;Aim2.Bin1.LB</v>
          </cell>
          <cell r="F695">
            <v>4</v>
          </cell>
          <cell r="G695" t="str">
            <v>Unweighted</v>
          </cell>
          <cell r="H695" t="str">
            <v>N</v>
          </cell>
          <cell r="I695" t="str">
            <v>N</v>
          </cell>
          <cell r="J695">
            <v>222</v>
          </cell>
          <cell r="K695">
            <v>1</v>
          </cell>
          <cell r="L695">
            <v>0.85899999999999999</v>
          </cell>
          <cell r="M695">
            <v>18.7</v>
          </cell>
          <cell r="N695">
            <v>6.7</v>
          </cell>
          <cell r="O695">
            <v>0.14099999999999999</v>
          </cell>
          <cell r="P695">
            <v>4.7600000000000003E-2</v>
          </cell>
          <cell r="Q695">
            <v>2.7799999999999998E-2</v>
          </cell>
          <cell r="R695" t="str">
            <v>NA</v>
          </cell>
          <cell r="S695">
            <v>6.5600000000000006E-2</v>
          </cell>
          <cell r="T695">
            <v>58.4</v>
          </cell>
          <cell r="U695">
            <v>4.7</v>
          </cell>
          <cell r="V695">
            <v>72.900000000000006</v>
          </cell>
          <cell r="W695">
            <v>7.4</v>
          </cell>
          <cell r="X695" t="str">
            <v>NA</v>
          </cell>
          <cell r="Y695" t="str">
            <v>NA</v>
          </cell>
          <cell r="Z695">
            <v>39.1</v>
          </cell>
          <cell r="AA695">
            <v>3.5</v>
          </cell>
        </row>
        <row r="696">
          <cell r="A696">
            <v>45136</v>
          </cell>
          <cell r="B696" t="str">
            <v>A1</v>
          </cell>
          <cell r="C696">
            <v>2</v>
          </cell>
          <cell r="D696">
            <v>3</v>
          </cell>
          <cell r="E696" t="str">
            <v>ARIS.A1.Aim3.Bin2.LB</v>
          </cell>
          <cell r="F696">
            <v>4</v>
          </cell>
          <cell r="G696" t="str">
            <v>Unweighted</v>
          </cell>
          <cell r="H696" t="str">
            <v>N</v>
          </cell>
          <cell r="I696" t="str">
            <v>N</v>
          </cell>
          <cell r="J696">
            <v>108</v>
          </cell>
          <cell r="K696">
            <v>1.0001</v>
          </cell>
          <cell r="L696">
            <v>0.60929999999999995</v>
          </cell>
          <cell r="M696">
            <v>27.8</v>
          </cell>
          <cell r="N696">
            <v>9</v>
          </cell>
          <cell r="O696">
            <v>0.39079999999999998</v>
          </cell>
          <cell r="P696">
            <v>0.1709</v>
          </cell>
          <cell r="Q696">
            <v>0.2021</v>
          </cell>
          <cell r="R696" t="str">
            <v>NA</v>
          </cell>
          <cell r="S696">
            <v>1.78E-2</v>
          </cell>
          <cell r="T696">
            <v>58.4</v>
          </cell>
          <cell r="U696">
            <v>4.7</v>
          </cell>
          <cell r="V696">
            <v>72.900000000000006</v>
          </cell>
          <cell r="W696">
            <v>7.4</v>
          </cell>
          <cell r="X696" t="str">
            <v>NA</v>
          </cell>
          <cell r="Y696" t="str">
            <v>NA</v>
          </cell>
          <cell r="Z696">
            <v>39.1</v>
          </cell>
          <cell r="AA696">
            <v>3.5</v>
          </cell>
        </row>
        <row r="697">
          <cell r="A697">
            <v>45136</v>
          </cell>
          <cell r="B697" t="str">
            <v>A1</v>
          </cell>
          <cell r="C697">
            <v>3</v>
          </cell>
          <cell r="D697">
            <v>3</v>
          </cell>
          <cell r="E697" t="str">
            <v>ARIS.A1.Aim3.Bin3.LB</v>
          </cell>
          <cell r="F697">
            <v>4</v>
          </cell>
          <cell r="G697" t="str">
            <v>Unweighted</v>
          </cell>
          <cell r="H697" t="str">
            <v>N</v>
          </cell>
          <cell r="I697" t="str">
            <v>N</v>
          </cell>
          <cell r="J697">
            <v>108</v>
          </cell>
          <cell r="K697">
            <v>1.0001</v>
          </cell>
          <cell r="L697">
            <v>0.60929999999999995</v>
          </cell>
          <cell r="M697">
            <v>27.8</v>
          </cell>
          <cell r="N697">
            <v>9</v>
          </cell>
          <cell r="O697">
            <v>0.39079999999999998</v>
          </cell>
          <cell r="P697">
            <v>0.1709</v>
          </cell>
          <cell r="Q697">
            <v>0.2021</v>
          </cell>
          <cell r="R697" t="str">
            <v>NA</v>
          </cell>
          <cell r="S697">
            <v>1.78E-2</v>
          </cell>
          <cell r="T697">
            <v>58.4</v>
          </cell>
          <cell r="U697">
            <v>4.7</v>
          </cell>
          <cell r="V697">
            <v>72.900000000000006</v>
          </cell>
          <cell r="W697">
            <v>7.4</v>
          </cell>
          <cell r="X697" t="str">
            <v>NA</v>
          </cell>
          <cell r="Y697" t="str">
            <v>NA</v>
          </cell>
          <cell r="Z697">
            <v>39.1</v>
          </cell>
          <cell r="AA697">
            <v>3.5</v>
          </cell>
        </row>
        <row r="698">
          <cell r="A698">
            <v>45136</v>
          </cell>
          <cell r="B698" t="str">
            <v>A1</v>
          </cell>
          <cell r="C698">
            <v>4</v>
          </cell>
          <cell r="D698">
            <v>3</v>
          </cell>
          <cell r="E698" t="str">
            <v>ARIS.A1.Aim3.Bin4.LB</v>
          </cell>
          <cell r="F698">
            <v>4</v>
          </cell>
          <cell r="G698" t="str">
            <v>Unweighted</v>
          </cell>
          <cell r="H698" t="str">
            <v>N</v>
          </cell>
          <cell r="I698" t="str">
            <v>N</v>
          </cell>
          <cell r="J698">
            <v>108</v>
          </cell>
          <cell r="K698">
            <v>1.0001</v>
          </cell>
          <cell r="L698">
            <v>0.60929999999999995</v>
          </cell>
          <cell r="M698">
            <v>27.8</v>
          </cell>
          <cell r="N698">
            <v>9</v>
          </cell>
          <cell r="O698">
            <v>0.39079999999999998</v>
          </cell>
          <cell r="P698">
            <v>0.1709</v>
          </cell>
          <cell r="Q698">
            <v>0.2021</v>
          </cell>
          <cell r="R698" t="str">
            <v>NA</v>
          </cell>
          <cell r="S698">
            <v>1.78E-2</v>
          </cell>
          <cell r="T698">
            <v>58.4</v>
          </cell>
          <cell r="U698">
            <v>4.7</v>
          </cell>
          <cell r="V698">
            <v>72.900000000000006</v>
          </cell>
          <cell r="W698">
            <v>7.4</v>
          </cell>
          <cell r="X698" t="str">
            <v>NA</v>
          </cell>
          <cell r="Y698" t="str">
            <v>NA</v>
          </cell>
          <cell r="Z698">
            <v>39.1</v>
          </cell>
          <cell r="AA698">
            <v>3.5</v>
          </cell>
        </row>
        <row r="699">
          <cell r="A699">
            <v>45136</v>
          </cell>
          <cell r="B699" t="str">
            <v>A2</v>
          </cell>
          <cell r="C699">
            <v>1</v>
          </cell>
          <cell r="D699">
            <v>1</v>
          </cell>
          <cell r="E699" t="str">
            <v>ARIS.A2.Aim1.Bin1.RB</v>
          </cell>
          <cell r="F699">
            <v>4</v>
          </cell>
          <cell r="G699" t="str">
            <v>Unweighted</v>
          </cell>
          <cell r="H699" t="str">
            <v>N</v>
          </cell>
          <cell r="I699" t="str">
            <v>N</v>
          </cell>
          <cell r="J699">
            <v>166</v>
          </cell>
          <cell r="K699">
            <v>0.99990000000000001</v>
          </cell>
          <cell r="L699">
            <v>0.90549999999999997</v>
          </cell>
          <cell r="M699">
            <v>17.7</v>
          </cell>
          <cell r="N699">
            <v>5.2</v>
          </cell>
          <cell r="O699">
            <v>9.4399999999999998E-2</v>
          </cell>
          <cell r="P699">
            <v>2.6100000000000002E-2</v>
          </cell>
          <cell r="Q699">
            <v>0</v>
          </cell>
          <cell r="R699" t="str">
            <v>NA</v>
          </cell>
          <cell r="S699">
            <v>6.83E-2</v>
          </cell>
          <cell r="T699">
            <v>58.4</v>
          </cell>
          <cell r="U699">
            <v>4.7</v>
          </cell>
          <cell r="V699">
            <v>72.900000000000006</v>
          </cell>
          <cell r="W699">
            <v>7.4</v>
          </cell>
          <cell r="X699" t="str">
            <v>NA</v>
          </cell>
          <cell r="Y699" t="str">
            <v>NA</v>
          </cell>
          <cell r="Z699">
            <v>39.1</v>
          </cell>
          <cell r="AA699">
            <v>3.5</v>
          </cell>
        </row>
        <row r="700">
          <cell r="A700">
            <v>45136</v>
          </cell>
          <cell r="B700" t="str">
            <v>A2</v>
          </cell>
          <cell r="C700">
            <v>2</v>
          </cell>
          <cell r="D700">
            <v>1</v>
          </cell>
          <cell r="E700" t="str">
            <v>ARIS.A2.Aim1.Bin2.RB</v>
          </cell>
          <cell r="F700">
            <v>4</v>
          </cell>
          <cell r="G700" t="str">
            <v>Unweighted</v>
          </cell>
          <cell r="H700" t="str">
            <v>N</v>
          </cell>
          <cell r="I700" t="str">
            <v>N</v>
          </cell>
          <cell r="J700">
            <v>126</v>
          </cell>
          <cell r="K700">
            <v>0.99990000000000001</v>
          </cell>
          <cell r="L700">
            <v>0.65</v>
          </cell>
          <cell r="M700">
            <v>23.8</v>
          </cell>
          <cell r="N700">
            <v>5.5</v>
          </cell>
          <cell r="O700">
            <v>0.34989999999999999</v>
          </cell>
          <cell r="P700">
            <v>0.18870000000000001</v>
          </cell>
          <cell r="Q700">
            <v>2.2499999999999999E-2</v>
          </cell>
          <cell r="R700" t="str">
            <v>NA</v>
          </cell>
          <cell r="S700">
            <v>0.13869999999999999</v>
          </cell>
          <cell r="T700">
            <v>58.4</v>
          </cell>
          <cell r="U700">
            <v>4.7</v>
          </cell>
          <cell r="V700">
            <v>72.900000000000006</v>
          </cell>
          <cell r="W700">
            <v>7.4</v>
          </cell>
          <cell r="X700" t="str">
            <v>NA</v>
          </cell>
          <cell r="Y700" t="str">
            <v>NA</v>
          </cell>
          <cell r="Z700">
            <v>39.1</v>
          </cell>
          <cell r="AA700">
            <v>3.5</v>
          </cell>
        </row>
        <row r="701">
          <cell r="A701">
            <v>45136</v>
          </cell>
          <cell r="B701" t="str">
            <v>A2</v>
          </cell>
          <cell r="C701">
            <v>3</v>
          </cell>
          <cell r="D701">
            <v>1</v>
          </cell>
          <cell r="E701" t="str">
            <v>ARIS.A2.Aim1.Bin3.RB</v>
          </cell>
          <cell r="F701">
            <v>4</v>
          </cell>
          <cell r="G701" t="str">
            <v>Unweighted</v>
          </cell>
          <cell r="H701" t="str">
            <v>N</v>
          </cell>
          <cell r="I701" t="str">
            <v>N</v>
          </cell>
          <cell r="J701">
            <v>89</v>
          </cell>
          <cell r="K701">
            <v>1</v>
          </cell>
          <cell r="L701">
            <v>0.55940000000000001</v>
          </cell>
          <cell r="M701">
            <v>32.799999999999997</v>
          </cell>
          <cell r="N701">
            <v>6.3</v>
          </cell>
          <cell r="O701">
            <v>0.44059999999999999</v>
          </cell>
          <cell r="P701">
            <v>0.26540000000000002</v>
          </cell>
          <cell r="Q701">
            <v>0.17519999999999999</v>
          </cell>
          <cell r="R701" t="str">
            <v>NA</v>
          </cell>
          <cell r="S701">
            <v>0</v>
          </cell>
          <cell r="T701">
            <v>58.4</v>
          </cell>
          <cell r="U701">
            <v>4.7</v>
          </cell>
          <cell r="V701">
            <v>72.900000000000006</v>
          </cell>
          <cell r="W701">
            <v>7.4</v>
          </cell>
          <cell r="X701" t="str">
            <v>NA</v>
          </cell>
          <cell r="Y701" t="str">
            <v>NA</v>
          </cell>
          <cell r="Z701">
            <v>39.1</v>
          </cell>
          <cell r="AA701">
            <v>3.5</v>
          </cell>
        </row>
        <row r="702">
          <cell r="A702">
            <v>45136</v>
          </cell>
          <cell r="B702" t="str">
            <v>A2</v>
          </cell>
          <cell r="C702">
            <v>4</v>
          </cell>
          <cell r="D702">
            <v>1</v>
          </cell>
          <cell r="E702" t="str">
            <v>ARIS.A2.Aim1.Bin4.RB</v>
          </cell>
          <cell r="F702">
            <v>4</v>
          </cell>
          <cell r="G702" t="str">
            <v>Unweighted</v>
          </cell>
          <cell r="H702" t="str">
            <v>N</v>
          </cell>
          <cell r="I702" t="str">
            <v>N</v>
          </cell>
          <cell r="J702">
            <v>89</v>
          </cell>
          <cell r="K702">
            <v>1</v>
          </cell>
          <cell r="L702">
            <v>0.55940000000000001</v>
          </cell>
          <cell r="M702">
            <v>32.799999999999997</v>
          </cell>
          <cell r="N702">
            <v>6.3</v>
          </cell>
          <cell r="O702">
            <v>0.44059999999999999</v>
          </cell>
          <cell r="P702">
            <v>0.26540000000000002</v>
          </cell>
          <cell r="Q702">
            <v>0.17519999999999999</v>
          </cell>
          <cell r="R702" t="str">
            <v>NA</v>
          </cell>
          <cell r="S702">
            <v>0</v>
          </cell>
          <cell r="T702">
            <v>58.4</v>
          </cell>
          <cell r="U702">
            <v>4.7</v>
          </cell>
          <cell r="V702">
            <v>72.900000000000006</v>
          </cell>
          <cell r="W702">
            <v>7.4</v>
          </cell>
          <cell r="X702" t="str">
            <v>NA</v>
          </cell>
          <cell r="Y702" t="str">
            <v>NA</v>
          </cell>
          <cell r="Z702">
            <v>39.1</v>
          </cell>
          <cell r="AA702">
            <v>3.5</v>
          </cell>
        </row>
        <row r="703">
          <cell r="A703">
            <v>45137</v>
          </cell>
          <cell r="B703" t="str">
            <v>A1</v>
          </cell>
          <cell r="C703">
            <v>1</v>
          </cell>
          <cell r="D703">
            <v>1</v>
          </cell>
          <cell r="E703" t="str">
            <v>ARIS.A1.Aim1.Bin1.LB</v>
          </cell>
          <cell r="F703">
            <v>3</v>
          </cell>
          <cell r="G703" t="str">
            <v>SplineDFA</v>
          </cell>
          <cell r="H703" t="str">
            <v>Y</v>
          </cell>
          <cell r="I703" t="str">
            <v>N</v>
          </cell>
          <cell r="J703">
            <v>114</v>
          </cell>
          <cell r="K703">
            <v>1</v>
          </cell>
          <cell r="L703">
            <v>0.9456</v>
          </cell>
          <cell r="M703">
            <v>23.7</v>
          </cell>
          <cell r="N703">
            <v>2.7</v>
          </cell>
          <cell r="O703">
            <v>5.4399999999999997E-2</v>
          </cell>
          <cell r="P703">
            <v>5.4399999999999997E-2</v>
          </cell>
          <cell r="Q703">
            <v>0</v>
          </cell>
          <cell r="R703" t="str">
            <v>NA</v>
          </cell>
          <cell r="S703" t="str">
            <v>NA</v>
          </cell>
          <cell r="T703">
            <v>58.4</v>
          </cell>
          <cell r="U703">
            <v>4.7</v>
          </cell>
          <cell r="V703">
            <v>72.900000000000006</v>
          </cell>
          <cell r="W703">
            <v>7.4</v>
          </cell>
          <cell r="X703" t="str">
            <v>NA</v>
          </cell>
          <cell r="Y703" t="str">
            <v>NA</v>
          </cell>
          <cell r="Z703" t="str">
            <v>NA</v>
          </cell>
          <cell r="AA703" t="str">
            <v>NA</v>
          </cell>
        </row>
        <row r="704">
          <cell r="A704">
            <v>45137</v>
          </cell>
          <cell r="B704" t="str">
            <v>A1</v>
          </cell>
          <cell r="C704">
            <v>1</v>
          </cell>
          <cell r="D704">
            <v>2</v>
          </cell>
          <cell r="E704" t="str">
            <v>ARIS.A1.Aim2.Bin1.LB</v>
          </cell>
          <cell r="F704">
            <v>3</v>
          </cell>
          <cell r="G704" t="str">
            <v>SplineDFA</v>
          </cell>
          <cell r="H704" t="str">
            <v>Y</v>
          </cell>
          <cell r="I704" t="str">
            <v>N</v>
          </cell>
          <cell r="J704">
            <v>131</v>
          </cell>
          <cell r="K704">
            <v>1</v>
          </cell>
          <cell r="L704">
            <v>0.86409999999999998</v>
          </cell>
          <cell r="M704">
            <v>23.7</v>
          </cell>
          <cell r="N704">
            <v>2.7</v>
          </cell>
          <cell r="O704">
            <v>0.13589999999999999</v>
          </cell>
          <cell r="P704">
            <v>0.1047</v>
          </cell>
          <cell r="Q704">
            <v>3.1199999999999999E-2</v>
          </cell>
          <cell r="R704" t="str">
            <v>NA</v>
          </cell>
          <cell r="S704" t="str">
            <v>NA</v>
          </cell>
          <cell r="T704">
            <v>58.4</v>
          </cell>
          <cell r="U704">
            <v>4.7</v>
          </cell>
          <cell r="V704">
            <v>72.900000000000006</v>
          </cell>
          <cell r="W704">
            <v>7.4</v>
          </cell>
          <cell r="X704" t="str">
            <v>NA</v>
          </cell>
          <cell r="Y704" t="str">
            <v>NA</v>
          </cell>
          <cell r="Z704" t="str">
            <v>NA</v>
          </cell>
          <cell r="AA704" t="str">
            <v>NA</v>
          </cell>
        </row>
        <row r="705">
          <cell r="A705">
            <v>45137</v>
          </cell>
          <cell r="B705" t="str">
            <v>A1</v>
          </cell>
          <cell r="C705">
            <v>2</v>
          </cell>
          <cell r="D705">
            <v>3</v>
          </cell>
          <cell r="E705" t="str">
            <v>ARIS.A1.Aim3.Bin2.LB</v>
          </cell>
          <cell r="F705">
            <v>3</v>
          </cell>
          <cell r="G705" t="str">
            <v>SplineDFA</v>
          </cell>
          <cell r="H705" t="str">
            <v>Y</v>
          </cell>
          <cell r="I705" t="str">
            <v>N</v>
          </cell>
          <cell r="J705">
            <v>148</v>
          </cell>
          <cell r="K705">
            <v>1</v>
          </cell>
          <cell r="L705">
            <v>0.502</v>
          </cell>
          <cell r="M705">
            <v>23.7</v>
          </cell>
          <cell r="N705">
            <v>2.7</v>
          </cell>
          <cell r="O705">
            <v>0.498</v>
          </cell>
          <cell r="P705">
            <v>0.28289999999999998</v>
          </cell>
          <cell r="Q705">
            <v>0.21510000000000001</v>
          </cell>
          <cell r="R705" t="str">
            <v>NA</v>
          </cell>
          <cell r="S705" t="str">
            <v>NA</v>
          </cell>
          <cell r="T705">
            <v>58.4</v>
          </cell>
          <cell r="U705">
            <v>4.7</v>
          </cell>
          <cell r="V705">
            <v>72.900000000000006</v>
          </cell>
          <cell r="W705">
            <v>7.4</v>
          </cell>
          <cell r="X705" t="str">
            <v>NA</v>
          </cell>
          <cell r="Y705" t="str">
            <v>NA</v>
          </cell>
          <cell r="Z705" t="str">
            <v>NA</v>
          </cell>
          <cell r="AA705" t="str">
            <v>NA</v>
          </cell>
        </row>
        <row r="706">
          <cell r="A706">
            <v>45137</v>
          </cell>
          <cell r="B706" t="str">
            <v>A1</v>
          </cell>
          <cell r="C706">
            <v>3</v>
          </cell>
          <cell r="D706">
            <v>3</v>
          </cell>
          <cell r="E706" t="str">
            <v>ARIS.A1.Aim3.Bin3.LB</v>
          </cell>
          <cell r="F706">
            <v>3</v>
          </cell>
          <cell r="G706" t="str">
            <v>SplineDFA</v>
          </cell>
          <cell r="H706" t="str">
            <v>Y</v>
          </cell>
          <cell r="I706" t="str">
            <v>N</v>
          </cell>
          <cell r="J706">
            <v>124</v>
          </cell>
          <cell r="K706">
            <v>1</v>
          </cell>
          <cell r="L706">
            <v>0.20749999999999999</v>
          </cell>
          <cell r="M706">
            <v>23.7</v>
          </cell>
          <cell r="N706">
            <v>2.7</v>
          </cell>
          <cell r="O706">
            <v>0.79249999999999998</v>
          </cell>
          <cell r="P706">
            <v>0.48299999999999998</v>
          </cell>
          <cell r="Q706">
            <v>0.3095</v>
          </cell>
          <cell r="R706" t="str">
            <v>NA</v>
          </cell>
          <cell r="S706" t="str">
            <v>NA</v>
          </cell>
          <cell r="T706">
            <v>58.4</v>
          </cell>
          <cell r="U706">
            <v>4.7</v>
          </cell>
          <cell r="V706">
            <v>72.900000000000006</v>
          </cell>
          <cell r="W706">
            <v>7.4</v>
          </cell>
          <cell r="X706" t="str">
            <v>NA</v>
          </cell>
          <cell r="Y706" t="str">
            <v>NA</v>
          </cell>
          <cell r="Z706" t="str">
            <v>NA</v>
          </cell>
          <cell r="AA706" t="str">
            <v>NA</v>
          </cell>
        </row>
        <row r="707">
          <cell r="A707">
            <v>45137</v>
          </cell>
          <cell r="B707" t="str">
            <v>A1</v>
          </cell>
          <cell r="C707">
            <v>4</v>
          </cell>
          <cell r="D707">
            <v>3</v>
          </cell>
          <cell r="E707" t="str">
            <v>ARIS.A1.Aim3.Bin4.LB</v>
          </cell>
          <cell r="F707">
            <v>3</v>
          </cell>
          <cell r="G707" t="str">
            <v>SplineDFA</v>
          </cell>
          <cell r="H707" t="str">
            <v>Y</v>
          </cell>
          <cell r="I707" t="str">
            <v>N</v>
          </cell>
          <cell r="J707">
            <v>124</v>
          </cell>
          <cell r="K707">
            <v>1</v>
          </cell>
          <cell r="L707">
            <v>0.20749999999999999</v>
          </cell>
          <cell r="M707">
            <v>23.7</v>
          </cell>
          <cell r="N707">
            <v>2.7</v>
          </cell>
          <cell r="O707">
            <v>0.79249999999999998</v>
          </cell>
          <cell r="P707">
            <v>0.48299999999999998</v>
          </cell>
          <cell r="Q707">
            <v>0.3095</v>
          </cell>
          <cell r="R707" t="str">
            <v>NA</v>
          </cell>
          <cell r="S707" t="str">
            <v>NA</v>
          </cell>
          <cell r="T707">
            <v>58.4</v>
          </cell>
          <cell r="U707">
            <v>4.7</v>
          </cell>
          <cell r="V707">
            <v>72.900000000000006</v>
          </cell>
          <cell r="W707">
            <v>7.4</v>
          </cell>
          <cell r="X707" t="str">
            <v>NA</v>
          </cell>
          <cell r="Y707" t="str">
            <v>NA</v>
          </cell>
          <cell r="Z707" t="str">
            <v>NA</v>
          </cell>
          <cell r="AA707" t="str">
            <v>NA</v>
          </cell>
        </row>
        <row r="708">
          <cell r="A708">
            <v>45137</v>
          </cell>
          <cell r="B708" t="str">
            <v>A1</v>
          </cell>
          <cell r="C708">
            <v>1</v>
          </cell>
          <cell r="D708">
            <v>1</v>
          </cell>
          <cell r="E708" t="str">
            <v>ARIS.A1.Aim1.Bin1.LB</v>
          </cell>
          <cell r="F708">
            <v>3</v>
          </cell>
          <cell r="G708" t="str">
            <v>Unweighted</v>
          </cell>
          <cell r="H708" t="str">
            <v>N</v>
          </cell>
          <cell r="I708" t="str">
            <v>Y</v>
          </cell>
          <cell r="J708">
            <v>114</v>
          </cell>
          <cell r="K708">
            <v>1</v>
          </cell>
          <cell r="L708">
            <v>0.94059999999999999</v>
          </cell>
          <cell r="M708">
            <v>20.9</v>
          </cell>
          <cell r="N708">
            <v>7.1</v>
          </cell>
          <cell r="O708">
            <v>5.9400000000000001E-2</v>
          </cell>
          <cell r="P708">
            <v>5.9400000000000001E-2</v>
          </cell>
          <cell r="Q708">
            <v>0</v>
          </cell>
          <cell r="R708" t="str">
            <v>NA</v>
          </cell>
          <cell r="S708" t="str">
            <v>NA</v>
          </cell>
          <cell r="T708">
            <v>58.4</v>
          </cell>
          <cell r="U708">
            <v>4.7</v>
          </cell>
          <cell r="V708">
            <v>72.900000000000006</v>
          </cell>
          <cell r="W708">
            <v>7.4</v>
          </cell>
          <cell r="X708" t="str">
            <v>NA</v>
          </cell>
          <cell r="Y708" t="str">
            <v>NA</v>
          </cell>
          <cell r="Z708" t="str">
            <v>NA</v>
          </cell>
          <cell r="AA708" t="str">
            <v>NA</v>
          </cell>
        </row>
        <row r="709">
          <cell r="A709">
            <v>45137</v>
          </cell>
          <cell r="B709" t="str">
            <v>A1</v>
          </cell>
          <cell r="C709">
            <v>1</v>
          </cell>
          <cell r="D709">
            <v>2</v>
          </cell>
          <cell r="E709" t="str">
            <v>ARIS.A1.Aim2.Bin1.LB</v>
          </cell>
          <cell r="F709">
            <v>3</v>
          </cell>
          <cell r="G709" t="str">
            <v>Unweighted</v>
          </cell>
          <cell r="H709" t="str">
            <v>N</v>
          </cell>
          <cell r="I709" t="str">
            <v>Y</v>
          </cell>
          <cell r="J709">
            <v>131</v>
          </cell>
          <cell r="K709">
            <v>0.99990000000000001</v>
          </cell>
          <cell r="L709">
            <v>0.84489999999999998</v>
          </cell>
          <cell r="M709">
            <v>19.7</v>
          </cell>
          <cell r="N709">
            <v>9.4</v>
          </cell>
          <cell r="O709">
            <v>0.155</v>
          </cell>
          <cell r="P709">
            <v>0.1181</v>
          </cell>
          <cell r="Q709">
            <v>3.6900000000000002E-2</v>
          </cell>
          <cell r="R709" t="str">
            <v>NA</v>
          </cell>
          <cell r="S709" t="str">
            <v>NA</v>
          </cell>
          <cell r="T709">
            <v>58.4</v>
          </cell>
          <cell r="U709">
            <v>4.7</v>
          </cell>
          <cell r="V709">
            <v>72.900000000000006</v>
          </cell>
          <cell r="W709">
            <v>7.4</v>
          </cell>
          <cell r="X709" t="str">
            <v>NA</v>
          </cell>
          <cell r="Y709" t="str">
            <v>NA</v>
          </cell>
          <cell r="Z709" t="str">
            <v>NA</v>
          </cell>
          <cell r="AA709" t="str">
            <v>NA</v>
          </cell>
        </row>
        <row r="710">
          <cell r="A710">
            <v>45137</v>
          </cell>
          <cell r="B710" t="str">
            <v>A1</v>
          </cell>
          <cell r="C710">
            <v>1</v>
          </cell>
          <cell r="D710" t="str">
            <v>1&amp;2</v>
          </cell>
          <cell r="E710" t="str">
            <v>ARIS.A1.Aim1&amp;Aim2.Bin1.LB</v>
          </cell>
          <cell r="F710">
            <v>3</v>
          </cell>
          <cell r="G710" t="str">
            <v>Unweighted</v>
          </cell>
          <cell r="H710" t="str">
            <v>N</v>
          </cell>
          <cell r="I710" t="str">
            <v>Y</v>
          </cell>
          <cell r="J710">
            <v>245</v>
          </cell>
          <cell r="K710">
            <v>1</v>
          </cell>
          <cell r="L710">
            <v>0.89849999999999997</v>
          </cell>
          <cell r="M710">
            <v>20.6</v>
          </cell>
          <cell r="N710">
            <v>8.6999999999999993</v>
          </cell>
          <cell r="O710">
            <v>0.10150000000000001</v>
          </cell>
          <cell r="P710">
            <v>8.3299999999999999E-2</v>
          </cell>
          <cell r="Q710">
            <v>1.8200000000000001E-2</v>
          </cell>
          <cell r="R710" t="str">
            <v>NA</v>
          </cell>
          <cell r="S710" t="str">
            <v>NA</v>
          </cell>
          <cell r="T710">
            <v>58.4</v>
          </cell>
          <cell r="U710">
            <v>4.7</v>
          </cell>
          <cell r="V710">
            <v>72.900000000000006</v>
          </cell>
          <cell r="W710">
            <v>7.4</v>
          </cell>
          <cell r="X710" t="str">
            <v>NA</v>
          </cell>
          <cell r="Y710" t="str">
            <v>NA</v>
          </cell>
          <cell r="Z710" t="str">
            <v>NA</v>
          </cell>
          <cell r="AA710" t="str">
            <v>NA</v>
          </cell>
        </row>
        <row r="711">
          <cell r="A711">
            <v>45137</v>
          </cell>
          <cell r="B711" t="str">
            <v>A1</v>
          </cell>
          <cell r="C711">
            <v>2</v>
          </cell>
          <cell r="D711">
            <v>3</v>
          </cell>
          <cell r="E711" t="str">
            <v>ARIS.A1.Aim3.Bin2.LB</v>
          </cell>
          <cell r="F711">
            <v>3</v>
          </cell>
          <cell r="G711" t="str">
            <v>Unweighted</v>
          </cell>
          <cell r="H711" t="str">
            <v>N</v>
          </cell>
          <cell r="I711" t="str">
            <v>Y</v>
          </cell>
          <cell r="J711">
            <v>148</v>
          </cell>
          <cell r="K711">
            <v>1</v>
          </cell>
          <cell r="L711">
            <v>0.64890000000000003</v>
          </cell>
          <cell r="M711">
            <v>23.7</v>
          </cell>
          <cell r="N711">
            <v>12.5</v>
          </cell>
          <cell r="O711">
            <v>0.35110000000000002</v>
          </cell>
          <cell r="P711">
            <v>0.1013</v>
          </cell>
          <cell r="Q711">
            <v>0.24979999999999999</v>
          </cell>
          <cell r="R711" t="str">
            <v>NA</v>
          </cell>
          <cell r="S711" t="str">
            <v>NA</v>
          </cell>
          <cell r="T711">
            <v>58.4</v>
          </cell>
          <cell r="U711">
            <v>4.7</v>
          </cell>
          <cell r="V711">
            <v>72.900000000000006</v>
          </cell>
          <cell r="W711">
            <v>7.4</v>
          </cell>
          <cell r="X711" t="str">
            <v>NA</v>
          </cell>
          <cell r="Y711" t="str">
            <v>NA</v>
          </cell>
          <cell r="Z711" t="str">
            <v>NA</v>
          </cell>
          <cell r="AA711" t="str">
            <v>NA</v>
          </cell>
        </row>
        <row r="712">
          <cell r="A712">
            <v>45137</v>
          </cell>
          <cell r="B712" t="str">
            <v>A1</v>
          </cell>
          <cell r="C712">
            <v>3</v>
          </cell>
          <cell r="D712">
            <v>3</v>
          </cell>
          <cell r="E712" t="str">
            <v>ARIS.A1.Aim3.Bin3.LB</v>
          </cell>
          <cell r="F712">
            <v>3</v>
          </cell>
          <cell r="G712" t="str">
            <v>Unweighted</v>
          </cell>
          <cell r="H712" t="str">
            <v>N</v>
          </cell>
          <cell r="I712" t="str">
            <v>Y</v>
          </cell>
          <cell r="J712">
            <v>124</v>
          </cell>
          <cell r="K712">
            <v>1</v>
          </cell>
          <cell r="L712">
            <v>0.46310000000000001</v>
          </cell>
          <cell r="M712">
            <v>23.7</v>
          </cell>
          <cell r="N712">
            <v>17.399999999999999</v>
          </cell>
          <cell r="O712">
            <v>0.53690000000000004</v>
          </cell>
          <cell r="P712">
            <v>0.18240000000000001</v>
          </cell>
          <cell r="Q712">
            <v>0.35449999999999998</v>
          </cell>
          <cell r="R712" t="str">
            <v>NA</v>
          </cell>
          <cell r="S712" t="str">
            <v>NA</v>
          </cell>
          <cell r="T712">
            <v>58.4</v>
          </cell>
          <cell r="U712">
            <v>4.7</v>
          </cell>
          <cell r="V712">
            <v>72.900000000000006</v>
          </cell>
          <cell r="W712">
            <v>7.4</v>
          </cell>
          <cell r="X712" t="str">
            <v>NA</v>
          </cell>
          <cell r="Y712" t="str">
            <v>NA</v>
          </cell>
          <cell r="Z712" t="str">
            <v>NA</v>
          </cell>
          <cell r="AA712" t="str">
            <v>NA</v>
          </cell>
        </row>
        <row r="713">
          <cell r="A713">
            <v>45137</v>
          </cell>
          <cell r="B713" t="str">
            <v>A1</v>
          </cell>
          <cell r="C713">
            <v>4</v>
          </cell>
          <cell r="D713">
            <v>3</v>
          </cell>
          <cell r="E713" t="str">
            <v>ARIS.A1.Aim3.Bin4.LB</v>
          </cell>
          <cell r="F713">
            <v>3</v>
          </cell>
          <cell r="G713" t="str">
            <v>Unweighted</v>
          </cell>
          <cell r="H713" t="str">
            <v>N</v>
          </cell>
          <cell r="I713" t="str">
            <v>Y</v>
          </cell>
          <cell r="J713">
            <v>124</v>
          </cell>
          <cell r="K713">
            <v>1</v>
          </cell>
          <cell r="L713">
            <v>0.46310000000000001</v>
          </cell>
          <cell r="M713">
            <v>23.7</v>
          </cell>
          <cell r="N713">
            <v>17.399999999999999</v>
          </cell>
          <cell r="O713">
            <v>0.53690000000000004</v>
          </cell>
          <cell r="P713">
            <v>0.18240000000000001</v>
          </cell>
          <cell r="Q713">
            <v>0.35449999999999998</v>
          </cell>
          <cell r="R713" t="str">
            <v>NA</v>
          </cell>
          <cell r="S713" t="str">
            <v>NA</v>
          </cell>
          <cell r="T713">
            <v>58.4</v>
          </cell>
          <cell r="U713">
            <v>4.7</v>
          </cell>
          <cell r="V713">
            <v>72.900000000000006</v>
          </cell>
          <cell r="W713">
            <v>7.4</v>
          </cell>
          <cell r="X713" t="str">
            <v>NA</v>
          </cell>
          <cell r="Y713" t="str">
            <v>NA</v>
          </cell>
          <cell r="Z713" t="str">
            <v>NA</v>
          </cell>
          <cell r="AA713" t="str">
            <v>NA</v>
          </cell>
        </row>
        <row r="714">
          <cell r="A714">
            <v>45137</v>
          </cell>
          <cell r="B714" t="str">
            <v>A2</v>
          </cell>
          <cell r="C714">
            <v>1</v>
          </cell>
          <cell r="D714">
            <v>1</v>
          </cell>
          <cell r="E714" t="str">
            <v>ARIS.A2.Aim1.Bin1.RB</v>
          </cell>
          <cell r="F714">
            <v>3</v>
          </cell>
          <cell r="G714" t="str">
            <v>Unweighted</v>
          </cell>
          <cell r="H714" t="str">
            <v>N</v>
          </cell>
          <cell r="I714" t="str">
            <v>Y</v>
          </cell>
          <cell r="J714">
            <v>152</v>
          </cell>
          <cell r="K714">
            <v>1</v>
          </cell>
          <cell r="L714">
            <v>0.96289999999999998</v>
          </cell>
          <cell r="M714">
            <v>16.8</v>
          </cell>
          <cell r="N714">
            <v>8.3000000000000007</v>
          </cell>
          <cell r="O714">
            <v>3.7100000000000001E-2</v>
          </cell>
          <cell r="P714">
            <v>2.9700000000000001E-2</v>
          </cell>
          <cell r="Q714">
            <v>7.4000000000000003E-3</v>
          </cell>
          <cell r="R714" t="str">
            <v>NA</v>
          </cell>
          <cell r="S714" t="str">
            <v>NA</v>
          </cell>
          <cell r="T714">
            <v>58.4</v>
          </cell>
          <cell r="U714">
            <v>4.7</v>
          </cell>
          <cell r="V714">
            <v>72.900000000000006</v>
          </cell>
          <cell r="W714">
            <v>7.4</v>
          </cell>
          <cell r="X714" t="str">
            <v>NA</v>
          </cell>
          <cell r="Y714" t="str">
            <v>NA</v>
          </cell>
          <cell r="Z714" t="str">
            <v>NA</v>
          </cell>
          <cell r="AA714" t="str">
            <v>NA</v>
          </cell>
        </row>
        <row r="715">
          <cell r="A715">
            <v>45137</v>
          </cell>
          <cell r="B715" t="str">
            <v>A2</v>
          </cell>
          <cell r="C715">
            <v>2</v>
          </cell>
          <cell r="D715">
            <v>1</v>
          </cell>
          <cell r="E715" t="str">
            <v>ARIS.A2.Aim1.Bin2.RB</v>
          </cell>
          <cell r="F715">
            <v>3</v>
          </cell>
          <cell r="G715" t="str">
            <v>Unweighted</v>
          </cell>
          <cell r="H715" t="str">
            <v>N</v>
          </cell>
          <cell r="I715" t="str">
            <v>Y</v>
          </cell>
          <cell r="J715">
            <v>129</v>
          </cell>
          <cell r="K715">
            <v>1</v>
          </cell>
          <cell r="L715">
            <v>0.82650000000000001</v>
          </cell>
          <cell r="M715">
            <v>26.7</v>
          </cell>
          <cell r="N715">
            <v>7.5</v>
          </cell>
          <cell r="O715">
            <v>0.17349999999999999</v>
          </cell>
          <cell r="P715">
            <v>5.0500000000000003E-2</v>
          </cell>
          <cell r="Q715">
            <v>0.123</v>
          </cell>
          <cell r="R715" t="str">
            <v>NA</v>
          </cell>
          <cell r="S715" t="str">
            <v>NA</v>
          </cell>
          <cell r="T715">
            <v>58.4</v>
          </cell>
          <cell r="U715">
            <v>4.7</v>
          </cell>
          <cell r="V715">
            <v>72.900000000000006</v>
          </cell>
          <cell r="W715">
            <v>7.4</v>
          </cell>
          <cell r="X715" t="str">
            <v>NA</v>
          </cell>
          <cell r="Y715" t="str">
            <v>NA</v>
          </cell>
          <cell r="Z715" t="str">
            <v>NA</v>
          </cell>
          <cell r="AA715" t="str">
            <v>NA</v>
          </cell>
        </row>
        <row r="716">
          <cell r="A716">
            <v>45137</v>
          </cell>
          <cell r="B716" t="str">
            <v>A2</v>
          </cell>
          <cell r="C716">
            <v>3</v>
          </cell>
          <cell r="D716">
            <v>1</v>
          </cell>
          <cell r="E716" t="str">
            <v>ARIS.A2.Aim1.Bin3.RB</v>
          </cell>
          <cell r="F716">
            <v>3</v>
          </cell>
          <cell r="G716" t="str">
            <v>Unweighted</v>
          </cell>
          <cell r="H716" t="str">
            <v>N</v>
          </cell>
          <cell r="I716" t="str">
            <v>Y</v>
          </cell>
          <cell r="J716">
            <v>104</v>
          </cell>
          <cell r="K716">
            <v>1</v>
          </cell>
          <cell r="L716">
            <v>0.66269999999999996</v>
          </cell>
          <cell r="M716">
            <v>23.7</v>
          </cell>
          <cell r="N716">
            <v>14.1</v>
          </cell>
          <cell r="O716">
            <v>0.33729999999999999</v>
          </cell>
          <cell r="P716">
            <v>9.2700000000000005E-2</v>
          </cell>
          <cell r="Q716">
            <v>0.24460000000000001</v>
          </cell>
          <cell r="R716" t="str">
            <v>NA</v>
          </cell>
          <cell r="S716" t="str">
            <v>NA</v>
          </cell>
          <cell r="T716">
            <v>58.4</v>
          </cell>
          <cell r="U716">
            <v>4.7</v>
          </cell>
          <cell r="V716">
            <v>72.900000000000006</v>
          </cell>
          <cell r="W716">
            <v>7.4</v>
          </cell>
          <cell r="X716" t="str">
            <v>NA</v>
          </cell>
          <cell r="Y716" t="str">
            <v>NA</v>
          </cell>
          <cell r="Z716" t="str">
            <v>NA</v>
          </cell>
          <cell r="AA716" t="str">
            <v>NA</v>
          </cell>
        </row>
        <row r="717">
          <cell r="A717">
            <v>45137</v>
          </cell>
          <cell r="B717" t="str">
            <v>A2</v>
          </cell>
          <cell r="C717">
            <v>4</v>
          </cell>
          <cell r="D717">
            <v>1</v>
          </cell>
          <cell r="E717" t="str">
            <v>ARIS.A2.Aim1.Bin4.RB</v>
          </cell>
          <cell r="F717">
            <v>3</v>
          </cell>
          <cell r="G717" t="str">
            <v>Unweighted</v>
          </cell>
          <cell r="H717" t="str">
            <v>N</v>
          </cell>
          <cell r="I717" t="str">
            <v>Y</v>
          </cell>
          <cell r="J717">
            <v>104</v>
          </cell>
          <cell r="K717">
            <v>1</v>
          </cell>
          <cell r="L717">
            <v>0.66269999999999996</v>
          </cell>
          <cell r="M717">
            <v>23.7</v>
          </cell>
          <cell r="N717">
            <v>14.1</v>
          </cell>
          <cell r="O717">
            <v>0.33729999999999999</v>
          </cell>
          <cell r="P717">
            <v>9.2700000000000005E-2</v>
          </cell>
          <cell r="Q717">
            <v>0.24460000000000001</v>
          </cell>
          <cell r="R717" t="str">
            <v>NA</v>
          </cell>
          <cell r="S717" t="str">
            <v>NA</v>
          </cell>
          <cell r="T717">
            <v>58.4</v>
          </cell>
          <cell r="U717">
            <v>4.7</v>
          </cell>
          <cell r="V717">
            <v>72.900000000000006</v>
          </cell>
          <cell r="W717">
            <v>7.4</v>
          </cell>
          <cell r="X717" t="str">
            <v>NA</v>
          </cell>
          <cell r="Y717" t="str">
            <v>NA</v>
          </cell>
          <cell r="Z717" t="str">
            <v>NA</v>
          </cell>
          <cell r="AA717" t="str">
            <v>NA</v>
          </cell>
        </row>
        <row r="718">
          <cell r="A718">
            <v>45137</v>
          </cell>
          <cell r="B718" t="str">
            <v>A2</v>
          </cell>
          <cell r="C718">
            <v>1</v>
          </cell>
          <cell r="D718">
            <v>1</v>
          </cell>
          <cell r="E718" t="str">
            <v>ARIS.A2.Aim1.Bin1.RB</v>
          </cell>
          <cell r="F718">
            <v>3</v>
          </cell>
          <cell r="G718" t="str">
            <v>SplineDFA</v>
          </cell>
          <cell r="H718" t="str">
            <v>Y</v>
          </cell>
          <cell r="I718" t="str">
            <v>N</v>
          </cell>
          <cell r="J718">
            <v>152</v>
          </cell>
          <cell r="K718">
            <v>1</v>
          </cell>
          <cell r="L718">
            <v>0.95109999999999995</v>
          </cell>
          <cell r="M718">
            <v>23.7</v>
          </cell>
          <cell r="N718">
            <v>2.7</v>
          </cell>
          <cell r="O718">
            <v>4.8899999999999999E-2</v>
          </cell>
          <cell r="P718">
            <v>4.7300000000000002E-2</v>
          </cell>
          <cell r="Q718">
            <v>1.6000000000000001E-3</v>
          </cell>
          <cell r="R718" t="str">
            <v>NA</v>
          </cell>
          <cell r="S718" t="str">
            <v>NA</v>
          </cell>
          <cell r="T718">
            <v>58.4</v>
          </cell>
          <cell r="U718">
            <v>4.7</v>
          </cell>
          <cell r="V718">
            <v>72.900000000000006</v>
          </cell>
          <cell r="W718">
            <v>7.4</v>
          </cell>
          <cell r="X718" t="str">
            <v>NA</v>
          </cell>
          <cell r="Y718" t="str">
            <v>NA</v>
          </cell>
          <cell r="Z718" t="str">
            <v>NA</v>
          </cell>
          <cell r="AA718" t="str">
            <v>NA</v>
          </cell>
        </row>
        <row r="719">
          <cell r="A719">
            <v>45137</v>
          </cell>
          <cell r="B719" t="str">
            <v>A2</v>
          </cell>
          <cell r="C719">
            <v>2</v>
          </cell>
          <cell r="D719">
            <v>1</v>
          </cell>
          <cell r="E719" t="str">
            <v>ARIS.A2.Aim1.Bin2.RB</v>
          </cell>
          <cell r="F719">
            <v>3</v>
          </cell>
          <cell r="G719" t="str">
            <v>SplineDFA</v>
          </cell>
          <cell r="H719" t="str">
            <v>Y</v>
          </cell>
          <cell r="I719" t="str">
            <v>N</v>
          </cell>
          <cell r="J719">
            <v>129</v>
          </cell>
          <cell r="K719">
            <v>0.99990000000000001</v>
          </cell>
          <cell r="L719">
            <v>0.79300000000000004</v>
          </cell>
          <cell r="M719">
            <v>23.7</v>
          </cell>
          <cell r="N719">
            <v>2.7</v>
          </cell>
          <cell r="O719">
            <v>0.2069</v>
          </cell>
          <cell r="P719">
            <v>0.14219999999999999</v>
          </cell>
          <cell r="Q719">
            <v>6.4699999999999994E-2</v>
          </cell>
          <cell r="R719" t="str">
            <v>NA</v>
          </cell>
          <cell r="S719" t="str">
            <v>NA</v>
          </cell>
          <cell r="T719">
            <v>58.4</v>
          </cell>
          <cell r="U719">
            <v>4.7</v>
          </cell>
          <cell r="V719">
            <v>72.900000000000006</v>
          </cell>
          <cell r="W719">
            <v>7.4</v>
          </cell>
          <cell r="X719" t="str">
            <v>NA</v>
          </cell>
          <cell r="Y719" t="str">
            <v>NA</v>
          </cell>
          <cell r="Z719" t="str">
            <v>NA</v>
          </cell>
          <cell r="AA719" t="str">
            <v>NA</v>
          </cell>
        </row>
        <row r="720">
          <cell r="A720">
            <v>45137</v>
          </cell>
          <cell r="B720" t="str">
            <v>A2</v>
          </cell>
          <cell r="C720">
            <v>3</v>
          </cell>
          <cell r="D720">
            <v>1</v>
          </cell>
          <cell r="E720" t="str">
            <v>ARIS.A2.Aim1.Bin3.RB</v>
          </cell>
          <cell r="F720">
            <v>3</v>
          </cell>
          <cell r="G720" t="str">
            <v>SplineDFA</v>
          </cell>
          <cell r="H720" t="str">
            <v>Y</v>
          </cell>
          <cell r="I720" t="str">
            <v>N</v>
          </cell>
          <cell r="J720">
            <v>104</v>
          </cell>
          <cell r="K720">
            <v>1</v>
          </cell>
          <cell r="L720">
            <v>0.32950000000000002</v>
          </cell>
          <cell r="M720">
            <v>23.7</v>
          </cell>
          <cell r="N720">
            <v>2.7</v>
          </cell>
          <cell r="O720">
            <v>0.67049999999999998</v>
          </cell>
          <cell r="P720">
            <v>0.40389999999999998</v>
          </cell>
          <cell r="Q720">
            <v>0.2666</v>
          </cell>
          <cell r="R720" t="str">
            <v>NA</v>
          </cell>
          <cell r="S720" t="str">
            <v>NA</v>
          </cell>
          <cell r="T720">
            <v>58.4</v>
          </cell>
          <cell r="U720">
            <v>4.7</v>
          </cell>
          <cell r="V720">
            <v>72.900000000000006</v>
          </cell>
          <cell r="W720">
            <v>7.4</v>
          </cell>
          <cell r="X720" t="str">
            <v>NA</v>
          </cell>
          <cell r="Y720" t="str">
            <v>NA</v>
          </cell>
          <cell r="Z720" t="str">
            <v>NA</v>
          </cell>
          <cell r="AA720" t="str">
            <v>NA</v>
          </cell>
        </row>
        <row r="721">
          <cell r="A721">
            <v>45137</v>
          </cell>
          <cell r="B721" t="str">
            <v>A2</v>
          </cell>
          <cell r="C721">
            <v>4</v>
          </cell>
          <cell r="D721">
            <v>1</v>
          </cell>
          <cell r="E721" t="str">
            <v>ARIS.A2.Aim1.Bin4.RB</v>
          </cell>
          <cell r="F721">
            <v>3</v>
          </cell>
          <cell r="G721" t="str">
            <v>SplineDFA</v>
          </cell>
          <cell r="H721" t="str">
            <v>Y</v>
          </cell>
          <cell r="I721" t="str">
            <v>N</v>
          </cell>
          <cell r="J721">
            <v>104</v>
          </cell>
          <cell r="K721">
            <v>1</v>
          </cell>
          <cell r="L721">
            <v>0.32950000000000002</v>
          </cell>
          <cell r="M721">
            <v>23.7</v>
          </cell>
          <cell r="N721">
            <v>2.7</v>
          </cell>
          <cell r="O721">
            <v>0.67049999999999998</v>
          </cell>
          <cell r="P721">
            <v>0.40389999999999998</v>
          </cell>
          <cell r="Q721">
            <v>0.2666</v>
          </cell>
          <cell r="R721" t="str">
            <v>NA</v>
          </cell>
          <cell r="S721" t="str">
            <v>NA</v>
          </cell>
          <cell r="T721">
            <v>58.4</v>
          </cell>
          <cell r="U721">
            <v>4.7</v>
          </cell>
          <cell r="V721">
            <v>72.900000000000006</v>
          </cell>
          <cell r="W721">
            <v>7.4</v>
          </cell>
          <cell r="X721" t="str">
            <v>NA</v>
          </cell>
          <cell r="Y721" t="str">
            <v>NA</v>
          </cell>
          <cell r="Z721" t="str">
            <v>NA</v>
          </cell>
          <cell r="AA721" t="str">
            <v>NA</v>
          </cell>
        </row>
        <row r="722">
          <cell r="A722">
            <v>45137</v>
          </cell>
          <cell r="B722" t="str">
            <v>A1</v>
          </cell>
          <cell r="C722">
            <v>1</v>
          </cell>
          <cell r="D722">
            <v>1</v>
          </cell>
          <cell r="E722" t="str">
            <v>ARIS.A1.Aim1.Bin1.LB</v>
          </cell>
          <cell r="F722">
            <v>4</v>
          </cell>
          <cell r="G722" t="str">
            <v>Unweighted</v>
          </cell>
          <cell r="H722" t="str">
            <v>N</v>
          </cell>
          <cell r="I722" t="str">
            <v>N</v>
          </cell>
          <cell r="J722">
            <v>114</v>
          </cell>
          <cell r="K722">
            <v>1</v>
          </cell>
          <cell r="L722">
            <v>0.82379999999999998</v>
          </cell>
          <cell r="M722">
            <v>19.3</v>
          </cell>
          <cell r="N722">
            <v>5.8</v>
          </cell>
          <cell r="O722">
            <v>0.1762</v>
          </cell>
          <cell r="P722">
            <v>3.6200000000000003E-2</v>
          </cell>
          <cell r="Q722">
            <v>0</v>
          </cell>
          <cell r="R722" t="str">
            <v>NA</v>
          </cell>
          <cell r="S722">
            <v>0.14000000000000001</v>
          </cell>
          <cell r="T722">
            <v>58.4</v>
          </cell>
          <cell r="U722">
            <v>4.7</v>
          </cell>
          <cell r="V722">
            <v>72.900000000000006</v>
          </cell>
          <cell r="W722">
            <v>7.4</v>
          </cell>
          <cell r="X722" t="str">
            <v>NA</v>
          </cell>
          <cell r="Y722" t="str">
            <v>NA</v>
          </cell>
          <cell r="Z722">
            <v>39.1</v>
          </cell>
          <cell r="AA722">
            <v>3.5</v>
          </cell>
        </row>
        <row r="723">
          <cell r="A723">
            <v>45137</v>
          </cell>
          <cell r="B723" t="str">
            <v>A1</v>
          </cell>
          <cell r="C723">
            <v>1</v>
          </cell>
          <cell r="D723">
            <v>2</v>
          </cell>
          <cell r="E723" t="str">
            <v>ARIS.A1.Aim2.Bin1.LB</v>
          </cell>
          <cell r="F723">
            <v>4</v>
          </cell>
          <cell r="G723" t="str">
            <v>Unweighted</v>
          </cell>
          <cell r="H723" t="str">
            <v>N</v>
          </cell>
          <cell r="I723" t="str">
            <v>N</v>
          </cell>
          <cell r="J723">
            <v>131</v>
          </cell>
          <cell r="K723">
            <v>0.99990000000000001</v>
          </cell>
          <cell r="L723">
            <v>0.84489999999999998</v>
          </cell>
          <cell r="M723">
            <v>19.7</v>
          </cell>
          <cell r="N723">
            <v>9.4</v>
          </cell>
          <cell r="O723">
            <v>0.155</v>
          </cell>
          <cell r="P723">
            <v>0.1181</v>
          </cell>
          <cell r="Q723">
            <v>3.6900000000000002E-2</v>
          </cell>
          <cell r="R723" t="str">
            <v>NA</v>
          </cell>
          <cell r="S723" t="str">
            <v>NA</v>
          </cell>
          <cell r="T723">
            <v>58.4</v>
          </cell>
          <cell r="U723">
            <v>4.7</v>
          </cell>
          <cell r="V723">
            <v>72.900000000000006</v>
          </cell>
          <cell r="W723">
            <v>7.4</v>
          </cell>
          <cell r="X723" t="str">
            <v>NA</v>
          </cell>
          <cell r="Y723" t="str">
            <v>NA</v>
          </cell>
          <cell r="Z723" t="str">
            <v>NA</v>
          </cell>
          <cell r="AA723" t="str">
            <v>NA</v>
          </cell>
        </row>
        <row r="724">
          <cell r="A724">
            <v>45137</v>
          </cell>
          <cell r="B724" t="str">
            <v>A1</v>
          </cell>
          <cell r="C724">
            <v>1</v>
          </cell>
          <cell r="D724" t="str">
            <v>1&amp;2</v>
          </cell>
          <cell r="E724" t="str">
            <v>ARIS.A1.Aim1&amp;Aim2.Bin1.LB</v>
          </cell>
          <cell r="F724">
            <v>4</v>
          </cell>
          <cell r="G724" t="str">
            <v>Unweighted</v>
          </cell>
          <cell r="H724" t="str">
            <v>N</v>
          </cell>
          <cell r="I724" t="str">
            <v>N</v>
          </cell>
          <cell r="J724">
            <v>245</v>
          </cell>
          <cell r="K724">
            <v>1</v>
          </cell>
          <cell r="L724">
            <v>0.871</v>
          </cell>
          <cell r="M724">
            <v>20</v>
          </cell>
          <cell r="N724">
            <v>8</v>
          </cell>
          <cell r="O724">
            <v>0.129</v>
          </cell>
          <cell r="P724">
            <v>8.3299999999999999E-2</v>
          </cell>
          <cell r="Q724">
            <v>1.8200000000000001E-2</v>
          </cell>
          <cell r="R724" t="str">
            <v>NA</v>
          </cell>
          <cell r="S724">
            <v>2.75E-2</v>
          </cell>
          <cell r="T724">
            <v>58.4</v>
          </cell>
          <cell r="U724">
            <v>4.7</v>
          </cell>
          <cell r="V724">
            <v>72.900000000000006</v>
          </cell>
          <cell r="W724">
            <v>7.4</v>
          </cell>
          <cell r="X724" t="str">
            <v>NA</v>
          </cell>
          <cell r="Y724" t="str">
            <v>NA</v>
          </cell>
          <cell r="Z724">
            <v>39.1</v>
          </cell>
          <cell r="AA724">
            <v>3.5</v>
          </cell>
        </row>
        <row r="725">
          <cell r="A725">
            <v>45137</v>
          </cell>
          <cell r="B725" t="str">
            <v>A1</v>
          </cell>
          <cell r="C725">
            <v>2</v>
          </cell>
          <cell r="D725">
            <v>3</v>
          </cell>
          <cell r="E725" t="str">
            <v>ARIS.A1.Aim3.Bin2.LB</v>
          </cell>
          <cell r="F725">
            <v>4</v>
          </cell>
          <cell r="G725" t="str">
            <v>Unweighted</v>
          </cell>
          <cell r="H725" t="str">
            <v>N</v>
          </cell>
          <cell r="I725" t="str">
            <v>N</v>
          </cell>
          <cell r="J725">
            <v>148</v>
          </cell>
          <cell r="K725">
            <v>0.99990000000000001</v>
          </cell>
          <cell r="L725">
            <v>0.62690000000000001</v>
          </cell>
          <cell r="M725">
            <v>30.4</v>
          </cell>
          <cell r="N725">
            <v>10.8</v>
          </cell>
          <cell r="O725">
            <v>0.373</v>
          </cell>
          <cell r="P725">
            <v>0.13300000000000001</v>
          </cell>
          <cell r="Q725">
            <v>0.24</v>
          </cell>
          <cell r="R725" t="str">
            <v>NA</v>
          </cell>
          <cell r="S725">
            <v>0</v>
          </cell>
          <cell r="T725">
            <v>58.4</v>
          </cell>
          <cell r="U725">
            <v>4.7</v>
          </cell>
          <cell r="V725">
            <v>72.900000000000006</v>
          </cell>
          <cell r="W725">
            <v>7.4</v>
          </cell>
          <cell r="X725" t="str">
            <v>NA</v>
          </cell>
          <cell r="Y725" t="str">
            <v>NA</v>
          </cell>
          <cell r="Z725">
            <v>39.1</v>
          </cell>
          <cell r="AA725">
            <v>3.5</v>
          </cell>
        </row>
        <row r="726">
          <cell r="A726">
            <v>45137</v>
          </cell>
          <cell r="B726" t="str">
            <v>A1</v>
          </cell>
          <cell r="C726">
            <v>3</v>
          </cell>
          <cell r="D726">
            <v>3</v>
          </cell>
          <cell r="E726" t="str">
            <v>ARIS.A1.Aim3.Bin3.LB</v>
          </cell>
          <cell r="F726">
            <v>4</v>
          </cell>
          <cell r="G726" t="str">
            <v>Unweighted</v>
          </cell>
          <cell r="H726" t="str">
            <v>N</v>
          </cell>
          <cell r="I726" t="str">
            <v>N</v>
          </cell>
          <cell r="J726">
            <v>124</v>
          </cell>
          <cell r="K726">
            <v>1</v>
          </cell>
          <cell r="L726">
            <v>0.54679999999999995</v>
          </cell>
          <cell r="M726">
            <v>39.5</v>
          </cell>
          <cell r="N726">
            <v>11.5</v>
          </cell>
          <cell r="O726">
            <v>0.45319999999999999</v>
          </cell>
          <cell r="P726">
            <v>8.3299999999999999E-2</v>
          </cell>
          <cell r="Q726">
            <v>0.36990000000000001</v>
          </cell>
          <cell r="R726" t="str">
            <v>NA</v>
          </cell>
          <cell r="S726" t="str">
            <v>NA</v>
          </cell>
          <cell r="T726">
            <v>58.4</v>
          </cell>
          <cell r="U726">
            <v>4.7</v>
          </cell>
          <cell r="V726">
            <v>72.900000000000006</v>
          </cell>
          <cell r="W726">
            <v>7.4</v>
          </cell>
          <cell r="X726" t="str">
            <v>NA</v>
          </cell>
          <cell r="Y726" t="str">
            <v>NA</v>
          </cell>
          <cell r="Z726" t="str">
            <v>NA</v>
          </cell>
          <cell r="AA726" t="str">
            <v>NA</v>
          </cell>
        </row>
        <row r="727">
          <cell r="A727">
            <v>45137</v>
          </cell>
          <cell r="B727" t="str">
            <v>A1</v>
          </cell>
          <cell r="C727">
            <v>4</v>
          </cell>
          <cell r="D727">
            <v>3</v>
          </cell>
          <cell r="E727" t="str">
            <v>ARIS.A1.Aim3.Bin4.LB</v>
          </cell>
          <cell r="F727">
            <v>4</v>
          </cell>
          <cell r="G727" t="str">
            <v>Unweighted</v>
          </cell>
          <cell r="H727" t="str">
            <v>N</v>
          </cell>
          <cell r="I727" t="str">
            <v>N</v>
          </cell>
          <cell r="J727">
            <v>124</v>
          </cell>
          <cell r="K727">
            <v>1</v>
          </cell>
          <cell r="L727">
            <v>0.54679999999999995</v>
          </cell>
          <cell r="M727">
            <v>39.5</v>
          </cell>
          <cell r="N727">
            <v>11.5</v>
          </cell>
          <cell r="O727">
            <v>0.45319999999999999</v>
          </cell>
          <cell r="P727">
            <v>8.3299999999999999E-2</v>
          </cell>
          <cell r="Q727">
            <v>0.36990000000000001</v>
          </cell>
          <cell r="R727" t="str">
            <v>NA</v>
          </cell>
          <cell r="S727" t="str">
            <v>NA</v>
          </cell>
          <cell r="T727">
            <v>58.4</v>
          </cell>
          <cell r="U727">
            <v>4.7</v>
          </cell>
          <cell r="V727">
            <v>72.900000000000006</v>
          </cell>
          <cell r="W727">
            <v>7.4</v>
          </cell>
          <cell r="X727" t="str">
            <v>NA</v>
          </cell>
          <cell r="Y727" t="str">
            <v>NA</v>
          </cell>
          <cell r="Z727" t="str">
            <v>NA</v>
          </cell>
          <cell r="AA727" t="str">
            <v>NA</v>
          </cell>
        </row>
        <row r="728">
          <cell r="A728">
            <v>45137</v>
          </cell>
          <cell r="B728" t="str">
            <v>A2</v>
          </cell>
          <cell r="C728">
            <v>1</v>
          </cell>
          <cell r="D728">
            <v>1</v>
          </cell>
          <cell r="E728" t="str">
            <v>ARIS.A2.Aim1.Bin1.RB</v>
          </cell>
          <cell r="F728">
            <v>4</v>
          </cell>
          <cell r="G728" t="str">
            <v>Unweighted</v>
          </cell>
          <cell r="H728" t="str">
            <v>N</v>
          </cell>
          <cell r="I728" t="str">
            <v>N</v>
          </cell>
          <cell r="J728">
            <v>152</v>
          </cell>
          <cell r="K728">
            <v>0.99990000000000001</v>
          </cell>
          <cell r="L728">
            <v>0.91279999999999994</v>
          </cell>
          <cell r="M728">
            <v>15.8</v>
          </cell>
          <cell r="N728">
            <v>6.2</v>
          </cell>
          <cell r="O728">
            <v>8.7099999999999997E-2</v>
          </cell>
          <cell r="P728">
            <v>2.1600000000000001E-2</v>
          </cell>
          <cell r="Q728">
            <v>7.7000000000000002E-3</v>
          </cell>
          <cell r="R728" t="str">
            <v>NA</v>
          </cell>
          <cell r="S728">
            <v>5.7799999999999997E-2</v>
          </cell>
          <cell r="T728">
            <v>58.4</v>
          </cell>
          <cell r="U728">
            <v>4.7</v>
          </cell>
          <cell r="V728">
            <v>72.900000000000006</v>
          </cell>
          <cell r="W728">
            <v>7.4</v>
          </cell>
          <cell r="X728" t="str">
            <v>NA</v>
          </cell>
          <cell r="Y728" t="str">
            <v>NA</v>
          </cell>
          <cell r="Z728">
            <v>39.1</v>
          </cell>
          <cell r="AA728">
            <v>3.5</v>
          </cell>
        </row>
        <row r="729">
          <cell r="A729">
            <v>45137</v>
          </cell>
          <cell r="B729" t="str">
            <v>A2</v>
          </cell>
          <cell r="C729">
            <v>2</v>
          </cell>
          <cell r="D729">
            <v>1</v>
          </cell>
          <cell r="E729" t="str">
            <v>ARIS.A2.Aim1.Bin2.RB</v>
          </cell>
          <cell r="F729">
            <v>4</v>
          </cell>
          <cell r="G729" t="str">
            <v>Unweighted</v>
          </cell>
          <cell r="H729" t="str">
            <v>N</v>
          </cell>
          <cell r="I729" t="str">
            <v>N</v>
          </cell>
          <cell r="J729">
            <v>129</v>
          </cell>
          <cell r="K729">
            <v>1</v>
          </cell>
          <cell r="L729">
            <v>0.82650000000000001</v>
          </cell>
          <cell r="M729">
            <v>26.7</v>
          </cell>
          <cell r="N729">
            <v>7.5</v>
          </cell>
          <cell r="O729">
            <v>0.17349999999999999</v>
          </cell>
          <cell r="P729">
            <v>5.0500000000000003E-2</v>
          </cell>
          <cell r="Q729">
            <v>0.123</v>
          </cell>
          <cell r="R729" t="str">
            <v>NA</v>
          </cell>
          <cell r="S729" t="str">
            <v>NA</v>
          </cell>
          <cell r="T729">
            <v>58.4</v>
          </cell>
          <cell r="U729">
            <v>4.7</v>
          </cell>
          <cell r="V729">
            <v>72.900000000000006</v>
          </cell>
          <cell r="W729">
            <v>7.4</v>
          </cell>
          <cell r="X729" t="str">
            <v>NA</v>
          </cell>
          <cell r="Y729" t="str">
            <v>NA</v>
          </cell>
          <cell r="Z729" t="str">
            <v>NA</v>
          </cell>
          <cell r="AA729" t="str">
            <v>NA</v>
          </cell>
        </row>
        <row r="730">
          <cell r="A730">
            <v>45137</v>
          </cell>
          <cell r="B730" t="str">
            <v>A2</v>
          </cell>
          <cell r="C730">
            <v>3</v>
          </cell>
          <cell r="D730">
            <v>1</v>
          </cell>
          <cell r="E730" t="str">
            <v>ARIS.A2.Aim1.Bin3.RB</v>
          </cell>
          <cell r="F730">
            <v>4</v>
          </cell>
          <cell r="G730" t="str">
            <v>Unweighted</v>
          </cell>
          <cell r="H730" t="str">
            <v>N</v>
          </cell>
          <cell r="I730" t="str">
            <v>N</v>
          </cell>
          <cell r="J730">
            <v>104</v>
          </cell>
          <cell r="K730">
            <v>1</v>
          </cell>
          <cell r="L730">
            <v>0.34060000000000001</v>
          </cell>
          <cell r="M730">
            <v>29.9</v>
          </cell>
          <cell r="N730">
            <v>4.5999999999999996</v>
          </cell>
          <cell r="O730">
            <v>0.65939999999999999</v>
          </cell>
          <cell r="P730">
            <v>0.128</v>
          </cell>
          <cell r="Q730">
            <v>0.24010000000000001</v>
          </cell>
          <cell r="R730" t="str">
            <v>NA</v>
          </cell>
          <cell r="S730">
            <v>0.2913</v>
          </cell>
          <cell r="T730">
            <v>58.4</v>
          </cell>
          <cell r="U730">
            <v>4.7</v>
          </cell>
          <cell r="V730">
            <v>72.900000000000006</v>
          </cell>
          <cell r="W730">
            <v>7.4</v>
          </cell>
          <cell r="X730" t="str">
            <v>NA</v>
          </cell>
          <cell r="Y730" t="str">
            <v>NA</v>
          </cell>
          <cell r="Z730">
            <v>39.1</v>
          </cell>
          <cell r="AA730">
            <v>3.5</v>
          </cell>
        </row>
        <row r="731">
          <cell r="A731">
            <v>45137</v>
          </cell>
          <cell r="B731" t="str">
            <v>A2</v>
          </cell>
          <cell r="C731">
            <v>4</v>
          </cell>
          <cell r="D731">
            <v>1</v>
          </cell>
          <cell r="E731" t="str">
            <v>ARIS.A2.Aim1.Bin4.RB</v>
          </cell>
          <cell r="F731">
            <v>4</v>
          </cell>
          <cell r="G731" t="str">
            <v>Unweighted</v>
          </cell>
          <cell r="H731" t="str">
            <v>N</v>
          </cell>
          <cell r="I731" t="str">
            <v>N</v>
          </cell>
          <cell r="J731">
            <v>104</v>
          </cell>
          <cell r="K731">
            <v>1</v>
          </cell>
          <cell r="L731">
            <v>0.34060000000000001</v>
          </cell>
          <cell r="M731">
            <v>29.9</v>
          </cell>
          <cell r="N731">
            <v>4.5999999999999996</v>
          </cell>
          <cell r="O731">
            <v>0.65939999999999999</v>
          </cell>
          <cell r="P731">
            <v>0.128</v>
          </cell>
          <cell r="Q731">
            <v>0.24010000000000001</v>
          </cell>
          <cell r="R731" t="str">
            <v>NA</v>
          </cell>
          <cell r="S731">
            <v>0.2913</v>
          </cell>
          <cell r="T731">
            <v>58.4</v>
          </cell>
          <cell r="U731">
            <v>4.7</v>
          </cell>
          <cell r="V731">
            <v>72.900000000000006</v>
          </cell>
          <cell r="W731">
            <v>7.4</v>
          </cell>
          <cell r="X731" t="str">
            <v>NA</v>
          </cell>
          <cell r="Y731" t="str">
            <v>NA</v>
          </cell>
          <cell r="Z731">
            <v>39.1</v>
          </cell>
          <cell r="AA731">
            <v>3.5</v>
          </cell>
        </row>
        <row r="732">
          <cell r="A732">
            <v>45138</v>
          </cell>
          <cell r="B732" t="str">
            <v>A1</v>
          </cell>
          <cell r="C732">
            <v>1</v>
          </cell>
          <cell r="D732">
            <v>1</v>
          </cell>
          <cell r="E732" t="str">
            <v>ARIS.A1.Aim1.Bin1.LB</v>
          </cell>
          <cell r="F732">
            <v>3</v>
          </cell>
          <cell r="G732" t="str">
            <v>SplineDFA</v>
          </cell>
          <cell r="H732" t="str">
            <v>Y</v>
          </cell>
          <cell r="I732" t="str">
            <v>N</v>
          </cell>
          <cell r="J732">
            <v>97</v>
          </cell>
          <cell r="K732">
            <v>1</v>
          </cell>
          <cell r="L732">
            <v>0.91539999999999999</v>
          </cell>
          <cell r="M732">
            <v>23.7</v>
          </cell>
          <cell r="N732">
            <v>2.7</v>
          </cell>
          <cell r="O732">
            <v>8.4599999999999995E-2</v>
          </cell>
          <cell r="P732">
            <v>7.7100000000000002E-2</v>
          </cell>
          <cell r="Q732">
            <v>7.4999999999999997E-3</v>
          </cell>
          <cell r="R732" t="str">
            <v>NA</v>
          </cell>
          <cell r="S732" t="str">
            <v>NA</v>
          </cell>
          <cell r="T732">
            <v>58.9</v>
          </cell>
          <cell r="U732">
            <v>4.8</v>
          </cell>
          <cell r="V732">
            <v>77.2</v>
          </cell>
          <cell r="W732">
            <v>7.8</v>
          </cell>
          <cell r="X732" t="str">
            <v>NA</v>
          </cell>
          <cell r="Y732" t="str">
            <v>NA</v>
          </cell>
          <cell r="Z732" t="str">
            <v>NA</v>
          </cell>
          <cell r="AA732" t="str">
            <v>NA</v>
          </cell>
        </row>
        <row r="733">
          <cell r="A733">
            <v>45138</v>
          </cell>
          <cell r="B733" t="str">
            <v>A1</v>
          </cell>
          <cell r="C733">
            <v>1</v>
          </cell>
          <cell r="D733">
            <v>2</v>
          </cell>
          <cell r="E733" t="str">
            <v>ARIS.A1.Aim2.Bin1.LB</v>
          </cell>
          <cell r="F733">
            <v>3</v>
          </cell>
          <cell r="G733" t="str">
            <v>SplineDFA</v>
          </cell>
          <cell r="H733" t="str">
            <v>Y</v>
          </cell>
          <cell r="I733" t="str">
            <v>N</v>
          </cell>
          <cell r="J733">
            <v>158</v>
          </cell>
          <cell r="K733">
            <v>1</v>
          </cell>
          <cell r="L733">
            <v>0.89559999999999995</v>
          </cell>
          <cell r="M733">
            <v>23.7</v>
          </cell>
          <cell r="N733">
            <v>2.7</v>
          </cell>
          <cell r="O733">
            <v>0.10440000000000001</v>
          </cell>
          <cell r="P733">
            <v>0.10440000000000001</v>
          </cell>
          <cell r="Q733">
            <v>0</v>
          </cell>
          <cell r="R733" t="str">
            <v>NA</v>
          </cell>
          <cell r="S733" t="str">
            <v>NA</v>
          </cell>
          <cell r="T733">
            <v>58.9</v>
          </cell>
          <cell r="U733">
            <v>4.8</v>
          </cell>
          <cell r="V733">
            <v>77.2</v>
          </cell>
          <cell r="W733">
            <v>7.8</v>
          </cell>
          <cell r="X733" t="str">
            <v>NA</v>
          </cell>
          <cell r="Y733" t="str">
            <v>NA</v>
          </cell>
          <cell r="Z733" t="str">
            <v>NA</v>
          </cell>
          <cell r="AA733" t="str">
            <v>NA</v>
          </cell>
        </row>
        <row r="734">
          <cell r="A734">
            <v>45138</v>
          </cell>
          <cell r="B734" t="str">
            <v>A1</v>
          </cell>
          <cell r="C734">
            <v>2</v>
          </cell>
          <cell r="D734">
            <v>3</v>
          </cell>
          <cell r="E734" t="str">
            <v>ARIS.A1.Aim3.Bin2.LB</v>
          </cell>
          <cell r="F734">
            <v>3</v>
          </cell>
          <cell r="G734" t="str">
            <v>SplineDFA</v>
          </cell>
          <cell r="H734" t="str">
            <v>Y</v>
          </cell>
          <cell r="I734" t="str">
            <v>N</v>
          </cell>
          <cell r="J734">
            <v>147</v>
          </cell>
          <cell r="K734">
            <v>1</v>
          </cell>
          <cell r="L734">
            <v>0.5282</v>
          </cell>
          <cell r="M734">
            <v>23.7</v>
          </cell>
          <cell r="N734">
            <v>2.7</v>
          </cell>
          <cell r="O734">
            <v>0.4718</v>
          </cell>
          <cell r="P734">
            <v>0.3397</v>
          </cell>
          <cell r="Q734">
            <v>0.1321</v>
          </cell>
          <cell r="R734" t="str">
            <v>NA</v>
          </cell>
          <cell r="S734" t="str">
            <v>NA</v>
          </cell>
          <cell r="T734">
            <v>58.9</v>
          </cell>
          <cell r="U734">
            <v>4.8</v>
          </cell>
          <cell r="V734">
            <v>77.2</v>
          </cell>
          <cell r="W734">
            <v>7.8</v>
          </cell>
          <cell r="X734" t="str">
            <v>NA</v>
          </cell>
          <cell r="Y734" t="str">
            <v>NA</v>
          </cell>
          <cell r="Z734" t="str">
            <v>NA</v>
          </cell>
          <cell r="AA734" t="str">
            <v>NA</v>
          </cell>
        </row>
        <row r="735">
          <cell r="A735">
            <v>45138</v>
          </cell>
          <cell r="B735" t="str">
            <v>A1</v>
          </cell>
          <cell r="C735">
            <v>3</v>
          </cell>
          <cell r="D735">
            <v>3</v>
          </cell>
          <cell r="E735" t="str">
            <v>ARIS.A1.Aim3.Bin3.LB</v>
          </cell>
          <cell r="F735">
            <v>3</v>
          </cell>
          <cell r="G735" t="str">
            <v>SplineDFA</v>
          </cell>
          <cell r="H735" t="str">
            <v>Y</v>
          </cell>
          <cell r="I735" t="str">
            <v>N</v>
          </cell>
          <cell r="J735">
            <v>124</v>
          </cell>
          <cell r="K735">
            <v>0.99990000000000001</v>
          </cell>
          <cell r="L735">
            <v>0.18490000000000001</v>
          </cell>
          <cell r="M735">
            <v>23.7</v>
          </cell>
          <cell r="N735">
            <v>2.7</v>
          </cell>
          <cell r="O735">
            <v>0.81499999999999995</v>
          </cell>
          <cell r="P735">
            <v>0.36059999999999998</v>
          </cell>
          <cell r="Q735">
            <v>0.45440000000000003</v>
          </cell>
          <cell r="R735" t="str">
            <v>NA</v>
          </cell>
          <cell r="S735" t="str">
            <v>NA</v>
          </cell>
          <cell r="T735">
            <v>58.9</v>
          </cell>
          <cell r="U735">
            <v>4.8</v>
          </cell>
          <cell r="V735">
            <v>77.2</v>
          </cell>
          <cell r="W735">
            <v>7.8</v>
          </cell>
          <cell r="X735" t="str">
            <v>NA</v>
          </cell>
          <cell r="Y735" t="str">
            <v>NA</v>
          </cell>
          <cell r="Z735" t="str">
            <v>NA</v>
          </cell>
          <cell r="AA735" t="str">
            <v>NA</v>
          </cell>
        </row>
        <row r="736">
          <cell r="A736">
            <v>45138</v>
          </cell>
          <cell r="B736" t="str">
            <v>A1</v>
          </cell>
          <cell r="C736">
            <v>4</v>
          </cell>
          <cell r="D736">
            <v>3</v>
          </cell>
          <cell r="E736" t="str">
            <v>ARIS.A1.Aim3.Bin4.LB</v>
          </cell>
          <cell r="F736">
            <v>3</v>
          </cell>
          <cell r="G736" t="str">
            <v>SplineDFA</v>
          </cell>
          <cell r="H736" t="str">
            <v>Y</v>
          </cell>
          <cell r="I736" t="str">
            <v>N</v>
          </cell>
          <cell r="J736">
            <v>124</v>
          </cell>
          <cell r="K736">
            <v>0.99990000000000001</v>
          </cell>
          <cell r="L736">
            <v>0.18490000000000001</v>
          </cell>
          <cell r="M736">
            <v>23.7</v>
          </cell>
          <cell r="N736">
            <v>2.7</v>
          </cell>
          <cell r="O736">
            <v>0.81499999999999995</v>
          </cell>
          <cell r="P736">
            <v>0.36059999999999998</v>
          </cell>
          <cell r="Q736">
            <v>0.45440000000000003</v>
          </cell>
          <cell r="R736" t="str">
            <v>NA</v>
          </cell>
          <cell r="S736" t="str">
            <v>NA</v>
          </cell>
          <cell r="T736">
            <v>58.9</v>
          </cell>
          <cell r="U736">
            <v>4.8</v>
          </cell>
          <cell r="V736">
            <v>77.2</v>
          </cell>
          <cell r="W736">
            <v>7.8</v>
          </cell>
          <cell r="X736" t="str">
            <v>NA</v>
          </cell>
          <cell r="Y736" t="str">
            <v>NA</v>
          </cell>
          <cell r="Z736" t="str">
            <v>NA</v>
          </cell>
          <cell r="AA736" t="str">
            <v>NA</v>
          </cell>
        </row>
        <row r="737">
          <cell r="A737">
            <v>45138</v>
          </cell>
          <cell r="B737" t="str">
            <v>A1</v>
          </cell>
          <cell r="C737">
            <v>1</v>
          </cell>
          <cell r="D737">
            <v>1</v>
          </cell>
          <cell r="E737" t="str">
            <v>ARIS.A1.Aim1.Bin1.LB</v>
          </cell>
          <cell r="F737">
            <v>3</v>
          </cell>
          <cell r="G737" t="str">
            <v>Unweighted</v>
          </cell>
          <cell r="H737" t="str">
            <v>N</v>
          </cell>
          <cell r="I737" t="str">
            <v>Y</v>
          </cell>
          <cell r="J737">
            <v>97</v>
          </cell>
          <cell r="K737">
            <v>0.99990000000000001</v>
          </cell>
          <cell r="L737">
            <v>0.94820000000000004</v>
          </cell>
          <cell r="M737">
            <v>20.8</v>
          </cell>
          <cell r="N737">
            <v>8.1</v>
          </cell>
          <cell r="O737">
            <v>5.1700000000000003E-2</v>
          </cell>
          <cell r="P737">
            <v>4.2900000000000001E-2</v>
          </cell>
          <cell r="Q737">
            <v>8.8000000000000005E-3</v>
          </cell>
          <cell r="R737" t="str">
            <v>NA</v>
          </cell>
          <cell r="S737" t="str">
            <v>NA</v>
          </cell>
          <cell r="T737">
            <v>58.9</v>
          </cell>
          <cell r="U737">
            <v>4.8</v>
          </cell>
          <cell r="V737">
            <v>77.2</v>
          </cell>
          <cell r="W737">
            <v>7.8</v>
          </cell>
          <cell r="X737" t="str">
            <v>NA</v>
          </cell>
          <cell r="Y737" t="str">
            <v>NA</v>
          </cell>
          <cell r="Z737" t="str">
            <v>NA</v>
          </cell>
          <cell r="AA737" t="str">
            <v>NA</v>
          </cell>
        </row>
        <row r="738">
          <cell r="A738">
            <v>45138</v>
          </cell>
          <cell r="B738" t="str">
            <v>A1</v>
          </cell>
          <cell r="C738">
            <v>1</v>
          </cell>
          <cell r="D738">
            <v>2</v>
          </cell>
          <cell r="E738" t="str">
            <v>ARIS.A1.Aim2.Bin1.LB</v>
          </cell>
          <cell r="F738">
            <v>3</v>
          </cell>
          <cell r="G738" t="str">
            <v>Unweighted</v>
          </cell>
          <cell r="H738" t="str">
            <v>N</v>
          </cell>
          <cell r="I738" t="str">
            <v>Y</v>
          </cell>
          <cell r="J738">
            <v>158</v>
          </cell>
          <cell r="K738">
            <v>0.99990000000000001</v>
          </cell>
          <cell r="L738">
            <v>0.88260000000000005</v>
          </cell>
          <cell r="M738">
            <v>16.600000000000001</v>
          </cell>
          <cell r="N738">
            <v>6.5</v>
          </cell>
          <cell r="O738">
            <v>0.1173</v>
          </cell>
          <cell r="P738">
            <v>0.1173</v>
          </cell>
          <cell r="Q738">
            <v>0</v>
          </cell>
          <cell r="R738" t="str">
            <v>NA</v>
          </cell>
          <cell r="S738" t="str">
            <v>NA</v>
          </cell>
          <cell r="T738">
            <v>58.9</v>
          </cell>
          <cell r="U738">
            <v>4.8</v>
          </cell>
          <cell r="V738">
            <v>77.2</v>
          </cell>
          <cell r="W738">
            <v>7.8</v>
          </cell>
          <cell r="X738" t="str">
            <v>NA</v>
          </cell>
          <cell r="Y738" t="str">
            <v>NA</v>
          </cell>
          <cell r="Z738" t="str">
            <v>NA</v>
          </cell>
          <cell r="AA738" t="str">
            <v>NA</v>
          </cell>
        </row>
        <row r="739">
          <cell r="A739">
            <v>45138</v>
          </cell>
          <cell r="B739" t="str">
            <v>A1</v>
          </cell>
          <cell r="C739">
            <v>1</v>
          </cell>
          <cell r="D739" t="str">
            <v>1&amp;2</v>
          </cell>
          <cell r="E739" t="str">
            <v>ARIS.A1.Aim1&amp;Aim2.Bin1.LB</v>
          </cell>
          <cell r="F739">
            <v>3</v>
          </cell>
          <cell r="G739" t="str">
            <v>Unweighted</v>
          </cell>
          <cell r="H739" t="str">
            <v>N</v>
          </cell>
          <cell r="I739" t="str">
            <v>Y</v>
          </cell>
          <cell r="J739">
            <v>255</v>
          </cell>
          <cell r="K739">
            <v>0.99990000000000001</v>
          </cell>
          <cell r="L739">
            <v>0.94210000000000005</v>
          </cell>
          <cell r="M739">
            <v>19.100000000000001</v>
          </cell>
          <cell r="N739">
            <v>8.8000000000000007</v>
          </cell>
          <cell r="O739">
            <v>5.7799999999999997E-2</v>
          </cell>
          <cell r="P739">
            <v>5.5899999999999998E-2</v>
          </cell>
          <cell r="Q739">
            <v>1.9E-3</v>
          </cell>
          <cell r="R739" t="str">
            <v>NA</v>
          </cell>
          <cell r="S739" t="str">
            <v>NA</v>
          </cell>
          <cell r="T739">
            <v>58.9</v>
          </cell>
          <cell r="U739">
            <v>4.8</v>
          </cell>
          <cell r="V739">
            <v>77.2</v>
          </cell>
          <cell r="W739">
            <v>7.8</v>
          </cell>
          <cell r="X739" t="str">
            <v>NA</v>
          </cell>
          <cell r="Y739" t="str">
            <v>NA</v>
          </cell>
          <cell r="Z739" t="str">
            <v>NA</v>
          </cell>
          <cell r="AA739" t="str">
            <v>NA</v>
          </cell>
        </row>
        <row r="740">
          <cell r="A740">
            <v>45138</v>
          </cell>
          <cell r="B740" t="str">
            <v>A1</v>
          </cell>
          <cell r="C740">
            <v>2</v>
          </cell>
          <cell r="D740">
            <v>3</v>
          </cell>
          <cell r="E740" t="str">
            <v>ARIS.A1.Aim3.Bin2.LB</v>
          </cell>
          <cell r="F740">
            <v>3</v>
          </cell>
          <cell r="G740" t="str">
            <v>Unweighted</v>
          </cell>
          <cell r="H740" t="str">
            <v>N</v>
          </cell>
          <cell r="I740" t="str">
            <v>Y</v>
          </cell>
          <cell r="J740">
            <v>147</v>
          </cell>
          <cell r="K740">
            <v>1</v>
          </cell>
          <cell r="L740">
            <v>0.67410000000000003</v>
          </cell>
          <cell r="M740">
            <v>29.9</v>
          </cell>
          <cell r="N740">
            <v>8.9</v>
          </cell>
          <cell r="O740">
            <v>0.32590000000000002</v>
          </cell>
          <cell r="P740">
            <v>0.17100000000000001</v>
          </cell>
          <cell r="Q740">
            <v>0.15490000000000001</v>
          </cell>
          <cell r="R740" t="str">
            <v>NA</v>
          </cell>
          <cell r="S740" t="str">
            <v>NA</v>
          </cell>
          <cell r="T740">
            <v>58.9</v>
          </cell>
          <cell r="U740">
            <v>4.8</v>
          </cell>
          <cell r="V740">
            <v>77.2</v>
          </cell>
          <cell r="W740">
            <v>7.8</v>
          </cell>
          <cell r="X740" t="str">
            <v>NA</v>
          </cell>
          <cell r="Y740" t="str">
            <v>NA</v>
          </cell>
          <cell r="Z740" t="str">
            <v>NA</v>
          </cell>
          <cell r="AA740" t="str">
            <v>NA</v>
          </cell>
        </row>
        <row r="741">
          <cell r="A741">
            <v>45138</v>
          </cell>
          <cell r="B741" t="str">
            <v>A1</v>
          </cell>
          <cell r="C741">
            <v>3</v>
          </cell>
          <cell r="D741">
            <v>3</v>
          </cell>
          <cell r="E741" t="str">
            <v>ARIS.A1.Aim3.Bin3.LB</v>
          </cell>
          <cell r="F741">
            <v>3</v>
          </cell>
          <cell r="G741" t="str">
            <v>Unweighted</v>
          </cell>
          <cell r="H741" t="str">
            <v>N</v>
          </cell>
          <cell r="I741" t="str">
            <v>Y</v>
          </cell>
          <cell r="J741">
            <v>124</v>
          </cell>
          <cell r="K741">
            <v>0.99990000000000001</v>
          </cell>
          <cell r="L741">
            <v>0.34499999999999997</v>
          </cell>
          <cell r="M741">
            <v>35.6</v>
          </cell>
          <cell r="N741">
            <v>9.3000000000000007</v>
          </cell>
          <cell r="O741">
            <v>0.65490000000000004</v>
          </cell>
          <cell r="P741">
            <v>0.14680000000000001</v>
          </cell>
          <cell r="Q741">
            <v>0.5081</v>
          </cell>
          <cell r="R741" t="str">
            <v>NA</v>
          </cell>
          <cell r="S741" t="str">
            <v>NA</v>
          </cell>
          <cell r="T741">
            <v>58.9</v>
          </cell>
          <cell r="U741">
            <v>4.8</v>
          </cell>
          <cell r="V741">
            <v>77.2</v>
          </cell>
          <cell r="W741">
            <v>7.8</v>
          </cell>
          <cell r="X741" t="str">
            <v>NA</v>
          </cell>
          <cell r="Y741" t="str">
            <v>NA</v>
          </cell>
          <cell r="Z741" t="str">
            <v>NA</v>
          </cell>
          <cell r="AA741" t="str">
            <v>NA</v>
          </cell>
        </row>
        <row r="742">
          <cell r="A742">
            <v>45138</v>
          </cell>
          <cell r="B742" t="str">
            <v>A1</v>
          </cell>
          <cell r="C742">
            <v>4</v>
          </cell>
          <cell r="D742">
            <v>3</v>
          </cell>
          <cell r="E742" t="str">
            <v>ARIS.A1.Aim3.Bin4.LB</v>
          </cell>
          <cell r="F742">
            <v>3</v>
          </cell>
          <cell r="G742" t="str">
            <v>Unweighted</v>
          </cell>
          <cell r="H742" t="str">
            <v>N</v>
          </cell>
          <cell r="I742" t="str">
            <v>Y</v>
          </cell>
          <cell r="J742">
            <v>124</v>
          </cell>
          <cell r="K742">
            <v>0.99990000000000001</v>
          </cell>
          <cell r="L742">
            <v>0.34499999999999997</v>
          </cell>
          <cell r="M742">
            <v>35.6</v>
          </cell>
          <cell r="N742">
            <v>9.3000000000000007</v>
          </cell>
          <cell r="O742">
            <v>0.65490000000000004</v>
          </cell>
          <cell r="P742">
            <v>0.14680000000000001</v>
          </cell>
          <cell r="Q742">
            <v>0.5081</v>
          </cell>
          <cell r="R742" t="str">
            <v>NA</v>
          </cell>
          <cell r="S742" t="str">
            <v>NA</v>
          </cell>
          <cell r="T742">
            <v>58.9</v>
          </cell>
          <cell r="U742">
            <v>4.8</v>
          </cell>
          <cell r="V742">
            <v>77.2</v>
          </cell>
          <cell r="W742">
            <v>7.8</v>
          </cell>
          <cell r="X742" t="str">
            <v>NA</v>
          </cell>
          <cell r="Y742" t="str">
            <v>NA</v>
          </cell>
          <cell r="Z742" t="str">
            <v>NA</v>
          </cell>
          <cell r="AA742" t="str">
            <v>NA</v>
          </cell>
        </row>
        <row r="743">
          <cell r="A743">
            <v>45138</v>
          </cell>
          <cell r="B743" t="str">
            <v>A2</v>
          </cell>
          <cell r="C743">
            <v>1</v>
          </cell>
          <cell r="D743">
            <v>1</v>
          </cell>
          <cell r="E743" t="str">
            <v>ARIS.A2.Aim1.Bin1.RB</v>
          </cell>
          <cell r="F743">
            <v>3</v>
          </cell>
          <cell r="G743" t="str">
            <v>Unweighted</v>
          </cell>
          <cell r="H743" t="str">
            <v>N</v>
          </cell>
          <cell r="I743" t="str">
            <v>Y</v>
          </cell>
          <cell r="J743">
            <v>152</v>
          </cell>
          <cell r="K743">
            <v>1</v>
          </cell>
          <cell r="L743">
            <v>0.96289999999999998</v>
          </cell>
          <cell r="M743">
            <v>16.8</v>
          </cell>
          <cell r="N743">
            <v>8.3000000000000007</v>
          </cell>
          <cell r="O743">
            <v>3.7100000000000001E-2</v>
          </cell>
          <cell r="P743">
            <v>2.9700000000000001E-2</v>
          </cell>
          <cell r="Q743">
            <v>7.4000000000000003E-3</v>
          </cell>
          <cell r="R743" t="str">
            <v>NA</v>
          </cell>
          <cell r="S743" t="str">
            <v>NA</v>
          </cell>
          <cell r="T743">
            <v>58.4</v>
          </cell>
          <cell r="U743">
            <v>4.7</v>
          </cell>
          <cell r="V743">
            <v>72.900000000000006</v>
          </cell>
          <cell r="W743">
            <v>7.4</v>
          </cell>
          <cell r="X743" t="str">
            <v>NA</v>
          </cell>
          <cell r="Y743" t="str">
            <v>NA</v>
          </cell>
          <cell r="Z743" t="str">
            <v>NA</v>
          </cell>
          <cell r="AA743" t="str">
            <v>NA</v>
          </cell>
        </row>
        <row r="744">
          <cell r="A744">
            <v>45138</v>
          </cell>
          <cell r="B744" t="str">
            <v>A2</v>
          </cell>
          <cell r="C744">
            <v>2</v>
          </cell>
          <cell r="D744">
            <v>1</v>
          </cell>
          <cell r="E744" t="str">
            <v>ARIS.A2.Aim1.Bin2.RB</v>
          </cell>
          <cell r="F744">
            <v>3</v>
          </cell>
          <cell r="G744" t="str">
            <v>Unweighted</v>
          </cell>
          <cell r="H744" t="str">
            <v>N</v>
          </cell>
          <cell r="I744" t="str">
            <v>Y</v>
          </cell>
          <cell r="J744">
            <v>129</v>
          </cell>
          <cell r="K744">
            <v>1</v>
          </cell>
          <cell r="L744">
            <v>0.82650000000000001</v>
          </cell>
          <cell r="M744">
            <v>26.7</v>
          </cell>
          <cell r="N744">
            <v>7.5</v>
          </cell>
          <cell r="O744">
            <v>0.17349999999999999</v>
          </cell>
          <cell r="P744">
            <v>5.0500000000000003E-2</v>
          </cell>
          <cell r="Q744">
            <v>0.123</v>
          </cell>
          <cell r="R744" t="str">
            <v>NA</v>
          </cell>
          <cell r="S744" t="str">
            <v>NA</v>
          </cell>
          <cell r="T744">
            <v>58.4</v>
          </cell>
          <cell r="U744">
            <v>4.7</v>
          </cell>
          <cell r="V744">
            <v>72.900000000000006</v>
          </cell>
          <cell r="W744">
            <v>7.4</v>
          </cell>
          <cell r="X744" t="str">
            <v>NA</v>
          </cell>
          <cell r="Y744" t="str">
            <v>NA</v>
          </cell>
          <cell r="Z744" t="str">
            <v>NA</v>
          </cell>
          <cell r="AA744" t="str">
            <v>NA</v>
          </cell>
        </row>
        <row r="745">
          <cell r="A745">
            <v>45138</v>
          </cell>
          <cell r="B745" t="str">
            <v>A2</v>
          </cell>
          <cell r="C745">
            <v>3</v>
          </cell>
          <cell r="D745">
            <v>1</v>
          </cell>
          <cell r="E745" t="str">
            <v>ARIS.A2.Aim1.Bin3.RB</v>
          </cell>
          <cell r="F745">
            <v>3</v>
          </cell>
          <cell r="G745" t="str">
            <v>Unweighted</v>
          </cell>
          <cell r="H745" t="str">
            <v>N</v>
          </cell>
          <cell r="I745" t="str">
            <v>Y</v>
          </cell>
          <cell r="J745">
            <v>104</v>
          </cell>
          <cell r="K745">
            <v>1</v>
          </cell>
          <cell r="L745">
            <v>0.66269999999999996</v>
          </cell>
          <cell r="M745">
            <v>23.7</v>
          </cell>
          <cell r="N745">
            <v>14.1</v>
          </cell>
          <cell r="O745">
            <v>0.33729999999999999</v>
          </cell>
          <cell r="P745">
            <v>9.2700000000000005E-2</v>
          </cell>
          <cell r="Q745">
            <v>0.24460000000000001</v>
          </cell>
          <cell r="R745" t="str">
            <v>NA</v>
          </cell>
          <cell r="S745" t="str">
            <v>NA</v>
          </cell>
          <cell r="T745">
            <v>58.4</v>
          </cell>
          <cell r="U745">
            <v>4.7</v>
          </cell>
          <cell r="V745">
            <v>72.900000000000006</v>
          </cell>
          <cell r="W745">
            <v>7.4</v>
          </cell>
          <cell r="X745" t="str">
            <v>NA</v>
          </cell>
          <cell r="Y745" t="str">
            <v>NA</v>
          </cell>
          <cell r="Z745" t="str">
            <v>NA</v>
          </cell>
          <cell r="AA745" t="str">
            <v>NA</v>
          </cell>
        </row>
        <row r="746">
          <cell r="A746">
            <v>45138</v>
          </cell>
          <cell r="B746" t="str">
            <v>A2</v>
          </cell>
          <cell r="C746">
            <v>4</v>
          </cell>
          <cell r="D746">
            <v>1</v>
          </cell>
          <cell r="E746" t="str">
            <v>ARIS.A2.Aim1.Bin4.RB</v>
          </cell>
          <cell r="F746">
            <v>3</v>
          </cell>
          <cell r="G746" t="str">
            <v>Unweighted</v>
          </cell>
          <cell r="H746" t="str">
            <v>N</v>
          </cell>
          <cell r="I746" t="str">
            <v>Y</v>
          </cell>
          <cell r="J746">
            <v>104</v>
          </cell>
          <cell r="K746">
            <v>1</v>
          </cell>
          <cell r="L746">
            <v>0.66269999999999996</v>
          </cell>
          <cell r="M746">
            <v>23.7</v>
          </cell>
          <cell r="N746">
            <v>14.1</v>
          </cell>
          <cell r="O746">
            <v>0.33729999999999999</v>
          </cell>
          <cell r="P746">
            <v>9.2700000000000005E-2</v>
          </cell>
          <cell r="Q746">
            <v>0.24460000000000001</v>
          </cell>
          <cell r="R746" t="str">
            <v>NA</v>
          </cell>
          <cell r="S746" t="str">
            <v>NA</v>
          </cell>
          <cell r="T746">
            <v>58.4</v>
          </cell>
          <cell r="U746">
            <v>4.7</v>
          </cell>
          <cell r="V746">
            <v>72.900000000000006</v>
          </cell>
          <cell r="W746">
            <v>7.4</v>
          </cell>
          <cell r="X746" t="str">
            <v>NA</v>
          </cell>
          <cell r="Y746" t="str">
            <v>NA</v>
          </cell>
          <cell r="Z746" t="str">
            <v>NA</v>
          </cell>
          <cell r="AA746" t="str">
            <v>NA</v>
          </cell>
        </row>
        <row r="747">
          <cell r="A747">
            <v>45138</v>
          </cell>
          <cell r="B747" t="str">
            <v>A2</v>
          </cell>
          <cell r="C747">
            <v>1</v>
          </cell>
          <cell r="D747">
            <v>1</v>
          </cell>
          <cell r="E747" t="str">
            <v>ARIS.A2.Aim1.Bin1.RB</v>
          </cell>
          <cell r="F747">
            <v>3</v>
          </cell>
          <cell r="G747" t="str">
            <v>SplineDFA</v>
          </cell>
          <cell r="H747" t="str">
            <v>Y</v>
          </cell>
          <cell r="I747" t="str">
            <v>N</v>
          </cell>
          <cell r="J747">
            <v>152</v>
          </cell>
          <cell r="K747">
            <v>1</v>
          </cell>
          <cell r="L747">
            <v>0.95109999999999995</v>
          </cell>
          <cell r="M747">
            <v>23.7</v>
          </cell>
          <cell r="N747">
            <v>2.7</v>
          </cell>
          <cell r="O747">
            <v>4.8899999999999999E-2</v>
          </cell>
          <cell r="P747">
            <v>4.7300000000000002E-2</v>
          </cell>
          <cell r="Q747">
            <v>1.6000000000000001E-3</v>
          </cell>
          <cell r="R747" t="str">
            <v>NA</v>
          </cell>
          <cell r="S747" t="str">
            <v>NA</v>
          </cell>
          <cell r="T747">
            <v>58.4</v>
          </cell>
          <cell r="U747">
            <v>4.7</v>
          </cell>
          <cell r="V747">
            <v>72.900000000000006</v>
          </cell>
          <cell r="W747">
            <v>7.4</v>
          </cell>
          <cell r="X747" t="str">
            <v>NA</v>
          </cell>
          <cell r="Y747" t="str">
            <v>NA</v>
          </cell>
          <cell r="Z747" t="str">
            <v>NA</v>
          </cell>
          <cell r="AA747" t="str">
            <v>NA</v>
          </cell>
        </row>
        <row r="748">
          <cell r="A748">
            <v>45138</v>
          </cell>
          <cell r="B748" t="str">
            <v>A2</v>
          </cell>
          <cell r="C748">
            <v>2</v>
          </cell>
          <cell r="D748">
            <v>1</v>
          </cell>
          <cell r="E748" t="str">
            <v>ARIS.A2.Aim1.Bin2.RB</v>
          </cell>
          <cell r="F748">
            <v>3</v>
          </cell>
          <cell r="G748" t="str">
            <v>SplineDFA</v>
          </cell>
          <cell r="H748" t="str">
            <v>Y</v>
          </cell>
          <cell r="I748" t="str">
            <v>N</v>
          </cell>
          <cell r="J748">
            <v>129</v>
          </cell>
          <cell r="K748">
            <v>0.99990000000000001</v>
          </cell>
          <cell r="L748">
            <v>0.79300000000000004</v>
          </cell>
          <cell r="M748">
            <v>23.7</v>
          </cell>
          <cell r="N748">
            <v>2.7</v>
          </cell>
          <cell r="O748">
            <v>0.2069</v>
          </cell>
          <cell r="P748">
            <v>0.14219999999999999</v>
          </cell>
          <cell r="Q748">
            <v>6.4699999999999994E-2</v>
          </cell>
          <cell r="R748" t="str">
            <v>NA</v>
          </cell>
          <cell r="S748" t="str">
            <v>NA</v>
          </cell>
          <cell r="T748">
            <v>58.4</v>
          </cell>
          <cell r="U748">
            <v>4.7</v>
          </cell>
          <cell r="V748">
            <v>72.900000000000006</v>
          </cell>
          <cell r="W748">
            <v>7.4</v>
          </cell>
          <cell r="X748" t="str">
            <v>NA</v>
          </cell>
          <cell r="Y748" t="str">
            <v>NA</v>
          </cell>
          <cell r="Z748" t="str">
            <v>NA</v>
          </cell>
          <cell r="AA748" t="str">
            <v>NA</v>
          </cell>
        </row>
        <row r="749">
          <cell r="A749">
            <v>45138</v>
          </cell>
          <cell r="B749" t="str">
            <v>A2</v>
          </cell>
          <cell r="C749">
            <v>3</v>
          </cell>
          <cell r="D749">
            <v>1</v>
          </cell>
          <cell r="E749" t="str">
            <v>ARIS.A2.Aim1.Bin3.RB</v>
          </cell>
          <cell r="F749">
            <v>3</v>
          </cell>
          <cell r="G749" t="str">
            <v>SplineDFA</v>
          </cell>
          <cell r="H749" t="str">
            <v>Y</v>
          </cell>
          <cell r="I749" t="str">
            <v>N</v>
          </cell>
          <cell r="J749">
            <v>104</v>
          </cell>
          <cell r="K749">
            <v>1</v>
          </cell>
          <cell r="L749">
            <v>0.32950000000000002</v>
          </cell>
          <cell r="M749">
            <v>23.7</v>
          </cell>
          <cell r="N749">
            <v>2.7</v>
          </cell>
          <cell r="O749">
            <v>0.67049999999999998</v>
          </cell>
          <cell r="P749">
            <v>0.40389999999999998</v>
          </cell>
          <cell r="Q749">
            <v>0.2666</v>
          </cell>
          <cell r="R749" t="str">
            <v>NA</v>
          </cell>
          <cell r="S749" t="str">
            <v>NA</v>
          </cell>
          <cell r="T749">
            <v>58.4</v>
          </cell>
          <cell r="U749">
            <v>4.7</v>
          </cell>
          <cell r="V749">
            <v>72.900000000000006</v>
          </cell>
          <cell r="W749">
            <v>7.4</v>
          </cell>
          <cell r="X749" t="str">
            <v>NA</v>
          </cell>
          <cell r="Y749" t="str">
            <v>NA</v>
          </cell>
          <cell r="Z749" t="str">
            <v>NA</v>
          </cell>
          <cell r="AA749" t="str">
            <v>NA</v>
          </cell>
        </row>
        <row r="750">
          <cell r="A750">
            <v>45138</v>
          </cell>
          <cell r="B750" t="str">
            <v>A2</v>
          </cell>
          <cell r="C750">
            <v>4</v>
          </cell>
          <cell r="D750">
            <v>1</v>
          </cell>
          <cell r="E750" t="str">
            <v>ARIS.A2.Aim1.Bin4.RB</v>
          </cell>
          <cell r="F750">
            <v>3</v>
          </cell>
          <cell r="G750" t="str">
            <v>SplineDFA</v>
          </cell>
          <cell r="H750" t="str">
            <v>Y</v>
          </cell>
          <cell r="I750" t="str">
            <v>N</v>
          </cell>
          <cell r="J750">
            <v>104</v>
          </cell>
          <cell r="K750">
            <v>1</v>
          </cell>
          <cell r="L750">
            <v>0.32950000000000002</v>
          </cell>
          <cell r="M750">
            <v>23.7</v>
          </cell>
          <cell r="N750">
            <v>2.7</v>
          </cell>
          <cell r="O750">
            <v>0.67049999999999998</v>
          </cell>
          <cell r="P750">
            <v>0.40389999999999998</v>
          </cell>
          <cell r="Q750">
            <v>0.2666</v>
          </cell>
          <cell r="R750" t="str">
            <v>NA</v>
          </cell>
          <cell r="S750" t="str">
            <v>NA</v>
          </cell>
          <cell r="T750">
            <v>58.4</v>
          </cell>
          <cell r="U750">
            <v>4.7</v>
          </cell>
          <cell r="V750">
            <v>72.900000000000006</v>
          </cell>
          <cell r="W750">
            <v>7.4</v>
          </cell>
          <cell r="X750" t="str">
            <v>NA</v>
          </cell>
          <cell r="Y750" t="str">
            <v>NA</v>
          </cell>
          <cell r="Z750" t="str">
            <v>NA</v>
          </cell>
          <cell r="AA750" t="str">
            <v>NA</v>
          </cell>
        </row>
        <row r="751">
          <cell r="A751">
            <v>45138</v>
          </cell>
          <cell r="B751" t="str">
            <v>A1</v>
          </cell>
          <cell r="C751">
            <v>1</v>
          </cell>
          <cell r="D751">
            <v>1</v>
          </cell>
          <cell r="E751" t="str">
            <v>ARIS.A1.Aim1.Bin1.LB</v>
          </cell>
          <cell r="F751">
            <v>4</v>
          </cell>
          <cell r="G751" t="str">
            <v>Unweighted</v>
          </cell>
          <cell r="H751" t="str">
            <v>N</v>
          </cell>
          <cell r="I751" t="str">
            <v>N</v>
          </cell>
          <cell r="J751">
            <v>97</v>
          </cell>
          <cell r="K751">
            <v>1</v>
          </cell>
          <cell r="L751">
            <v>0.87370000000000003</v>
          </cell>
          <cell r="M751">
            <v>19.3</v>
          </cell>
          <cell r="N751">
            <v>6.1</v>
          </cell>
          <cell r="O751">
            <v>0.1263</v>
          </cell>
          <cell r="P751">
            <v>3.6600000000000001E-2</v>
          </cell>
          <cell r="Q751">
            <v>9.1999999999999998E-3</v>
          </cell>
          <cell r="R751" t="str">
            <v>NA</v>
          </cell>
          <cell r="S751">
            <v>8.0500000000000002E-2</v>
          </cell>
          <cell r="T751">
            <v>58.9</v>
          </cell>
          <cell r="U751">
            <v>4.8</v>
          </cell>
          <cell r="V751">
            <v>77.2</v>
          </cell>
          <cell r="W751">
            <v>7.8</v>
          </cell>
          <cell r="X751" t="str">
            <v>NA</v>
          </cell>
          <cell r="Y751" t="str">
            <v>NA</v>
          </cell>
          <cell r="Z751">
            <v>39.1</v>
          </cell>
          <cell r="AA751">
            <v>3.5</v>
          </cell>
        </row>
        <row r="752">
          <cell r="A752">
            <v>45138</v>
          </cell>
          <cell r="B752" t="str">
            <v>A1</v>
          </cell>
          <cell r="C752">
            <v>1</v>
          </cell>
          <cell r="D752">
            <v>2</v>
          </cell>
          <cell r="E752" t="str">
            <v>ARIS.A1.Aim2.Bin1.LB</v>
          </cell>
          <cell r="F752">
            <v>4</v>
          </cell>
          <cell r="G752" t="str">
            <v>Unweighted</v>
          </cell>
          <cell r="H752" t="str">
            <v>N</v>
          </cell>
          <cell r="I752" t="str">
            <v>N</v>
          </cell>
          <cell r="J752">
            <v>158</v>
          </cell>
          <cell r="K752">
            <v>1</v>
          </cell>
          <cell r="L752">
            <v>0.85729999999999995</v>
          </cell>
          <cell r="M752">
            <v>16.2</v>
          </cell>
          <cell r="N752">
            <v>5.9</v>
          </cell>
          <cell r="O752">
            <v>0.14269999999999999</v>
          </cell>
          <cell r="P752">
            <v>5.57E-2</v>
          </cell>
          <cell r="Q752">
            <v>0</v>
          </cell>
          <cell r="R752" t="str">
            <v>NA</v>
          </cell>
          <cell r="S752">
            <v>8.6999999999999994E-2</v>
          </cell>
          <cell r="T752">
            <v>58.9</v>
          </cell>
          <cell r="U752">
            <v>4.8</v>
          </cell>
          <cell r="V752">
            <v>77.2</v>
          </cell>
          <cell r="W752">
            <v>7.8</v>
          </cell>
          <cell r="X752" t="str">
            <v>NA</v>
          </cell>
          <cell r="Y752" t="str">
            <v>NA</v>
          </cell>
          <cell r="Z752">
            <v>39.1</v>
          </cell>
          <cell r="AA752">
            <v>3.5</v>
          </cell>
        </row>
        <row r="753">
          <cell r="A753">
            <v>45138</v>
          </cell>
          <cell r="B753" t="str">
            <v>A1</v>
          </cell>
          <cell r="C753">
            <v>1</v>
          </cell>
          <cell r="D753" t="str">
            <v>1&amp;2</v>
          </cell>
          <cell r="E753" t="str">
            <v>ARIS.A1.Aim1&amp;Aim2.Bin1.LB</v>
          </cell>
          <cell r="F753">
            <v>4</v>
          </cell>
          <cell r="G753" t="str">
            <v>Unweighted</v>
          </cell>
          <cell r="H753" t="str">
            <v>N</v>
          </cell>
          <cell r="I753" t="str">
            <v>N</v>
          </cell>
          <cell r="J753">
            <v>255</v>
          </cell>
          <cell r="K753">
            <v>1</v>
          </cell>
          <cell r="L753">
            <v>0.86780000000000002</v>
          </cell>
          <cell r="M753">
            <v>17.5</v>
          </cell>
          <cell r="N753">
            <v>6.3</v>
          </cell>
          <cell r="O753">
            <v>0.13220000000000001</v>
          </cell>
          <cell r="P753">
            <v>5.2400000000000002E-2</v>
          </cell>
          <cell r="Q753">
            <v>2.0999999999999999E-3</v>
          </cell>
          <cell r="R753" t="str">
            <v>NA</v>
          </cell>
          <cell r="S753">
            <v>7.7700000000000005E-2</v>
          </cell>
          <cell r="T753">
            <v>58.9</v>
          </cell>
          <cell r="U753">
            <v>4.8</v>
          </cell>
          <cell r="V753">
            <v>77.2</v>
          </cell>
          <cell r="W753">
            <v>7.8</v>
          </cell>
          <cell r="X753" t="str">
            <v>NA</v>
          </cell>
          <cell r="Y753" t="str">
            <v>NA</v>
          </cell>
          <cell r="Z753">
            <v>39.1</v>
          </cell>
          <cell r="AA753">
            <v>3.5</v>
          </cell>
        </row>
        <row r="754">
          <cell r="A754">
            <v>45138</v>
          </cell>
          <cell r="B754" t="str">
            <v>A1</v>
          </cell>
          <cell r="C754">
            <v>2</v>
          </cell>
          <cell r="D754">
            <v>3</v>
          </cell>
          <cell r="E754" t="str">
            <v>ARIS.A1.Aim3.Bin2.LB</v>
          </cell>
          <cell r="F754">
            <v>4</v>
          </cell>
          <cell r="G754" t="str">
            <v>Unweighted</v>
          </cell>
          <cell r="H754" t="str">
            <v>N</v>
          </cell>
          <cell r="I754" t="str">
            <v>N</v>
          </cell>
          <cell r="J754">
            <v>147</v>
          </cell>
          <cell r="K754">
            <v>0.99990000000000001</v>
          </cell>
          <cell r="L754">
            <v>0.66849999999999998</v>
          </cell>
          <cell r="M754">
            <v>29.8</v>
          </cell>
          <cell r="N754">
            <v>9.1999999999999993</v>
          </cell>
          <cell r="O754">
            <v>0.33139999999999997</v>
          </cell>
          <cell r="P754">
            <v>0.17510000000000001</v>
          </cell>
          <cell r="Q754">
            <v>0.15629999999999999</v>
          </cell>
          <cell r="R754" t="str">
            <v>NA</v>
          </cell>
          <cell r="S754">
            <v>0</v>
          </cell>
          <cell r="T754">
            <v>58.9</v>
          </cell>
          <cell r="U754">
            <v>4.8</v>
          </cell>
          <cell r="V754">
            <v>77.2</v>
          </cell>
          <cell r="W754">
            <v>7.8</v>
          </cell>
          <cell r="X754" t="str">
            <v>NA</v>
          </cell>
          <cell r="Y754" t="str">
            <v>NA</v>
          </cell>
          <cell r="Z754">
            <v>39.1</v>
          </cell>
          <cell r="AA754">
            <v>3.5</v>
          </cell>
        </row>
        <row r="755">
          <cell r="A755">
            <v>45138</v>
          </cell>
          <cell r="B755" t="str">
            <v>A1</v>
          </cell>
          <cell r="C755">
            <v>3</v>
          </cell>
          <cell r="D755">
            <v>3</v>
          </cell>
          <cell r="E755" t="str">
            <v>ARIS.A1.Aim3.Bin3.LB</v>
          </cell>
          <cell r="F755">
            <v>4</v>
          </cell>
          <cell r="G755" t="str">
            <v>Unweighted</v>
          </cell>
          <cell r="H755" t="str">
            <v>N</v>
          </cell>
          <cell r="I755" t="str">
            <v>N</v>
          </cell>
          <cell r="J755">
            <v>124</v>
          </cell>
          <cell r="K755">
            <v>1.0001</v>
          </cell>
          <cell r="L755">
            <v>0.3175</v>
          </cell>
          <cell r="M755">
            <v>35.5</v>
          </cell>
          <cell r="N755">
            <v>9.3000000000000007</v>
          </cell>
          <cell r="O755">
            <v>0.68259999999999998</v>
          </cell>
          <cell r="P755">
            <v>0.16800000000000001</v>
          </cell>
          <cell r="Q755">
            <v>0.51459999999999995</v>
          </cell>
          <cell r="R755" t="str">
            <v>NA</v>
          </cell>
          <cell r="S755">
            <v>0</v>
          </cell>
          <cell r="T755">
            <v>58.9</v>
          </cell>
          <cell r="U755">
            <v>4.8</v>
          </cell>
          <cell r="V755">
            <v>77.2</v>
          </cell>
          <cell r="W755">
            <v>7.8</v>
          </cell>
          <cell r="X755" t="str">
            <v>NA</v>
          </cell>
          <cell r="Y755" t="str">
            <v>NA</v>
          </cell>
          <cell r="Z755">
            <v>39.1</v>
          </cell>
          <cell r="AA755">
            <v>3.5</v>
          </cell>
        </row>
        <row r="756">
          <cell r="A756">
            <v>45138</v>
          </cell>
          <cell r="B756" t="str">
            <v>A1</v>
          </cell>
          <cell r="C756">
            <v>4</v>
          </cell>
          <cell r="D756">
            <v>3</v>
          </cell>
          <cell r="E756" t="str">
            <v>ARIS.A1.Aim3.Bin4.LB</v>
          </cell>
          <cell r="F756">
            <v>4</v>
          </cell>
          <cell r="G756" t="str">
            <v>Unweighted</v>
          </cell>
          <cell r="H756" t="str">
            <v>N</v>
          </cell>
          <cell r="I756" t="str">
            <v>N</v>
          </cell>
          <cell r="J756">
            <v>124</v>
          </cell>
          <cell r="K756">
            <v>1.0001</v>
          </cell>
          <cell r="L756">
            <v>0.3175</v>
          </cell>
          <cell r="M756">
            <v>35.5</v>
          </cell>
          <cell r="N756">
            <v>9.3000000000000007</v>
          </cell>
          <cell r="O756">
            <v>0.68259999999999998</v>
          </cell>
          <cell r="P756">
            <v>0.16800000000000001</v>
          </cell>
          <cell r="Q756">
            <v>0.51459999999999995</v>
          </cell>
          <cell r="R756" t="str">
            <v>NA</v>
          </cell>
          <cell r="S756">
            <v>0</v>
          </cell>
          <cell r="T756">
            <v>58.9</v>
          </cell>
          <cell r="U756">
            <v>4.8</v>
          </cell>
          <cell r="V756">
            <v>77.2</v>
          </cell>
          <cell r="W756">
            <v>7.8</v>
          </cell>
          <cell r="X756" t="str">
            <v>NA</v>
          </cell>
          <cell r="Y756" t="str">
            <v>NA</v>
          </cell>
          <cell r="Z756">
            <v>39.1</v>
          </cell>
          <cell r="AA756">
            <v>3.5</v>
          </cell>
        </row>
        <row r="757">
          <cell r="A757">
            <v>45138</v>
          </cell>
          <cell r="B757" t="str">
            <v>A2</v>
          </cell>
          <cell r="C757">
            <v>1</v>
          </cell>
          <cell r="D757">
            <v>1</v>
          </cell>
          <cell r="E757" t="str">
            <v>ARIS.A2.Aim1.Bin1.RB</v>
          </cell>
          <cell r="F757">
            <v>4</v>
          </cell>
          <cell r="G757" t="str">
            <v>Unweighted</v>
          </cell>
          <cell r="H757" t="str">
            <v>N</v>
          </cell>
          <cell r="I757" t="str">
            <v>N</v>
          </cell>
          <cell r="J757">
            <v>152</v>
          </cell>
          <cell r="K757">
            <v>0.99990000000000001</v>
          </cell>
          <cell r="L757">
            <v>0.91279999999999994</v>
          </cell>
          <cell r="M757">
            <v>15.8</v>
          </cell>
          <cell r="N757">
            <v>6.2</v>
          </cell>
          <cell r="O757">
            <v>8.7099999999999997E-2</v>
          </cell>
          <cell r="P757">
            <v>2.1600000000000001E-2</v>
          </cell>
          <cell r="Q757">
            <v>7.7000000000000002E-3</v>
          </cell>
          <cell r="R757" t="str">
            <v>NA</v>
          </cell>
          <cell r="S757">
            <v>5.7799999999999997E-2</v>
          </cell>
          <cell r="T757">
            <v>58.4</v>
          </cell>
          <cell r="U757">
            <v>4.7</v>
          </cell>
          <cell r="V757">
            <v>72.900000000000006</v>
          </cell>
          <cell r="W757">
            <v>7.4</v>
          </cell>
          <cell r="X757" t="str">
            <v>NA</v>
          </cell>
          <cell r="Y757" t="str">
            <v>NA</v>
          </cell>
          <cell r="Z757">
            <v>39.1</v>
          </cell>
          <cell r="AA757">
            <v>3.5</v>
          </cell>
        </row>
        <row r="758">
          <cell r="A758">
            <v>45138</v>
          </cell>
          <cell r="B758" t="str">
            <v>A2</v>
          </cell>
          <cell r="C758">
            <v>2</v>
          </cell>
          <cell r="D758">
            <v>1</v>
          </cell>
          <cell r="E758" t="str">
            <v>ARIS.A2.Aim1.Bin2.RB</v>
          </cell>
          <cell r="F758">
            <v>4</v>
          </cell>
          <cell r="G758" t="str">
            <v>Unweighted</v>
          </cell>
          <cell r="H758" t="str">
            <v>N</v>
          </cell>
          <cell r="I758" t="str">
            <v>N</v>
          </cell>
          <cell r="J758">
            <v>129</v>
          </cell>
          <cell r="K758">
            <v>1</v>
          </cell>
          <cell r="L758">
            <v>0.82650000000000001</v>
          </cell>
          <cell r="M758">
            <v>26.7</v>
          </cell>
          <cell r="N758">
            <v>7.5</v>
          </cell>
          <cell r="O758">
            <v>0.17349999999999999</v>
          </cell>
          <cell r="P758">
            <v>5.0500000000000003E-2</v>
          </cell>
          <cell r="Q758">
            <v>0.123</v>
          </cell>
          <cell r="R758" t="str">
            <v>NA</v>
          </cell>
          <cell r="S758" t="str">
            <v>NA</v>
          </cell>
          <cell r="T758">
            <v>58.4</v>
          </cell>
          <cell r="U758">
            <v>4.7</v>
          </cell>
          <cell r="V758">
            <v>72.900000000000006</v>
          </cell>
          <cell r="W758">
            <v>7.4</v>
          </cell>
          <cell r="X758" t="str">
            <v>NA</v>
          </cell>
          <cell r="Y758" t="str">
            <v>NA</v>
          </cell>
          <cell r="Z758" t="str">
            <v>NA</v>
          </cell>
          <cell r="AA758" t="str">
            <v>NA</v>
          </cell>
        </row>
        <row r="759">
          <cell r="A759">
            <v>45138</v>
          </cell>
          <cell r="B759" t="str">
            <v>A2</v>
          </cell>
          <cell r="C759">
            <v>3</v>
          </cell>
          <cell r="D759">
            <v>1</v>
          </cell>
          <cell r="E759" t="str">
            <v>ARIS.A2.Aim1.Bin3.RB</v>
          </cell>
          <cell r="F759">
            <v>4</v>
          </cell>
          <cell r="G759" t="str">
            <v>Unweighted</v>
          </cell>
          <cell r="H759" t="str">
            <v>N</v>
          </cell>
          <cell r="I759" t="str">
            <v>N</v>
          </cell>
          <cell r="J759">
            <v>104</v>
          </cell>
          <cell r="K759">
            <v>1</v>
          </cell>
          <cell r="L759">
            <v>0.34060000000000001</v>
          </cell>
          <cell r="M759">
            <v>29.9</v>
          </cell>
          <cell r="N759">
            <v>4.5999999999999996</v>
          </cell>
          <cell r="O759">
            <v>0.65939999999999999</v>
          </cell>
          <cell r="P759">
            <v>0.128</v>
          </cell>
          <cell r="Q759">
            <v>0.24010000000000001</v>
          </cell>
          <cell r="R759" t="str">
            <v>NA</v>
          </cell>
          <cell r="S759">
            <v>0.2913</v>
          </cell>
          <cell r="T759">
            <v>58.4</v>
          </cell>
          <cell r="U759">
            <v>4.7</v>
          </cell>
          <cell r="V759">
            <v>72.900000000000006</v>
          </cell>
          <cell r="W759">
            <v>7.4</v>
          </cell>
          <cell r="X759" t="str">
            <v>NA</v>
          </cell>
          <cell r="Y759" t="str">
            <v>NA</v>
          </cell>
          <cell r="Z759">
            <v>39.1</v>
          </cell>
          <cell r="AA759">
            <v>3.5</v>
          </cell>
        </row>
        <row r="760">
          <cell r="A760">
            <v>45138</v>
          </cell>
          <cell r="B760" t="str">
            <v>A2</v>
          </cell>
          <cell r="C760">
            <v>4</v>
          </cell>
          <cell r="D760">
            <v>1</v>
          </cell>
          <cell r="E760" t="str">
            <v>ARIS.A2.Aim1.Bin4.RB</v>
          </cell>
          <cell r="F760">
            <v>4</v>
          </cell>
          <cell r="G760" t="str">
            <v>Unweighted</v>
          </cell>
          <cell r="H760" t="str">
            <v>N</v>
          </cell>
          <cell r="I760" t="str">
            <v>N</v>
          </cell>
          <cell r="J760">
            <v>104</v>
          </cell>
          <cell r="K760">
            <v>1</v>
          </cell>
          <cell r="L760">
            <v>0.34060000000000001</v>
          </cell>
          <cell r="M760">
            <v>29.9</v>
          </cell>
          <cell r="N760">
            <v>4.5999999999999996</v>
          </cell>
          <cell r="O760">
            <v>0.65939999999999999</v>
          </cell>
          <cell r="P760">
            <v>0.128</v>
          </cell>
          <cell r="Q760">
            <v>0.24010000000000001</v>
          </cell>
          <cell r="R760" t="str">
            <v>NA</v>
          </cell>
          <cell r="S760">
            <v>0.2913</v>
          </cell>
          <cell r="T760">
            <v>58.4</v>
          </cell>
          <cell r="U760">
            <v>4.7</v>
          </cell>
          <cell r="V760">
            <v>72.900000000000006</v>
          </cell>
          <cell r="W760">
            <v>7.4</v>
          </cell>
          <cell r="X760" t="str">
            <v>NA</v>
          </cell>
          <cell r="Y760" t="str">
            <v>NA</v>
          </cell>
          <cell r="Z760">
            <v>39.1</v>
          </cell>
          <cell r="AA760">
            <v>3.5</v>
          </cell>
        </row>
        <row r="761">
          <cell r="A761">
            <v>45139</v>
          </cell>
          <cell r="B761" t="str">
            <v>A1</v>
          </cell>
          <cell r="C761">
            <v>1</v>
          </cell>
          <cell r="D761">
            <v>1</v>
          </cell>
          <cell r="E761" t="str">
            <v>ARIS.A1.Aim1.Bin1.LB</v>
          </cell>
          <cell r="F761">
            <v>3</v>
          </cell>
          <cell r="G761" t="str">
            <v>SplineDFA</v>
          </cell>
          <cell r="H761" t="str">
            <v>Y</v>
          </cell>
          <cell r="I761" t="str">
            <v>N</v>
          </cell>
          <cell r="J761">
            <v>132</v>
          </cell>
          <cell r="K761">
            <v>1</v>
          </cell>
          <cell r="L761">
            <v>0.95830000000000004</v>
          </cell>
          <cell r="M761">
            <v>23.7</v>
          </cell>
          <cell r="N761">
            <v>2.7</v>
          </cell>
          <cell r="O761">
            <v>4.1700000000000001E-2</v>
          </cell>
          <cell r="P761">
            <v>3.5499999999999997E-2</v>
          </cell>
          <cell r="Q761">
            <v>6.1999999999999998E-3</v>
          </cell>
          <cell r="R761" t="str">
            <v>NA</v>
          </cell>
          <cell r="S761" t="str">
            <v>NA</v>
          </cell>
          <cell r="T761">
            <v>58.9</v>
          </cell>
          <cell r="U761">
            <v>4.8</v>
          </cell>
          <cell r="V761">
            <v>77.2</v>
          </cell>
          <cell r="W761">
            <v>7.8</v>
          </cell>
          <cell r="X761" t="str">
            <v>NA</v>
          </cell>
          <cell r="Y761" t="str">
            <v>NA</v>
          </cell>
          <cell r="Z761" t="str">
            <v>NA</v>
          </cell>
          <cell r="AA761" t="str">
            <v>NA</v>
          </cell>
        </row>
        <row r="762">
          <cell r="A762">
            <v>45139</v>
          </cell>
          <cell r="B762" t="str">
            <v>A1</v>
          </cell>
          <cell r="C762">
            <v>1</v>
          </cell>
          <cell r="D762">
            <v>2</v>
          </cell>
          <cell r="E762" t="str">
            <v>ARIS.A1.Aim2.Bin1.LB</v>
          </cell>
          <cell r="F762">
            <v>3</v>
          </cell>
          <cell r="G762" t="str">
            <v>SplineDFA</v>
          </cell>
          <cell r="H762" t="str">
            <v>Y</v>
          </cell>
          <cell r="I762" t="str">
            <v>N</v>
          </cell>
          <cell r="J762">
            <v>190</v>
          </cell>
          <cell r="K762">
            <v>1</v>
          </cell>
          <cell r="L762">
            <v>0.93400000000000005</v>
          </cell>
          <cell r="M762">
            <v>23.7</v>
          </cell>
          <cell r="N762">
            <v>2.7</v>
          </cell>
          <cell r="O762">
            <v>6.6000000000000003E-2</v>
          </cell>
          <cell r="P762">
            <v>5.7000000000000002E-2</v>
          </cell>
          <cell r="Q762">
            <v>8.9999999999999993E-3</v>
          </cell>
          <cell r="R762" t="str">
            <v>NA</v>
          </cell>
          <cell r="S762" t="str">
            <v>NA</v>
          </cell>
          <cell r="T762">
            <v>58.9</v>
          </cell>
          <cell r="U762">
            <v>4.8</v>
          </cell>
          <cell r="V762">
            <v>77.2</v>
          </cell>
          <cell r="W762">
            <v>7.8</v>
          </cell>
          <cell r="X762" t="str">
            <v>NA</v>
          </cell>
          <cell r="Y762" t="str">
            <v>NA</v>
          </cell>
          <cell r="Z762" t="str">
            <v>NA</v>
          </cell>
          <cell r="AA762" t="str">
            <v>NA</v>
          </cell>
        </row>
        <row r="763">
          <cell r="A763">
            <v>45139</v>
          </cell>
          <cell r="B763" t="str">
            <v>A1</v>
          </cell>
          <cell r="C763">
            <v>2</v>
          </cell>
          <cell r="D763">
            <v>3</v>
          </cell>
          <cell r="E763" t="str">
            <v>ARIS.A1.Aim3.Bin2.LB</v>
          </cell>
          <cell r="F763">
            <v>3</v>
          </cell>
          <cell r="G763" t="str">
            <v>SplineDFA</v>
          </cell>
          <cell r="H763" t="str">
            <v>Y</v>
          </cell>
          <cell r="I763" t="str">
            <v>N</v>
          </cell>
          <cell r="J763">
            <v>142</v>
          </cell>
          <cell r="K763">
            <v>1</v>
          </cell>
          <cell r="L763">
            <v>0.57940000000000003</v>
          </cell>
          <cell r="M763">
            <v>23.7</v>
          </cell>
          <cell r="N763">
            <v>2.7</v>
          </cell>
          <cell r="O763">
            <v>0.42059999999999997</v>
          </cell>
          <cell r="P763">
            <v>0.2626</v>
          </cell>
          <cell r="Q763">
            <v>0.158</v>
          </cell>
          <cell r="R763" t="str">
            <v>NA</v>
          </cell>
          <cell r="S763" t="str">
            <v>NA</v>
          </cell>
          <cell r="T763">
            <v>58.9</v>
          </cell>
          <cell r="U763">
            <v>4.8</v>
          </cell>
          <cell r="V763">
            <v>77.2</v>
          </cell>
          <cell r="W763">
            <v>7.8</v>
          </cell>
          <cell r="X763" t="str">
            <v>NA</v>
          </cell>
          <cell r="Y763" t="str">
            <v>NA</v>
          </cell>
          <cell r="Z763" t="str">
            <v>NA</v>
          </cell>
          <cell r="AA763" t="str">
            <v>NA</v>
          </cell>
        </row>
        <row r="764">
          <cell r="A764">
            <v>45139</v>
          </cell>
          <cell r="B764" t="str">
            <v>A1</v>
          </cell>
          <cell r="C764">
            <v>3</v>
          </cell>
          <cell r="D764">
            <v>3</v>
          </cell>
          <cell r="E764" t="str">
            <v>ARIS.A1.Aim3.Bin3.LB</v>
          </cell>
          <cell r="F764">
            <v>3</v>
          </cell>
          <cell r="G764" t="str">
            <v>SplineDFA</v>
          </cell>
          <cell r="H764" t="str">
            <v>Y</v>
          </cell>
          <cell r="I764" t="str">
            <v>N</v>
          </cell>
          <cell r="J764">
            <v>111</v>
          </cell>
          <cell r="K764">
            <v>1</v>
          </cell>
          <cell r="L764">
            <v>5.4800000000000001E-2</v>
          </cell>
          <cell r="M764">
            <v>23.7</v>
          </cell>
          <cell r="N764">
            <v>2.7</v>
          </cell>
          <cell r="O764">
            <v>0.94520000000000004</v>
          </cell>
          <cell r="P764">
            <v>0.39129999999999998</v>
          </cell>
          <cell r="Q764">
            <v>0.55389999999999995</v>
          </cell>
          <cell r="R764" t="str">
            <v>NA</v>
          </cell>
          <cell r="S764" t="str">
            <v>NA</v>
          </cell>
          <cell r="T764">
            <v>58.9</v>
          </cell>
          <cell r="U764">
            <v>4.8</v>
          </cell>
          <cell r="V764">
            <v>77.2</v>
          </cell>
          <cell r="W764">
            <v>7.8</v>
          </cell>
          <cell r="X764" t="str">
            <v>NA</v>
          </cell>
          <cell r="Y764" t="str">
            <v>NA</v>
          </cell>
          <cell r="Z764" t="str">
            <v>NA</v>
          </cell>
          <cell r="AA764" t="str">
            <v>NA</v>
          </cell>
        </row>
        <row r="765">
          <cell r="A765">
            <v>45139</v>
          </cell>
          <cell r="B765" t="str">
            <v>A1</v>
          </cell>
          <cell r="C765">
            <v>4</v>
          </cell>
          <cell r="D765">
            <v>3</v>
          </cell>
          <cell r="E765" t="str">
            <v>ARIS.A1.Aim3.Bin4.LB</v>
          </cell>
          <cell r="F765">
            <v>3</v>
          </cell>
          <cell r="G765" t="str">
            <v>SplineDFA</v>
          </cell>
          <cell r="H765" t="str">
            <v>Y</v>
          </cell>
          <cell r="I765" t="str">
            <v>N</v>
          </cell>
          <cell r="J765">
            <v>111</v>
          </cell>
          <cell r="K765">
            <v>1</v>
          </cell>
          <cell r="L765">
            <v>5.4800000000000001E-2</v>
          </cell>
          <cell r="M765">
            <v>23.7</v>
          </cell>
          <cell r="N765">
            <v>2.7</v>
          </cell>
          <cell r="O765">
            <v>0.94520000000000004</v>
          </cell>
          <cell r="P765">
            <v>0.39129999999999998</v>
          </cell>
          <cell r="Q765">
            <v>0.55389999999999995</v>
          </cell>
          <cell r="R765" t="str">
            <v>NA</v>
          </cell>
          <cell r="S765" t="str">
            <v>NA</v>
          </cell>
          <cell r="T765">
            <v>58.9</v>
          </cell>
          <cell r="U765">
            <v>4.8</v>
          </cell>
          <cell r="V765">
            <v>77.2</v>
          </cell>
          <cell r="W765">
            <v>7.8</v>
          </cell>
          <cell r="X765" t="str">
            <v>NA</v>
          </cell>
          <cell r="Y765" t="str">
            <v>NA</v>
          </cell>
          <cell r="Z765" t="str">
            <v>NA</v>
          </cell>
          <cell r="AA765" t="str">
            <v>NA</v>
          </cell>
        </row>
        <row r="766">
          <cell r="A766">
            <v>45139</v>
          </cell>
          <cell r="B766" t="str">
            <v>A1</v>
          </cell>
          <cell r="C766">
            <v>1</v>
          </cell>
          <cell r="D766">
            <v>1</v>
          </cell>
          <cell r="E766" t="str">
            <v>ARIS.A1.Aim1.Bin1.LB</v>
          </cell>
          <cell r="F766">
            <v>3</v>
          </cell>
          <cell r="G766" t="str">
            <v>Unweighted</v>
          </cell>
          <cell r="H766" t="str">
            <v>N</v>
          </cell>
          <cell r="I766" t="str">
            <v>Y</v>
          </cell>
          <cell r="J766">
            <v>132</v>
          </cell>
          <cell r="K766">
            <v>1</v>
          </cell>
          <cell r="L766">
            <v>0.96160000000000001</v>
          </cell>
          <cell r="M766">
            <v>17.100000000000001</v>
          </cell>
          <cell r="N766">
            <v>7.3</v>
          </cell>
          <cell r="O766">
            <v>3.8399999999999997E-2</v>
          </cell>
          <cell r="P766">
            <v>3.1899999999999998E-2</v>
          </cell>
          <cell r="Q766">
            <v>6.4999999999999997E-3</v>
          </cell>
          <cell r="R766" t="str">
            <v>NA</v>
          </cell>
          <cell r="S766" t="str">
            <v>NA</v>
          </cell>
          <cell r="T766">
            <v>58.9</v>
          </cell>
          <cell r="U766">
            <v>4.8</v>
          </cell>
          <cell r="V766">
            <v>77.2</v>
          </cell>
          <cell r="W766">
            <v>7.8</v>
          </cell>
          <cell r="X766" t="str">
            <v>NA</v>
          </cell>
          <cell r="Y766" t="str">
            <v>NA</v>
          </cell>
          <cell r="Z766" t="str">
            <v>NA</v>
          </cell>
          <cell r="AA766" t="str">
            <v>NA</v>
          </cell>
        </row>
        <row r="767">
          <cell r="A767">
            <v>45139</v>
          </cell>
          <cell r="B767" t="str">
            <v>A1</v>
          </cell>
          <cell r="C767">
            <v>1</v>
          </cell>
          <cell r="D767">
            <v>2</v>
          </cell>
          <cell r="E767" t="str">
            <v>ARIS.A1.Aim2.Bin1.LB</v>
          </cell>
          <cell r="F767">
            <v>3</v>
          </cell>
          <cell r="G767" t="str">
            <v>Unweighted</v>
          </cell>
          <cell r="H767" t="str">
            <v>N</v>
          </cell>
          <cell r="I767" t="str">
            <v>Y</v>
          </cell>
          <cell r="J767">
            <v>190</v>
          </cell>
          <cell r="K767">
            <v>1</v>
          </cell>
          <cell r="L767">
            <v>0.91679999999999995</v>
          </cell>
          <cell r="M767">
            <v>16.399999999999999</v>
          </cell>
          <cell r="N767">
            <v>8.1</v>
          </cell>
          <cell r="O767">
            <v>8.3199999999999996E-2</v>
          </cell>
          <cell r="P767">
            <v>7.4800000000000005E-2</v>
          </cell>
          <cell r="Q767">
            <v>8.3999999999999995E-3</v>
          </cell>
          <cell r="R767" t="str">
            <v>NA</v>
          </cell>
          <cell r="S767" t="str">
            <v>NA</v>
          </cell>
          <cell r="T767">
            <v>58.9</v>
          </cell>
          <cell r="U767">
            <v>4.8</v>
          </cell>
          <cell r="V767">
            <v>77.2</v>
          </cell>
          <cell r="W767">
            <v>7.8</v>
          </cell>
          <cell r="X767" t="str">
            <v>NA</v>
          </cell>
          <cell r="Y767" t="str">
            <v>NA</v>
          </cell>
          <cell r="Z767" t="str">
            <v>NA</v>
          </cell>
          <cell r="AA767" t="str">
            <v>NA</v>
          </cell>
        </row>
        <row r="768">
          <cell r="A768">
            <v>45139</v>
          </cell>
          <cell r="B768" t="str">
            <v>A1</v>
          </cell>
          <cell r="C768">
            <v>1</v>
          </cell>
          <cell r="D768" t="str">
            <v>1&amp;2</v>
          </cell>
          <cell r="E768" t="str">
            <v>ARIS.A1.Aim1&amp;Aim2.Bin1.LB</v>
          </cell>
          <cell r="F768">
            <v>3</v>
          </cell>
          <cell r="G768" t="str">
            <v>Unweighted</v>
          </cell>
          <cell r="H768" t="str">
            <v>N</v>
          </cell>
          <cell r="I768" t="str">
            <v>Y</v>
          </cell>
          <cell r="J768">
            <v>322</v>
          </cell>
          <cell r="K768">
            <v>1</v>
          </cell>
          <cell r="L768">
            <v>0.93440000000000001</v>
          </cell>
          <cell r="M768">
            <v>16.899999999999999</v>
          </cell>
          <cell r="N768">
            <v>7.3</v>
          </cell>
          <cell r="O768">
            <v>6.5600000000000006E-2</v>
          </cell>
          <cell r="P768">
            <v>5.8000000000000003E-2</v>
          </cell>
          <cell r="Q768">
            <v>7.6E-3</v>
          </cell>
          <cell r="R768" t="str">
            <v>NA</v>
          </cell>
          <cell r="S768" t="str">
            <v>NA</v>
          </cell>
          <cell r="T768">
            <v>58.9</v>
          </cell>
          <cell r="U768">
            <v>4.8</v>
          </cell>
          <cell r="V768">
            <v>77.2</v>
          </cell>
          <cell r="W768">
            <v>7.8</v>
          </cell>
          <cell r="X768" t="str">
            <v>NA</v>
          </cell>
          <cell r="Y768" t="str">
            <v>NA</v>
          </cell>
          <cell r="Z768" t="str">
            <v>NA</v>
          </cell>
          <cell r="AA768" t="str">
            <v>NA</v>
          </cell>
        </row>
        <row r="769">
          <cell r="A769">
            <v>45139</v>
          </cell>
          <cell r="B769" t="str">
            <v>A1</v>
          </cell>
          <cell r="C769">
            <v>2</v>
          </cell>
          <cell r="D769">
            <v>3</v>
          </cell>
          <cell r="E769" t="str">
            <v>ARIS.A1.Aim3.Bin2.LB</v>
          </cell>
          <cell r="F769">
            <v>3</v>
          </cell>
          <cell r="G769" t="str">
            <v>Unweighted</v>
          </cell>
          <cell r="H769" t="str">
            <v>N</v>
          </cell>
          <cell r="I769" t="str">
            <v>Y</v>
          </cell>
          <cell r="J769">
            <v>142</v>
          </cell>
          <cell r="K769">
            <v>1</v>
          </cell>
          <cell r="L769">
            <v>0.73629999999999995</v>
          </cell>
          <cell r="M769">
            <v>23.7</v>
          </cell>
          <cell r="N769">
            <v>9.8000000000000007</v>
          </cell>
          <cell r="O769">
            <v>0.26369999999999999</v>
          </cell>
          <cell r="P769">
            <v>0.14599999999999999</v>
          </cell>
          <cell r="Q769">
            <v>0.1177</v>
          </cell>
          <cell r="R769" t="str">
            <v>NA</v>
          </cell>
          <cell r="S769" t="str">
            <v>NA</v>
          </cell>
          <cell r="T769">
            <v>58.9</v>
          </cell>
          <cell r="U769">
            <v>4.8</v>
          </cell>
          <cell r="V769">
            <v>77.2</v>
          </cell>
          <cell r="W769">
            <v>7.8</v>
          </cell>
          <cell r="X769" t="str">
            <v>NA</v>
          </cell>
          <cell r="Y769" t="str">
            <v>NA</v>
          </cell>
          <cell r="Z769" t="str">
            <v>NA</v>
          </cell>
          <cell r="AA769" t="str">
            <v>NA</v>
          </cell>
        </row>
        <row r="770">
          <cell r="A770">
            <v>45139</v>
          </cell>
          <cell r="B770" t="str">
            <v>A1</v>
          </cell>
          <cell r="C770">
            <v>3</v>
          </cell>
          <cell r="D770">
            <v>3</v>
          </cell>
          <cell r="E770" t="str">
            <v>ARIS.A1.Aim3.Bin3.LB</v>
          </cell>
          <cell r="F770">
            <v>3</v>
          </cell>
          <cell r="G770" t="str">
            <v>Unweighted</v>
          </cell>
          <cell r="H770" t="str">
            <v>N</v>
          </cell>
          <cell r="I770" t="str">
            <v>Y</v>
          </cell>
          <cell r="J770">
            <v>111</v>
          </cell>
          <cell r="K770">
            <v>1</v>
          </cell>
          <cell r="L770">
            <v>0.28560000000000002</v>
          </cell>
          <cell r="M770">
            <v>23.7</v>
          </cell>
          <cell r="N770">
            <v>21.4</v>
          </cell>
          <cell r="O770">
            <v>0.71440000000000003</v>
          </cell>
          <cell r="P770">
            <v>0.1641</v>
          </cell>
          <cell r="Q770">
            <v>0.55030000000000001</v>
          </cell>
          <cell r="R770" t="str">
            <v>NA</v>
          </cell>
          <cell r="S770" t="str">
            <v>NA</v>
          </cell>
          <cell r="T770">
            <v>58.9</v>
          </cell>
          <cell r="U770">
            <v>4.8</v>
          </cell>
          <cell r="V770">
            <v>77.2</v>
          </cell>
          <cell r="W770">
            <v>7.8</v>
          </cell>
          <cell r="X770" t="str">
            <v>NA</v>
          </cell>
          <cell r="Y770" t="str">
            <v>NA</v>
          </cell>
          <cell r="Z770" t="str">
            <v>NA</v>
          </cell>
          <cell r="AA770" t="str">
            <v>NA</v>
          </cell>
        </row>
        <row r="771">
          <cell r="A771">
            <v>45139</v>
          </cell>
          <cell r="B771" t="str">
            <v>A1</v>
          </cell>
          <cell r="C771">
            <v>4</v>
          </cell>
          <cell r="D771">
            <v>3</v>
          </cell>
          <cell r="E771" t="str">
            <v>ARIS.A1.Aim3.Bin4.LB</v>
          </cell>
          <cell r="F771">
            <v>3</v>
          </cell>
          <cell r="G771" t="str">
            <v>Unweighted</v>
          </cell>
          <cell r="H771" t="str">
            <v>N</v>
          </cell>
          <cell r="I771" t="str">
            <v>Y</v>
          </cell>
          <cell r="J771">
            <v>111</v>
          </cell>
          <cell r="K771">
            <v>1</v>
          </cell>
          <cell r="L771">
            <v>0.28560000000000002</v>
          </cell>
          <cell r="M771">
            <v>23.7</v>
          </cell>
          <cell r="N771">
            <v>21.4</v>
          </cell>
          <cell r="O771">
            <v>0.71440000000000003</v>
          </cell>
          <cell r="P771">
            <v>0.1641</v>
          </cell>
          <cell r="Q771">
            <v>0.55030000000000001</v>
          </cell>
          <cell r="R771" t="str">
            <v>NA</v>
          </cell>
          <cell r="S771" t="str">
            <v>NA</v>
          </cell>
          <cell r="T771">
            <v>58.9</v>
          </cell>
          <cell r="U771">
            <v>4.8</v>
          </cell>
          <cell r="V771">
            <v>77.2</v>
          </cell>
          <cell r="W771">
            <v>7.8</v>
          </cell>
          <cell r="X771" t="str">
            <v>NA</v>
          </cell>
          <cell r="Y771" t="str">
            <v>NA</v>
          </cell>
          <cell r="Z771" t="str">
            <v>NA</v>
          </cell>
          <cell r="AA771" t="str">
            <v>NA</v>
          </cell>
        </row>
        <row r="772">
          <cell r="A772">
            <v>45139</v>
          </cell>
          <cell r="B772" t="str">
            <v>A2</v>
          </cell>
          <cell r="C772">
            <v>1</v>
          </cell>
          <cell r="D772">
            <v>1</v>
          </cell>
          <cell r="E772" t="str">
            <v>ARIS.A2.Aim1.Bin1.RB</v>
          </cell>
          <cell r="F772">
            <v>3</v>
          </cell>
          <cell r="G772" t="str">
            <v>Unweighted</v>
          </cell>
          <cell r="H772" t="str">
            <v>N</v>
          </cell>
          <cell r="I772" t="str">
            <v>Y</v>
          </cell>
          <cell r="J772">
            <v>175</v>
          </cell>
          <cell r="K772">
            <v>1</v>
          </cell>
          <cell r="L772">
            <v>0.97319999999999995</v>
          </cell>
          <cell r="M772">
            <v>21</v>
          </cell>
          <cell r="N772">
            <v>6.7</v>
          </cell>
          <cell r="O772">
            <v>2.6800000000000001E-2</v>
          </cell>
          <cell r="P772">
            <v>1.17E-2</v>
          </cell>
          <cell r="Q772">
            <v>1.5100000000000001E-2</v>
          </cell>
          <cell r="R772" t="str">
            <v>NA</v>
          </cell>
          <cell r="S772" t="str">
            <v>NA</v>
          </cell>
          <cell r="T772">
            <v>58.9</v>
          </cell>
          <cell r="U772">
            <v>4.8</v>
          </cell>
          <cell r="V772">
            <v>77.2</v>
          </cell>
          <cell r="W772">
            <v>7.8</v>
          </cell>
          <cell r="X772" t="str">
            <v>NA</v>
          </cell>
          <cell r="Y772" t="str">
            <v>NA</v>
          </cell>
          <cell r="Z772" t="str">
            <v>NA</v>
          </cell>
          <cell r="AA772" t="str">
            <v>NA</v>
          </cell>
        </row>
        <row r="773">
          <cell r="A773">
            <v>45139</v>
          </cell>
          <cell r="B773" t="str">
            <v>A2</v>
          </cell>
          <cell r="C773">
            <v>2</v>
          </cell>
          <cell r="D773">
            <v>1</v>
          </cell>
          <cell r="E773" t="str">
            <v>ARIS.A2.Aim1.Bin2.RB</v>
          </cell>
          <cell r="F773">
            <v>3</v>
          </cell>
          <cell r="G773" t="str">
            <v>Unweighted</v>
          </cell>
          <cell r="H773" t="str">
            <v>N</v>
          </cell>
          <cell r="I773" t="str">
            <v>Y</v>
          </cell>
          <cell r="J773">
            <v>179</v>
          </cell>
          <cell r="K773">
            <v>1</v>
          </cell>
          <cell r="L773">
            <v>0.88370000000000004</v>
          </cell>
          <cell r="M773">
            <v>23.7</v>
          </cell>
          <cell r="N773">
            <v>8.6</v>
          </cell>
          <cell r="O773">
            <v>0.1163</v>
          </cell>
          <cell r="P773">
            <v>3.78E-2</v>
          </cell>
          <cell r="Q773">
            <v>7.85E-2</v>
          </cell>
          <cell r="R773" t="str">
            <v>NA</v>
          </cell>
          <cell r="S773" t="str">
            <v>NA</v>
          </cell>
          <cell r="T773">
            <v>58.9</v>
          </cell>
          <cell r="U773">
            <v>4.8</v>
          </cell>
          <cell r="V773">
            <v>77.2</v>
          </cell>
          <cell r="W773">
            <v>7.8</v>
          </cell>
          <cell r="X773" t="str">
            <v>NA</v>
          </cell>
          <cell r="Y773" t="str">
            <v>NA</v>
          </cell>
          <cell r="Z773" t="str">
            <v>NA</v>
          </cell>
          <cell r="AA773" t="str">
            <v>NA</v>
          </cell>
        </row>
        <row r="774">
          <cell r="A774">
            <v>45139</v>
          </cell>
          <cell r="B774" t="str">
            <v>A2</v>
          </cell>
          <cell r="C774">
            <v>3</v>
          </cell>
          <cell r="D774">
            <v>1</v>
          </cell>
          <cell r="E774" t="str">
            <v>ARIS.A2.Aim1.Bin3.RB</v>
          </cell>
          <cell r="F774">
            <v>3</v>
          </cell>
          <cell r="G774" t="str">
            <v>Unweighted</v>
          </cell>
          <cell r="H774" t="str">
            <v>N</v>
          </cell>
          <cell r="I774" t="str">
            <v>Y</v>
          </cell>
          <cell r="J774">
            <v>133</v>
          </cell>
          <cell r="K774">
            <v>1</v>
          </cell>
          <cell r="L774">
            <v>0.62350000000000005</v>
          </cell>
          <cell r="M774">
            <v>23.7</v>
          </cell>
          <cell r="N774">
            <v>15.7</v>
          </cell>
          <cell r="O774">
            <v>0.3765</v>
          </cell>
          <cell r="P774">
            <v>0.1835</v>
          </cell>
          <cell r="Q774">
            <v>0.193</v>
          </cell>
          <cell r="R774" t="str">
            <v>NA</v>
          </cell>
          <cell r="S774" t="str">
            <v>NA</v>
          </cell>
          <cell r="T774">
            <v>58.9</v>
          </cell>
          <cell r="U774">
            <v>4.8</v>
          </cell>
          <cell r="V774">
            <v>77.2</v>
          </cell>
          <cell r="W774">
            <v>7.8</v>
          </cell>
          <cell r="X774" t="str">
            <v>NA</v>
          </cell>
          <cell r="Y774" t="str">
            <v>NA</v>
          </cell>
          <cell r="Z774" t="str">
            <v>NA</v>
          </cell>
          <cell r="AA774" t="str">
            <v>NA</v>
          </cell>
        </row>
        <row r="775">
          <cell r="A775">
            <v>45139</v>
          </cell>
          <cell r="B775" t="str">
            <v>A2</v>
          </cell>
          <cell r="C775">
            <v>4</v>
          </cell>
          <cell r="D775">
            <v>1</v>
          </cell>
          <cell r="E775" t="str">
            <v>ARIS.A2.Aim1.Bin4.RB</v>
          </cell>
          <cell r="F775">
            <v>3</v>
          </cell>
          <cell r="G775" t="str">
            <v>Unweighted</v>
          </cell>
          <cell r="H775" t="str">
            <v>N</v>
          </cell>
          <cell r="I775" t="str">
            <v>Y</v>
          </cell>
          <cell r="J775">
            <v>133</v>
          </cell>
          <cell r="K775">
            <v>1</v>
          </cell>
          <cell r="L775">
            <v>0.62350000000000005</v>
          </cell>
          <cell r="M775">
            <v>23.7</v>
          </cell>
          <cell r="N775">
            <v>15.7</v>
          </cell>
          <cell r="O775">
            <v>0.3765</v>
          </cell>
          <cell r="P775">
            <v>0.1835</v>
          </cell>
          <cell r="Q775">
            <v>0.193</v>
          </cell>
          <cell r="R775" t="str">
            <v>NA</v>
          </cell>
          <cell r="S775" t="str">
            <v>NA</v>
          </cell>
          <cell r="T775">
            <v>58.9</v>
          </cell>
          <cell r="U775">
            <v>4.8</v>
          </cell>
          <cell r="V775">
            <v>77.2</v>
          </cell>
          <cell r="W775">
            <v>7.8</v>
          </cell>
          <cell r="X775" t="str">
            <v>NA</v>
          </cell>
          <cell r="Y775" t="str">
            <v>NA</v>
          </cell>
          <cell r="Z775" t="str">
            <v>NA</v>
          </cell>
          <cell r="AA775" t="str">
            <v>NA</v>
          </cell>
        </row>
        <row r="776">
          <cell r="A776">
            <v>45139</v>
          </cell>
          <cell r="B776" t="str">
            <v>A2</v>
          </cell>
          <cell r="C776">
            <v>1</v>
          </cell>
          <cell r="D776">
            <v>1</v>
          </cell>
          <cell r="E776" t="str">
            <v>ARIS.A2.Aim1.Bin1.RB</v>
          </cell>
          <cell r="F776">
            <v>3</v>
          </cell>
          <cell r="G776" t="str">
            <v>SplineDFA</v>
          </cell>
          <cell r="H776" t="str">
            <v>Y</v>
          </cell>
          <cell r="I776" t="str">
            <v>N</v>
          </cell>
          <cell r="J776">
            <v>175</v>
          </cell>
          <cell r="K776">
            <v>1</v>
          </cell>
          <cell r="L776">
            <v>0.97660000000000002</v>
          </cell>
          <cell r="M776">
            <v>23.7</v>
          </cell>
          <cell r="N776">
            <v>2.7</v>
          </cell>
          <cell r="O776">
            <v>2.3400000000000001E-2</v>
          </cell>
          <cell r="P776">
            <v>1.7100000000000001E-2</v>
          </cell>
          <cell r="Q776">
            <v>6.3E-3</v>
          </cell>
          <cell r="R776" t="str">
            <v>NA</v>
          </cell>
          <cell r="S776" t="str">
            <v>NA</v>
          </cell>
          <cell r="T776">
            <v>58.9</v>
          </cell>
          <cell r="U776">
            <v>4.8</v>
          </cell>
          <cell r="V776">
            <v>77.2</v>
          </cell>
          <cell r="W776">
            <v>7.8</v>
          </cell>
          <cell r="X776" t="str">
            <v>NA</v>
          </cell>
          <cell r="Y776" t="str">
            <v>NA</v>
          </cell>
          <cell r="Z776" t="str">
            <v>NA</v>
          </cell>
          <cell r="AA776" t="str">
            <v>NA</v>
          </cell>
        </row>
        <row r="777">
          <cell r="A777">
            <v>45139</v>
          </cell>
          <cell r="B777" t="str">
            <v>A2</v>
          </cell>
          <cell r="C777">
            <v>2</v>
          </cell>
          <cell r="D777">
            <v>1</v>
          </cell>
          <cell r="E777" t="str">
            <v>ARIS.A2.Aim1.Bin2.RB</v>
          </cell>
          <cell r="F777">
            <v>3</v>
          </cell>
          <cell r="G777" t="str">
            <v>SplineDFA</v>
          </cell>
          <cell r="H777" t="str">
            <v>Y</v>
          </cell>
          <cell r="I777" t="str">
            <v>N</v>
          </cell>
          <cell r="J777">
            <v>179</v>
          </cell>
          <cell r="K777">
            <v>1</v>
          </cell>
          <cell r="L777">
            <v>0.78459999999999996</v>
          </cell>
          <cell r="M777">
            <v>23.7</v>
          </cell>
          <cell r="N777">
            <v>2.7</v>
          </cell>
          <cell r="O777">
            <v>0.21540000000000001</v>
          </cell>
          <cell r="P777">
            <v>0.14910000000000001</v>
          </cell>
          <cell r="Q777">
            <v>6.6299999999999998E-2</v>
          </cell>
          <cell r="R777" t="str">
            <v>NA</v>
          </cell>
          <cell r="S777" t="str">
            <v>NA</v>
          </cell>
          <cell r="T777">
            <v>58.9</v>
          </cell>
          <cell r="U777">
            <v>4.8</v>
          </cell>
          <cell r="V777">
            <v>77.2</v>
          </cell>
          <cell r="W777">
            <v>7.8</v>
          </cell>
          <cell r="X777" t="str">
            <v>NA</v>
          </cell>
          <cell r="Y777" t="str">
            <v>NA</v>
          </cell>
          <cell r="Z777" t="str">
            <v>NA</v>
          </cell>
          <cell r="AA777" t="str">
            <v>NA</v>
          </cell>
        </row>
        <row r="778">
          <cell r="A778">
            <v>45139</v>
          </cell>
          <cell r="B778" t="str">
            <v>A2</v>
          </cell>
          <cell r="C778">
            <v>3</v>
          </cell>
          <cell r="D778">
            <v>1</v>
          </cell>
          <cell r="E778" t="str">
            <v>ARIS.A2.Aim1.Bin3.RB</v>
          </cell>
          <cell r="F778">
            <v>3</v>
          </cell>
          <cell r="G778" t="str">
            <v>SplineDFA</v>
          </cell>
          <cell r="H778" t="str">
            <v>Y</v>
          </cell>
          <cell r="I778" t="str">
            <v>N</v>
          </cell>
          <cell r="J778">
            <v>133</v>
          </cell>
          <cell r="K778">
            <v>1</v>
          </cell>
          <cell r="L778">
            <v>0.29980000000000001</v>
          </cell>
          <cell r="M778">
            <v>23.7</v>
          </cell>
          <cell r="N778">
            <v>2.7</v>
          </cell>
          <cell r="O778">
            <v>0.70020000000000004</v>
          </cell>
          <cell r="P778">
            <v>0.51529999999999998</v>
          </cell>
          <cell r="Q778">
            <v>0.18490000000000001</v>
          </cell>
          <cell r="R778" t="str">
            <v>NA</v>
          </cell>
          <cell r="S778" t="str">
            <v>NA</v>
          </cell>
          <cell r="T778">
            <v>58.9</v>
          </cell>
          <cell r="U778">
            <v>4.8</v>
          </cell>
          <cell r="V778">
            <v>77.2</v>
          </cell>
          <cell r="W778">
            <v>7.8</v>
          </cell>
          <cell r="X778" t="str">
            <v>NA</v>
          </cell>
          <cell r="Y778" t="str">
            <v>NA</v>
          </cell>
          <cell r="Z778" t="str">
            <v>NA</v>
          </cell>
          <cell r="AA778" t="str">
            <v>NA</v>
          </cell>
        </row>
        <row r="779">
          <cell r="A779">
            <v>45139</v>
          </cell>
          <cell r="B779" t="str">
            <v>A2</v>
          </cell>
          <cell r="C779">
            <v>4</v>
          </cell>
          <cell r="D779">
            <v>1</v>
          </cell>
          <cell r="E779" t="str">
            <v>ARIS.A2.Aim1.Bin4.RB</v>
          </cell>
          <cell r="F779">
            <v>3</v>
          </cell>
          <cell r="G779" t="str">
            <v>SplineDFA</v>
          </cell>
          <cell r="H779" t="str">
            <v>Y</v>
          </cell>
          <cell r="I779" t="str">
            <v>N</v>
          </cell>
          <cell r="J779">
            <v>133</v>
          </cell>
          <cell r="K779">
            <v>1</v>
          </cell>
          <cell r="L779">
            <v>0.29980000000000001</v>
          </cell>
          <cell r="M779">
            <v>23.7</v>
          </cell>
          <cell r="N779">
            <v>2.7</v>
          </cell>
          <cell r="O779">
            <v>0.70020000000000004</v>
          </cell>
          <cell r="P779">
            <v>0.51529999999999998</v>
          </cell>
          <cell r="Q779">
            <v>0.18490000000000001</v>
          </cell>
          <cell r="R779" t="str">
            <v>NA</v>
          </cell>
          <cell r="S779" t="str">
            <v>NA</v>
          </cell>
          <cell r="T779">
            <v>58.9</v>
          </cell>
          <cell r="U779">
            <v>4.8</v>
          </cell>
          <cell r="V779">
            <v>77.2</v>
          </cell>
          <cell r="W779">
            <v>7.8</v>
          </cell>
          <cell r="X779" t="str">
            <v>NA</v>
          </cell>
          <cell r="Y779" t="str">
            <v>NA</v>
          </cell>
          <cell r="Z779" t="str">
            <v>NA</v>
          </cell>
          <cell r="AA779" t="str">
            <v>NA</v>
          </cell>
        </row>
        <row r="780">
          <cell r="A780">
            <v>45139</v>
          </cell>
          <cell r="B780" t="str">
            <v>A1</v>
          </cell>
          <cell r="C780">
            <v>1</v>
          </cell>
          <cell r="D780">
            <v>1</v>
          </cell>
          <cell r="E780" t="str">
            <v>ARIS.A1.Aim1.Bin1.LB</v>
          </cell>
          <cell r="F780">
            <v>4</v>
          </cell>
          <cell r="G780" t="str">
            <v>Unweighted</v>
          </cell>
          <cell r="H780" t="str">
            <v>N</v>
          </cell>
          <cell r="I780" t="str">
            <v>N</v>
          </cell>
          <cell r="J780">
            <v>132</v>
          </cell>
          <cell r="K780">
            <v>1</v>
          </cell>
          <cell r="L780">
            <v>0.94810000000000005</v>
          </cell>
          <cell r="M780">
            <v>16.8</v>
          </cell>
          <cell r="N780">
            <v>6.8</v>
          </cell>
          <cell r="O780">
            <v>5.1900000000000002E-2</v>
          </cell>
          <cell r="P780">
            <v>3.1399999999999997E-2</v>
          </cell>
          <cell r="Q780">
            <v>6.4999999999999997E-3</v>
          </cell>
          <cell r="R780" t="str">
            <v>NA</v>
          </cell>
          <cell r="S780">
            <v>1.4E-2</v>
          </cell>
          <cell r="T780">
            <v>58.9</v>
          </cell>
          <cell r="U780">
            <v>4.8</v>
          </cell>
          <cell r="V780">
            <v>77.2</v>
          </cell>
          <cell r="W780">
            <v>7.8</v>
          </cell>
          <cell r="X780" t="str">
            <v>NA</v>
          </cell>
          <cell r="Y780" t="str">
            <v>NA</v>
          </cell>
          <cell r="Z780">
            <v>39.1</v>
          </cell>
          <cell r="AA780">
            <v>3.5</v>
          </cell>
        </row>
        <row r="781">
          <cell r="A781">
            <v>45139</v>
          </cell>
          <cell r="B781" t="str">
            <v>A1</v>
          </cell>
          <cell r="C781">
            <v>1</v>
          </cell>
          <cell r="D781">
            <v>2</v>
          </cell>
          <cell r="E781" t="str">
            <v>ARIS.A1.Aim2.Bin1.LB</v>
          </cell>
          <cell r="F781">
            <v>4</v>
          </cell>
          <cell r="G781" t="str">
            <v>Unweighted</v>
          </cell>
          <cell r="H781" t="str">
            <v>N</v>
          </cell>
          <cell r="I781" t="str">
            <v>N</v>
          </cell>
          <cell r="J781">
            <v>190</v>
          </cell>
          <cell r="K781">
            <v>1</v>
          </cell>
          <cell r="L781">
            <v>0.87609999999999999</v>
          </cell>
          <cell r="M781">
            <v>15.6</v>
          </cell>
          <cell r="N781">
            <v>6.7</v>
          </cell>
          <cell r="O781">
            <v>0.1239</v>
          </cell>
          <cell r="P781">
            <v>6.3299999999999995E-2</v>
          </cell>
          <cell r="Q781">
            <v>9.1000000000000004E-3</v>
          </cell>
          <cell r="R781" t="str">
            <v>NA</v>
          </cell>
          <cell r="S781">
            <v>5.1499999999999997E-2</v>
          </cell>
          <cell r="T781">
            <v>58.9</v>
          </cell>
          <cell r="U781">
            <v>4.8</v>
          </cell>
          <cell r="V781">
            <v>77.2</v>
          </cell>
          <cell r="W781">
            <v>7.8</v>
          </cell>
          <cell r="X781" t="str">
            <v>NA</v>
          </cell>
          <cell r="Y781" t="str">
            <v>NA</v>
          </cell>
          <cell r="Z781">
            <v>39.1</v>
          </cell>
          <cell r="AA781">
            <v>3.5</v>
          </cell>
        </row>
        <row r="782">
          <cell r="A782">
            <v>45139</v>
          </cell>
          <cell r="B782" t="str">
            <v>A1</v>
          </cell>
          <cell r="C782">
            <v>1</v>
          </cell>
          <cell r="D782" t="str">
            <v>1&amp;2</v>
          </cell>
          <cell r="E782" t="str">
            <v>ARIS.A1.Aim1&amp;Aim2.Bin1.LB</v>
          </cell>
          <cell r="F782">
            <v>4</v>
          </cell>
          <cell r="G782" t="str">
            <v>Unweighted</v>
          </cell>
          <cell r="H782" t="str">
            <v>N</v>
          </cell>
          <cell r="I782" t="str">
            <v>N</v>
          </cell>
          <cell r="J782">
            <v>322</v>
          </cell>
          <cell r="K782">
            <v>1</v>
          </cell>
          <cell r="L782">
            <v>0.93440000000000001</v>
          </cell>
          <cell r="M782">
            <v>16.899999999999999</v>
          </cell>
          <cell r="N782">
            <v>7.3</v>
          </cell>
          <cell r="O782">
            <v>6.5600000000000006E-2</v>
          </cell>
          <cell r="P782">
            <v>5.8000000000000003E-2</v>
          </cell>
          <cell r="Q782">
            <v>7.6E-3</v>
          </cell>
          <cell r="R782" t="str">
            <v>NA</v>
          </cell>
          <cell r="S782" t="str">
            <v>NA</v>
          </cell>
          <cell r="T782">
            <v>58.9</v>
          </cell>
          <cell r="U782">
            <v>4.8</v>
          </cell>
          <cell r="V782">
            <v>77.2</v>
          </cell>
          <cell r="W782">
            <v>7.8</v>
          </cell>
          <cell r="X782" t="str">
            <v>NA</v>
          </cell>
          <cell r="Y782" t="str">
            <v>NA</v>
          </cell>
          <cell r="Z782" t="str">
            <v>NA</v>
          </cell>
          <cell r="AA782" t="str">
            <v>NA</v>
          </cell>
        </row>
        <row r="783">
          <cell r="A783">
            <v>45139</v>
          </cell>
          <cell r="B783" t="str">
            <v>A1</v>
          </cell>
          <cell r="C783">
            <v>2</v>
          </cell>
          <cell r="D783">
            <v>3</v>
          </cell>
          <cell r="E783" t="str">
            <v>ARIS.A1.Aim3.Bin2.LB</v>
          </cell>
          <cell r="F783">
            <v>4</v>
          </cell>
          <cell r="G783" t="str">
            <v>Unweighted</v>
          </cell>
          <cell r="H783" t="str">
            <v>N</v>
          </cell>
          <cell r="I783" t="str">
            <v>N</v>
          </cell>
          <cell r="J783">
            <v>142</v>
          </cell>
          <cell r="K783">
            <v>1</v>
          </cell>
          <cell r="L783">
            <v>0.59079999999999999</v>
          </cell>
          <cell r="M783">
            <v>27.7</v>
          </cell>
          <cell r="N783">
            <v>5.2</v>
          </cell>
          <cell r="O783">
            <v>0.40920000000000001</v>
          </cell>
          <cell r="P783">
            <v>0.1492</v>
          </cell>
          <cell r="Q783">
            <v>0.1171</v>
          </cell>
          <cell r="R783" t="str">
            <v>NA</v>
          </cell>
          <cell r="S783">
            <v>0.1429</v>
          </cell>
          <cell r="T783">
            <v>58.9</v>
          </cell>
          <cell r="U783">
            <v>4.8</v>
          </cell>
          <cell r="V783">
            <v>77.2</v>
          </cell>
          <cell r="W783">
            <v>7.8</v>
          </cell>
          <cell r="X783" t="str">
            <v>NA</v>
          </cell>
          <cell r="Y783" t="str">
            <v>NA</v>
          </cell>
          <cell r="Z783">
            <v>39.1</v>
          </cell>
          <cell r="AA783">
            <v>3.5</v>
          </cell>
        </row>
        <row r="784">
          <cell r="A784">
            <v>45139</v>
          </cell>
          <cell r="B784" t="str">
            <v>A1</v>
          </cell>
          <cell r="C784">
            <v>3</v>
          </cell>
          <cell r="D784">
            <v>3</v>
          </cell>
          <cell r="E784" t="str">
            <v>ARIS.A1.Aim3.Bin3.LB</v>
          </cell>
          <cell r="F784">
            <v>4</v>
          </cell>
          <cell r="G784" t="str">
            <v>Unweighted</v>
          </cell>
          <cell r="H784" t="str">
            <v>N</v>
          </cell>
          <cell r="I784" t="str">
            <v>N</v>
          </cell>
          <cell r="J784">
            <v>111</v>
          </cell>
          <cell r="K784">
            <v>0.99990000000000001</v>
          </cell>
          <cell r="L784">
            <v>7.7999999999999996E-3</v>
          </cell>
          <cell r="M784">
            <v>25.9</v>
          </cell>
          <cell r="N784">
            <v>0.6</v>
          </cell>
          <cell r="O784">
            <v>0.99209999999999998</v>
          </cell>
          <cell r="P784">
            <v>0.19839999999999999</v>
          </cell>
          <cell r="Q784">
            <v>0.5544</v>
          </cell>
          <cell r="R784" t="str">
            <v>NA</v>
          </cell>
          <cell r="S784">
            <v>0.23930000000000001</v>
          </cell>
          <cell r="T784">
            <v>58.9</v>
          </cell>
          <cell r="U784">
            <v>4.8</v>
          </cell>
          <cell r="V784">
            <v>77.2</v>
          </cell>
          <cell r="W784">
            <v>7.8</v>
          </cell>
          <cell r="X784" t="str">
            <v>NA</v>
          </cell>
          <cell r="Y784" t="str">
            <v>NA</v>
          </cell>
          <cell r="Z784">
            <v>39.1</v>
          </cell>
          <cell r="AA784">
            <v>3.5</v>
          </cell>
        </row>
        <row r="785">
          <cell r="A785">
            <v>45139</v>
          </cell>
          <cell r="B785" t="str">
            <v>A1</v>
          </cell>
          <cell r="C785">
            <v>4</v>
          </cell>
          <cell r="D785">
            <v>3</v>
          </cell>
          <cell r="E785" t="str">
            <v>ARIS.A1.Aim3.Bin4.LB</v>
          </cell>
          <cell r="F785">
            <v>4</v>
          </cell>
          <cell r="G785" t="str">
            <v>Unweighted</v>
          </cell>
          <cell r="H785" t="str">
            <v>N</v>
          </cell>
          <cell r="I785" t="str">
            <v>N</v>
          </cell>
          <cell r="J785">
            <v>111</v>
          </cell>
          <cell r="K785">
            <v>0.99990000000000001</v>
          </cell>
          <cell r="L785">
            <v>7.7999999999999996E-3</v>
          </cell>
          <cell r="M785">
            <v>25.9</v>
          </cell>
          <cell r="N785">
            <v>0.6</v>
          </cell>
          <cell r="O785">
            <v>0.99209999999999998</v>
          </cell>
          <cell r="P785">
            <v>0.19839999999999999</v>
          </cell>
          <cell r="Q785">
            <v>0.5544</v>
          </cell>
          <cell r="R785" t="str">
            <v>NA</v>
          </cell>
          <cell r="S785">
            <v>0.23930000000000001</v>
          </cell>
          <cell r="T785">
            <v>58.9</v>
          </cell>
          <cell r="U785">
            <v>4.8</v>
          </cell>
          <cell r="V785">
            <v>77.2</v>
          </cell>
          <cell r="W785">
            <v>7.8</v>
          </cell>
          <cell r="X785" t="str">
            <v>NA</v>
          </cell>
          <cell r="Y785" t="str">
            <v>NA</v>
          </cell>
          <cell r="Z785">
            <v>39.1</v>
          </cell>
          <cell r="AA785">
            <v>3.5</v>
          </cell>
        </row>
        <row r="786">
          <cell r="A786">
            <v>45139</v>
          </cell>
          <cell r="B786" t="str">
            <v>A2</v>
          </cell>
          <cell r="C786">
            <v>1</v>
          </cell>
          <cell r="D786">
            <v>1</v>
          </cell>
          <cell r="E786" t="str">
            <v>ARIS.A2.Aim1.Bin1.RB</v>
          </cell>
          <cell r="F786">
            <v>4</v>
          </cell>
          <cell r="G786" t="str">
            <v>Unweighted</v>
          </cell>
          <cell r="H786" t="str">
            <v>N</v>
          </cell>
          <cell r="I786" t="str">
            <v>N</v>
          </cell>
          <cell r="J786">
            <v>175</v>
          </cell>
          <cell r="K786">
            <v>1</v>
          </cell>
          <cell r="L786">
            <v>0.92830000000000001</v>
          </cell>
          <cell r="M786">
            <v>20.2</v>
          </cell>
          <cell r="N786">
            <v>5.7</v>
          </cell>
          <cell r="O786">
            <v>7.17E-2</v>
          </cell>
          <cell r="P786">
            <v>7.4999999999999997E-3</v>
          </cell>
          <cell r="Q786">
            <v>1.5900000000000001E-2</v>
          </cell>
          <cell r="R786" t="str">
            <v>NA</v>
          </cell>
          <cell r="S786">
            <v>4.8300000000000003E-2</v>
          </cell>
          <cell r="T786">
            <v>58.9</v>
          </cell>
          <cell r="U786">
            <v>4.8</v>
          </cell>
          <cell r="V786">
            <v>77.2</v>
          </cell>
          <cell r="W786">
            <v>7.8</v>
          </cell>
          <cell r="X786" t="str">
            <v>NA</v>
          </cell>
          <cell r="Y786" t="str">
            <v>NA</v>
          </cell>
          <cell r="Z786">
            <v>39.1</v>
          </cell>
          <cell r="AA786">
            <v>3.5</v>
          </cell>
        </row>
        <row r="787">
          <cell r="A787">
            <v>45139</v>
          </cell>
          <cell r="B787" t="str">
            <v>A2</v>
          </cell>
          <cell r="C787">
            <v>2</v>
          </cell>
          <cell r="D787">
            <v>1</v>
          </cell>
          <cell r="E787" t="str">
            <v>ARIS.A2.Aim1.Bin2.RB</v>
          </cell>
          <cell r="F787">
            <v>4</v>
          </cell>
          <cell r="G787" t="str">
            <v>Unweighted</v>
          </cell>
          <cell r="H787" t="str">
            <v>N</v>
          </cell>
          <cell r="I787" t="str">
            <v>N</v>
          </cell>
          <cell r="J787">
            <v>179</v>
          </cell>
          <cell r="K787">
            <v>1.0001</v>
          </cell>
          <cell r="L787">
            <v>0.74619999999999997</v>
          </cell>
          <cell r="M787">
            <v>25.4</v>
          </cell>
          <cell r="N787">
            <v>5.3</v>
          </cell>
          <cell r="O787">
            <v>0.25390000000000001</v>
          </cell>
          <cell r="P787">
            <v>3.7100000000000001E-2</v>
          </cell>
          <cell r="Q787">
            <v>7.8799999999999995E-2</v>
          </cell>
          <cell r="R787" t="str">
            <v>NA</v>
          </cell>
          <cell r="S787">
            <v>0.13800000000000001</v>
          </cell>
          <cell r="T787">
            <v>58.9</v>
          </cell>
          <cell r="U787">
            <v>4.8</v>
          </cell>
          <cell r="V787">
            <v>77.2</v>
          </cell>
          <cell r="W787">
            <v>7.8</v>
          </cell>
          <cell r="X787" t="str">
            <v>NA</v>
          </cell>
          <cell r="Y787" t="str">
            <v>NA</v>
          </cell>
          <cell r="Z787">
            <v>39.1</v>
          </cell>
          <cell r="AA787">
            <v>3.5</v>
          </cell>
        </row>
        <row r="788">
          <cell r="A788">
            <v>45139</v>
          </cell>
          <cell r="B788" t="str">
            <v>A2</v>
          </cell>
          <cell r="C788">
            <v>3</v>
          </cell>
          <cell r="D788">
            <v>1</v>
          </cell>
          <cell r="E788" t="str">
            <v>ARIS.A2.Aim1.Bin3.RB</v>
          </cell>
          <cell r="F788">
            <v>4</v>
          </cell>
          <cell r="G788" t="str">
            <v>Unweighted</v>
          </cell>
          <cell r="H788" t="str">
            <v>N</v>
          </cell>
          <cell r="I788" t="str">
            <v>N</v>
          </cell>
          <cell r="J788">
            <v>133</v>
          </cell>
          <cell r="K788">
            <v>1</v>
          </cell>
          <cell r="L788">
            <v>0.23619999999999999</v>
          </cell>
          <cell r="M788">
            <v>28.5</v>
          </cell>
          <cell r="N788">
            <v>4.3</v>
          </cell>
          <cell r="O788">
            <v>0.76380000000000003</v>
          </cell>
          <cell r="P788">
            <v>0.22339999999999999</v>
          </cell>
          <cell r="Q788">
            <v>0.19170000000000001</v>
          </cell>
          <cell r="R788" t="str">
            <v>NA</v>
          </cell>
          <cell r="S788">
            <v>0.34870000000000001</v>
          </cell>
          <cell r="T788">
            <v>58.9</v>
          </cell>
          <cell r="U788">
            <v>4.8</v>
          </cell>
          <cell r="V788">
            <v>77.2</v>
          </cell>
          <cell r="W788">
            <v>7.8</v>
          </cell>
          <cell r="X788" t="str">
            <v>NA</v>
          </cell>
          <cell r="Y788" t="str">
            <v>NA</v>
          </cell>
          <cell r="Z788">
            <v>39.1</v>
          </cell>
          <cell r="AA788">
            <v>3.5</v>
          </cell>
        </row>
        <row r="789">
          <cell r="A789">
            <v>45139</v>
          </cell>
          <cell r="B789" t="str">
            <v>A2</v>
          </cell>
          <cell r="C789">
            <v>4</v>
          </cell>
          <cell r="D789">
            <v>1</v>
          </cell>
          <cell r="E789" t="str">
            <v>ARIS.A2.Aim1.Bin4.RB</v>
          </cell>
          <cell r="F789">
            <v>4</v>
          </cell>
          <cell r="G789" t="str">
            <v>Unweighted</v>
          </cell>
          <cell r="H789" t="str">
            <v>N</v>
          </cell>
          <cell r="I789" t="str">
            <v>N</v>
          </cell>
          <cell r="J789">
            <v>133</v>
          </cell>
          <cell r="K789">
            <v>1</v>
          </cell>
          <cell r="L789">
            <v>0.23619999999999999</v>
          </cell>
          <cell r="M789">
            <v>28.5</v>
          </cell>
          <cell r="N789">
            <v>4.3</v>
          </cell>
          <cell r="O789">
            <v>0.76380000000000003</v>
          </cell>
          <cell r="P789">
            <v>0.22339999999999999</v>
          </cell>
          <cell r="Q789">
            <v>0.19170000000000001</v>
          </cell>
          <cell r="R789" t="str">
            <v>NA</v>
          </cell>
          <cell r="S789">
            <v>0.34870000000000001</v>
          </cell>
          <cell r="T789">
            <v>58.9</v>
          </cell>
          <cell r="U789">
            <v>4.8</v>
          </cell>
          <cell r="V789">
            <v>77.2</v>
          </cell>
          <cell r="W789">
            <v>7.8</v>
          </cell>
          <cell r="X789" t="str">
            <v>NA</v>
          </cell>
          <cell r="Y789" t="str">
            <v>NA</v>
          </cell>
          <cell r="Z789">
            <v>39.1</v>
          </cell>
          <cell r="AA789">
            <v>3.5</v>
          </cell>
        </row>
        <row r="790">
          <cell r="A790">
            <v>45140</v>
          </cell>
          <cell r="B790" t="str">
            <v>A1</v>
          </cell>
          <cell r="C790">
            <v>1</v>
          </cell>
          <cell r="D790">
            <v>1</v>
          </cell>
          <cell r="E790" t="str">
            <v>ARIS.A1.Aim1.Bin1.LB</v>
          </cell>
          <cell r="F790">
            <v>3</v>
          </cell>
          <cell r="G790" t="str">
            <v>SplineDFA</v>
          </cell>
          <cell r="H790" t="str">
            <v>Y</v>
          </cell>
          <cell r="I790" t="str">
            <v>N</v>
          </cell>
          <cell r="J790">
            <v>141</v>
          </cell>
          <cell r="K790">
            <v>1</v>
          </cell>
          <cell r="L790">
            <v>0.94369999999999998</v>
          </cell>
          <cell r="M790">
            <v>23.7</v>
          </cell>
          <cell r="N790">
            <v>2.7</v>
          </cell>
          <cell r="O790">
            <v>5.6300000000000003E-2</v>
          </cell>
          <cell r="P790">
            <v>5.6300000000000003E-2</v>
          </cell>
          <cell r="Q790">
            <v>0</v>
          </cell>
          <cell r="R790" t="str">
            <v>NA</v>
          </cell>
          <cell r="S790" t="str">
            <v>NA</v>
          </cell>
          <cell r="T790">
            <v>58.9</v>
          </cell>
          <cell r="U790">
            <v>4.8</v>
          </cell>
          <cell r="V790">
            <v>77.2</v>
          </cell>
          <cell r="W790">
            <v>7.8</v>
          </cell>
          <cell r="X790" t="str">
            <v>NA</v>
          </cell>
          <cell r="Y790" t="str">
            <v>NA</v>
          </cell>
          <cell r="Z790" t="str">
            <v>NA</v>
          </cell>
          <cell r="AA790" t="str">
            <v>NA</v>
          </cell>
        </row>
        <row r="791">
          <cell r="A791">
            <v>45140</v>
          </cell>
          <cell r="B791" t="str">
            <v>A1</v>
          </cell>
          <cell r="C791">
            <v>1</v>
          </cell>
          <cell r="D791">
            <v>2</v>
          </cell>
          <cell r="E791" t="str">
            <v>ARIS.A1.Aim2.Bin1.LB</v>
          </cell>
          <cell r="F791">
            <v>3</v>
          </cell>
          <cell r="G791" t="str">
            <v>SplineDFA</v>
          </cell>
          <cell r="H791" t="str">
            <v>Y</v>
          </cell>
          <cell r="I791" t="str">
            <v>N</v>
          </cell>
          <cell r="J791">
            <v>163</v>
          </cell>
          <cell r="K791">
            <v>1</v>
          </cell>
          <cell r="L791">
            <v>0.93210000000000004</v>
          </cell>
          <cell r="M791">
            <v>23.7</v>
          </cell>
          <cell r="N791">
            <v>2.7</v>
          </cell>
          <cell r="O791">
            <v>6.7900000000000002E-2</v>
          </cell>
          <cell r="P791">
            <v>6.7900000000000002E-2</v>
          </cell>
          <cell r="Q791">
            <v>0</v>
          </cell>
          <cell r="R791" t="str">
            <v>NA</v>
          </cell>
          <cell r="S791" t="str">
            <v>NA</v>
          </cell>
          <cell r="T791">
            <v>58.9</v>
          </cell>
          <cell r="U791">
            <v>4.8</v>
          </cell>
          <cell r="V791">
            <v>77.2</v>
          </cell>
          <cell r="W791">
            <v>7.8</v>
          </cell>
          <cell r="X791" t="str">
            <v>NA</v>
          </cell>
          <cell r="Y791" t="str">
            <v>NA</v>
          </cell>
          <cell r="Z791" t="str">
            <v>NA</v>
          </cell>
          <cell r="AA791" t="str">
            <v>NA</v>
          </cell>
        </row>
        <row r="792">
          <cell r="A792">
            <v>45140</v>
          </cell>
          <cell r="B792" t="str">
            <v>A1</v>
          </cell>
          <cell r="C792">
            <v>2</v>
          </cell>
          <cell r="D792">
            <v>3</v>
          </cell>
          <cell r="E792" t="str">
            <v>ARIS.A1.Aim3.Bin2.LB</v>
          </cell>
          <cell r="F792">
            <v>3</v>
          </cell>
          <cell r="G792" t="str">
            <v>SplineDFA</v>
          </cell>
          <cell r="H792" t="str">
            <v>Y</v>
          </cell>
          <cell r="I792" t="str">
            <v>N</v>
          </cell>
          <cell r="J792">
            <v>113</v>
          </cell>
          <cell r="K792">
            <v>1</v>
          </cell>
          <cell r="L792">
            <v>0.57930000000000004</v>
          </cell>
          <cell r="M792">
            <v>23.7</v>
          </cell>
          <cell r="N792">
            <v>2.7</v>
          </cell>
          <cell r="O792">
            <v>0.42070000000000002</v>
          </cell>
          <cell r="P792">
            <v>0.2777</v>
          </cell>
          <cell r="Q792">
            <v>0.14299999999999999</v>
          </cell>
          <cell r="R792" t="str">
            <v>NA</v>
          </cell>
          <cell r="S792" t="str">
            <v>NA</v>
          </cell>
          <cell r="T792">
            <v>58.9</v>
          </cell>
          <cell r="U792">
            <v>4.8</v>
          </cell>
          <cell r="V792">
            <v>77.2</v>
          </cell>
          <cell r="W792">
            <v>7.8</v>
          </cell>
          <cell r="X792" t="str">
            <v>NA</v>
          </cell>
          <cell r="Y792" t="str">
            <v>NA</v>
          </cell>
          <cell r="Z792" t="str">
            <v>NA</v>
          </cell>
          <cell r="AA792" t="str">
            <v>NA</v>
          </cell>
        </row>
        <row r="793">
          <cell r="A793">
            <v>45140</v>
          </cell>
          <cell r="B793" t="str">
            <v>A1</v>
          </cell>
          <cell r="C793">
            <v>3</v>
          </cell>
          <cell r="D793">
            <v>3</v>
          </cell>
          <cell r="E793" t="str">
            <v>ARIS.A1.Aim3.Bin3.LB</v>
          </cell>
          <cell r="F793">
            <v>3</v>
          </cell>
          <cell r="G793" t="str">
            <v>SplineDFA</v>
          </cell>
          <cell r="H793" t="str">
            <v>Y</v>
          </cell>
          <cell r="I793" t="str">
            <v>N</v>
          </cell>
          <cell r="J793">
            <v>114</v>
          </cell>
          <cell r="K793">
            <v>0.99990000000000001</v>
          </cell>
          <cell r="L793">
            <v>0.17180000000000001</v>
          </cell>
          <cell r="M793">
            <v>23.7</v>
          </cell>
          <cell r="N793">
            <v>2.7</v>
          </cell>
          <cell r="O793">
            <v>0.82809999999999995</v>
          </cell>
          <cell r="P793">
            <v>0.54220000000000002</v>
          </cell>
          <cell r="Q793">
            <v>0.28589999999999999</v>
          </cell>
          <cell r="R793" t="str">
            <v>NA</v>
          </cell>
          <cell r="S793" t="str">
            <v>NA</v>
          </cell>
          <cell r="T793">
            <v>58.9</v>
          </cell>
          <cell r="U793">
            <v>4.8</v>
          </cell>
          <cell r="V793">
            <v>77.2</v>
          </cell>
          <cell r="W793">
            <v>7.8</v>
          </cell>
          <cell r="X793" t="str">
            <v>NA</v>
          </cell>
          <cell r="Y793" t="str">
            <v>NA</v>
          </cell>
          <cell r="Z793" t="str">
            <v>NA</v>
          </cell>
          <cell r="AA793" t="str">
            <v>NA</v>
          </cell>
        </row>
        <row r="794">
          <cell r="A794">
            <v>45140</v>
          </cell>
          <cell r="B794" t="str">
            <v>A1</v>
          </cell>
          <cell r="C794">
            <v>4</v>
          </cell>
          <cell r="D794">
            <v>3</v>
          </cell>
          <cell r="E794" t="str">
            <v>ARIS.A1.Aim3.Bin4.LB</v>
          </cell>
          <cell r="F794">
            <v>3</v>
          </cell>
          <cell r="G794" t="str">
            <v>SplineDFA</v>
          </cell>
          <cell r="H794" t="str">
            <v>Y</v>
          </cell>
          <cell r="I794" t="str">
            <v>N</v>
          </cell>
          <cell r="J794">
            <v>114</v>
          </cell>
          <cell r="K794">
            <v>0.99990000000000001</v>
          </cell>
          <cell r="L794">
            <v>0.17180000000000001</v>
          </cell>
          <cell r="M794">
            <v>23.7</v>
          </cell>
          <cell r="N794">
            <v>2.7</v>
          </cell>
          <cell r="O794">
            <v>0.82809999999999995</v>
          </cell>
          <cell r="P794">
            <v>0.54220000000000002</v>
          </cell>
          <cell r="Q794">
            <v>0.28589999999999999</v>
          </cell>
          <cell r="R794" t="str">
            <v>NA</v>
          </cell>
          <cell r="S794" t="str">
            <v>NA</v>
          </cell>
          <cell r="T794">
            <v>58.9</v>
          </cell>
          <cell r="U794">
            <v>4.8</v>
          </cell>
          <cell r="V794">
            <v>77.2</v>
          </cell>
          <cell r="W794">
            <v>7.8</v>
          </cell>
          <cell r="X794" t="str">
            <v>NA</v>
          </cell>
          <cell r="Y794" t="str">
            <v>NA</v>
          </cell>
          <cell r="Z794" t="str">
            <v>NA</v>
          </cell>
          <cell r="AA794" t="str">
            <v>NA</v>
          </cell>
        </row>
        <row r="795">
          <cell r="A795">
            <v>45140</v>
          </cell>
          <cell r="B795" t="str">
            <v>A1</v>
          </cell>
          <cell r="C795">
            <v>1</v>
          </cell>
          <cell r="D795">
            <v>1</v>
          </cell>
          <cell r="E795" t="str">
            <v>ARIS.A1.Aim1.Bin1.LB</v>
          </cell>
          <cell r="F795">
            <v>3</v>
          </cell>
          <cell r="G795" t="str">
            <v>Unweighted</v>
          </cell>
          <cell r="H795" t="str">
            <v>N</v>
          </cell>
          <cell r="I795" t="str">
            <v>Y</v>
          </cell>
          <cell r="J795">
            <v>141</v>
          </cell>
          <cell r="K795">
            <v>1</v>
          </cell>
          <cell r="L795">
            <v>0.9556</v>
          </cell>
          <cell r="M795">
            <v>17.2</v>
          </cell>
          <cell r="N795">
            <v>7</v>
          </cell>
          <cell r="O795">
            <v>4.4400000000000002E-2</v>
          </cell>
          <cell r="P795">
            <v>4.4400000000000002E-2</v>
          </cell>
          <cell r="Q795">
            <v>0</v>
          </cell>
          <cell r="R795" t="str">
            <v>NA</v>
          </cell>
          <cell r="S795" t="str">
            <v>NA</v>
          </cell>
          <cell r="T795">
            <v>58.9</v>
          </cell>
          <cell r="U795">
            <v>4.8</v>
          </cell>
          <cell r="V795">
            <v>77.2</v>
          </cell>
          <cell r="W795">
            <v>7.8</v>
          </cell>
          <cell r="X795" t="str">
            <v>NA</v>
          </cell>
          <cell r="Y795" t="str">
            <v>NA</v>
          </cell>
          <cell r="Z795" t="str">
            <v>NA</v>
          </cell>
          <cell r="AA795" t="str">
            <v>NA</v>
          </cell>
        </row>
        <row r="796">
          <cell r="A796">
            <v>45140</v>
          </cell>
          <cell r="B796" t="str">
            <v>A1</v>
          </cell>
          <cell r="C796">
            <v>1</v>
          </cell>
          <cell r="D796">
            <v>2</v>
          </cell>
          <cell r="E796" t="str">
            <v>ARIS.A1.Aim2.Bin1.LB</v>
          </cell>
          <cell r="F796">
            <v>3</v>
          </cell>
          <cell r="G796" t="str">
            <v>Unweighted</v>
          </cell>
          <cell r="H796" t="str">
            <v>N</v>
          </cell>
          <cell r="I796" t="str">
            <v>Y</v>
          </cell>
          <cell r="J796">
            <v>163</v>
          </cell>
          <cell r="K796">
            <v>1</v>
          </cell>
          <cell r="L796">
            <v>0.92959999999999998</v>
          </cell>
          <cell r="M796">
            <v>14.3</v>
          </cell>
          <cell r="N796">
            <v>6.1</v>
          </cell>
          <cell r="O796">
            <v>7.0400000000000004E-2</v>
          </cell>
          <cell r="P796">
            <v>7.0400000000000004E-2</v>
          </cell>
          <cell r="Q796">
            <v>0</v>
          </cell>
          <cell r="R796" t="str">
            <v>NA</v>
          </cell>
          <cell r="S796" t="str">
            <v>NA</v>
          </cell>
          <cell r="T796">
            <v>58.9</v>
          </cell>
          <cell r="U796">
            <v>4.8</v>
          </cell>
          <cell r="V796">
            <v>77.2</v>
          </cell>
          <cell r="W796">
            <v>7.8</v>
          </cell>
          <cell r="X796" t="str">
            <v>NA</v>
          </cell>
          <cell r="Y796" t="str">
            <v>NA</v>
          </cell>
          <cell r="Z796" t="str">
            <v>NA</v>
          </cell>
          <cell r="AA796" t="str">
            <v>NA</v>
          </cell>
        </row>
        <row r="797">
          <cell r="A797">
            <v>45140</v>
          </cell>
          <cell r="B797" t="str">
            <v>A1</v>
          </cell>
          <cell r="C797">
            <v>1</v>
          </cell>
          <cell r="D797" t="str">
            <v>1&amp;2</v>
          </cell>
          <cell r="E797" t="str">
            <v>ARIS.A1.Aim1&amp;Aim2.Bin1.LB</v>
          </cell>
          <cell r="F797">
            <v>3</v>
          </cell>
          <cell r="G797" t="str">
            <v>Unweighted</v>
          </cell>
          <cell r="H797" t="str">
            <v>N</v>
          </cell>
          <cell r="I797" t="str">
            <v>Y</v>
          </cell>
          <cell r="J797">
            <v>304</v>
          </cell>
          <cell r="K797">
            <v>1</v>
          </cell>
          <cell r="L797">
            <v>0.94120000000000004</v>
          </cell>
          <cell r="M797">
            <v>15.7</v>
          </cell>
          <cell r="N797">
            <v>6.7</v>
          </cell>
          <cell r="O797">
            <v>5.8799999999999998E-2</v>
          </cell>
          <cell r="P797">
            <v>5.8799999999999998E-2</v>
          </cell>
          <cell r="Q797">
            <v>0</v>
          </cell>
          <cell r="R797" t="str">
            <v>NA</v>
          </cell>
          <cell r="S797" t="str">
            <v>NA</v>
          </cell>
          <cell r="T797">
            <v>58.9</v>
          </cell>
          <cell r="U797">
            <v>4.8</v>
          </cell>
          <cell r="V797">
            <v>77.2</v>
          </cell>
          <cell r="W797">
            <v>7.8</v>
          </cell>
          <cell r="X797" t="str">
            <v>NA</v>
          </cell>
          <cell r="Y797" t="str">
            <v>NA</v>
          </cell>
          <cell r="Z797" t="str">
            <v>NA</v>
          </cell>
          <cell r="AA797" t="str">
            <v>NA</v>
          </cell>
        </row>
        <row r="798">
          <cell r="A798">
            <v>45140</v>
          </cell>
          <cell r="B798" t="str">
            <v>A1</v>
          </cell>
          <cell r="C798">
            <v>2</v>
          </cell>
          <cell r="D798">
            <v>3</v>
          </cell>
          <cell r="E798" t="str">
            <v>ARIS.A1.Aim3.Bin2.LB</v>
          </cell>
          <cell r="F798">
            <v>3</v>
          </cell>
          <cell r="G798" t="str">
            <v>Unweighted</v>
          </cell>
          <cell r="H798" t="str">
            <v>N</v>
          </cell>
          <cell r="I798" t="str">
            <v>Y</v>
          </cell>
          <cell r="J798">
            <v>113</v>
          </cell>
          <cell r="K798">
            <v>1</v>
          </cell>
          <cell r="L798">
            <v>0.67279999999999995</v>
          </cell>
          <cell r="M798">
            <v>29.4</v>
          </cell>
          <cell r="N798">
            <v>10</v>
          </cell>
          <cell r="O798">
            <v>0.32719999999999999</v>
          </cell>
          <cell r="P798">
            <v>0.1759</v>
          </cell>
          <cell r="Q798">
            <v>0.15129999999999999</v>
          </cell>
          <cell r="R798" t="str">
            <v>NA</v>
          </cell>
          <cell r="S798" t="str">
            <v>NA</v>
          </cell>
          <cell r="T798">
            <v>58.9</v>
          </cell>
          <cell r="U798">
            <v>4.8</v>
          </cell>
          <cell r="V798">
            <v>77.2</v>
          </cell>
          <cell r="W798">
            <v>7.8</v>
          </cell>
          <cell r="X798" t="str">
            <v>NA</v>
          </cell>
          <cell r="Y798" t="str">
            <v>NA</v>
          </cell>
          <cell r="Z798" t="str">
            <v>NA</v>
          </cell>
          <cell r="AA798" t="str">
            <v>NA</v>
          </cell>
        </row>
        <row r="799">
          <cell r="A799">
            <v>45140</v>
          </cell>
          <cell r="B799" t="str">
            <v>A1</v>
          </cell>
          <cell r="C799">
            <v>3</v>
          </cell>
          <cell r="D799">
            <v>3</v>
          </cell>
          <cell r="E799" t="str">
            <v>ARIS.A1.Aim3.Bin3.LB</v>
          </cell>
          <cell r="F799">
            <v>3</v>
          </cell>
          <cell r="G799" t="str">
            <v>Unweighted</v>
          </cell>
          <cell r="H799" t="str">
            <v>N</v>
          </cell>
          <cell r="I799" t="str">
            <v>Y</v>
          </cell>
          <cell r="J799">
            <v>114</v>
          </cell>
          <cell r="K799">
            <v>1</v>
          </cell>
          <cell r="L799">
            <v>0.41239999999999999</v>
          </cell>
          <cell r="M799">
            <v>23.7</v>
          </cell>
          <cell r="N799">
            <v>16.5</v>
          </cell>
          <cell r="O799">
            <v>0.58760000000000001</v>
          </cell>
          <cell r="P799">
            <v>0.29389999999999999</v>
          </cell>
          <cell r="Q799">
            <v>0.29370000000000002</v>
          </cell>
          <cell r="R799" t="str">
            <v>NA</v>
          </cell>
          <cell r="S799" t="str">
            <v>NA</v>
          </cell>
          <cell r="T799">
            <v>58.9</v>
          </cell>
          <cell r="U799">
            <v>4.8</v>
          </cell>
          <cell r="V799">
            <v>77.2</v>
          </cell>
          <cell r="W799">
            <v>7.8</v>
          </cell>
          <cell r="X799" t="str">
            <v>NA</v>
          </cell>
          <cell r="Y799" t="str">
            <v>NA</v>
          </cell>
          <cell r="Z799" t="str">
            <v>NA</v>
          </cell>
          <cell r="AA799" t="str">
            <v>NA</v>
          </cell>
        </row>
        <row r="800">
          <cell r="A800">
            <v>45140</v>
          </cell>
          <cell r="B800" t="str">
            <v>A1</v>
          </cell>
          <cell r="C800">
            <v>4</v>
          </cell>
          <cell r="D800">
            <v>3</v>
          </cell>
          <cell r="E800" t="str">
            <v>ARIS.A1.Aim3.Bin4.LB</v>
          </cell>
          <cell r="F800">
            <v>3</v>
          </cell>
          <cell r="G800" t="str">
            <v>Unweighted</v>
          </cell>
          <cell r="H800" t="str">
            <v>N</v>
          </cell>
          <cell r="I800" t="str">
            <v>Y</v>
          </cell>
          <cell r="J800">
            <v>114</v>
          </cell>
          <cell r="K800">
            <v>1</v>
          </cell>
          <cell r="L800">
            <v>0.41239999999999999</v>
          </cell>
          <cell r="M800">
            <v>23.7</v>
          </cell>
          <cell r="N800">
            <v>16.5</v>
          </cell>
          <cell r="O800">
            <v>0.58760000000000001</v>
          </cell>
          <cell r="P800">
            <v>0.29389999999999999</v>
          </cell>
          <cell r="Q800">
            <v>0.29370000000000002</v>
          </cell>
          <cell r="R800" t="str">
            <v>NA</v>
          </cell>
          <cell r="S800" t="str">
            <v>NA</v>
          </cell>
          <cell r="T800">
            <v>58.9</v>
          </cell>
          <cell r="U800">
            <v>4.8</v>
          </cell>
          <cell r="V800">
            <v>77.2</v>
          </cell>
          <cell r="W800">
            <v>7.8</v>
          </cell>
          <cell r="X800" t="str">
            <v>NA</v>
          </cell>
          <cell r="Y800" t="str">
            <v>NA</v>
          </cell>
          <cell r="Z800" t="str">
            <v>NA</v>
          </cell>
          <cell r="AA800" t="str">
            <v>NA</v>
          </cell>
        </row>
        <row r="801">
          <cell r="A801">
            <v>45140</v>
          </cell>
          <cell r="B801" t="str">
            <v>A2</v>
          </cell>
          <cell r="C801">
            <v>1</v>
          </cell>
          <cell r="D801">
            <v>1</v>
          </cell>
          <cell r="E801" t="str">
            <v>ARIS.A2.Aim1.Bin1.RB</v>
          </cell>
          <cell r="F801">
            <v>3</v>
          </cell>
          <cell r="G801" t="str">
            <v>Unweighted</v>
          </cell>
          <cell r="H801" t="str">
            <v>N</v>
          </cell>
          <cell r="I801" t="str">
            <v>Y</v>
          </cell>
          <cell r="J801">
            <v>175</v>
          </cell>
          <cell r="K801">
            <v>1</v>
          </cell>
          <cell r="L801">
            <v>0.97319999999999995</v>
          </cell>
          <cell r="M801">
            <v>21</v>
          </cell>
          <cell r="N801">
            <v>6.7</v>
          </cell>
          <cell r="O801">
            <v>2.6800000000000001E-2</v>
          </cell>
          <cell r="P801">
            <v>1.17E-2</v>
          </cell>
          <cell r="Q801">
            <v>1.5100000000000001E-2</v>
          </cell>
          <cell r="R801" t="str">
            <v>NA</v>
          </cell>
          <cell r="S801" t="str">
            <v>NA</v>
          </cell>
          <cell r="T801">
            <v>58.9</v>
          </cell>
          <cell r="U801">
            <v>4.8</v>
          </cell>
          <cell r="V801">
            <v>77.2</v>
          </cell>
          <cell r="W801">
            <v>7.8</v>
          </cell>
          <cell r="X801" t="str">
            <v>NA</v>
          </cell>
          <cell r="Y801" t="str">
            <v>NA</v>
          </cell>
          <cell r="Z801" t="str">
            <v>NA</v>
          </cell>
          <cell r="AA801" t="str">
            <v>NA</v>
          </cell>
        </row>
        <row r="802">
          <cell r="A802">
            <v>45140</v>
          </cell>
          <cell r="B802" t="str">
            <v>A2</v>
          </cell>
          <cell r="C802">
            <v>2</v>
          </cell>
          <cell r="D802">
            <v>1</v>
          </cell>
          <cell r="E802" t="str">
            <v>ARIS.A2.Aim1.Bin2.RB</v>
          </cell>
          <cell r="F802">
            <v>3</v>
          </cell>
          <cell r="G802" t="str">
            <v>Unweighted</v>
          </cell>
          <cell r="H802" t="str">
            <v>N</v>
          </cell>
          <cell r="I802" t="str">
            <v>Y</v>
          </cell>
          <cell r="J802">
            <v>179</v>
          </cell>
          <cell r="K802">
            <v>1</v>
          </cell>
          <cell r="L802">
            <v>0.88370000000000004</v>
          </cell>
          <cell r="M802">
            <v>23.7</v>
          </cell>
          <cell r="N802">
            <v>8.6</v>
          </cell>
          <cell r="O802">
            <v>0.1163</v>
          </cell>
          <cell r="P802">
            <v>3.78E-2</v>
          </cell>
          <cell r="Q802">
            <v>7.85E-2</v>
          </cell>
          <cell r="R802" t="str">
            <v>NA</v>
          </cell>
          <cell r="S802" t="str">
            <v>NA</v>
          </cell>
          <cell r="T802">
            <v>58.9</v>
          </cell>
          <cell r="U802">
            <v>4.8</v>
          </cell>
          <cell r="V802">
            <v>77.2</v>
          </cell>
          <cell r="W802">
            <v>7.8</v>
          </cell>
          <cell r="X802" t="str">
            <v>NA</v>
          </cell>
          <cell r="Y802" t="str">
            <v>NA</v>
          </cell>
          <cell r="Z802" t="str">
            <v>NA</v>
          </cell>
          <cell r="AA802" t="str">
            <v>NA</v>
          </cell>
        </row>
        <row r="803">
          <cell r="A803">
            <v>45140</v>
          </cell>
          <cell r="B803" t="str">
            <v>A2</v>
          </cell>
          <cell r="C803">
            <v>3</v>
          </cell>
          <cell r="D803">
            <v>1</v>
          </cell>
          <cell r="E803" t="str">
            <v>ARIS.A2.Aim1.Bin3.RB</v>
          </cell>
          <cell r="F803">
            <v>3</v>
          </cell>
          <cell r="G803" t="str">
            <v>Unweighted</v>
          </cell>
          <cell r="H803" t="str">
            <v>N</v>
          </cell>
          <cell r="I803" t="str">
            <v>Y</v>
          </cell>
          <cell r="J803">
            <v>133</v>
          </cell>
          <cell r="K803">
            <v>1</v>
          </cell>
          <cell r="L803">
            <v>0.62350000000000005</v>
          </cell>
          <cell r="M803">
            <v>23.7</v>
          </cell>
          <cell r="N803">
            <v>15.7</v>
          </cell>
          <cell r="O803">
            <v>0.3765</v>
          </cell>
          <cell r="P803">
            <v>0.1835</v>
          </cell>
          <cell r="Q803">
            <v>0.193</v>
          </cell>
          <cell r="R803" t="str">
            <v>NA</v>
          </cell>
          <cell r="S803" t="str">
            <v>NA</v>
          </cell>
          <cell r="T803">
            <v>58.9</v>
          </cell>
          <cell r="U803">
            <v>4.8</v>
          </cell>
          <cell r="V803">
            <v>77.2</v>
          </cell>
          <cell r="W803">
            <v>7.8</v>
          </cell>
          <cell r="X803" t="str">
            <v>NA</v>
          </cell>
          <cell r="Y803" t="str">
            <v>NA</v>
          </cell>
          <cell r="Z803" t="str">
            <v>NA</v>
          </cell>
          <cell r="AA803" t="str">
            <v>NA</v>
          </cell>
        </row>
        <row r="804">
          <cell r="A804">
            <v>45140</v>
          </cell>
          <cell r="B804" t="str">
            <v>A2</v>
          </cell>
          <cell r="C804">
            <v>4</v>
          </cell>
          <cell r="D804">
            <v>1</v>
          </cell>
          <cell r="E804" t="str">
            <v>ARIS.A2.Aim1.Bin4.RB</v>
          </cell>
          <cell r="F804">
            <v>3</v>
          </cell>
          <cell r="G804" t="str">
            <v>Unweighted</v>
          </cell>
          <cell r="H804" t="str">
            <v>N</v>
          </cell>
          <cell r="I804" t="str">
            <v>Y</v>
          </cell>
          <cell r="J804">
            <v>133</v>
          </cell>
          <cell r="K804">
            <v>1</v>
          </cell>
          <cell r="L804">
            <v>0.62350000000000005</v>
          </cell>
          <cell r="M804">
            <v>23.7</v>
          </cell>
          <cell r="N804">
            <v>15.7</v>
          </cell>
          <cell r="O804">
            <v>0.3765</v>
          </cell>
          <cell r="P804">
            <v>0.1835</v>
          </cell>
          <cell r="Q804">
            <v>0.193</v>
          </cell>
          <cell r="R804" t="str">
            <v>NA</v>
          </cell>
          <cell r="S804" t="str">
            <v>NA</v>
          </cell>
          <cell r="T804">
            <v>58.9</v>
          </cell>
          <cell r="U804">
            <v>4.8</v>
          </cell>
          <cell r="V804">
            <v>77.2</v>
          </cell>
          <cell r="W804">
            <v>7.8</v>
          </cell>
          <cell r="X804" t="str">
            <v>NA</v>
          </cell>
          <cell r="Y804" t="str">
            <v>NA</v>
          </cell>
          <cell r="Z804" t="str">
            <v>NA</v>
          </cell>
          <cell r="AA804" t="str">
            <v>NA</v>
          </cell>
        </row>
        <row r="805">
          <cell r="A805">
            <v>45140</v>
          </cell>
          <cell r="B805" t="str">
            <v>A2</v>
          </cell>
          <cell r="C805">
            <v>1</v>
          </cell>
          <cell r="D805">
            <v>1</v>
          </cell>
          <cell r="E805" t="str">
            <v>ARIS.A2.Aim1.Bin1.RB</v>
          </cell>
          <cell r="F805">
            <v>3</v>
          </cell>
          <cell r="G805" t="str">
            <v>SplineDFA</v>
          </cell>
          <cell r="H805" t="str">
            <v>Y</v>
          </cell>
          <cell r="I805" t="str">
            <v>N</v>
          </cell>
          <cell r="J805">
            <v>175</v>
          </cell>
          <cell r="K805">
            <v>1</v>
          </cell>
          <cell r="L805">
            <v>0.97660000000000002</v>
          </cell>
          <cell r="M805">
            <v>23.7</v>
          </cell>
          <cell r="N805">
            <v>2.7</v>
          </cell>
          <cell r="O805">
            <v>2.3400000000000001E-2</v>
          </cell>
          <cell r="P805">
            <v>1.7100000000000001E-2</v>
          </cell>
          <cell r="Q805">
            <v>6.3E-3</v>
          </cell>
          <cell r="R805" t="str">
            <v>NA</v>
          </cell>
          <cell r="S805" t="str">
            <v>NA</v>
          </cell>
          <cell r="T805">
            <v>58.9</v>
          </cell>
          <cell r="U805">
            <v>4.8</v>
          </cell>
          <cell r="V805">
            <v>77.2</v>
          </cell>
          <cell r="W805">
            <v>7.8</v>
          </cell>
          <cell r="X805" t="str">
            <v>NA</v>
          </cell>
          <cell r="Y805" t="str">
            <v>NA</v>
          </cell>
          <cell r="Z805" t="str">
            <v>NA</v>
          </cell>
          <cell r="AA805" t="str">
            <v>NA</v>
          </cell>
        </row>
        <row r="806">
          <cell r="A806">
            <v>45140</v>
          </cell>
          <cell r="B806" t="str">
            <v>A2</v>
          </cell>
          <cell r="C806">
            <v>2</v>
          </cell>
          <cell r="D806">
            <v>1</v>
          </cell>
          <cell r="E806" t="str">
            <v>ARIS.A2.Aim1.Bin2.RB</v>
          </cell>
          <cell r="F806">
            <v>3</v>
          </cell>
          <cell r="G806" t="str">
            <v>SplineDFA</v>
          </cell>
          <cell r="H806" t="str">
            <v>Y</v>
          </cell>
          <cell r="I806" t="str">
            <v>N</v>
          </cell>
          <cell r="J806">
            <v>179</v>
          </cell>
          <cell r="K806">
            <v>1</v>
          </cell>
          <cell r="L806">
            <v>0.78459999999999996</v>
          </cell>
          <cell r="M806">
            <v>23.7</v>
          </cell>
          <cell r="N806">
            <v>2.7</v>
          </cell>
          <cell r="O806">
            <v>0.21540000000000001</v>
          </cell>
          <cell r="P806">
            <v>0.14910000000000001</v>
          </cell>
          <cell r="Q806">
            <v>6.6299999999999998E-2</v>
          </cell>
          <cell r="R806" t="str">
            <v>NA</v>
          </cell>
          <cell r="S806" t="str">
            <v>NA</v>
          </cell>
          <cell r="T806">
            <v>58.9</v>
          </cell>
          <cell r="U806">
            <v>4.8</v>
          </cell>
          <cell r="V806">
            <v>77.2</v>
          </cell>
          <cell r="W806">
            <v>7.8</v>
          </cell>
          <cell r="X806" t="str">
            <v>NA</v>
          </cell>
          <cell r="Y806" t="str">
            <v>NA</v>
          </cell>
          <cell r="Z806" t="str">
            <v>NA</v>
          </cell>
          <cell r="AA806" t="str">
            <v>NA</v>
          </cell>
        </row>
        <row r="807">
          <cell r="A807">
            <v>45140</v>
          </cell>
          <cell r="B807" t="str">
            <v>A2</v>
          </cell>
          <cell r="C807">
            <v>3</v>
          </cell>
          <cell r="D807">
            <v>1</v>
          </cell>
          <cell r="E807" t="str">
            <v>ARIS.A2.Aim1.Bin3.RB</v>
          </cell>
          <cell r="F807">
            <v>3</v>
          </cell>
          <cell r="G807" t="str">
            <v>SplineDFA</v>
          </cell>
          <cell r="H807" t="str">
            <v>Y</v>
          </cell>
          <cell r="I807" t="str">
            <v>N</v>
          </cell>
          <cell r="J807">
            <v>133</v>
          </cell>
          <cell r="K807">
            <v>1</v>
          </cell>
          <cell r="L807">
            <v>0.29980000000000001</v>
          </cell>
          <cell r="M807">
            <v>23.7</v>
          </cell>
          <cell r="N807">
            <v>2.7</v>
          </cell>
          <cell r="O807">
            <v>0.70020000000000004</v>
          </cell>
          <cell r="P807">
            <v>0.51529999999999998</v>
          </cell>
          <cell r="Q807">
            <v>0.18490000000000001</v>
          </cell>
          <cell r="R807" t="str">
            <v>NA</v>
          </cell>
          <cell r="S807" t="str">
            <v>NA</v>
          </cell>
          <cell r="T807">
            <v>58.9</v>
          </cell>
          <cell r="U807">
            <v>4.8</v>
          </cell>
          <cell r="V807">
            <v>77.2</v>
          </cell>
          <cell r="W807">
            <v>7.8</v>
          </cell>
          <cell r="X807" t="str">
            <v>NA</v>
          </cell>
          <cell r="Y807" t="str">
            <v>NA</v>
          </cell>
          <cell r="Z807" t="str">
            <v>NA</v>
          </cell>
          <cell r="AA807" t="str">
            <v>NA</v>
          </cell>
        </row>
        <row r="808">
          <cell r="A808">
            <v>45140</v>
          </cell>
          <cell r="B808" t="str">
            <v>A2</v>
          </cell>
          <cell r="C808">
            <v>4</v>
          </cell>
          <cell r="D808">
            <v>1</v>
          </cell>
          <cell r="E808" t="str">
            <v>ARIS.A2.Aim1.Bin4.RB</v>
          </cell>
          <cell r="F808">
            <v>3</v>
          </cell>
          <cell r="G808" t="str">
            <v>SplineDFA</v>
          </cell>
          <cell r="H808" t="str">
            <v>Y</v>
          </cell>
          <cell r="I808" t="str">
            <v>N</v>
          </cell>
          <cell r="J808">
            <v>133</v>
          </cell>
          <cell r="K808">
            <v>1</v>
          </cell>
          <cell r="L808">
            <v>0.29980000000000001</v>
          </cell>
          <cell r="M808">
            <v>23.7</v>
          </cell>
          <cell r="N808">
            <v>2.7</v>
          </cell>
          <cell r="O808">
            <v>0.70020000000000004</v>
          </cell>
          <cell r="P808">
            <v>0.51529999999999998</v>
          </cell>
          <cell r="Q808">
            <v>0.18490000000000001</v>
          </cell>
          <cell r="R808" t="str">
            <v>NA</v>
          </cell>
          <cell r="S808" t="str">
            <v>NA</v>
          </cell>
          <cell r="T808">
            <v>58.9</v>
          </cell>
          <cell r="U808">
            <v>4.8</v>
          </cell>
          <cell r="V808">
            <v>77.2</v>
          </cell>
          <cell r="W808">
            <v>7.8</v>
          </cell>
          <cell r="X808" t="str">
            <v>NA</v>
          </cell>
          <cell r="Y808" t="str">
            <v>NA</v>
          </cell>
          <cell r="Z808" t="str">
            <v>NA</v>
          </cell>
          <cell r="AA808" t="str">
            <v>NA</v>
          </cell>
        </row>
        <row r="809">
          <cell r="A809">
            <v>45140</v>
          </cell>
          <cell r="B809" t="str">
            <v>A1</v>
          </cell>
          <cell r="C809">
            <v>1</v>
          </cell>
          <cell r="D809">
            <v>1</v>
          </cell>
          <cell r="E809" t="str">
            <v>ARIS.A1.Aim1.Bin1.LB</v>
          </cell>
          <cell r="F809">
            <v>4</v>
          </cell>
          <cell r="G809" t="str">
            <v>Unweighted</v>
          </cell>
          <cell r="H809" t="str">
            <v>N</v>
          </cell>
          <cell r="I809" t="str">
            <v>N</v>
          </cell>
          <cell r="J809">
            <v>141</v>
          </cell>
          <cell r="K809">
            <v>0.99990000000000001</v>
          </cell>
          <cell r="L809">
            <v>0.91200000000000003</v>
          </cell>
          <cell r="M809">
            <v>16.600000000000001</v>
          </cell>
          <cell r="N809">
            <v>6.2</v>
          </cell>
          <cell r="O809">
            <v>8.7900000000000006E-2</v>
          </cell>
          <cell r="P809">
            <v>1.6299999999999999E-2</v>
          </cell>
          <cell r="Q809">
            <v>0</v>
          </cell>
          <cell r="R809" t="str">
            <v>NA</v>
          </cell>
          <cell r="S809">
            <v>7.1599999999999997E-2</v>
          </cell>
          <cell r="T809">
            <v>58.9</v>
          </cell>
          <cell r="U809">
            <v>4.8</v>
          </cell>
          <cell r="V809">
            <v>77.2</v>
          </cell>
          <cell r="W809">
            <v>7.8</v>
          </cell>
          <cell r="X809" t="str">
            <v>NA</v>
          </cell>
          <cell r="Y809" t="str">
            <v>NA</v>
          </cell>
          <cell r="Z809">
            <v>39.1</v>
          </cell>
          <cell r="AA809">
            <v>3.5</v>
          </cell>
        </row>
        <row r="810">
          <cell r="A810">
            <v>45140</v>
          </cell>
          <cell r="B810" t="str">
            <v>A1</v>
          </cell>
          <cell r="C810">
            <v>1</v>
          </cell>
          <cell r="D810">
            <v>2</v>
          </cell>
          <cell r="E810" t="str">
            <v>ARIS.A1.Aim2.Bin1.LB</v>
          </cell>
          <cell r="F810">
            <v>4</v>
          </cell>
          <cell r="G810" t="str">
            <v>Unweighted</v>
          </cell>
          <cell r="H810" t="str">
            <v>N</v>
          </cell>
          <cell r="I810" t="str">
            <v>N</v>
          </cell>
          <cell r="J810">
            <v>163</v>
          </cell>
          <cell r="K810">
            <v>1</v>
          </cell>
          <cell r="L810">
            <v>0.90410000000000001</v>
          </cell>
          <cell r="M810">
            <v>13.9</v>
          </cell>
          <cell r="N810">
            <v>5.0999999999999996</v>
          </cell>
          <cell r="O810">
            <v>9.5899999999999999E-2</v>
          </cell>
          <cell r="P810">
            <v>5.3800000000000001E-2</v>
          </cell>
          <cell r="Q810">
            <v>0</v>
          </cell>
          <cell r="R810" t="str">
            <v>NA</v>
          </cell>
          <cell r="S810">
            <v>4.2099999999999999E-2</v>
          </cell>
          <cell r="T810">
            <v>58.9</v>
          </cell>
          <cell r="U810">
            <v>4.8</v>
          </cell>
          <cell r="V810">
            <v>77.2</v>
          </cell>
          <cell r="W810">
            <v>7.8</v>
          </cell>
          <cell r="X810" t="str">
            <v>NA</v>
          </cell>
          <cell r="Y810" t="str">
            <v>NA</v>
          </cell>
          <cell r="Z810">
            <v>39.1</v>
          </cell>
          <cell r="AA810">
            <v>3.5</v>
          </cell>
        </row>
        <row r="811">
          <cell r="A811">
            <v>45140</v>
          </cell>
          <cell r="B811" t="str">
            <v>A1</v>
          </cell>
          <cell r="C811">
            <v>1</v>
          </cell>
          <cell r="D811" t="str">
            <v>1&amp;2</v>
          </cell>
          <cell r="E811" t="str">
            <v>ARIS.A1.Aim1&amp;Aim2.Bin1.LB</v>
          </cell>
          <cell r="F811">
            <v>4</v>
          </cell>
          <cell r="G811" t="str">
            <v>Unweighted</v>
          </cell>
          <cell r="H811" t="str">
            <v>N</v>
          </cell>
          <cell r="I811" t="str">
            <v>N</v>
          </cell>
          <cell r="J811">
            <v>304</v>
          </cell>
          <cell r="K811">
            <v>1</v>
          </cell>
          <cell r="L811">
            <v>0.90690000000000004</v>
          </cell>
          <cell r="M811">
            <v>15.1</v>
          </cell>
          <cell r="N811">
            <v>5.8</v>
          </cell>
          <cell r="O811">
            <v>9.3100000000000002E-2</v>
          </cell>
          <cell r="P811">
            <v>3.6499999999999998E-2</v>
          </cell>
          <cell r="Q811">
            <v>0</v>
          </cell>
          <cell r="R811" t="str">
            <v>NA</v>
          </cell>
          <cell r="S811">
            <v>5.6599999999999998E-2</v>
          </cell>
          <cell r="T811">
            <v>58.9</v>
          </cell>
          <cell r="U811">
            <v>4.8</v>
          </cell>
          <cell r="V811">
            <v>77.2</v>
          </cell>
          <cell r="W811">
            <v>7.8</v>
          </cell>
          <cell r="X811" t="str">
            <v>NA</v>
          </cell>
          <cell r="Y811" t="str">
            <v>NA</v>
          </cell>
          <cell r="Z811">
            <v>39.1</v>
          </cell>
          <cell r="AA811">
            <v>3.5</v>
          </cell>
        </row>
        <row r="812">
          <cell r="A812">
            <v>45140</v>
          </cell>
          <cell r="B812" t="str">
            <v>A1</v>
          </cell>
          <cell r="C812">
            <v>2</v>
          </cell>
          <cell r="D812">
            <v>3</v>
          </cell>
          <cell r="E812" t="str">
            <v>ARIS.A1.Aim3.Bin2.LB</v>
          </cell>
          <cell r="F812">
            <v>4</v>
          </cell>
          <cell r="G812" t="str">
            <v>Unweighted</v>
          </cell>
          <cell r="H812" t="str">
            <v>N</v>
          </cell>
          <cell r="I812" t="str">
            <v>N</v>
          </cell>
          <cell r="J812">
            <v>113</v>
          </cell>
          <cell r="K812">
            <v>1.0001</v>
          </cell>
          <cell r="L812">
            <v>0.48170000000000002</v>
          </cell>
          <cell r="M812">
            <v>24.3</v>
          </cell>
          <cell r="N812">
            <v>5.3</v>
          </cell>
          <cell r="O812">
            <v>0.51839999999999997</v>
          </cell>
          <cell r="P812">
            <v>0.2213</v>
          </cell>
          <cell r="Q812">
            <v>0.14460000000000001</v>
          </cell>
          <cell r="R812" t="str">
            <v>NA</v>
          </cell>
          <cell r="S812">
            <v>0.1525</v>
          </cell>
          <cell r="T812">
            <v>58.9</v>
          </cell>
          <cell r="U812">
            <v>4.8</v>
          </cell>
          <cell r="V812">
            <v>77.2</v>
          </cell>
          <cell r="W812">
            <v>7.8</v>
          </cell>
          <cell r="X812" t="str">
            <v>NA</v>
          </cell>
          <cell r="Y812" t="str">
            <v>NA</v>
          </cell>
          <cell r="Z812">
            <v>39.1</v>
          </cell>
          <cell r="AA812">
            <v>3.5</v>
          </cell>
        </row>
        <row r="813">
          <cell r="A813">
            <v>45140</v>
          </cell>
          <cell r="B813" t="str">
            <v>A1</v>
          </cell>
          <cell r="C813">
            <v>3</v>
          </cell>
          <cell r="D813">
            <v>3</v>
          </cell>
          <cell r="E813" t="str">
            <v>ARIS.A1.Aim3.Bin3.LB</v>
          </cell>
          <cell r="F813">
            <v>4</v>
          </cell>
          <cell r="G813" t="str">
            <v>Unweighted</v>
          </cell>
          <cell r="H813" t="str">
            <v>N</v>
          </cell>
          <cell r="I813" t="str">
            <v>N</v>
          </cell>
          <cell r="J813">
            <v>114</v>
          </cell>
          <cell r="K813">
            <v>1</v>
          </cell>
          <cell r="L813">
            <v>0.35880000000000001</v>
          </cell>
          <cell r="M813">
            <v>39.1</v>
          </cell>
          <cell r="N813">
            <v>11.5</v>
          </cell>
          <cell r="O813">
            <v>0.64119999999999999</v>
          </cell>
          <cell r="P813">
            <v>0.26840000000000003</v>
          </cell>
          <cell r="Q813">
            <v>0.3034</v>
          </cell>
          <cell r="R813" t="str">
            <v>NA</v>
          </cell>
          <cell r="S813">
            <v>6.9400000000000003E-2</v>
          </cell>
          <cell r="T813">
            <v>58.9</v>
          </cell>
          <cell r="U813">
            <v>4.8</v>
          </cell>
          <cell r="V813">
            <v>77.2</v>
          </cell>
          <cell r="W813">
            <v>7.8</v>
          </cell>
          <cell r="X813" t="str">
            <v>NA</v>
          </cell>
          <cell r="Y813" t="str">
            <v>NA</v>
          </cell>
          <cell r="Z813">
            <v>39.1</v>
          </cell>
          <cell r="AA813">
            <v>3.5</v>
          </cell>
        </row>
        <row r="814">
          <cell r="A814">
            <v>45140</v>
          </cell>
          <cell r="B814" t="str">
            <v>A1</v>
          </cell>
          <cell r="C814">
            <v>4</v>
          </cell>
          <cell r="D814">
            <v>3</v>
          </cell>
          <cell r="E814" t="str">
            <v>ARIS.A1.Aim3.Bin4.LB</v>
          </cell>
          <cell r="F814">
            <v>4</v>
          </cell>
          <cell r="G814" t="str">
            <v>Unweighted</v>
          </cell>
          <cell r="H814" t="str">
            <v>N</v>
          </cell>
          <cell r="I814" t="str">
            <v>N</v>
          </cell>
          <cell r="J814">
            <v>114</v>
          </cell>
          <cell r="K814">
            <v>1</v>
          </cell>
          <cell r="L814">
            <v>0.35880000000000001</v>
          </cell>
          <cell r="M814">
            <v>39.1</v>
          </cell>
          <cell r="N814">
            <v>11.5</v>
          </cell>
          <cell r="O814">
            <v>0.64119999999999999</v>
          </cell>
          <cell r="P814">
            <v>0.26840000000000003</v>
          </cell>
          <cell r="Q814">
            <v>0.3034</v>
          </cell>
          <cell r="R814" t="str">
            <v>NA</v>
          </cell>
          <cell r="S814">
            <v>6.9400000000000003E-2</v>
          </cell>
          <cell r="T814">
            <v>58.9</v>
          </cell>
          <cell r="U814">
            <v>4.8</v>
          </cell>
          <cell r="V814">
            <v>77.2</v>
          </cell>
          <cell r="W814">
            <v>7.8</v>
          </cell>
          <cell r="X814" t="str">
            <v>NA</v>
          </cell>
          <cell r="Y814" t="str">
            <v>NA</v>
          </cell>
          <cell r="Z814">
            <v>39.1</v>
          </cell>
          <cell r="AA814">
            <v>3.5</v>
          </cell>
        </row>
        <row r="815">
          <cell r="A815">
            <v>45140</v>
          </cell>
          <cell r="B815" t="str">
            <v>A2</v>
          </cell>
          <cell r="C815">
            <v>1</v>
          </cell>
          <cell r="D815">
            <v>1</v>
          </cell>
          <cell r="E815" t="str">
            <v>ARIS.A2.Aim1.Bin1.RB</v>
          </cell>
          <cell r="F815">
            <v>4</v>
          </cell>
          <cell r="G815" t="str">
            <v>Unweighted</v>
          </cell>
          <cell r="H815" t="str">
            <v>N</v>
          </cell>
          <cell r="I815" t="str">
            <v>N</v>
          </cell>
          <cell r="J815">
            <v>175</v>
          </cell>
          <cell r="K815">
            <v>1</v>
          </cell>
          <cell r="L815">
            <v>0.92830000000000001</v>
          </cell>
          <cell r="M815">
            <v>20.2</v>
          </cell>
          <cell r="N815">
            <v>5.7</v>
          </cell>
          <cell r="O815">
            <v>7.17E-2</v>
          </cell>
          <cell r="P815">
            <v>7.4999999999999997E-3</v>
          </cell>
          <cell r="Q815">
            <v>1.5900000000000001E-2</v>
          </cell>
          <cell r="R815" t="str">
            <v>NA</v>
          </cell>
          <cell r="S815">
            <v>4.8300000000000003E-2</v>
          </cell>
          <cell r="T815">
            <v>58.9</v>
          </cell>
          <cell r="U815">
            <v>4.8</v>
          </cell>
          <cell r="V815">
            <v>77.2</v>
          </cell>
          <cell r="W815">
            <v>7.8</v>
          </cell>
          <cell r="X815" t="str">
            <v>NA</v>
          </cell>
          <cell r="Y815" t="str">
            <v>NA</v>
          </cell>
          <cell r="Z815">
            <v>39.1</v>
          </cell>
          <cell r="AA815">
            <v>3.5</v>
          </cell>
        </row>
        <row r="816">
          <cell r="A816">
            <v>45140</v>
          </cell>
          <cell r="B816" t="str">
            <v>A2</v>
          </cell>
          <cell r="C816">
            <v>2</v>
          </cell>
          <cell r="D816">
            <v>1</v>
          </cell>
          <cell r="E816" t="str">
            <v>ARIS.A2.Aim1.Bin2.RB</v>
          </cell>
          <cell r="F816">
            <v>4</v>
          </cell>
          <cell r="G816" t="str">
            <v>Unweighted</v>
          </cell>
          <cell r="H816" t="str">
            <v>N</v>
          </cell>
          <cell r="I816" t="str">
            <v>N</v>
          </cell>
          <cell r="J816">
            <v>179</v>
          </cell>
          <cell r="K816">
            <v>1.0001</v>
          </cell>
          <cell r="L816">
            <v>0.74619999999999997</v>
          </cell>
          <cell r="M816">
            <v>25.4</v>
          </cell>
          <cell r="N816">
            <v>5.3</v>
          </cell>
          <cell r="O816">
            <v>0.25390000000000001</v>
          </cell>
          <cell r="P816">
            <v>3.7100000000000001E-2</v>
          </cell>
          <cell r="Q816">
            <v>7.8799999999999995E-2</v>
          </cell>
          <cell r="R816" t="str">
            <v>NA</v>
          </cell>
          <cell r="S816">
            <v>0.13800000000000001</v>
          </cell>
          <cell r="T816">
            <v>58.9</v>
          </cell>
          <cell r="U816">
            <v>4.8</v>
          </cell>
          <cell r="V816">
            <v>77.2</v>
          </cell>
          <cell r="W816">
            <v>7.8</v>
          </cell>
          <cell r="X816" t="str">
            <v>NA</v>
          </cell>
          <cell r="Y816" t="str">
            <v>NA</v>
          </cell>
          <cell r="Z816">
            <v>39.1</v>
          </cell>
          <cell r="AA816">
            <v>3.5</v>
          </cell>
        </row>
        <row r="817">
          <cell r="A817">
            <v>45140</v>
          </cell>
          <cell r="B817" t="str">
            <v>A2</v>
          </cell>
          <cell r="C817">
            <v>3</v>
          </cell>
          <cell r="D817">
            <v>1</v>
          </cell>
          <cell r="E817" t="str">
            <v>ARIS.A2.Aim1.Bin3.RB</v>
          </cell>
          <cell r="F817">
            <v>4</v>
          </cell>
          <cell r="G817" t="str">
            <v>Unweighted</v>
          </cell>
          <cell r="H817" t="str">
            <v>N</v>
          </cell>
          <cell r="I817" t="str">
            <v>N</v>
          </cell>
          <cell r="J817">
            <v>133</v>
          </cell>
          <cell r="K817">
            <v>1</v>
          </cell>
          <cell r="L817">
            <v>0.23619999999999999</v>
          </cell>
          <cell r="M817">
            <v>28.5</v>
          </cell>
          <cell r="N817">
            <v>4.3</v>
          </cell>
          <cell r="O817">
            <v>0.76380000000000003</v>
          </cell>
          <cell r="P817">
            <v>0.22339999999999999</v>
          </cell>
          <cell r="Q817">
            <v>0.19170000000000001</v>
          </cell>
          <cell r="R817" t="str">
            <v>NA</v>
          </cell>
          <cell r="S817">
            <v>0.34870000000000001</v>
          </cell>
          <cell r="T817">
            <v>58.9</v>
          </cell>
          <cell r="U817">
            <v>4.8</v>
          </cell>
          <cell r="V817">
            <v>77.2</v>
          </cell>
          <cell r="W817">
            <v>7.8</v>
          </cell>
          <cell r="X817" t="str">
            <v>NA</v>
          </cell>
          <cell r="Y817" t="str">
            <v>NA</v>
          </cell>
          <cell r="Z817">
            <v>39.1</v>
          </cell>
          <cell r="AA817">
            <v>3.5</v>
          </cell>
        </row>
        <row r="818">
          <cell r="A818">
            <v>45140</v>
          </cell>
          <cell r="B818" t="str">
            <v>A2</v>
          </cell>
          <cell r="C818">
            <v>4</v>
          </cell>
          <cell r="D818">
            <v>1</v>
          </cell>
          <cell r="E818" t="str">
            <v>ARIS.A2.Aim1.Bin4.RB</v>
          </cell>
          <cell r="F818">
            <v>4</v>
          </cell>
          <cell r="G818" t="str">
            <v>Unweighted</v>
          </cell>
          <cell r="H818" t="str">
            <v>N</v>
          </cell>
          <cell r="I818" t="str">
            <v>N</v>
          </cell>
          <cell r="J818">
            <v>133</v>
          </cell>
          <cell r="K818">
            <v>1</v>
          </cell>
          <cell r="L818">
            <v>0.23619999999999999</v>
          </cell>
          <cell r="M818">
            <v>28.5</v>
          </cell>
          <cell r="N818">
            <v>4.3</v>
          </cell>
          <cell r="O818">
            <v>0.76380000000000003</v>
          </cell>
          <cell r="P818">
            <v>0.22339999999999999</v>
          </cell>
          <cell r="Q818">
            <v>0.19170000000000001</v>
          </cell>
          <cell r="R818" t="str">
            <v>NA</v>
          </cell>
          <cell r="S818">
            <v>0.34870000000000001</v>
          </cell>
          <cell r="T818">
            <v>58.9</v>
          </cell>
          <cell r="U818">
            <v>4.8</v>
          </cell>
          <cell r="V818">
            <v>77.2</v>
          </cell>
          <cell r="W818">
            <v>7.8</v>
          </cell>
          <cell r="X818" t="str">
            <v>NA</v>
          </cell>
          <cell r="Y818" t="str">
            <v>NA</v>
          </cell>
          <cell r="Z818">
            <v>39.1</v>
          </cell>
          <cell r="AA818">
            <v>3.5</v>
          </cell>
        </row>
        <row r="819">
          <cell r="A819">
            <v>45141</v>
          </cell>
          <cell r="B819" t="str">
            <v>A1</v>
          </cell>
          <cell r="C819">
            <v>1</v>
          </cell>
          <cell r="D819">
            <v>1</v>
          </cell>
          <cell r="E819" t="str">
            <v>ARIS.A1.Aim1.Bin1.LB</v>
          </cell>
          <cell r="F819">
            <v>3</v>
          </cell>
          <cell r="G819" t="str">
            <v>SplineDFA</v>
          </cell>
          <cell r="H819" t="str">
            <v>Y</v>
          </cell>
          <cell r="I819" t="str">
            <v>N</v>
          </cell>
          <cell r="J819">
            <v>152</v>
          </cell>
          <cell r="K819">
            <v>1</v>
          </cell>
          <cell r="L819">
            <v>0.92310000000000003</v>
          </cell>
          <cell r="M819">
            <v>23.7</v>
          </cell>
          <cell r="N819">
            <v>2.7</v>
          </cell>
          <cell r="O819">
            <v>7.6899999999999996E-2</v>
          </cell>
          <cell r="P819">
            <v>7.6899999999999996E-2</v>
          </cell>
          <cell r="Q819">
            <v>0</v>
          </cell>
          <cell r="R819" t="str">
            <v>NA</v>
          </cell>
          <cell r="S819" t="str">
            <v>NA</v>
          </cell>
          <cell r="T819">
            <v>58.9</v>
          </cell>
          <cell r="U819">
            <v>4.8</v>
          </cell>
          <cell r="V819">
            <v>77.2</v>
          </cell>
          <cell r="W819">
            <v>7.8</v>
          </cell>
          <cell r="X819" t="str">
            <v>NA</v>
          </cell>
          <cell r="Y819" t="str">
            <v>NA</v>
          </cell>
          <cell r="Z819" t="str">
            <v>NA</v>
          </cell>
          <cell r="AA819" t="str">
            <v>NA</v>
          </cell>
        </row>
        <row r="820">
          <cell r="A820">
            <v>45141</v>
          </cell>
          <cell r="B820" t="str">
            <v>A1</v>
          </cell>
          <cell r="C820">
            <v>1</v>
          </cell>
          <cell r="D820">
            <v>2</v>
          </cell>
          <cell r="E820" t="str">
            <v>ARIS.A1.Aim2.Bin1.LB</v>
          </cell>
          <cell r="F820">
            <v>3</v>
          </cell>
          <cell r="G820" t="str">
            <v>SplineDFA</v>
          </cell>
          <cell r="H820" t="str">
            <v>Y</v>
          </cell>
          <cell r="I820" t="str">
            <v>N</v>
          </cell>
          <cell r="J820">
            <v>154</v>
          </cell>
          <cell r="K820">
            <v>1</v>
          </cell>
          <cell r="L820">
            <v>0.9294</v>
          </cell>
          <cell r="M820">
            <v>23.7</v>
          </cell>
          <cell r="N820">
            <v>2.7</v>
          </cell>
          <cell r="O820">
            <v>7.0599999999999996E-2</v>
          </cell>
          <cell r="P820">
            <v>7.0599999999999996E-2</v>
          </cell>
          <cell r="Q820">
            <v>0</v>
          </cell>
          <cell r="R820" t="str">
            <v>NA</v>
          </cell>
          <cell r="S820" t="str">
            <v>NA</v>
          </cell>
          <cell r="T820">
            <v>58.9</v>
          </cell>
          <cell r="U820">
            <v>4.8</v>
          </cell>
          <cell r="V820">
            <v>77.2</v>
          </cell>
          <cell r="W820">
            <v>7.8</v>
          </cell>
          <cell r="X820" t="str">
            <v>NA</v>
          </cell>
          <cell r="Y820" t="str">
            <v>NA</v>
          </cell>
          <cell r="Z820" t="str">
            <v>NA</v>
          </cell>
          <cell r="AA820" t="str">
            <v>NA</v>
          </cell>
        </row>
        <row r="821">
          <cell r="A821">
            <v>45141</v>
          </cell>
          <cell r="B821" t="str">
            <v>A1</v>
          </cell>
          <cell r="C821">
            <v>2</v>
          </cell>
          <cell r="D821">
            <v>3</v>
          </cell>
          <cell r="E821" t="str">
            <v>ARIS.A1.Aim3.Bin2.LB</v>
          </cell>
          <cell r="F821">
            <v>3</v>
          </cell>
          <cell r="G821" t="str">
            <v>SplineDFA</v>
          </cell>
          <cell r="H821" t="str">
            <v>Y</v>
          </cell>
          <cell r="I821" t="str">
            <v>N</v>
          </cell>
          <cell r="J821">
            <v>148</v>
          </cell>
          <cell r="K821">
            <v>0.99990000000000001</v>
          </cell>
          <cell r="L821">
            <v>0.56869999999999998</v>
          </cell>
          <cell r="M821">
            <v>23.7</v>
          </cell>
          <cell r="N821">
            <v>2.7</v>
          </cell>
          <cell r="O821">
            <v>0.43120000000000003</v>
          </cell>
          <cell r="P821">
            <v>0.36249999999999999</v>
          </cell>
          <cell r="Q821">
            <v>6.8699999999999997E-2</v>
          </cell>
          <cell r="R821" t="str">
            <v>NA</v>
          </cell>
          <cell r="S821" t="str">
            <v>NA</v>
          </cell>
          <cell r="T821">
            <v>58.9</v>
          </cell>
          <cell r="U821">
            <v>4.8</v>
          </cell>
          <cell r="V821">
            <v>77.2</v>
          </cell>
          <cell r="W821">
            <v>7.8</v>
          </cell>
          <cell r="X821" t="str">
            <v>NA</v>
          </cell>
          <cell r="Y821" t="str">
            <v>NA</v>
          </cell>
          <cell r="Z821" t="str">
            <v>NA</v>
          </cell>
          <cell r="AA821" t="str">
            <v>NA</v>
          </cell>
        </row>
        <row r="822">
          <cell r="A822">
            <v>45141</v>
          </cell>
          <cell r="B822" t="str">
            <v>A1</v>
          </cell>
          <cell r="C822">
            <v>3</v>
          </cell>
          <cell r="D822">
            <v>3</v>
          </cell>
          <cell r="E822" t="str">
            <v>ARIS.A1.Aim3.Bin3.LB</v>
          </cell>
          <cell r="F822">
            <v>3</v>
          </cell>
          <cell r="G822" t="str">
            <v>SplineDFA</v>
          </cell>
          <cell r="H822" t="str">
            <v>Y</v>
          </cell>
          <cell r="I822" t="str">
            <v>N</v>
          </cell>
          <cell r="J822">
            <v>128</v>
          </cell>
          <cell r="K822">
            <v>1.0001</v>
          </cell>
          <cell r="L822">
            <v>0.1893</v>
          </cell>
          <cell r="M822">
            <v>23.7</v>
          </cell>
          <cell r="N822">
            <v>2.7</v>
          </cell>
          <cell r="O822">
            <v>0.81079999999999997</v>
          </cell>
          <cell r="P822">
            <v>0.53320000000000001</v>
          </cell>
          <cell r="Q822">
            <v>0.27760000000000001</v>
          </cell>
          <cell r="R822" t="str">
            <v>NA</v>
          </cell>
          <cell r="S822" t="str">
            <v>NA</v>
          </cell>
          <cell r="T822">
            <v>58.9</v>
          </cell>
          <cell r="U822">
            <v>4.8</v>
          </cell>
          <cell r="V822">
            <v>77.2</v>
          </cell>
          <cell r="W822">
            <v>7.8</v>
          </cell>
          <cell r="X822" t="str">
            <v>NA</v>
          </cell>
          <cell r="Y822" t="str">
            <v>NA</v>
          </cell>
          <cell r="Z822" t="str">
            <v>NA</v>
          </cell>
          <cell r="AA822" t="str">
            <v>NA</v>
          </cell>
        </row>
        <row r="823">
          <cell r="A823">
            <v>45141</v>
          </cell>
          <cell r="B823" t="str">
            <v>A1</v>
          </cell>
          <cell r="C823">
            <v>4</v>
          </cell>
          <cell r="D823">
            <v>3</v>
          </cell>
          <cell r="E823" t="str">
            <v>ARIS.A1.Aim3.Bin4.LB</v>
          </cell>
          <cell r="F823">
            <v>3</v>
          </cell>
          <cell r="G823" t="str">
            <v>SplineDFA</v>
          </cell>
          <cell r="H823" t="str">
            <v>Y</v>
          </cell>
          <cell r="I823" t="str">
            <v>N</v>
          </cell>
          <cell r="J823">
            <v>128</v>
          </cell>
          <cell r="K823">
            <v>1.0001</v>
          </cell>
          <cell r="L823">
            <v>0.1893</v>
          </cell>
          <cell r="M823">
            <v>23.7</v>
          </cell>
          <cell r="N823">
            <v>2.7</v>
          </cell>
          <cell r="O823">
            <v>0.81079999999999997</v>
          </cell>
          <cell r="P823">
            <v>0.53320000000000001</v>
          </cell>
          <cell r="Q823">
            <v>0.27760000000000001</v>
          </cell>
          <cell r="R823" t="str">
            <v>NA</v>
          </cell>
          <cell r="S823" t="str">
            <v>NA</v>
          </cell>
          <cell r="T823">
            <v>58.9</v>
          </cell>
          <cell r="U823">
            <v>4.8</v>
          </cell>
          <cell r="V823">
            <v>77.2</v>
          </cell>
          <cell r="W823">
            <v>7.8</v>
          </cell>
          <cell r="X823" t="str">
            <v>NA</v>
          </cell>
          <cell r="Y823" t="str">
            <v>NA</v>
          </cell>
          <cell r="Z823" t="str">
            <v>NA</v>
          </cell>
          <cell r="AA823" t="str">
            <v>NA</v>
          </cell>
        </row>
        <row r="824">
          <cell r="A824">
            <v>45141</v>
          </cell>
          <cell r="B824" t="str">
            <v>A1</v>
          </cell>
          <cell r="C824">
            <v>1</v>
          </cell>
          <cell r="D824">
            <v>1</v>
          </cell>
          <cell r="E824" t="str">
            <v>ARIS.A1.Aim1.Bin1.LB</v>
          </cell>
          <cell r="F824">
            <v>3</v>
          </cell>
          <cell r="G824" t="str">
            <v>Unweighted</v>
          </cell>
          <cell r="H824" t="str">
            <v>N</v>
          </cell>
          <cell r="I824" t="str">
            <v>Y</v>
          </cell>
          <cell r="J824">
            <v>152</v>
          </cell>
          <cell r="K824">
            <v>1</v>
          </cell>
          <cell r="L824">
            <v>0.91120000000000001</v>
          </cell>
          <cell r="M824">
            <v>18.100000000000001</v>
          </cell>
          <cell r="N824">
            <v>7.5</v>
          </cell>
          <cell r="O824">
            <v>8.8800000000000004E-2</v>
          </cell>
          <cell r="P824">
            <v>8.8800000000000004E-2</v>
          </cell>
          <cell r="Q824">
            <v>0</v>
          </cell>
          <cell r="R824" t="str">
            <v>NA</v>
          </cell>
          <cell r="S824" t="str">
            <v>NA</v>
          </cell>
          <cell r="T824">
            <v>58.9</v>
          </cell>
          <cell r="U824">
            <v>4.8</v>
          </cell>
          <cell r="V824">
            <v>77.2</v>
          </cell>
          <cell r="W824">
            <v>7.8</v>
          </cell>
          <cell r="X824" t="str">
            <v>NA</v>
          </cell>
          <cell r="Y824" t="str">
            <v>NA</v>
          </cell>
          <cell r="Z824" t="str">
            <v>NA</v>
          </cell>
          <cell r="AA824" t="str">
            <v>NA</v>
          </cell>
        </row>
        <row r="825">
          <cell r="A825">
            <v>45141</v>
          </cell>
          <cell r="B825" t="str">
            <v>A1</v>
          </cell>
          <cell r="C825">
            <v>1</v>
          </cell>
          <cell r="D825">
            <v>2</v>
          </cell>
          <cell r="E825" t="str">
            <v>ARIS.A1.Aim2.Bin1.LB</v>
          </cell>
          <cell r="F825">
            <v>3</v>
          </cell>
          <cell r="G825" t="str">
            <v>Unweighted</v>
          </cell>
          <cell r="H825" t="str">
            <v>N</v>
          </cell>
          <cell r="I825" t="str">
            <v>Y</v>
          </cell>
          <cell r="J825">
            <v>154</v>
          </cell>
          <cell r="K825">
            <v>1</v>
          </cell>
          <cell r="L825">
            <v>0.93</v>
          </cell>
          <cell r="M825">
            <v>16</v>
          </cell>
          <cell r="N825">
            <v>6</v>
          </cell>
          <cell r="O825">
            <v>7.0000000000000007E-2</v>
          </cell>
          <cell r="P825">
            <v>7.0000000000000007E-2</v>
          </cell>
          <cell r="Q825">
            <v>0</v>
          </cell>
          <cell r="R825" t="str">
            <v>NA</v>
          </cell>
          <cell r="S825" t="str">
            <v>NA</v>
          </cell>
          <cell r="T825">
            <v>58.9</v>
          </cell>
          <cell r="U825">
            <v>4.8</v>
          </cell>
          <cell r="V825">
            <v>77.2</v>
          </cell>
          <cell r="W825">
            <v>7.8</v>
          </cell>
          <cell r="X825" t="str">
            <v>NA</v>
          </cell>
          <cell r="Y825" t="str">
            <v>NA</v>
          </cell>
          <cell r="Z825" t="str">
            <v>NA</v>
          </cell>
          <cell r="AA825" t="str">
            <v>NA</v>
          </cell>
        </row>
        <row r="826">
          <cell r="A826">
            <v>45141</v>
          </cell>
          <cell r="B826" t="str">
            <v>A1</v>
          </cell>
          <cell r="C826">
            <v>1</v>
          </cell>
          <cell r="D826" t="str">
            <v>1&amp;2</v>
          </cell>
          <cell r="E826" t="str">
            <v>ARIS.A1.Aim1&amp;Aim2.Bin1.LB</v>
          </cell>
          <cell r="F826">
            <v>3</v>
          </cell>
          <cell r="G826" t="str">
            <v>Unweighted</v>
          </cell>
          <cell r="H826" t="str">
            <v>N</v>
          </cell>
          <cell r="I826" t="str">
            <v>Y</v>
          </cell>
          <cell r="J826">
            <v>306</v>
          </cell>
          <cell r="K826">
            <v>1</v>
          </cell>
          <cell r="L826">
            <v>0.92010000000000003</v>
          </cell>
          <cell r="M826">
            <v>17</v>
          </cell>
          <cell r="N826">
            <v>6.9</v>
          </cell>
          <cell r="O826">
            <v>7.9899999999999999E-2</v>
          </cell>
          <cell r="P826">
            <v>7.9899999999999999E-2</v>
          </cell>
          <cell r="Q826">
            <v>0</v>
          </cell>
          <cell r="R826" t="str">
            <v>NA</v>
          </cell>
          <cell r="S826" t="str">
            <v>NA</v>
          </cell>
          <cell r="T826">
            <v>58.9</v>
          </cell>
          <cell r="U826">
            <v>4.8</v>
          </cell>
          <cell r="V826">
            <v>77.2</v>
          </cell>
          <cell r="W826">
            <v>7.8</v>
          </cell>
          <cell r="X826" t="str">
            <v>NA</v>
          </cell>
          <cell r="Y826" t="str">
            <v>NA</v>
          </cell>
          <cell r="Z826" t="str">
            <v>NA</v>
          </cell>
          <cell r="AA826" t="str">
            <v>NA</v>
          </cell>
        </row>
        <row r="827">
          <cell r="A827">
            <v>45141</v>
          </cell>
          <cell r="B827" t="str">
            <v>A1</v>
          </cell>
          <cell r="C827">
            <v>2</v>
          </cell>
          <cell r="D827">
            <v>3</v>
          </cell>
          <cell r="E827" t="str">
            <v>ARIS.A1.Aim3.Bin2.LB</v>
          </cell>
          <cell r="F827">
            <v>3</v>
          </cell>
          <cell r="G827" t="str">
            <v>Unweighted</v>
          </cell>
          <cell r="H827" t="str">
            <v>N</v>
          </cell>
          <cell r="I827" t="str">
            <v>Y</v>
          </cell>
          <cell r="J827">
            <v>148</v>
          </cell>
          <cell r="K827">
            <v>1</v>
          </cell>
          <cell r="L827">
            <v>0.69910000000000005</v>
          </cell>
          <cell r="M827">
            <v>23.7</v>
          </cell>
          <cell r="N827">
            <v>9.4</v>
          </cell>
          <cell r="O827">
            <v>0.3009</v>
          </cell>
          <cell r="P827">
            <v>0.22969999999999999</v>
          </cell>
          <cell r="Q827">
            <v>7.1199999999999999E-2</v>
          </cell>
          <cell r="R827" t="str">
            <v>NA</v>
          </cell>
          <cell r="S827" t="str">
            <v>NA</v>
          </cell>
          <cell r="T827">
            <v>58.9</v>
          </cell>
          <cell r="U827">
            <v>4.8</v>
          </cell>
          <cell r="V827">
            <v>77.2</v>
          </cell>
          <cell r="W827">
            <v>7.8</v>
          </cell>
          <cell r="X827" t="str">
            <v>NA</v>
          </cell>
          <cell r="Y827" t="str">
            <v>NA</v>
          </cell>
          <cell r="Z827" t="str">
            <v>NA</v>
          </cell>
          <cell r="AA827" t="str">
            <v>NA</v>
          </cell>
        </row>
        <row r="828">
          <cell r="A828">
            <v>45141</v>
          </cell>
          <cell r="B828" t="str">
            <v>A1</v>
          </cell>
          <cell r="C828">
            <v>3</v>
          </cell>
          <cell r="D828">
            <v>3</v>
          </cell>
          <cell r="E828" t="str">
            <v>ARIS.A1.Aim3.Bin3.LB</v>
          </cell>
          <cell r="F828">
            <v>3</v>
          </cell>
          <cell r="G828" t="str">
            <v>Unweighted</v>
          </cell>
          <cell r="H828" t="str">
            <v>N</v>
          </cell>
          <cell r="I828" t="str">
            <v>Y</v>
          </cell>
          <cell r="J828">
            <v>128</v>
          </cell>
          <cell r="K828">
            <v>1</v>
          </cell>
          <cell r="L828">
            <v>0.38500000000000001</v>
          </cell>
          <cell r="M828">
            <v>23.7</v>
          </cell>
          <cell r="N828">
            <v>18.3</v>
          </cell>
          <cell r="O828">
            <v>0.61499999999999999</v>
          </cell>
          <cell r="P828">
            <v>0.28179999999999999</v>
          </cell>
          <cell r="Q828">
            <v>0.3332</v>
          </cell>
          <cell r="R828" t="str">
            <v>NA</v>
          </cell>
          <cell r="S828" t="str">
            <v>NA</v>
          </cell>
          <cell r="T828">
            <v>58.9</v>
          </cell>
          <cell r="U828">
            <v>4.8</v>
          </cell>
          <cell r="V828">
            <v>77.2</v>
          </cell>
          <cell r="W828">
            <v>7.8</v>
          </cell>
          <cell r="X828" t="str">
            <v>NA</v>
          </cell>
          <cell r="Y828" t="str">
            <v>NA</v>
          </cell>
          <cell r="Z828" t="str">
            <v>NA</v>
          </cell>
          <cell r="AA828" t="str">
            <v>NA</v>
          </cell>
        </row>
        <row r="829">
          <cell r="A829">
            <v>45141</v>
          </cell>
          <cell r="B829" t="str">
            <v>A1</v>
          </cell>
          <cell r="C829">
            <v>4</v>
          </cell>
          <cell r="D829">
            <v>3</v>
          </cell>
          <cell r="E829" t="str">
            <v>ARIS.A1.Aim3.Bin4.LB</v>
          </cell>
          <cell r="F829">
            <v>3</v>
          </cell>
          <cell r="G829" t="str">
            <v>Unweighted</v>
          </cell>
          <cell r="H829" t="str">
            <v>N</v>
          </cell>
          <cell r="I829" t="str">
            <v>Y</v>
          </cell>
          <cell r="J829">
            <v>128</v>
          </cell>
          <cell r="K829">
            <v>1</v>
          </cell>
          <cell r="L829">
            <v>0.38500000000000001</v>
          </cell>
          <cell r="M829">
            <v>23.7</v>
          </cell>
          <cell r="N829">
            <v>18.3</v>
          </cell>
          <cell r="O829">
            <v>0.61499999999999999</v>
          </cell>
          <cell r="P829">
            <v>0.28179999999999999</v>
          </cell>
          <cell r="Q829">
            <v>0.3332</v>
          </cell>
          <cell r="R829" t="str">
            <v>NA</v>
          </cell>
          <cell r="S829" t="str">
            <v>NA</v>
          </cell>
          <cell r="T829">
            <v>58.9</v>
          </cell>
          <cell r="U829">
            <v>4.8</v>
          </cell>
          <cell r="V829">
            <v>77.2</v>
          </cell>
          <cell r="W829">
            <v>7.8</v>
          </cell>
          <cell r="X829" t="str">
            <v>NA</v>
          </cell>
          <cell r="Y829" t="str">
            <v>NA</v>
          </cell>
          <cell r="Z829" t="str">
            <v>NA</v>
          </cell>
          <cell r="AA829" t="str">
            <v>NA</v>
          </cell>
        </row>
        <row r="830">
          <cell r="A830">
            <v>45141</v>
          </cell>
          <cell r="B830" t="str">
            <v>A2</v>
          </cell>
          <cell r="C830">
            <v>1</v>
          </cell>
          <cell r="D830">
            <v>1</v>
          </cell>
          <cell r="E830" t="str">
            <v>ARIS.A2.Aim1.Bin1.RB</v>
          </cell>
          <cell r="F830">
            <v>3</v>
          </cell>
          <cell r="G830" t="str">
            <v>Unweighted</v>
          </cell>
          <cell r="H830" t="str">
            <v>N</v>
          </cell>
          <cell r="I830" t="str">
            <v>Y</v>
          </cell>
          <cell r="J830">
            <v>188</v>
          </cell>
          <cell r="K830">
            <v>1</v>
          </cell>
          <cell r="L830">
            <v>0.93540000000000001</v>
          </cell>
          <cell r="M830">
            <v>20</v>
          </cell>
          <cell r="N830">
            <v>5.8</v>
          </cell>
          <cell r="O830">
            <v>6.4600000000000005E-2</v>
          </cell>
          <cell r="P830">
            <v>6.4600000000000005E-2</v>
          </cell>
          <cell r="Q830">
            <v>0</v>
          </cell>
          <cell r="R830" t="str">
            <v>NA</v>
          </cell>
          <cell r="S830" t="str">
            <v>NA</v>
          </cell>
          <cell r="T830">
            <v>58.9</v>
          </cell>
          <cell r="U830">
            <v>4.8</v>
          </cell>
          <cell r="V830">
            <v>77.2</v>
          </cell>
          <cell r="W830">
            <v>7.8</v>
          </cell>
          <cell r="X830" t="str">
            <v>NA</v>
          </cell>
          <cell r="Y830" t="str">
            <v>NA</v>
          </cell>
          <cell r="Z830" t="str">
            <v>NA</v>
          </cell>
          <cell r="AA830" t="str">
            <v>NA</v>
          </cell>
        </row>
        <row r="831">
          <cell r="A831">
            <v>45141</v>
          </cell>
          <cell r="B831" t="str">
            <v>A2</v>
          </cell>
          <cell r="C831">
            <v>2</v>
          </cell>
          <cell r="D831">
            <v>1</v>
          </cell>
          <cell r="E831" t="str">
            <v>ARIS.A2.Aim1.Bin2.RB</v>
          </cell>
          <cell r="F831">
            <v>3</v>
          </cell>
          <cell r="G831" t="str">
            <v>Unweighted</v>
          </cell>
          <cell r="H831" t="str">
            <v>N</v>
          </cell>
          <cell r="I831" t="str">
            <v>Y</v>
          </cell>
          <cell r="J831">
            <v>161</v>
          </cell>
          <cell r="K831">
            <v>1</v>
          </cell>
          <cell r="L831">
            <v>0.85519999999999996</v>
          </cell>
          <cell r="M831">
            <v>26.8</v>
          </cell>
          <cell r="N831">
            <v>7.3</v>
          </cell>
          <cell r="O831">
            <v>0.14480000000000001</v>
          </cell>
          <cell r="P831">
            <v>9.9400000000000002E-2</v>
          </cell>
          <cell r="Q831">
            <v>4.5400000000000003E-2</v>
          </cell>
          <cell r="R831" t="str">
            <v>NA</v>
          </cell>
          <cell r="S831" t="str">
            <v>NA</v>
          </cell>
          <cell r="T831">
            <v>58.9</v>
          </cell>
          <cell r="U831">
            <v>4.8</v>
          </cell>
          <cell r="V831">
            <v>77.2</v>
          </cell>
          <cell r="W831">
            <v>7.8</v>
          </cell>
          <cell r="X831" t="str">
            <v>NA</v>
          </cell>
          <cell r="Y831" t="str">
            <v>NA</v>
          </cell>
          <cell r="Z831" t="str">
            <v>NA</v>
          </cell>
          <cell r="AA831" t="str">
            <v>NA</v>
          </cell>
        </row>
        <row r="832">
          <cell r="A832">
            <v>45141</v>
          </cell>
          <cell r="B832" t="str">
            <v>A2</v>
          </cell>
          <cell r="C832">
            <v>3</v>
          </cell>
          <cell r="D832">
            <v>1</v>
          </cell>
          <cell r="E832" t="str">
            <v>ARIS.A2.Aim1.Bin3.RB</v>
          </cell>
          <cell r="F832">
            <v>3</v>
          </cell>
          <cell r="G832" t="str">
            <v>Unweighted</v>
          </cell>
          <cell r="H832" t="str">
            <v>N</v>
          </cell>
          <cell r="I832" t="str">
            <v>Y</v>
          </cell>
          <cell r="J832">
            <v>122</v>
          </cell>
          <cell r="K832">
            <v>1</v>
          </cell>
          <cell r="L832">
            <v>0.77900000000000003</v>
          </cell>
          <cell r="M832">
            <v>23.7</v>
          </cell>
          <cell r="N832">
            <v>14.8</v>
          </cell>
          <cell r="O832">
            <v>0.221</v>
          </cell>
          <cell r="P832">
            <v>4.8000000000000001E-2</v>
          </cell>
          <cell r="Q832">
            <v>0.17299999999999999</v>
          </cell>
          <cell r="R832" t="str">
            <v>NA</v>
          </cell>
          <cell r="S832" t="str">
            <v>NA</v>
          </cell>
          <cell r="T832">
            <v>58.9</v>
          </cell>
          <cell r="U832">
            <v>4.8</v>
          </cell>
          <cell r="V832">
            <v>77.2</v>
          </cell>
          <cell r="W832">
            <v>7.8</v>
          </cell>
          <cell r="X832" t="str">
            <v>NA</v>
          </cell>
          <cell r="Y832" t="str">
            <v>NA</v>
          </cell>
          <cell r="Z832" t="str">
            <v>NA</v>
          </cell>
          <cell r="AA832" t="str">
            <v>NA</v>
          </cell>
        </row>
        <row r="833">
          <cell r="A833">
            <v>45141</v>
          </cell>
          <cell r="B833" t="str">
            <v>A2</v>
          </cell>
          <cell r="C833">
            <v>4</v>
          </cell>
          <cell r="D833">
            <v>1</v>
          </cell>
          <cell r="E833" t="str">
            <v>ARIS.A2.Aim1.Bin4.RB</v>
          </cell>
          <cell r="F833">
            <v>3</v>
          </cell>
          <cell r="G833" t="str">
            <v>Unweighted</v>
          </cell>
          <cell r="H833" t="str">
            <v>N</v>
          </cell>
          <cell r="I833" t="str">
            <v>Y</v>
          </cell>
          <cell r="J833">
            <v>122</v>
          </cell>
          <cell r="K833">
            <v>1</v>
          </cell>
          <cell r="L833">
            <v>0.77900000000000003</v>
          </cell>
          <cell r="M833">
            <v>23.7</v>
          </cell>
          <cell r="N833">
            <v>14.8</v>
          </cell>
          <cell r="O833">
            <v>0.221</v>
          </cell>
          <cell r="P833">
            <v>4.8000000000000001E-2</v>
          </cell>
          <cell r="Q833">
            <v>0.17299999999999999</v>
          </cell>
          <cell r="R833" t="str">
            <v>NA</v>
          </cell>
          <cell r="S833" t="str">
            <v>NA</v>
          </cell>
          <cell r="T833">
            <v>58.9</v>
          </cell>
          <cell r="U833">
            <v>4.8</v>
          </cell>
          <cell r="V833">
            <v>77.2</v>
          </cell>
          <cell r="W833">
            <v>7.8</v>
          </cell>
          <cell r="X833" t="str">
            <v>NA</v>
          </cell>
          <cell r="Y833" t="str">
            <v>NA</v>
          </cell>
          <cell r="Z833" t="str">
            <v>NA</v>
          </cell>
          <cell r="AA833" t="str">
            <v>NA</v>
          </cell>
        </row>
        <row r="834">
          <cell r="A834">
            <v>45141</v>
          </cell>
          <cell r="B834" t="str">
            <v>A2</v>
          </cell>
          <cell r="C834">
            <v>1</v>
          </cell>
          <cell r="D834">
            <v>1</v>
          </cell>
          <cell r="E834" t="str">
            <v>ARIS.A2.Aim1.Bin1.RB</v>
          </cell>
          <cell r="F834">
            <v>3</v>
          </cell>
          <cell r="G834" t="str">
            <v>SplineDFA</v>
          </cell>
          <cell r="H834" t="str">
            <v>Y</v>
          </cell>
          <cell r="I834" t="str">
            <v>N</v>
          </cell>
          <cell r="J834">
            <v>188</v>
          </cell>
          <cell r="K834">
            <v>1</v>
          </cell>
          <cell r="L834">
            <v>0.94510000000000005</v>
          </cell>
          <cell r="M834">
            <v>23.7</v>
          </cell>
          <cell r="N834">
            <v>2.7</v>
          </cell>
          <cell r="O834">
            <v>5.4899999999999997E-2</v>
          </cell>
          <cell r="P834">
            <v>5.4899999999999997E-2</v>
          </cell>
          <cell r="Q834">
            <v>0</v>
          </cell>
          <cell r="R834" t="str">
            <v>NA</v>
          </cell>
          <cell r="S834" t="str">
            <v>NA</v>
          </cell>
          <cell r="T834">
            <v>58.9</v>
          </cell>
          <cell r="U834">
            <v>4.8</v>
          </cell>
          <cell r="V834">
            <v>77.2</v>
          </cell>
          <cell r="W834">
            <v>7.8</v>
          </cell>
          <cell r="X834" t="str">
            <v>NA</v>
          </cell>
          <cell r="Y834" t="str">
            <v>NA</v>
          </cell>
          <cell r="Z834" t="str">
            <v>NA</v>
          </cell>
          <cell r="AA834" t="str">
            <v>NA</v>
          </cell>
        </row>
        <row r="835">
          <cell r="A835">
            <v>45141</v>
          </cell>
          <cell r="B835" t="str">
            <v>A2</v>
          </cell>
          <cell r="C835">
            <v>2</v>
          </cell>
          <cell r="D835">
            <v>1</v>
          </cell>
          <cell r="E835" t="str">
            <v>ARIS.A2.Aim1.Bin2.RB</v>
          </cell>
          <cell r="F835">
            <v>3</v>
          </cell>
          <cell r="G835" t="str">
            <v>SplineDFA</v>
          </cell>
          <cell r="H835" t="str">
            <v>Y</v>
          </cell>
          <cell r="I835" t="str">
            <v>N</v>
          </cell>
          <cell r="J835">
            <v>161</v>
          </cell>
          <cell r="K835">
            <v>1</v>
          </cell>
          <cell r="L835">
            <v>0.80010000000000003</v>
          </cell>
          <cell r="M835">
            <v>23.7</v>
          </cell>
          <cell r="N835">
            <v>2.7</v>
          </cell>
          <cell r="O835">
            <v>0.19989999999999999</v>
          </cell>
          <cell r="P835">
            <v>0.1411</v>
          </cell>
          <cell r="Q835">
            <v>5.8799999999999998E-2</v>
          </cell>
          <cell r="R835" t="str">
            <v>NA</v>
          </cell>
          <cell r="S835" t="str">
            <v>NA</v>
          </cell>
          <cell r="T835">
            <v>58.9</v>
          </cell>
          <cell r="U835">
            <v>4.8</v>
          </cell>
          <cell r="V835">
            <v>77.2</v>
          </cell>
          <cell r="W835">
            <v>7.8</v>
          </cell>
          <cell r="X835" t="str">
            <v>NA</v>
          </cell>
          <cell r="Y835" t="str">
            <v>NA</v>
          </cell>
          <cell r="Z835" t="str">
            <v>NA</v>
          </cell>
          <cell r="AA835" t="str">
            <v>NA</v>
          </cell>
        </row>
        <row r="836">
          <cell r="A836">
            <v>45141</v>
          </cell>
          <cell r="B836" t="str">
            <v>A2</v>
          </cell>
          <cell r="C836">
            <v>3</v>
          </cell>
          <cell r="D836">
            <v>1</v>
          </cell>
          <cell r="E836" t="str">
            <v>ARIS.A2.Aim1.Bin3.RB</v>
          </cell>
          <cell r="F836">
            <v>3</v>
          </cell>
          <cell r="G836" t="str">
            <v>SplineDFA</v>
          </cell>
          <cell r="H836" t="str">
            <v>Y</v>
          </cell>
          <cell r="I836" t="str">
            <v>N</v>
          </cell>
          <cell r="J836">
            <v>122</v>
          </cell>
          <cell r="K836">
            <v>1.0001</v>
          </cell>
          <cell r="L836">
            <v>0.46450000000000002</v>
          </cell>
          <cell r="M836">
            <v>23.7</v>
          </cell>
          <cell r="N836">
            <v>2.7</v>
          </cell>
          <cell r="O836">
            <v>0.53559999999999997</v>
          </cell>
          <cell r="P836">
            <v>0.38140000000000002</v>
          </cell>
          <cell r="Q836">
            <v>0.1542</v>
          </cell>
          <cell r="R836" t="str">
            <v>NA</v>
          </cell>
          <cell r="S836" t="str">
            <v>NA</v>
          </cell>
          <cell r="T836">
            <v>58.9</v>
          </cell>
          <cell r="U836">
            <v>4.8</v>
          </cell>
          <cell r="V836">
            <v>77.2</v>
          </cell>
          <cell r="W836">
            <v>7.8</v>
          </cell>
          <cell r="X836" t="str">
            <v>NA</v>
          </cell>
          <cell r="Y836" t="str">
            <v>NA</v>
          </cell>
          <cell r="Z836" t="str">
            <v>NA</v>
          </cell>
          <cell r="AA836" t="str">
            <v>NA</v>
          </cell>
        </row>
        <row r="837">
          <cell r="A837">
            <v>45141</v>
          </cell>
          <cell r="B837" t="str">
            <v>A2</v>
          </cell>
          <cell r="C837">
            <v>4</v>
          </cell>
          <cell r="D837">
            <v>1</v>
          </cell>
          <cell r="E837" t="str">
            <v>ARIS.A2.Aim1.Bin4.RB</v>
          </cell>
          <cell r="F837">
            <v>3</v>
          </cell>
          <cell r="G837" t="str">
            <v>SplineDFA</v>
          </cell>
          <cell r="H837" t="str">
            <v>Y</v>
          </cell>
          <cell r="I837" t="str">
            <v>N</v>
          </cell>
          <cell r="J837">
            <v>122</v>
          </cell>
          <cell r="K837">
            <v>1.0001</v>
          </cell>
          <cell r="L837">
            <v>0.46450000000000002</v>
          </cell>
          <cell r="M837">
            <v>23.7</v>
          </cell>
          <cell r="N837">
            <v>2.7</v>
          </cell>
          <cell r="O837">
            <v>0.53559999999999997</v>
          </cell>
          <cell r="P837">
            <v>0.38140000000000002</v>
          </cell>
          <cell r="Q837">
            <v>0.1542</v>
          </cell>
          <cell r="R837" t="str">
            <v>NA</v>
          </cell>
          <cell r="S837" t="str">
            <v>NA</v>
          </cell>
          <cell r="T837">
            <v>58.9</v>
          </cell>
          <cell r="U837">
            <v>4.8</v>
          </cell>
          <cell r="V837">
            <v>77.2</v>
          </cell>
          <cell r="W837">
            <v>7.8</v>
          </cell>
          <cell r="X837" t="str">
            <v>NA</v>
          </cell>
          <cell r="Y837" t="str">
            <v>NA</v>
          </cell>
          <cell r="Z837" t="str">
            <v>NA</v>
          </cell>
          <cell r="AA837" t="str">
            <v>NA</v>
          </cell>
        </row>
        <row r="838">
          <cell r="A838">
            <v>45141</v>
          </cell>
          <cell r="B838" t="str">
            <v>A1</v>
          </cell>
          <cell r="C838">
            <v>1</v>
          </cell>
          <cell r="D838">
            <v>1</v>
          </cell>
          <cell r="E838" t="str">
            <v>ARIS.A1.Aim1.Bin1.LB</v>
          </cell>
          <cell r="F838">
            <v>4</v>
          </cell>
          <cell r="G838" t="str">
            <v>Unweighted</v>
          </cell>
          <cell r="H838" t="str">
            <v>N</v>
          </cell>
          <cell r="I838" t="str">
            <v>N</v>
          </cell>
          <cell r="J838">
            <v>152</v>
          </cell>
          <cell r="K838">
            <v>1.0001</v>
          </cell>
          <cell r="L838">
            <v>0.84279999999999999</v>
          </cell>
          <cell r="M838">
            <v>17</v>
          </cell>
          <cell r="N838">
            <v>6.3</v>
          </cell>
          <cell r="O838">
            <v>0.1573</v>
          </cell>
          <cell r="P838">
            <v>4.3700000000000003E-2</v>
          </cell>
          <cell r="Q838">
            <v>0</v>
          </cell>
          <cell r="R838" t="str">
            <v>NA</v>
          </cell>
          <cell r="S838">
            <v>0.11360000000000001</v>
          </cell>
          <cell r="T838">
            <v>58.9</v>
          </cell>
          <cell r="U838">
            <v>4.8</v>
          </cell>
          <cell r="V838">
            <v>77.2</v>
          </cell>
          <cell r="W838">
            <v>7.8</v>
          </cell>
          <cell r="X838" t="str">
            <v>NA</v>
          </cell>
          <cell r="Y838" t="str">
            <v>NA</v>
          </cell>
          <cell r="Z838">
            <v>39.1</v>
          </cell>
          <cell r="AA838">
            <v>3.5</v>
          </cell>
        </row>
        <row r="839">
          <cell r="A839">
            <v>45141</v>
          </cell>
          <cell r="B839" t="str">
            <v>A1</v>
          </cell>
          <cell r="C839">
            <v>1</v>
          </cell>
          <cell r="D839">
            <v>2</v>
          </cell>
          <cell r="E839" t="str">
            <v>ARIS.A1.Aim2.Bin1.LB</v>
          </cell>
          <cell r="F839">
            <v>4</v>
          </cell>
          <cell r="G839" t="str">
            <v>Unweighted</v>
          </cell>
          <cell r="H839" t="str">
            <v>N</v>
          </cell>
          <cell r="I839" t="str">
            <v>N</v>
          </cell>
          <cell r="J839">
            <v>154</v>
          </cell>
          <cell r="K839">
            <v>1</v>
          </cell>
          <cell r="L839">
            <v>0.89500000000000002</v>
          </cell>
          <cell r="M839">
            <v>15.4</v>
          </cell>
          <cell r="N839">
            <v>5</v>
          </cell>
          <cell r="O839">
            <v>0.105</v>
          </cell>
          <cell r="P839">
            <v>4.1099999999999998E-2</v>
          </cell>
          <cell r="Q839">
            <v>0</v>
          </cell>
          <cell r="R839" t="str">
            <v>NA</v>
          </cell>
          <cell r="S839">
            <v>6.3899999999999998E-2</v>
          </cell>
          <cell r="T839">
            <v>58.9</v>
          </cell>
          <cell r="U839">
            <v>4.8</v>
          </cell>
          <cell r="V839">
            <v>77.2</v>
          </cell>
          <cell r="W839">
            <v>7.8</v>
          </cell>
          <cell r="X839" t="str">
            <v>NA</v>
          </cell>
          <cell r="Y839" t="str">
            <v>NA</v>
          </cell>
          <cell r="Z839">
            <v>39.1</v>
          </cell>
          <cell r="AA839">
            <v>3.5</v>
          </cell>
        </row>
        <row r="840">
          <cell r="A840">
            <v>45141</v>
          </cell>
          <cell r="B840" t="str">
            <v>A1</v>
          </cell>
          <cell r="C840">
            <v>1</v>
          </cell>
          <cell r="D840" t="str">
            <v>1&amp;2</v>
          </cell>
          <cell r="E840" t="str">
            <v>ARIS.A1.Aim1&amp;Aim2.Bin1.LB</v>
          </cell>
          <cell r="F840">
            <v>4</v>
          </cell>
          <cell r="G840" t="str">
            <v>Unweighted</v>
          </cell>
          <cell r="H840" t="str">
            <v>N</v>
          </cell>
          <cell r="I840" t="str">
            <v>N</v>
          </cell>
          <cell r="J840">
            <v>306</v>
          </cell>
          <cell r="K840">
            <v>1</v>
          </cell>
          <cell r="L840">
            <v>0.86950000000000005</v>
          </cell>
          <cell r="M840">
            <v>16.100000000000001</v>
          </cell>
          <cell r="N840">
            <v>5.7</v>
          </cell>
          <cell r="O840">
            <v>0.1305</v>
          </cell>
          <cell r="P840">
            <v>4.2299999999999997E-2</v>
          </cell>
          <cell r="Q840">
            <v>0</v>
          </cell>
          <cell r="R840" t="str">
            <v>NA</v>
          </cell>
          <cell r="S840">
            <v>8.8200000000000001E-2</v>
          </cell>
          <cell r="T840">
            <v>58.9</v>
          </cell>
          <cell r="U840">
            <v>4.8</v>
          </cell>
          <cell r="V840">
            <v>77.2</v>
          </cell>
          <cell r="W840">
            <v>7.8</v>
          </cell>
          <cell r="X840" t="str">
            <v>NA</v>
          </cell>
          <cell r="Y840" t="str">
            <v>NA</v>
          </cell>
          <cell r="Z840">
            <v>39.1</v>
          </cell>
          <cell r="AA840">
            <v>3.5</v>
          </cell>
        </row>
        <row r="841">
          <cell r="A841">
            <v>45141</v>
          </cell>
          <cell r="B841" t="str">
            <v>A1</v>
          </cell>
          <cell r="C841">
            <v>2</v>
          </cell>
          <cell r="D841">
            <v>3</v>
          </cell>
          <cell r="E841" t="str">
            <v>ARIS.A1.Aim3.Bin2.LB</v>
          </cell>
          <cell r="F841">
            <v>4</v>
          </cell>
          <cell r="G841" t="str">
            <v>Unweighted</v>
          </cell>
          <cell r="H841" t="str">
            <v>N</v>
          </cell>
          <cell r="I841" t="str">
            <v>N</v>
          </cell>
          <cell r="J841">
            <v>148</v>
          </cell>
          <cell r="K841">
            <v>1</v>
          </cell>
          <cell r="L841">
            <v>0.50280000000000002</v>
          </cell>
          <cell r="M841">
            <v>23.7</v>
          </cell>
          <cell r="N841">
            <v>5</v>
          </cell>
          <cell r="O841">
            <v>0.49719999999999998</v>
          </cell>
          <cell r="P841">
            <v>0.2266</v>
          </cell>
          <cell r="Q841">
            <v>7.1599999999999997E-2</v>
          </cell>
          <cell r="R841" t="str">
            <v>NA</v>
          </cell>
          <cell r="S841">
            <v>0.19900000000000001</v>
          </cell>
          <cell r="T841">
            <v>58.9</v>
          </cell>
          <cell r="U841">
            <v>4.8</v>
          </cell>
          <cell r="V841">
            <v>77.2</v>
          </cell>
          <cell r="W841">
            <v>7.8</v>
          </cell>
          <cell r="X841" t="str">
            <v>NA</v>
          </cell>
          <cell r="Y841" t="str">
            <v>NA</v>
          </cell>
          <cell r="Z841">
            <v>39.1</v>
          </cell>
          <cell r="AA841">
            <v>3.5</v>
          </cell>
        </row>
        <row r="842">
          <cell r="A842">
            <v>45141</v>
          </cell>
          <cell r="B842" t="str">
            <v>A1</v>
          </cell>
          <cell r="C842">
            <v>3</v>
          </cell>
          <cell r="D842">
            <v>3</v>
          </cell>
          <cell r="E842" t="str">
            <v>ARIS.A1.Aim3.Bin3.LB</v>
          </cell>
          <cell r="F842">
            <v>4</v>
          </cell>
          <cell r="G842" t="str">
            <v>Unweighted</v>
          </cell>
          <cell r="H842" t="str">
            <v>N</v>
          </cell>
          <cell r="I842" t="str">
            <v>N</v>
          </cell>
          <cell r="J842">
            <v>128</v>
          </cell>
          <cell r="K842">
            <v>1</v>
          </cell>
          <cell r="L842">
            <v>0.26590000000000003</v>
          </cell>
          <cell r="M842">
            <v>39.1</v>
          </cell>
          <cell r="N842">
            <v>11.2</v>
          </cell>
          <cell r="O842">
            <v>0.73409999999999997</v>
          </cell>
          <cell r="P842">
            <v>0.27689999999999998</v>
          </cell>
          <cell r="Q842">
            <v>0.32019999999999998</v>
          </cell>
          <cell r="R842" t="str">
            <v>NA</v>
          </cell>
          <cell r="S842">
            <v>0.13700000000000001</v>
          </cell>
          <cell r="T842">
            <v>58.9</v>
          </cell>
          <cell r="U842">
            <v>4.8</v>
          </cell>
          <cell r="V842">
            <v>77.2</v>
          </cell>
          <cell r="W842">
            <v>7.8</v>
          </cell>
          <cell r="X842" t="str">
            <v>NA</v>
          </cell>
          <cell r="Y842" t="str">
            <v>NA</v>
          </cell>
          <cell r="Z842">
            <v>39.1</v>
          </cell>
          <cell r="AA842">
            <v>3.5</v>
          </cell>
        </row>
        <row r="843">
          <cell r="A843">
            <v>45141</v>
          </cell>
          <cell r="B843" t="str">
            <v>A1</v>
          </cell>
          <cell r="C843">
            <v>4</v>
          </cell>
          <cell r="D843">
            <v>3</v>
          </cell>
          <cell r="E843" t="str">
            <v>ARIS.A1.Aim3.Bin4.LB</v>
          </cell>
          <cell r="F843">
            <v>4</v>
          </cell>
          <cell r="G843" t="str">
            <v>Unweighted</v>
          </cell>
          <cell r="H843" t="str">
            <v>N</v>
          </cell>
          <cell r="I843" t="str">
            <v>N</v>
          </cell>
          <cell r="J843">
            <v>128</v>
          </cell>
          <cell r="K843">
            <v>1</v>
          </cell>
          <cell r="L843">
            <v>0.26590000000000003</v>
          </cell>
          <cell r="M843">
            <v>39.1</v>
          </cell>
          <cell r="N843">
            <v>11.2</v>
          </cell>
          <cell r="O843">
            <v>0.73409999999999997</v>
          </cell>
          <cell r="P843">
            <v>0.27689999999999998</v>
          </cell>
          <cell r="Q843">
            <v>0.32019999999999998</v>
          </cell>
          <cell r="R843" t="str">
            <v>NA</v>
          </cell>
          <cell r="S843">
            <v>0.13700000000000001</v>
          </cell>
          <cell r="T843">
            <v>58.9</v>
          </cell>
          <cell r="U843">
            <v>4.8</v>
          </cell>
          <cell r="V843">
            <v>77.2</v>
          </cell>
          <cell r="W843">
            <v>7.8</v>
          </cell>
          <cell r="X843" t="str">
            <v>NA</v>
          </cell>
          <cell r="Y843" t="str">
            <v>NA</v>
          </cell>
          <cell r="Z843">
            <v>39.1</v>
          </cell>
          <cell r="AA843">
            <v>3.5</v>
          </cell>
        </row>
        <row r="844">
          <cell r="A844">
            <v>45141</v>
          </cell>
          <cell r="B844" t="str">
            <v>A2</v>
          </cell>
          <cell r="C844">
            <v>1</v>
          </cell>
          <cell r="D844">
            <v>1</v>
          </cell>
          <cell r="E844" t="str">
            <v>ARIS.A2.Aim1.Bin1.RB</v>
          </cell>
          <cell r="F844">
            <v>4</v>
          </cell>
          <cell r="G844" t="str">
            <v>Unweighted</v>
          </cell>
          <cell r="H844" t="str">
            <v>N</v>
          </cell>
          <cell r="I844" t="str">
            <v>N</v>
          </cell>
          <cell r="J844">
            <v>188</v>
          </cell>
          <cell r="K844">
            <v>1</v>
          </cell>
          <cell r="L844">
            <v>0.88729999999999998</v>
          </cell>
          <cell r="M844">
            <v>19.3</v>
          </cell>
          <cell r="N844">
            <v>5.0999999999999996</v>
          </cell>
          <cell r="O844">
            <v>0.11269999999999999</v>
          </cell>
          <cell r="P844">
            <v>3.6999999999999998E-2</v>
          </cell>
          <cell r="Q844">
            <v>0</v>
          </cell>
          <cell r="R844" t="str">
            <v>NA</v>
          </cell>
          <cell r="S844">
            <v>7.5700000000000003E-2</v>
          </cell>
          <cell r="T844">
            <v>58.9</v>
          </cell>
          <cell r="U844">
            <v>4.8</v>
          </cell>
          <cell r="V844">
            <v>77.2</v>
          </cell>
          <cell r="W844">
            <v>7.8</v>
          </cell>
          <cell r="X844" t="str">
            <v>NA</v>
          </cell>
          <cell r="Y844" t="str">
            <v>NA</v>
          </cell>
          <cell r="Z844">
            <v>39.1</v>
          </cell>
          <cell r="AA844">
            <v>3.5</v>
          </cell>
        </row>
        <row r="845">
          <cell r="A845">
            <v>45141</v>
          </cell>
          <cell r="B845" t="str">
            <v>A2</v>
          </cell>
          <cell r="C845">
            <v>2</v>
          </cell>
          <cell r="D845">
            <v>1</v>
          </cell>
          <cell r="E845" t="str">
            <v>ARIS.A2.Aim1.Bin2.RB</v>
          </cell>
          <cell r="F845">
            <v>4</v>
          </cell>
          <cell r="G845" t="str">
            <v>Unweighted</v>
          </cell>
          <cell r="H845" t="str">
            <v>N</v>
          </cell>
          <cell r="I845" t="str">
            <v>N</v>
          </cell>
          <cell r="J845">
            <v>161</v>
          </cell>
          <cell r="K845">
            <v>1</v>
          </cell>
          <cell r="L845">
            <v>0.77910000000000001</v>
          </cell>
          <cell r="M845">
            <v>25.5</v>
          </cell>
          <cell r="N845">
            <v>6.2</v>
          </cell>
          <cell r="O845">
            <v>0.22090000000000001</v>
          </cell>
          <cell r="P845">
            <v>0.10199999999999999</v>
          </cell>
          <cell r="Q845">
            <v>4.5199999999999997E-2</v>
          </cell>
          <cell r="R845" t="str">
            <v>NA</v>
          </cell>
          <cell r="S845">
            <v>7.3700000000000002E-2</v>
          </cell>
          <cell r="T845">
            <v>58.9</v>
          </cell>
          <cell r="U845">
            <v>4.8</v>
          </cell>
          <cell r="V845">
            <v>77.2</v>
          </cell>
          <cell r="W845">
            <v>7.8</v>
          </cell>
          <cell r="X845" t="str">
            <v>NA</v>
          </cell>
          <cell r="Y845" t="str">
            <v>NA</v>
          </cell>
          <cell r="Z845">
            <v>39.1</v>
          </cell>
          <cell r="AA845">
            <v>3.5</v>
          </cell>
        </row>
        <row r="846">
          <cell r="A846">
            <v>45141</v>
          </cell>
          <cell r="B846" t="str">
            <v>A2</v>
          </cell>
          <cell r="C846">
            <v>3</v>
          </cell>
          <cell r="D846">
            <v>1</v>
          </cell>
          <cell r="E846" t="str">
            <v>ARIS.A2.Aim1.Bin3.RB</v>
          </cell>
          <cell r="F846">
            <v>4</v>
          </cell>
          <cell r="G846" t="str">
            <v>Unweighted</v>
          </cell>
          <cell r="H846" t="str">
            <v>N</v>
          </cell>
          <cell r="I846" t="str">
            <v>N</v>
          </cell>
          <cell r="J846">
            <v>122</v>
          </cell>
          <cell r="K846">
            <v>1</v>
          </cell>
          <cell r="L846">
            <v>0.75960000000000005</v>
          </cell>
          <cell r="M846">
            <v>35.5</v>
          </cell>
          <cell r="N846">
            <v>7.9</v>
          </cell>
          <cell r="O846">
            <v>0.2404</v>
          </cell>
          <cell r="P846">
            <v>5.0799999999999998E-2</v>
          </cell>
          <cell r="Q846">
            <v>0.18959999999999999</v>
          </cell>
          <cell r="R846" t="str">
            <v>NA</v>
          </cell>
          <cell r="S846">
            <v>0</v>
          </cell>
          <cell r="T846">
            <v>58.9</v>
          </cell>
          <cell r="U846">
            <v>4.8</v>
          </cell>
          <cell r="V846">
            <v>77.2</v>
          </cell>
          <cell r="W846">
            <v>7.8</v>
          </cell>
          <cell r="X846" t="str">
            <v>NA</v>
          </cell>
          <cell r="Y846" t="str">
            <v>NA</v>
          </cell>
          <cell r="Z846">
            <v>39.1</v>
          </cell>
          <cell r="AA846">
            <v>3.5</v>
          </cell>
        </row>
        <row r="847">
          <cell r="A847">
            <v>45141</v>
          </cell>
          <cell r="B847" t="str">
            <v>A2</v>
          </cell>
          <cell r="C847">
            <v>4</v>
          </cell>
          <cell r="D847">
            <v>1</v>
          </cell>
          <cell r="E847" t="str">
            <v>ARIS.A2.Aim1.Bin4.RB</v>
          </cell>
          <cell r="F847">
            <v>4</v>
          </cell>
          <cell r="G847" t="str">
            <v>Unweighted</v>
          </cell>
          <cell r="H847" t="str">
            <v>N</v>
          </cell>
          <cell r="I847" t="str">
            <v>N</v>
          </cell>
          <cell r="J847">
            <v>122</v>
          </cell>
          <cell r="K847">
            <v>1</v>
          </cell>
          <cell r="L847">
            <v>0.75960000000000005</v>
          </cell>
          <cell r="M847">
            <v>35.5</v>
          </cell>
          <cell r="N847">
            <v>7.9</v>
          </cell>
          <cell r="O847">
            <v>0.2404</v>
          </cell>
          <cell r="P847">
            <v>5.0799999999999998E-2</v>
          </cell>
          <cell r="Q847">
            <v>0.18959999999999999</v>
          </cell>
          <cell r="R847" t="str">
            <v>NA</v>
          </cell>
          <cell r="S847">
            <v>0</v>
          </cell>
          <cell r="T847">
            <v>58.9</v>
          </cell>
          <cell r="U847">
            <v>4.8</v>
          </cell>
          <cell r="V847">
            <v>77.2</v>
          </cell>
          <cell r="W847">
            <v>7.8</v>
          </cell>
          <cell r="X847" t="str">
            <v>NA</v>
          </cell>
          <cell r="Y847" t="str">
            <v>NA</v>
          </cell>
          <cell r="Z847">
            <v>39.1</v>
          </cell>
          <cell r="AA847">
            <v>3.5</v>
          </cell>
        </row>
        <row r="848">
          <cell r="A848">
            <v>45142</v>
          </cell>
          <cell r="B848" t="str">
            <v>A1</v>
          </cell>
          <cell r="C848">
            <v>1</v>
          </cell>
          <cell r="D848">
            <v>1</v>
          </cell>
          <cell r="E848" t="str">
            <v>ARIS.A1.Aim1.Bin1.LB</v>
          </cell>
          <cell r="F848">
            <v>3</v>
          </cell>
          <cell r="G848" t="str">
            <v>SplineDFA</v>
          </cell>
          <cell r="H848" t="str">
            <v>N</v>
          </cell>
          <cell r="I848" t="str">
            <v>N</v>
          </cell>
          <cell r="J848">
            <v>148</v>
          </cell>
          <cell r="K848">
            <v>1</v>
          </cell>
          <cell r="L848">
            <v>0.89659999999999995</v>
          </cell>
          <cell r="M848">
            <v>23.7</v>
          </cell>
          <cell r="N848">
            <v>2.7</v>
          </cell>
          <cell r="O848">
            <v>0.10340000000000001</v>
          </cell>
          <cell r="P848">
            <v>9.0899999999999995E-2</v>
          </cell>
          <cell r="Q848">
            <v>1.2500000000000001E-2</v>
          </cell>
          <cell r="R848" t="str">
            <v>NA</v>
          </cell>
          <cell r="S848" t="str">
            <v>NA</v>
          </cell>
          <cell r="T848">
            <v>58.9</v>
          </cell>
          <cell r="U848">
            <v>4.8</v>
          </cell>
          <cell r="V848">
            <v>77.2</v>
          </cell>
          <cell r="W848">
            <v>7.8</v>
          </cell>
          <cell r="X848" t="str">
            <v>NA</v>
          </cell>
          <cell r="Y848" t="str">
            <v>NA</v>
          </cell>
          <cell r="Z848" t="str">
            <v>NA</v>
          </cell>
          <cell r="AA848" t="str">
            <v>NA</v>
          </cell>
        </row>
        <row r="849">
          <cell r="A849">
            <v>45142</v>
          </cell>
          <cell r="B849" t="str">
            <v>A1</v>
          </cell>
          <cell r="C849">
            <v>1</v>
          </cell>
          <cell r="D849">
            <v>2</v>
          </cell>
          <cell r="E849" t="str">
            <v>ARIS.A1.Aim2.Bin1.LB</v>
          </cell>
          <cell r="F849">
            <v>3</v>
          </cell>
          <cell r="G849" t="str">
            <v>SplineDFA</v>
          </cell>
          <cell r="H849" t="str">
            <v>N</v>
          </cell>
          <cell r="I849" t="str">
            <v>N</v>
          </cell>
          <cell r="J849">
            <v>152</v>
          </cell>
          <cell r="K849">
            <v>1</v>
          </cell>
          <cell r="L849">
            <v>0.92959999999999998</v>
          </cell>
          <cell r="M849">
            <v>23.7</v>
          </cell>
          <cell r="N849">
            <v>2.7</v>
          </cell>
          <cell r="O849">
            <v>7.0400000000000004E-2</v>
          </cell>
          <cell r="P849">
            <v>6.6100000000000006E-2</v>
          </cell>
          <cell r="Q849">
            <v>4.3E-3</v>
          </cell>
          <cell r="R849" t="str">
            <v>NA</v>
          </cell>
          <cell r="S849" t="str">
            <v>NA</v>
          </cell>
          <cell r="T849">
            <v>58.9</v>
          </cell>
          <cell r="U849">
            <v>4.8</v>
          </cell>
          <cell r="V849">
            <v>77.2</v>
          </cell>
          <cell r="W849">
            <v>7.8</v>
          </cell>
          <cell r="X849" t="str">
            <v>NA</v>
          </cell>
          <cell r="Y849" t="str">
            <v>NA</v>
          </cell>
          <cell r="Z849" t="str">
            <v>NA</v>
          </cell>
          <cell r="AA849" t="str">
            <v>NA</v>
          </cell>
        </row>
        <row r="850">
          <cell r="A850">
            <v>45142</v>
          </cell>
          <cell r="B850" t="str">
            <v>A1</v>
          </cell>
          <cell r="C850">
            <v>2</v>
          </cell>
          <cell r="D850">
            <v>3</v>
          </cell>
          <cell r="E850" t="str">
            <v>ARIS.A1.Aim3.Bin2.LB</v>
          </cell>
          <cell r="F850">
            <v>3</v>
          </cell>
          <cell r="G850" t="str">
            <v>SplineDFA</v>
          </cell>
          <cell r="H850" t="str">
            <v>N</v>
          </cell>
          <cell r="I850" t="str">
            <v>N</v>
          </cell>
          <cell r="J850">
            <v>145</v>
          </cell>
          <cell r="K850">
            <v>1.0001</v>
          </cell>
          <cell r="L850">
            <v>0.50170000000000003</v>
          </cell>
          <cell r="M850">
            <v>23.7</v>
          </cell>
          <cell r="N850">
            <v>2.7</v>
          </cell>
          <cell r="O850">
            <v>0.49840000000000001</v>
          </cell>
          <cell r="P850">
            <v>0.37790000000000001</v>
          </cell>
          <cell r="Q850">
            <v>0.1205</v>
          </cell>
          <cell r="R850" t="str">
            <v>NA</v>
          </cell>
          <cell r="S850" t="str">
            <v>NA</v>
          </cell>
          <cell r="T850">
            <v>58.9</v>
          </cell>
          <cell r="U850">
            <v>4.8</v>
          </cell>
          <cell r="V850">
            <v>77.2</v>
          </cell>
          <cell r="W850">
            <v>7.8</v>
          </cell>
          <cell r="X850" t="str">
            <v>NA</v>
          </cell>
          <cell r="Y850" t="str">
            <v>NA</v>
          </cell>
          <cell r="Z850" t="str">
            <v>NA</v>
          </cell>
          <cell r="AA850" t="str">
            <v>NA</v>
          </cell>
        </row>
        <row r="851">
          <cell r="A851">
            <v>45142</v>
          </cell>
          <cell r="B851" t="str">
            <v>A1</v>
          </cell>
          <cell r="C851">
            <v>3</v>
          </cell>
          <cell r="D851">
            <v>3</v>
          </cell>
          <cell r="E851" t="str">
            <v>ARIS.A1.Aim3.Bin3.LB</v>
          </cell>
          <cell r="F851">
            <v>3</v>
          </cell>
          <cell r="G851" t="str">
            <v>SplineDFA</v>
          </cell>
          <cell r="H851" t="str">
            <v>N</v>
          </cell>
          <cell r="I851" t="str">
            <v>N</v>
          </cell>
          <cell r="J851">
            <v>112</v>
          </cell>
          <cell r="K851">
            <v>1</v>
          </cell>
          <cell r="L851">
            <v>0.18809999999999999</v>
          </cell>
          <cell r="M851">
            <v>23.7</v>
          </cell>
          <cell r="N851">
            <v>2.7</v>
          </cell>
          <cell r="O851">
            <v>0.81189999999999996</v>
          </cell>
          <cell r="P851">
            <v>0.3982</v>
          </cell>
          <cell r="Q851">
            <v>0.41370000000000001</v>
          </cell>
          <cell r="R851" t="str">
            <v>NA</v>
          </cell>
          <cell r="S851" t="str">
            <v>NA</v>
          </cell>
          <cell r="T851">
            <v>58.9</v>
          </cell>
          <cell r="U851">
            <v>4.8</v>
          </cell>
          <cell r="V851">
            <v>77.2</v>
          </cell>
          <cell r="W851">
            <v>7.8</v>
          </cell>
          <cell r="X851" t="str">
            <v>NA</v>
          </cell>
          <cell r="Y851" t="str">
            <v>NA</v>
          </cell>
          <cell r="Z851" t="str">
            <v>NA</v>
          </cell>
          <cell r="AA851" t="str">
            <v>NA</v>
          </cell>
        </row>
        <row r="852">
          <cell r="A852">
            <v>45142</v>
          </cell>
          <cell r="B852" t="str">
            <v>A1</v>
          </cell>
          <cell r="C852">
            <v>4</v>
          </cell>
          <cell r="D852">
            <v>3</v>
          </cell>
          <cell r="E852" t="str">
            <v>ARIS.A1.Aim3.Bin4.LB</v>
          </cell>
          <cell r="F852">
            <v>3</v>
          </cell>
          <cell r="G852" t="str">
            <v>SplineDFA</v>
          </cell>
          <cell r="H852" t="str">
            <v>N</v>
          </cell>
          <cell r="I852" t="str">
            <v>N</v>
          </cell>
          <cell r="J852">
            <v>112</v>
          </cell>
          <cell r="K852">
            <v>1</v>
          </cell>
          <cell r="L852">
            <v>0.18809999999999999</v>
          </cell>
          <cell r="M852">
            <v>23.7</v>
          </cell>
          <cell r="N852">
            <v>2.7</v>
          </cell>
          <cell r="O852">
            <v>0.81189999999999996</v>
          </cell>
          <cell r="P852">
            <v>0.3982</v>
          </cell>
          <cell r="Q852">
            <v>0.41370000000000001</v>
          </cell>
          <cell r="R852" t="str">
            <v>NA</v>
          </cell>
          <cell r="S852" t="str">
            <v>NA</v>
          </cell>
          <cell r="T852">
            <v>58.9</v>
          </cell>
          <cell r="U852">
            <v>4.8</v>
          </cell>
          <cell r="V852">
            <v>77.2</v>
          </cell>
          <cell r="W852">
            <v>7.8</v>
          </cell>
          <cell r="X852" t="str">
            <v>NA</v>
          </cell>
          <cell r="Y852" t="str">
            <v>NA</v>
          </cell>
          <cell r="Z852" t="str">
            <v>NA</v>
          </cell>
          <cell r="AA852" t="str">
            <v>NA</v>
          </cell>
        </row>
        <row r="853">
          <cell r="A853">
            <v>45142</v>
          </cell>
          <cell r="B853" t="str">
            <v>A1</v>
          </cell>
          <cell r="C853">
            <v>1</v>
          </cell>
          <cell r="D853">
            <v>1</v>
          </cell>
          <cell r="E853" t="str">
            <v>ARIS.A1.Aim1.Bin1.LB</v>
          </cell>
          <cell r="F853">
            <v>3</v>
          </cell>
          <cell r="G853" t="str">
            <v>Unweighted</v>
          </cell>
          <cell r="H853" t="str">
            <v>N</v>
          </cell>
          <cell r="I853" t="str">
            <v>N</v>
          </cell>
          <cell r="J853">
            <v>148</v>
          </cell>
          <cell r="K853">
            <v>0.99990000000000001</v>
          </cell>
          <cell r="L853">
            <v>0.9788</v>
          </cell>
          <cell r="M853">
            <v>19.8</v>
          </cell>
          <cell r="N853">
            <v>10</v>
          </cell>
          <cell r="O853">
            <v>2.1100000000000001E-2</v>
          </cell>
          <cell r="P853">
            <v>1.38E-2</v>
          </cell>
          <cell r="Q853">
            <v>7.3000000000000001E-3</v>
          </cell>
          <cell r="R853" t="str">
            <v>NA</v>
          </cell>
          <cell r="S853" t="str">
            <v>NA</v>
          </cell>
          <cell r="T853">
            <v>58.9</v>
          </cell>
          <cell r="U853">
            <v>4.8</v>
          </cell>
          <cell r="V853">
            <v>77.2</v>
          </cell>
          <cell r="W853">
            <v>7.8</v>
          </cell>
          <cell r="X853" t="str">
            <v>NA</v>
          </cell>
          <cell r="Y853" t="str">
            <v>NA</v>
          </cell>
          <cell r="Z853" t="str">
            <v>NA</v>
          </cell>
          <cell r="AA853" t="str">
            <v>NA</v>
          </cell>
        </row>
        <row r="854">
          <cell r="A854">
            <v>45142</v>
          </cell>
          <cell r="B854" t="str">
            <v>A1</v>
          </cell>
          <cell r="C854">
            <v>1</v>
          </cell>
          <cell r="D854">
            <v>2</v>
          </cell>
          <cell r="E854" t="str">
            <v>ARIS.A1.Aim2.Bin1.LB</v>
          </cell>
          <cell r="F854">
            <v>3</v>
          </cell>
          <cell r="G854" t="str">
            <v>Unweighted</v>
          </cell>
          <cell r="H854" t="str">
            <v>N</v>
          </cell>
          <cell r="I854" t="str">
            <v>N</v>
          </cell>
          <cell r="J854">
            <v>152</v>
          </cell>
          <cell r="K854">
            <v>1</v>
          </cell>
          <cell r="L854">
            <v>0.87919999999999998</v>
          </cell>
          <cell r="M854">
            <v>15</v>
          </cell>
          <cell r="N854">
            <v>6.2</v>
          </cell>
          <cell r="O854">
            <v>0.1208</v>
          </cell>
          <cell r="P854">
            <v>0.1208</v>
          </cell>
          <cell r="Q854">
            <v>0</v>
          </cell>
          <cell r="R854" t="str">
            <v>NA</v>
          </cell>
          <cell r="S854" t="str">
            <v>NA</v>
          </cell>
          <cell r="T854">
            <v>58.9</v>
          </cell>
          <cell r="U854">
            <v>4.8</v>
          </cell>
          <cell r="V854">
            <v>77.2</v>
          </cell>
          <cell r="W854">
            <v>7.8</v>
          </cell>
          <cell r="X854" t="str">
            <v>NA</v>
          </cell>
          <cell r="Y854" t="str">
            <v>NA</v>
          </cell>
          <cell r="Z854" t="str">
            <v>NA</v>
          </cell>
          <cell r="AA854" t="str">
            <v>NA</v>
          </cell>
        </row>
        <row r="855">
          <cell r="A855">
            <v>45142</v>
          </cell>
          <cell r="B855" t="str">
            <v>A1</v>
          </cell>
          <cell r="C855">
            <v>1</v>
          </cell>
          <cell r="D855" t="str">
            <v>1&amp;2</v>
          </cell>
          <cell r="E855" t="str">
            <v>ARIS.A1.Aim1&amp;Aim2.Bin1.LB</v>
          </cell>
          <cell r="F855">
            <v>3</v>
          </cell>
          <cell r="G855" t="str">
            <v>Unweighted</v>
          </cell>
          <cell r="H855" t="str">
            <v>N</v>
          </cell>
          <cell r="I855" t="str">
            <v>N</v>
          </cell>
          <cell r="J855">
            <v>300</v>
          </cell>
          <cell r="K855">
            <v>1</v>
          </cell>
          <cell r="L855">
            <v>0.93559999999999999</v>
          </cell>
          <cell r="M855">
            <v>17.600000000000001</v>
          </cell>
          <cell r="N855">
            <v>9.1999999999999993</v>
          </cell>
          <cell r="O855">
            <v>6.4399999999999999E-2</v>
          </cell>
          <cell r="P855">
            <v>6.0600000000000001E-2</v>
          </cell>
          <cell r="Q855">
            <v>3.8E-3</v>
          </cell>
          <cell r="R855" t="str">
            <v>NA</v>
          </cell>
          <cell r="S855" t="str">
            <v>NA</v>
          </cell>
          <cell r="T855">
            <v>58.9</v>
          </cell>
          <cell r="U855">
            <v>4.8</v>
          </cell>
          <cell r="V855">
            <v>77.2</v>
          </cell>
          <cell r="W855">
            <v>7.8</v>
          </cell>
          <cell r="X855" t="str">
            <v>NA</v>
          </cell>
          <cell r="Y855" t="str">
            <v>NA</v>
          </cell>
          <cell r="Z855" t="str">
            <v>NA</v>
          </cell>
          <cell r="AA855" t="str">
            <v>NA</v>
          </cell>
        </row>
        <row r="856">
          <cell r="A856">
            <v>45142</v>
          </cell>
          <cell r="B856" t="str">
            <v>A1</v>
          </cell>
          <cell r="C856">
            <v>2</v>
          </cell>
          <cell r="D856">
            <v>3</v>
          </cell>
          <cell r="E856" t="str">
            <v>ARIS.A1.Aim3.Bin2.LB</v>
          </cell>
          <cell r="F856">
            <v>3</v>
          </cell>
          <cell r="G856" t="str">
            <v>Unweighted</v>
          </cell>
          <cell r="H856" t="str">
            <v>N</v>
          </cell>
          <cell r="I856" t="str">
            <v>N</v>
          </cell>
          <cell r="J856">
            <v>145</v>
          </cell>
          <cell r="K856">
            <v>1</v>
          </cell>
          <cell r="L856">
            <v>0.65510000000000002</v>
          </cell>
          <cell r="M856">
            <v>28.3</v>
          </cell>
          <cell r="N856">
            <v>8.6999999999999993</v>
          </cell>
          <cell r="O856">
            <v>0.34489999999999998</v>
          </cell>
          <cell r="P856">
            <v>0.27610000000000001</v>
          </cell>
          <cell r="Q856">
            <v>6.88E-2</v>
          </cell>
          <cell r="R856" t="str">
            <v>NA</v>
          </cell>
          <cell r="S856" t="str">
            <v>NA</v>
          </cell>
          <cell r="T856">
            <v>58.9</v>
          </cell>
          <cell r="U856">
            <v>4.8</v>
          </cell>
          <cell r="V856">
            <v>77.2</v>
          </cell>
          <cell r="W856">
            <v>7.8</v>
          </cell>
          <cell r="X856" t="str">
            <v>NA</v>
          </cell>
          <cell r="Y856" t="str">
            <v>NA</v>
          </cell>
          <cell r="Z856" t="str">
            <v>NA</v>
          </cell>
          <cell r="AA856" t="str">
            <v>NA</v>
          </cell>
        </row>
        <row r="857">
          <cell r="A857">
            <v>45142</v>
          </cell>
          <cell r="B857" t="str">
            <v>A1</v>
          </cell>
          <cell r="C857">
            <v>3</v>
          </cell>
          <cell r="D857">
            <v>3</v>
          </cell>
          <cell r="E857" t="str">
            <v>ARIS.A1.Aim3.Bin3.LB</v>
          </cell>
          <cell r="F857">
            <v>3</v>
          </cell>
          <cell r="G857" t="str">
            <v>Unweighted</v>
          </cell>
          <cell r="H857" t="str">
            <v>N</v>
          </cell>
          <cell r="I857" t="str">
            <v>N</v>
          </cell>
          <cell r="J857">
            <v>112</v>
          </cell>
          <cell r="K857">
            <v>1</v>
          </cell>
          <cell r="L857">
            <v>0.51800000000000002</v>
          </cell>
          <cell r="M857">
            <v>40.799999999999997</v>
          </cell>
          <cell r="N857">
            <v>7.8</v>
          </cell>
          <cell r="O857">
            <v>0.48199999999999998</v>
          </cell>
          <cell r="P857">
            <v>9.4500000000000001E-2</v>
          </cell>
          <cell r="Q857">
            <v>0.38750000000000001</v>
          </cell>
          <cell r="R857" t="str">
            <v>NA</v>
          </cell>
          <cell r="S857" t="str">
            <v>NA</v>
          </cell>
          <cell r="T857">
            <v>58.9</v>
          </cell>
          <cell r="U857">
            <v>4.8</v>
          </cell>
          <cell r="V857">
            <v>77.2</v>
          </cell>
          <cell r="W857">
            <v>7.8</v>
          </cell>
          <cell r="X857" t="str">
            <v>NA</v>
          </cell>
          <cell r="Y857" t="str">
            <v>NA</v>
          </cell>
          <cell r="Z857" t="str">
            <v>NA</v>
          </cell>
          <cell r="AA857" t="str">
            <v>NA</v>
          </cell>
        </row>
        <row r="858">
          <cell r="A858">
            <v>45142</v>
          </cell>
          <cell r="B858" t="str">
            <v>A1</v>
          </cell>
          <cell r="C858">
            <v>4</v>
          </cell>
          <cell r="D858">
            <v>3</v>
          </cell>
          <cell r="E858" t="str">
            <v>ARIS.A1.Aim3.Bin4.LB</v>
          </cell>
          <cell r="F858">
            <v>3</v>
          </cell>
          <cell r="G858" t="str">
            <v>Unweighted</v>
          </cell>
          <cell r="H858" t="str">
            <v>N</v>
          </cell>
          <cell r="I858" t="str">
            <v>N</v>
          </cell>
          <cell r="J858">
            <v>112</v>
          </cell>
          <cell r="K858">
            <v>1</v>
          </cell>
          <cell r="L858">
            <v>0.51800000000000002</v>
          </cell>
          <cell r="M858">
            <v>40.799999999999997</v>
          </cell>
          <cell r="N858">
            <v>7.8</v>
          </cell>
          <cell r="O858">
            <v>0.48199999999999998</v>
          </cell>
          <cell r="P858">
            <v>9.4500000000000001E-2</v>
          </cell>
          <cell r="Q858">
            <v>0.38750000000000001</v>
          </cell>
          <cell r="R858" t="str">
            <v>NA</v>
          </cell>
          <cell r="S858" t="str">
            <v>NA</v>
          </cell>
          <cell r="T858">
            <v>58.9</v>
          </cell>
          <cell r="U858">
            <v>4.8</v>
          </cell>
          <cell r="V858">
            <v>77.2</v>
          </cell>
          <cell r="W858">
            <v>7.8</v>
          </cell>
          <cell r="X858" t="str">
            <v>NA</v>
          </cell>
          <cell r="Y858" t="str">
            <v>NA</v>
          </cell>
          <cell r="Z858" t="str">
            <v>NA</v>
          </cell>
          <cell r="AA858" t="str">
            <v>NA</v>
          </cell>
        </row>
        <row r="859">
          <cell r="A859">
            <v>45142</v>
          </cell>
          <cell r="B859" t="str">
            <v>A2</v>
          </cell>
          <cell r="C859">
            <v>1</v>
          </cell>
          <cell r="D859">
            <v>1</v>
          </cell>
          <cell r="E859" t="str">
            <v>ARIS.A2.Aim1.Bin1.RB</v>
          </cell>
          <cell r="F859">
            <v>3</v>
          </cell>
          <cell r="G859" t="str">
            <v>Unweighted</v>
          </cell>
          <cell r="H859" t="str">
            <v>N</v>
          </cell>
          <cell r="I859" t="str">
            <v>N</v>
          </cell>
          <cell r="J859">
            <v>188</v>
          </cell>
          <cell r="K859">
            <v>1</v>
          </cell>
          <cell r="L859">
            <v>0.93540000000000001</v>
          </cell>
          <cell r="M859">
            <v>20</v>
          </cell>
          <cell r="N859">
            <v>5.8</v>
          </cell>
          <cell r="O859">
            <v>6.4600000000000005E-2</v>
          </cell>
          <cell r="P859">
            <v>6.4600000000000005E-2</v>
          </cell>
          <cell r="Q859">
            <v>0</v>
          </cell>
          <cell r="R859" t="str">
            <v>NA</v>
          </cell>
          <cell r="S859" t="str">
            <v>NA</v>
          </cell>
          <cell r="T859">
            <v>58.9</v>
          </cell>
          <cell r="U859">
            <v>4.8</v>
          </cell>
          <cell r="V859">
            <v>77.2</v>
          </cell>
          <cell r="W859">
            <v>7.8</v>
          </cell>
          <cell r="X859" t="str">
            <v>NA</v>
          </cell>
          <cell r="Y859" t="str">
            <v>NA</v>
          </cell>
          <cell r="Z859" t="str">
            <v>NA</v>
          </cell>
          <cell r="AA859" t="str">
            <v>NA</v>
          </cell>
        </row>
        <row r="860">
          <cell r="A860">
            <v>45142</v>
          </cell>
          <cell r="B860" t="str">
            <v>A2</v>
          </cell>
          <cell r="C860">
            <v>2</v>
          </cell>
          <cell r="D860">
            <v>1</v>
          </cell>
          <cell r="E860" t="str">
            <v>ARIS.A2.Aim1.Bin2.RB</v>
          </cell>
          <cell r="F860">
            <v>3</v>
          </cell>
          <cell r="G860" t="str">
            <v>Unweighted</v>
          </cell>
          <cell r="H860" t="str">
            <v>N</v>
          </cell>
          <cell r="I860" t="str">
            <v>N</v>
          </cell>
          <cell r="J860">
            <v>161</v>
          </cell>
          <cell r="K860">
            <v>1</v>
          </cell>
          <cell r="L860">
            <v>0.85519999999999996</v>
          </cell>
          <cell r="M860">
            <v>26.8</v>
          </cell>
          <cell r="N860">
            <v>7.3</v>
          </cell>
          <cell r="O860">
            <v>0.14480000000000001</v>
          </cell>
          <cell r="P860">
            <v>9.9400000000000002E-2</v>
          </cell>
          <cell r="Q860">
            <v>4.5400000000000003E-2</v>
          </cell>
          <cell r="R860" t="str">
            <v>NA</v>
          </cell>
          <cell r="S860" t="str">
            <v>NA</v>
          </cell>
          <cell r="T860">
            <v>58.9</v>
          </cell>
          <cell r="U860">
            <v>4.8</v>
          </cell>
          <cell r="V860">
            <v>77.2</v>
          </cell>
          <cell r="W860">
            <v>7.8</v>
          </cell>
          <cell r="X860" t="str">
            <v>NA</v>
          </cell>
          <cell r="Y860" t="str">
            <v>NA</v>
          </cell>
          <cell r="Z860" t="str">
            <v>NA</v>
          </cell>
          <cell r="AA860" t="str">
            <v>NA</v>
          </cell>
        </row>
        <row r="861">
          <cell r="A861">
            <v>45142</v>
          </cell>
          <cell r="B861" t="str">
            <v>A2</v>
          </cell>
          <cell r="C861">
            <v>3</v>
          </cell>
          <cell r="D861">
            <v>1</v>
          </cell>
          <cell r="E861" t="str">
            <v>ARIS.A2.Aim1.Bin3.RB</v>
          </cell>
          <cell r="F861">
            <v>3</v>
          </cell>
          <cell r="G861" t="str">
            <v>Unweighted</v>
          </cell>
          <cell r="H861" t="str">
            <v>N</v>
          </cell>
          <cell r="I861" t="str">
            <v>N</v>
          </cell>
          <cell r="J861">
            <v>122</v>
          </cell>
          <cell r="K861">
            <v>1</v>
          </cell>
          <cell r="L861">
            <v>0.77900000000000003</v>
          </cell>
          <cell r="M861">
            <v>23.7</v>
          </cell>
          <cell r="N861">
            <v>14.8</v>
          </cell>
          <cell r="O861">
            <v>0.221</v>
          </cell>
          <cell r="P861">
            <v>4.8000000000000001E-2</v>
          </cell>
          <cell r="Q861">
            <v>0.17299999999999999</v>
          </cell>
          <cell r="R861" t="str">
            <v>NA</v>
          </cell>
          <cell r="S861" t="str">
            <v>NA</v>
          </cell>
          <cell r="T861">
            <v>58.9</v>
          </cell>
          <cell r="U861">
            <v>4.8</v>
          </cell>
          <cell r="V861">
            <v>77.2</v>
          </cell>
          <cell r="W861">
            <v>7.8</v>
          </cell>
          <cell r="X861" t="str">
            <v>NA</v>
          </cell>
          <cell r="Y861" t="str">
            <v>NA</v>
          </cell>
          <cell r="Z861" t="str">
            <v>NA</v>
          </cell>
          <cell r="AA861" t="str">
            <v>NA</v>
          </cell>
        </row>
        <row r="862">
          <cell r="A862">
            <v>45142</v>
          </cell>
          <cell r="B862" t="str">
            <v>A2</v>
          </cell>
          <cell r="C862">
            <v>4</v>
          </cell>
          <cell r="D862">
            <v>1</v>
          </cell>
          <cell r="E862" t="str">
            <v>ARIS.A2.Aim1.Bin4.RB</v>
          </cell>
          <cell r="F862">
            <v>3</v>
          </cell>
          <cell r="G862" t="str">
            <v>Unweighted</v>
          </cell>
          <cell r="H862" t="str">
            <v>N</v>
          </cell>
          <cell r="I862" t="str">
            <v>N</v>
          </cell>
          <cell r="J862">
            <v>122</v>
          </cell>
          <cell r="K862">
            <v>1</v>
          </cell>
          <cell r="L862">
            <v>0.77900000000000003</v>
          </cell>
          <cell r="M862">
            <v>23.7</v>
          </cell>
          <cell r="N862">
            <v>14.8</v>
          </cell>
          <cell r="O862">
            <v>0.221</v>
          </cell>
          <cell r="P862">
            <v>4.8000000000000001E-2</v>
          </cell>
          <cell r="Q862">
            <v>0.17299999999999999</v>
          </cell>
          <cell r="R862" t="str">
            <v>NA</v>
          </cell>
          <cell r="S862" t="str">
            <v>NA</v>
          </cell>
          <cell r="T862">
            <v>58.9</v>
          </cell>
          <cell r="U862">
            <v>4.8</v>
          </cell>
          <cell r="V862">
            <v>77.2</v>
          </cell>
          <cell r="W862">
            <v>7.8</v>
          </cell>
          <cell r="X862" t="str">
            <v>NA</v>
          </cell>
          <cell r="Y862" t="str">
            <v>NA</v>
          </cell>
          <cell r="Z862" t="str">
            <v>NA</v>
          </cell>
          <cell r="AA862" t="str">
            <v>NA</v>
          </cell>
        </row>
        <row r="863">
          <cell r="A863">
            <v>45142</v>
          </cell>
          <cell r="B863" t="str">
            <v>A2</v>
          </cell>
          <cell r="C863">
            <v>1</v>
          </cell>
          <cell r="D863">
            <v>1</v>
          </cell>
          <cell r="E863" t="str">
            <v>ARIS.A2.Aim1.Bin1.RB</v>
          </cell>
          <cell r="F863">
            <v>3</v>
          </cell>
          <cell r="G863" t="str">
            <v>SplineDFA</v>
          </cell>
          <cell r="H863" t="str">
            <v>N</v>
          </cell>
          <cell r="I863" t="str">
            <v>N</v>
          </cell>
          <cell r="J863">
            <v>188</v>
          </cell>
          <cell r="K863">
            <v>1</v>
          </cell>
          <cell r="L863">
            <v>0.94510000000000005</v>
          </cell>
          <cell r="M863">
            <v>23.7</v>
          </cell>
          <cell r="N863">
            <v>2.7</v>
          </cell>
          <cell r="O863">
            <v>5.4899999999999997E-2</v>
          </cell>
          <cell r="P863">
            <v>5.4899999999999997E-2</v>
          </cell>
          <cell r="Q863">
            <v>0</v>
          </cell>
          <cell r="R863" t="str">
            <v>NA</v>
          </cell>
          <cell r="S863" t="str">
            <v>NA</v>
          </cell>
          <cell r="T863">
            <v>58.9</v>
          </cell>
          <cell r="U863">
            <v>4.8</v>
          </cell>
          <cell r="V863">
            <v>77.2</v>
          </cell>
          <cell r="W863">
            <v>7.8</v>
          </cell>
          <cell r="X863" t="str">
            <v>NA</v>
          </cell>
          <cell r="Y863" t="str">
            <v>NA</v>
          </cell>
          <cell r="Z863" t="str">
            <v>NA</v>
          </cell>
          <cell r="AA863" t="str">
            <v>NA</v>
          </cell>
        </row>
        <row r="864">
          <cell r="A864">
            <v>45142</v>
          </cell>
          <cell r="B864" t="str">
            <v>A2</v>
          </cell>
          <cell r="C864">
            <v>2</v>
          </cell>
          <cell r="D864">
            <v>1</v>
          </cell>
          <cell r="E864" t="str">
            <v>ARIS.A2.Aim1.Bin2.RB</v>
          </cell>
          <cell r="F864">
            <v>3</v>
          </cell>
          <cell r="G864" t="str">
            <v>SplineDFA</v>
          </cell>
          <cell r="H864" t="str">
            <v>N</v>
          </cell>
          <cell r="I864" t="str">
            <v>N</v>
          </cell>
          <cell r="J864">
            <v>161</v>
          </cell>
          <cell r="K864">
            <v>1</v>
          </cell>
          <cell r="L864">
            <v>0.80010000000000003</v>
          </cell>
          <cell r="M864">
            <v>23.7</v>
          </cell>
          <cell r="N864">
            <v>2.7</v>
          </cell>
          <cell r="O864">
            <v>0.19989999999999999</v>
          </cell>
          <cell r="P864">
            <v>0.1411</v>
          </cell>
          <cell r="Q864">
            <v>5.8799999999999998E-2</v>
          </cell>
          <cell r="R864" t="str">
            <v>NA</v>
          </cell>
          <cell r="S864" t="str">
            <v>NA</v>
          </cell>
          <cell r="T864">
            <v>58.9</v>
          </cell>
          <cell r="U864">
            <v>4.8</v>
          </cell>
          <cell r="V864">
            <v>77.2</v>
          </cell>
          <cell r="W864">
            <v>7.8</v>
          </cell>
          <cell r="X864" t="str">
            <v>NA</v>
          </cell>
          <cell r="Y864" t="str">
            <v>NA</v>
          </cell>
          <cell r="Z864" t="str">
            <v>NA</v>
          </cell>
          <cell r="AA864" t="str">
            <v>NA</v>
          </cell>
        </row>
        <row r="865">
          <cell r="A865">
            <v>45142</v>
          </cell>
          <cell r="B865" t="str">
            <v>A2</v>
          </cell>
          <cell r="C865">
            <v>3</v>
          </cell>
          <cell r="D865">
            <v>1</v>
          </cell>
          <cell r="E865" t="str">
            <v>ARIS.A2.Aim1.Bin3.RB</v>
          </cell>
          <cell r="F865">
            <v>3</v>
          </cell>
          <cell r="G865" t="str">
            <v>SplineDFA</v>
          </cell>
          <cell r="H865" t="str">
            <v>N</v>
          </cell>
          <cell r="I865" t="str">
            <v>N</v>
          </cell>
          <cell r="J865">
            <v>122</v>
          </cell>
          <cell r="K865">
            <v>1.0001</v>
          </cell>
          <cell r="L865">
            <v>0.46450000000000002</v>
          </cell>
          <cell r="M865">
            <v>23.7</v>
          </cell>
          <cell r="N865">
            <v>2.7</v>
          </cell>
          <cell r="O865">
            <v>0.53559999999999997</v>
          </cell>
          <cell r="P865">
            <v>0.38140000000000002</v>
          </cell>
          <cell r="Q865">
            <v>0.1542</v>
          </cell>
          <cell r="R865" t="str">
            <v>NA</v>
          </cell>
          <cell r="S865" t="str">
            <v>NA</v>
          </cell>
          <cell r="T865">
            <v>58.9</v>
          </cell>
          <cell r="U865">
            <v>4.8</v>
          </cell>
          <cell r="V865">
            <v>77.2</v>
          </cell>
          <cell r="W865">
            <v>7.8</v>
          </cell>
          <cell r="X865" t="str">
            <v>NA</v>
          </cell>
          <cell r="Y865" t="str">
            <v>NA</v>
          </cell>
          <cell r="Z865" t="str">
            <v>NA</v>
          </cell>
          <cell r="AA865" t="str">
            <v>NA</v>
          </cell>
        </row>
        <row r="866">
          <cell r="A866">
            <v>45142</v>
          </cell>
          <cell r="B866" t="str">
            <v>A2</v>
          </cell>
          <cell r="C866">
            <v>4</v>
          </cell>
          <cell r="D866">
            <v>1</v>
          </cell>
          <cell r="E866" t="str">
            <v>ARIS.A2.Aim1.Bin4.RB</v>
          </cell>
          <cell r="F866">
            <v>3</v>
          </cell>
          <cell r="G866" t="str">
            <v>SplineDFA</v>
          </cell>
          <cell r="H866" t="str">
            <v>N</v>
          </cell>
          <cell r="I866" t="str">
            <v>N</v>
          </cell>
          <cell r="J866">
            <v>122</v>
          </cell>
          <cell r="K866">
            <v>1.0001</v>
          </cell>
          <cell r="L866">
            <v>0.46450000000000002</v>
          </cell>
          <cell r="M866">
            <v>23.7</v>
          </cell>
          <cell r="N866">
            <v>2.7</v>
          </cell>
          <cell r="O866">
            <v>0.53559999999999997</v>
          </cell>
          <cell r="P866">
            <v>0.38140000000000002</v>
          </cell>
          <cell r="Q866">
            <v>0.1542</v>
          </cell>
          <cell r="R866" t="str">
            <v>NA</v>
          </cell>
          <cell r="S866" t="str">
            <v>NA</v>
          </cell>
          <cell r="T866">
            <v>58.9</v>
          </cell>
          <cell r="U866">
            <v>4.8</v>
          </cell>
          <cell r="V866">
            <v>77.2</v>
          </cell>
          <cell r="W866">
            <v>7.8</v>
          </cell>
          <cell r="X866" t="str">
            <v>NA</v>
          </cell>
          <cell r="Y866" t="str">
            <v>NA</v>
          </cell>
          <cell r="Z866" t="str">
            <v>NA</v>
          </cell>
          <cell r="AA866" t="str">
            <v>NA</v>
          </cell>
        </row>
        <row r="867">
          <cell r="A867">
            <v>45142</v>
          </cell>
          <cell r="B867" t="str">
            <v>A1</v>
          </cell>
          <cell r="C867">
            <v>1</v>
          </cell>
          <cell r="D867">
            <v>1</v>
          </cell>
          <cell r="E867" t="str">
            <v>ARIS.A1.Aim1.Bin1.LB</v>
          </cell>
          <cell r="F867">
            <v>4</v>
          </cell>
          <cell r="G867" t="str">
            <v>Unweighted</v>
          </cell>
          <cell r="H867" t="str">
            <v>N</v>
          </cell>
          <cell r="I867" t="str">
            <v>Y</v>
          </cell>
          <cell r="J867">
            <v>148</v>
          </cell>
          <cell r="K867">
            <v>1</v>
          </cell>
          <cell r="L867">
            <v>0.86699999999999999</v>
          </cell>
          <cell r="M867">
            <v>17.3</v>
          </cell>
          <cell r="N867">
            <v>7.1</v>
          </cell>
          <cell r="O867">
            <v>0.13300000000000001</v>
          </cell>
          <cell r="P867">
            <v>0</v>
          </cell>
          <cell r="Q867">
            <v>1.0999999999999999E-2</v>
          </cell>
          <cell r="R867">
            <v>0.122</v>
          </cell>
          <cell r="S867" t="str">
            <v>NA</v>
          </cell>
          <cell r="T867">
            <v>59.4</v>
          </cell>
          <cell r="U867">
            <v>4.8</v>
          </cell>
          <cell r="V867">
            <v>74.900000000000006</v>
          </cell>
          <cell r="W867">
            <v>7.6</v>
          </cell>
          <cell r="X867">
            <v>52.4</v>
          </cell>
          <cell r="Y867">
            <v>6.8</v>
          </cell>
          <cell r="Z867" t="str">
            <v>NA</v>
          </cell>
          <cell r="AA867" t="str">
            <v>NA</v>
          </cell>
        </row>
        <row r="868">
          <cell r="A868">
            <v>45142</v>
          </cell>
          <cell r="B868" t="str">
            <v>A1</v>
          </cell>
          <cell r="C868">
            <v>1</v>
          </cell>
          <cell r="D868">
            <v>2</v>
          </cell>
          <cell r="E868" t="str">
            <v>ARIS.A1.Aim2.Bin1.LB</v>
          </cell>
          <cell r="F868">
            <v>4</v>
          </cell>
          <cell r="G868" t="str">
            <v>Unweighted</v>
          </cell>
          <cell r="H868" t="str">
            <v>N</v>
          </cell>
          <cell r="I868" t="str">
            <v>Y</v>
          </cell>
          <cell r="J868">
            <v>152</v>
          </cell>
          <cell r="K868">
            <v>1</v>
          </cell>
          <cell r="L868">
            <v>0.86870000000000003</v>
          </cell>
          <cell r="M868">
            <v>14.8</v>
          </cell>
          <cell r="N868">
            <v>5.9</v>
          </cell>
          <cell r="O868">
            <v>0.1313</v>
          </cell>
          <cell r="P868">
            <v>6.5000000000000002E-2</v>
          </cell>
          <cell r="Q868">
            <v>0</v>
          </cell>
          <cell r="R868">
            <v>6.6299999999999998E-2</v>
          </cell>
          <cell r="S868" t="str">
            <v>NA</v>
          </cell>
          <cell r="T868">
            <v>59.4</v>
          </cell>
          <cell r="U868">
            <v>4.8</v>
          </cell>
          <cell r="V868">
            <v>74.900000000000006</v>
          </cell>
          <cell r="W868">
            <v>7.6</v>
          </cell>
          <cell r="X868">
            <v>52.4</v>
          </cell>
          <cell r="Y868">
            <v>6.8</v>
          </cell>
          <cell r="Z868" t="str">
            <v>NA</v>
          </cell>
          <cell r="AA868" t="str">
            <v>NA</v>
          </cell>
        </row>
        <row r="869">
          <cell r="A869">
            <v>45142</v>
          </cell>
          <cell r="B869" t="str">
            <v>A1</v>
          </cell>
          <cell r="C869">
            <v>1</v>
          </cell>
          <cell r="D869" t="str">
            <v>1&amp;2</v>
          </cell>
          <cell r="E869" t="str">
            <v>ARIS.A1.Aim1&amp;Aim2.Bin1.LB</v>
          </cell>
          <cell r="F869">
            <v>4</v>
          </cell>
          <cell r="G869" t="str">
            <v>Unweighted</v>
          </cell>
          <cell r="H869" t="str">
            <v>N</v>
          </cell>
          <cell r="I869" t="str">
            <v>Y</v>
          </cell>
          <cell r="J869">
            <v>300</v>
          </cell>
          <cell r="K869">
            <v>1</v>
          </cell>
          <cell r="L869">
            <v>0.92149999999999999</v>
          </cell>
          <cell r="M869">
            <v>17.3</v>
          </cell>
          <cell r="N869">
            <v>8.6</v>
          </cell>
          <cell r="O869">
            <v>7.85E-2</v>
          </cell>
          <cell r="P869">
            <v>4.4400000000000002E-2</v>
          </cell>
          <cell r="Q869">
            <v>4.1000000000000003E-3</v>
          </cell>
          <cell r="R869">
            <v>0.03</v>
          </cell>
          <cell r="S869" t="str">
            <v>NA</v>
          </cell>
          <cell r="T869">
            <v>59.4</v>
          </cell>
          <cell r="U869">
            <v>4.8</v>
          </cell>
          <cell r="V869">
            <v>74.900000000000006</v>
          </cell>
          <cell r="W869">
            <v>7.6</v>
          </cell>
          <cell r="X869">
            <v>52.4</v>
          </cell>
          <cell r="Y869">
            <v>6.8</v>
          </cell>
          <cell r="Z869" t="str">
            <v>NA</v>
          </cell>
          <cell r="AA869" t="str">
            <v>NA</v>
          </cell>
        </row>
        <row r="870">
          <cell r="A870">
            <v>45142</v>
          </cell>
          <cell r="B870" t="str">
            <v>A1</v>
          </cell>
          <cell r="C870">
            <v>2</v>
          </cell>
          <cell r="D870">
            <v>3</v>
          </cell>
          <cell r="E870" t="str">
            <v>ARIS.A1.Aim3.Bin2.LB</v>
          </cell>
          <cell r="F870">
            <v>4</v>
          </cell>
          <cell r="G870" t="str">
            <v>Unweighted</v>
          </cell>
          <cell r="H870" t="str">
            <v>N</v>
          </cell>
          <cell r="I870" t="str">
            <v>Y</v>
          </cell>
          <cell r="J870">
            <v>145</v>
          </cell>
          <cell r="K870">
            <v>1</v>
          </cell>
          <cell r="L870">
            <v>0.6048</v>
          </cell>
          <cell r="M870">
            <v>26.8</v>
          </cell>
          <cell r="N870">
            <v>7.2</v>
          </cell>
          <cell r="O870">
            <v>0.3952</v>
          </cell>
          <cell r="P870">
            <v>0.18729999999999999</v>
          </cell>
          <cell r="Q870">
            <v>8.2699999999999996E-2</v>
          </cell>
          <cell r="R870">
            <v>0.12520000000000001</v>
          </cell>
          <cell r="S870" t="str">
            <v>NA</v>
          </cell>
          <cell r="T870">
            <v>59.4</v>
          </cell>
          <cell r="U870">
            <v>4.8</v>
          </cell>
          <cell r="V870">
            <v>74.900000000000006</v>
          </cell>
          <cell r="W870">
            <v>7.6</v>
          </cell>
          <cell r="X870">
            <v>52.4</v>
          </cell>
          <cell r="Y870">
            <v>6.8</v>
          </cell>
          <cell r="Z870" t="str">
            <v>NA</v>
          </cell>
          <cell r="AA870" t="str">
            <v>NA</v>
          </cell>
        </row>
        <row r="871">
          <cell r="A871">
            <v>45142</v>
          </cell>
          <cell r="B871" t="str">
            <v>A1</v>
          </cell>
          <cell r="C871">
            <v>3</v>
          </cell>
          <cell r="D871">
            <v>3</v>
          </cell>
          <cell r="E871" t="str">
            <v>ARIS.A1.Aim3.Bin3.LB</v>
          </cell>
          <cell r="F871">
            <v>4</v>
          </cell>
          <cell r="G871" t="str">
            <v>Unweighted</v>
          </cell>
          <cell r="H871" t="str">
            <v>N</v>
          </cell>
          <cell r="I871" t="str">
            <v>Y</v>
          </cell>
          <cell r="J871">
            <v>112</v>
          </cell>
          <cell r="K871">
            <v>1</v>
          </cell>
          <cell r="L871">
            <v>0.191</v>
          </cell>
          <cell r="M871">
            <v>29.7</v>
          </cell>
          <cell r="N871">
            <v>2.4</v>
          </cell>
          <cell r="O871">
            <v>0.80900000000000005</v>
          </cell>
          <cell r="P871">
            <v>0</v>
          </cell>
          <cell r="Q871">
            <v>0.40060000000000001</v>
          </cell>
          <cell r="R871">
            <v>0.40839999999999999</v>
          </cell>
          <cell r="S871" t="str">
            <v>NA</v>
          </cell>
          <cell r="T871">
            <v>59.4</v>
          </cell>
          <cell r="U871">
            <v>4.8</v>
          </cell>
          <cell r="V871">
            <v>74.900000000000006</v>
          </cell>
          <cell r="W871">
            <v>7.6</v>
          </cell>
          <cell r="X871">
            <v>52.4</v>
          </cell>
          <cell r="Y871">
            <v>6.8</v>
          </cell>
          <cell r="Z871" t="str">
            <v>NA</v>
          </cell>
          <cell r="AA871" t="str">
            <v>NA</v>
          </cell>
        </row>
        <row r="872">
          <cell r="A872">
            <v>45142</v>
          </cell>
          <cell r="B872" t="str">
            <v>A1</v>
          </cell>
          <cell r="C872">
            <v>4</v>
          </cell>
          <cell r="D872">
            <v>3</v>
          </cell>
          <cell r="E872" t="str">
            <v>ARIS.A1.Aim3.Bin4.LB</v>
          </cell>
          <cell r="F872">
            <v>4</v>
          </cell>
          <cell r="G872" t="str">
            <v>Unweighted</v>
          </cell>
          <cell r="H872" t="str">
            <v>N</v>
          </cell>
          <cell r="I872" t="str">
            <v>Y</v>
          </cell>
          <cell r="J872">
            <v>112</v>
          </cell>
          <cell r="K872">
            <v>1</v>
          </cell>
          <cell r="L872">
            <v>0.191</v>
          </cell>
          <cell r="M872">
            <v>29.7</v>
          </cell>
          <cell r="N872">
            <v>2.4</v>
          </cell>
          <cell r="O872">
            <v>0.80900000000000005</v>
          </cell>
          <cell r="P872">
            <v>0</v>
          </cell>
          <cell r="Q872">
            <v>0.40060000000000001</v>
          </cell>
          <cell r="R872">
            <v>0.40839999999999999</v>
          </cell>
          <cell r="S872" t="str">
            <v>NA</v>
          </cell>
          <cell r="T872">
            <v>59.4</v>
          </cell>
          <cell r="U872">
            <v>4.8</v>
          </cell>
          <cell r="V872">
            <v>74.900000000000006</v>
          </cell>
          <cell r="W872">
            <v>7.6</v>
          </cell>
          <cell r="X872">
            <v>52.4</v>
          </cell>
          <cell r="Y872">
            <v>6.8</v>
          </cell>
          <cell r="Z872" t="str">
            <v>NA</v>
          </cell>
          <cell r="AA872" t="str">
            <v>NA</v>
          </cell>
        </row>
        <row r="873">
          <cell r="A873">
            <v>45142</v>
          </cell>
          <cell r="B873" t="str">
            <v>A2</v>
          </cell>
          <cell r="C873">
            <v>1</v>
          </cell>
          <cell r="D873">
            <v>1</v>
          </cell>
          <cell r="E873" t="str">
            <v>ARIS.A2.Aim1.Bin1.RB</v>
          </cell>
          <cell r="F873">
            <v>4</v>
          </cell>
          <cell r="G873" t="str">
            <v>Unweighted</v>
          </cell>
          <cell r="H873" t="str">
            <v>N</v>
          </cell>
          <cell r="I873" t="str">
            <v>Y</v>
          </cell>
          <cell r="J873">
            <v>188</v>
          </cell>
          <cell r="K873">
            <v>1</v>
          </cell>
          <cell r="L873">
            <v>0.91439999999999999</v>
          </cell>
          <cell r="M873">
            <v>19.7</v>
          </cell>
          <cell r="N873">
            <v>5.5</v>
          </cell>
          <cell r="O873">
            <v>8.5599999999999996E-2</v>
          </cell>
          <cell r="P873">
            <v>1.9199999999999998E-2</v>
          </cell>
          <cell r="Q873">
            <v>0</v>
          </cell>
          <cell r="R873">
            <v>6.6400000000000001E-2</v>
          </cell>
          <cell r="S873" t="str">
            <v>NA</v>
          </cell>
          <cell r="T873">
            <v>59.4</v>
          </cell>
          <cell r="U873">
            <v>4.8</v>
          </cell>
          <cell r="V873">
            <v>74.900000000000006</v>
          </cell>
          <cell r="W873">
            <v>7.6</v>
          </cell>
          <cell r="X873">
            <v>52.4</v>
          </cell>
          <cell r="Y873">
            <v>6.8</v>
          </cell>
          <cell r="Z873" t="str">
            <v>NA</v>
          </cell>
          <cell r="AA873" t="str">
            <v>NA</v>
          </cell>
        </row>
        <row r="874">
          <cell r="A874">
            <v>45142</v>
          </cell>
          <cell r="B874" t="str">
            <v>A2</v>
          </cell>
          <cell r="C874">
            <v>2</v>
          </cell>
          <cell r="D874">
            <v>1</v>
          </cell>
          <cell r="E874" t="str">
            <v>ARIS.A2.Aim1.Bin2.RB</v>
          </cell>
          <cell r="F874">
            <v>4</v>
          </cell>
          <cell r="G874" t="str">
            <v>Unweighted</v>
          </cell>
          <cell r="H874" t="str">
            <v>N</v>
          </cell>
          <cell r="I874" t="str">
            <v>Y</v>
          </cell>
          <cell r="J874">
            <v>161</v>
          </cell>
          <cell r="K874">
            <v>0.99990000000000001</v>
          </cell>
          <cell r="L874">
            <v>0.82779999999999998</v>
          </cell>
          <cell r="M874">
            <v>26.2</v>
          </cell>
          <cell r="N874">
            <v>6.6</v>
          </cell>
          <cell r="O874">
            <v>0.1721</v>
          </cell>
          <cell r="P874">
            <v>1.46E-2</v>
          </cell>
          <cell r="Q874">
            <v>5.4399999999999997E-2</v>
          </cell>
          <cell r="R874">
            <v>0.1031</v>
          </cell>
          <cell r="S874" t="str">
            <v>NA</v>
          </cell>
          <cell r="T874">
            <v>59.4</v>
          </cell>
          <cell r="U874">
            <v>4.8</v>
          </cell>
          <cell r="V874">
            <v>74.900000000000006</v>
          </cell>
          <cell r="W874">
            <v>7.6</v>
          </cell>
          <cell r="X874">
            <v>52.4</v>
          </cell>
          <cell r="Y874">
            <v>6.8</v>
          </cell>
          <cell r="Z874" t="str">
            <v>NA</v>
          </cell>
          <cell r="AA874" t="str">
            <v>NA</v>
          </cell>
        </row>
        <row r="875">
          <cell r="A875">
            <v>45142</v>
          </cell>
          <cell r="B875" t="str">
            <v>A2</v>
          </cell>
          <cell r="C875">
            <v>3</v>
          </cell>
          <cell r="D875">
            <v>1</v>
          </cell>
          <cell r="E875" t="str">
            <v>ARIS.A2.Aim1.Bin3.RB</v>
          </cell>
          <cell r="F875">
            <v>4</v>
          </cell>
          <cell r="G875" t="str">
            <v>Unweighted</v>
          </cell>
          <cell r="H875" t="str">
            <v>N</v>
          </cell>
          <cell r="I875" t="str">
            <v>Y</v>
          </cell>
          <cell r="J875">
            <v>122</v>
          </cell>
          <cell r="K875">
            <v>1</v>
          </cell>
          <cell r="L875">
            <v>0.36780000000000002</v>
          </cell>
          <cell r="M875">
            <v>28.1</v>
          </cell>
          <cell r="N875">
            <v>4.5999999999999996</v>
          </cell>
          <cell r="O875">
            <v>0.63219999999999998</v>
          </cell>
          <cell r="P875">
            <v>0</v>
          </cell>
          <cell r="Q875">
            <v>0.1802</v>
          </cell>
          <cell r="R875">
            <v>0.45200000000000001</v>
          </cell>
          <cell r="S875" t="str">
            <v>NA</v>
          </cell>
          <cell r="T875">
            <v>59.4</v>
          </cell>
          <cell r="U875">
            <v>4.8</v>
          </cell>
          <cell r="V875">
            <v>74.900000000000006</v>
          </cell>
          <cell r="W875">
            <v>7.6</v>
          </cell>
          <cell r="X875">
            <v>52.4</v>
          </cell>
          <cell r="Y875">
            <v>6.8</v>
          </cell>
          <cell r="Z875" t="str">
            <v>NA</v>
          </cell>
          <cell r="AA875" t="str">
            <v>NA</v>
          </cell>
        </row>
        <row r="876">
          <cell r="A876">
            <v>45142</v>
          </cell>
          <cell r="B876" t="str">
            <v>A2</v>
          </cell>
          <cell r="C876">
            <v>4</v>
          </cell>
          <cell r="D876">
            <v>1</v>
          </cell>
          <cell r="E876" t="str">
            <v>ARIS.A2.Aim1.Bin4.RB</v>
          </cell>
          <cell r="F876">
            <v>4</v>
          </cell>
          <cell r="G876" t="str">
            <v>Unweighted</v>
          </cell>
          <cell r="H876" t="str">
            <v>N</v>
          </cell>
          <cell r="I876" t="str">
            <v>Y</v>
          </cell>
          <cell r="J876">
            <v>122</v>
          </cell>
          <cell r="K876">
            <v>1</v>
          </cell>
          <cell r="L876">
            <v>0.36780000000000002</v>
          </cell>
          <cell r="M876">
            <v>28.1</v>
          </cell>
          <cell r="N876">
            <v>4.5999999999999996</v>
          </cell>
          <cell r="O876">
            <v>0.63219999999999998</v>
          </cell>
          <cell r="P876">
            <v>0</v>
          </cell>
          <cell r="Q876">
            <v>0.1802</v>
          </cell>
          <cell r="R876">
            <v>0.45200000000000001</v>
          </cell>
          <cell r="S876" t="str">
            <v>NA</v>
          </cell>
          <cell r="T876">
            <v>59.4</v>
          </cell>
          <cell r="U876">
            <v>4.8</v>
          </cell>
          <cell r="V876">
            <v>74.900000000000006</v>
          </cell>
          <cell r="W876">
            <v>7.6</v>
          </cell>
          <cell r="X876">
            <v>52.4</v>
          </cell>
          <cell r="Y876">
            <v>6.8</v>
          </cell>
          <cell r="Z876" t="str">
            <v>NA</v>
          </cell>
          <cell r="AA876" t="str">
            <v>NA</v>
          </cell>
        </row>
        <row r="877">
          <cell r="A877">
            <v>45142</v>
          </cell>
          <cell r="B877" t="str">
            <v>A1</v>
          </cell>
          <cell r="C877">
            <v>1</v>
          </cell>
          <cell r="D877">
            <v>1</v>
          </cell>
          <cell r="E877" t="str">
            <v>ARIS.A1.Aim1.Bin1.LB</v>
          </cell>
          <cell r="F877">
            <v>4</v>
          </cell>
          <cell r="G877" t="str">
            <v>SplineDFA</v>
          </cell>
          <cell r="H877" t="str">
            <v>Y</v>
          </cell>
          <cell r="I877" t="str">
            <v>N</v>
          </cell>
          <cell r="J877">
            <v>148</v>
          </cell>
          <cell r="K877">
            <v>1</v>
          </cell>
          <cell r="L877">
            <v>0.87709999999999999</v>
          </cell>
          <cell r="M877">
            <v>23.7</v>
          </cell>
          <cell r="N877">
            <v>2.7</v>
          </cell>
          <cell r="O877">
            <v>0.1229</v>
          </cell>
          <cell r="P877">
            <v>2.4899999999999999E-2</v>
          </cell>
          <cell r="Q877">
            <v>1.2500000000000001E-2</v>
          </cell>
          <cell r="R877">
            <v>8.5500000000000007E-2</v>
          </cell>
          <cell r="S877" t="str">
            <v>NA</v>
          </cell>
          <cell r="T877">
            <v>59.4</v>
          </cell>
          <cell r="U877">
            <v>4.8</v>
          </cell>
          <cell r="V877">
            <v>74.900000000000006</v>
          </cell>
          <cell r="W877">
            <v>7.6</v>
          </cell>
          <cell r="X877">
            <v>52.4</v>
          </cell>
          <cell r="Y877">
            <v>6.8</v>
          </cell>
          <cell r="Z877" t="str">
            <v>NA</v>
          </cell>
          <cell r="AA877" t="str">
            <v>NA</v>
          </cell>
        </row>
        <row r="878">
          <cell r="A878">
            <v>45142</v>
          </cell>
          <cell r="B878" t="str">
            <v>A1</v>
          </cell>
          <cell r="C878">
            <v>1</v>
          </cell>
          <cell r="D878">
            <v>2</v>
          </cell>
          <cell r="E878" t="str">
            <v>ARIS.A1.Aim2.Bin1.LB</v>
          </cell>
          <cell r="F878">
            <v>4</v>
          </cell>
          <cell r="G878" t="str">
            <v>SplineDFA</v>
          </cell>
          <cell r="H878" t="str">
            <v>Y</v>
          </cell>
          <cell r="I878" t="str">
            <v>N</v>
          </cell>
          <cell r="J878">
            <v>152</v>
          </cell>
          <cell r="K878">
            <v>1</v>
          </cell>
          <cell r="L878">
            <v>0.92820000000000003</v>
          </cell>
          <cell r="M878">
            <v>23.7</v>
          </cell>
          <cell r="N878">
            <v>2.7</v>
          </cell>
          <cell r="O878">
            <v>7.1800000000000003E-2</v>
          </cell>
          <cell r="P878">
            <v>5.1200000000000002E-2</v>
          </cell>
          <cell r="Q878">
            <v>4.3E-3</v>
          </cell>
          <cell r="R878">
            <v>1.6299999999999999E-2</v>
          </cell>
          <cell r="S878" t="str">
            <v>NA</v>
          </cell>
          <cell r="T878">
            <v>59.4</v>
          </cell>
          <cell r="U878">
            <v>4.8</v>
          </cell>
          <cell r="V878">
            <v>74.900000000000006</v>
          </cell>
          <cell r="W878">
            <v>7.6</v>
          </cell>
          <cell r="X878">
            <v>52.4</v>
          </cell>
          <cell r="Y878">
            <v>6.8</v>
          </cell>
          <cell r="Z878" t="str">
            <v>NA</v>
          </cell>
          <cell r="AA878" t="str">
            <v>NA</v>
          </cell>
        </row>
        <row r="879">
          <cell r="A879">
            <v>45142</v>
          </cell>
          <cell r="B879" t="str">
            <v>A1</v>
          </cell>
          <cell r="C879">
            <v>2</v>
          </cell>
          <cell r="D879">
            <v>3</v>
          </cell>
          <cell r="E879" t="str">
            <v>ARIS.A1.Aim3.Bin2.LB</v>
          </cell>
          <cell r="F879">
            <v>4</v>
          </cell>
          <cell r="G879" t="str">
            <v>SplineDFA</v>
          </cell>
          <cell r="H879" t="str">
            <v>Y</v>
          </cell>
          <cell r="I879" t="str">
            <v>N</v>
          </cell>
          <cell r="J879">
            <v>145</v>
          </cell>
          <cell r="K879">
            <v>1</v>
          </cell>
          <cell r="L879">
            <v>0.41020000000000001</v>
          </cell>
          <cell r="M879">
            <v>23.7</v>
          </cell>
          <cell r="N879">
            <v>2.7</v>
          </cell>
          <cell r="O879">
            <v>0.58979999999999999</v>
          </cell>
          <cell r="P879">
            <v>0.2366</v>
          </cell>
          <cell r="Q879">
            <v>0.12189999999999999</v>
          </cell>
          <cell r="R879">
            <v>0.23130000000000001</v>
          </cell>
          <cell r="S879" t="str">
            <v>NA</v>
          </cell>
          <cell r="T879">
            <v>59.4</v>
          </cell>
          <cell r="U879">
            <v>4.8</v>
          </cell>
          <cell r="V879">
            <v>74.900000000000006</v>
          </cell>
          <cell r="W879">
            <v>7.6</v>
          </cell>
          <cell r="X879">
            <v>52.4</v>
          </cell>
          <cell r="Y879">
            <v>6.8</v>
          </cell>
          <cell r="Z879" t="str">
            <v>NA</v>
          </cell>
          <cell r="AA879" t="str">
            <v>NA</v>
          </cell>
        </row>
        <row r="880">
          <cell r="A880">
            <v>45142</v>
          </cell>
          <cell r="B880" t="str">
            <v>A1</v>
          </cell>
          <cell r="C880">
            <v>3</v>
          </cell>
          <cell r="D880">
            <v>3</v>
          </cell>
          <cell r="E880" t="str">
            <v>ARIS.A1.Aim3.Bin3.LB</v>
          </cell>
          <cell r="F880">
            <v>4</v>
          </cell>
          <cell r="G880" t="str">
            <v>SplineDFA</v>
          </cell>
          <cell r="H880" t="str">
            <v>Y</v>
          </cell>
          <cell r="I880" t="str">
            <v>N</v>
          </cell>
          <cell r="J880">
            <v>112</v>
          </cell>
          <cell r="K880">
            <v>1.0001</v>
          </cell>
          <cell r="L880">
            <v>8.5800000000000001E-2</v>
          </cell>
          <cell r="M880">
            <v>23.7</v>
          </cell>
          <cell r="N880">
            <v>2.7</v>
          </cell>
          <cell r="O880">
            <v>0.9143</v>
          </cell>
          <cell r="P880">
            <v>0.10340000000000001</v>
          </cell>
          <cell r="Q880">
            <v>0.41339999999999999</v>
          </cell>
          <cell r="R880">
            <v>0.39750000000000002</v>
          </cell>
          <cell r="S880" t="str">
            <v>NA</v>
          </cell>
          <cell r="T880">
            <v>59.4</v>
          </cell>
          <cell r="U880">
            <v>4.8</v>
          </cell>
          <cell r="V880">
            <v>74.900000000000006</v>
          </cell>
          <cell r="W880">
            <v>7.6</v>
          </cell>
          <cell r="X880">
            <v>52.4</v>
          </cell>
          <cell r="Y880">
            <v>6.8</v>
          </cell>
          <cell r="Z880" t="str">
            <v>NA</v>
          </cell>
          <cell r="AA880" t="str">
            <v>NA</v>
          </cell>
        </row>
        <row r="881">
          <cell r="A881">
            <v>45142</v>
          </cell>
          <cell r="B881" t="str">
            <v>A1</v>
          </cell>
          <cell r="C881">
            <v>4</v>
          </cell>
          <cell r="D881">
            <v>3</v>
          </cell>
          <cell r="E881" t="str">
            <v>ARIS.A1.Aim3.Bin4.LB</v>
          </cell>
          <cell r="F881">
            <v>4</v>
          </cell>
          <cell r="G881" t="str">
            <v>SplineDFA</v>
          </cell>
          <cell r="H881" t="str">
            <v>Y</v>
          </cell>
          <cell r="I881" t="str">
            <v>N</v>
          </cell>
          <cell r="J881">
            <v>112</v>
          </cell>
          <cell r="K881">
            <v>1.0001</v>
          </cell>
          <cell r="L881">
            <v>8.5800000000000001E-2</v>
          </cell>
          <cell r="M881">
            <v>23.7</v>
          </cell>
          <cell r="N881">
            <v>2.7</v>
          </cell>
          <cell r="O881">
            <v>0.9143</v>
          </cell>
          <cell r="P881">
            <v>0.10340000000000001</v>
          </cell>
          <cell r="Q881">
            <v>0.41339999999999999</v>
          </cell>
          <cell r="R881">
            <v>0.39750000000000002</v>
          </cell>
          <cell r="S881" t="str">
            <v>NA</v>
          </cell>
          <cell r="T881">
            <v>59.4</v>
          </cell>
          <cell r="U881">
            <v>4.8</v>
          </cell>
          <cell r="V881">
            <v>74.900000000000006</v>
          </cell>
          <cell r="W881">
            <v>7.6</v>
          </cell>
          <cell r="X881">
            <v>52.4</v>
          </cell>
          <cell r="Y881">
            <v>6.8</v>
          </cell>
          <cell r="Z881" t="str">
            <v>NA</v>
          </cell>
          <cell r="AA881" t="str">
            <v>NA</v>
          </cell>
        </row>
        <row r="882">
          <cell r="A882">
            <v>45142</v>
          </cell>
          <cell r="B882" t="str">
            <v>A2</v>
          </cell>
          <cell r="C882">
            <v>1</v>
          </cell>
          <cell r="D882">
            <v>1</v>
          </cell>
          <cell r="E882" t="str">
            <v>ARIS.A2.Aim1.Bin1.RB</v>
          </cell>
          <cell r="F882">
            <v>4</v>
          </cell>
          <cell r="G882" t="str">
            <v>SplineDFA</v>
          </cell>
          <cell r="H882" t="str">
            <v>Y</v>
          </cell>
          <cell r="I882" t="str">
            <v>N</v>
          </cell>
          <cell r="J882">
            <v>188</v>
          </cell>
          <cell r="K882">
            <v>1.0001</v>
          </cell>
          <cell r="L882">
            <v>0.9214</v>
          </cell>
          <cell r="M882">
            <v>23.7</v>
          </cell>
          <cell r="N882">
            <v>2.7</v>
          </cell>
          <cell r="O882">
            <v>7.8700000000000006E-2</v>
          </cell>
          <cell r="P882">
            <v>2.2100000000000002E-2</v>
          </cell>
          <cell r="Q882">
            <v>0</v>
          </cell>
          <cell r="R882">
            <v>5.6599999999999998E-2</v>
          </cell>
          <cell r="S882" t="str">
            <v>NA</v>
          </cell>
          <cell r="T882">
            <v>59.4</v>
          </cell>
          <cell r="U882">
            <v>4.8</v>
          </cell>
          <cell r="V882">
            <v>74.900000000000006</v>
          </cell>
          <cell r="W882">
            <v>7.6</v>
          </cell>
          <cell r="X882">
            <v>52.4</v>
          </cell>
          <cell r="Y882">
            <v>6.8</v>
          </cell>
          <cell r="Z882" t="str">
            <v>NA</v>
          </cell>
          <cell r="AA882" t="str">
            <v>NA</v>
          </cell>
        </row>
        <row r="883">
          <cell r="A883">
            <v>45142</v>
          </cell>
          <cell r="B883" t="str">
            <v>A2</v>
          </cell>
          <cell r="C883">
            <v>2</v>
          </cell>
          <cell r="D883">
            <v>1</v>
          </cell>
          <cell r="E883" t="str">
            <v>ARIS.A2.Aim1.Bin2.RB</v>
          </cell>
          <cell r="F883">
            <v>4</v>
          </cell>
          <cell r="G883" t="str">
            <v>SplineDFA</v>
          </cell>
          <cell r="H883" t="str">
            <v>Y</v>
          </cell>
          <cell r="I883" t="str">
            <v>N</v>
          </cell>
          <cell r="J883">
            <v>161</v>
          </cell>
          <cell r="K883">
            <v>1.0001</v>
          </cell>
          <cell r="L883">
            <v>0.75449999999999995</v>
          </cell>
          <cell r="M883">
            <v>23.7</v>
          </cell>
          <cell r="N883">
            <v>2.7</v>
          </cell>
          <cell r="O883">
            <v>0.24560000000000001</v>
          </cell>
          <cell r="P883">
            <v>1.9599999999999999E-2</v>
          </cell>
          <cell r="Q883">
            <v>6.4399999999999999E-2</v>
          </cell>
          <cell r="R883">
            <v>0.16159999999999999</v>
          </cell>
          <cell r="S883" t="str">
            <v>NA</v>
          </cell>
          <cell r="T883">
            <v>59.4</v>
          </cell>
          <cell r="U883">
            <v>4.8</v>
          </cell>
          <cell r="V883">
            <v>74.900000000000006</v>
          </cell>
          <cell r="W883">
            <v>7.6</v>
          </cell>
          <cell r="X883">
            <v>52.4</v>
          </cell>
          <cell r="Y883">
            <v>6.8</v>
          </cell>
          <cell r="Z883" t="str">
            <v>NA</v>
          </cell>
          <cell r="AA883" t="str">
            <v>NA</v>
          </cell>
        </row>
        <row r="884">
          <cell r="A884">
            <v>45142</v>
          </cell>
          <cell r="B884" t="str">
            <v>A2</v>
          </cell>
          <cell r="C884">
            <v>3</v>
          </cell>
          <cell r="D884">
            <v>1</v>
          </cell>
          <cell r="E884" t="str">
            <v>ARIS.A2.Aim1.Bin3.RB</v>
          </cell>
          <cell r="F884">
            <v>4</v>
          </cell>
          <cell r="G884" t="str">
            <v>SplineDFA</v>
          </cell>
          <cell r="H884" t="str">
            <v>Y</v>
          </cell>
          <cell r="I884" t="str">
            <v>N</v>
          </cell>
          <cell r="J884">
            <v>122</v>
          </cell>
          <cell r="K884">
            <v>1</v>
          </cell>
          <cell r="L884">
            <v>0.30840000000000001</v>
          </cell>
          <cell r="M884">
            <v>23.7</v>
          </cell>
          <cell r="N884">
            <v>2.7</v>
          </cell>
          <cell r="O884">
            <v>0.69159999999999999</v>
          </cell>
          <cell r="P884">
            <v>6.1699999999999998E-2</v>
          </cell>
          <cell r="Q884">
            <v>0.15290000000000001</v>
          </cell>
          <cell r="R884">
            <v>0.47699999999999998</v>
          </cell>
          <cell r="S884" t="str">
            <v>NA</v>
          </cell>
          <cell r="T884">
            <v>59.4</v>
          </cell>
          <cell r="U884">
            <v>4.8</v>
          </cell>
          <cell r="V884">
            <v>74.900000000000006</v>
          </cell>
          <cell r="W884">
            <v>7.6</v>
          </cell>
          <cell r="X884">
            <v>52.4</v>
          </cell>
          <cell r="Y884">
            <v>6.8</v>
          </cell>
          <cell r="Z884" t="str">
            <v>NA</v>
          </cell>
          <cell r="AA884" t="str">
            <v>NA</v>
          </cell>
        </row>
        <row r="885">
          <cell r="A885">
            <v>45142</v>
          </cell>
          <cell r="B885" t="str">
            <v>A2</v>
          </cell>
          <cell r="C885">
            <v>4</v>
          </cell>
          <cell r="D885">
            <v>1</v>
          </cell>
          <cell r="E885" t="str">
            <v>ARIS.A2.Aim1.Bin4.RB</v>
          </cell>
          <cell r="F885">
            <v>4</v>
          </cell>
          <cell r="G885" t="str">
            <v>SplineDFA</v>
          </cell>
          <cell r="H885" t="str">
            <v>Y</v>
          </cell>
          <cell r="I885" t="str">
            <v>N</v>
          </cell>
          <cell r="J885">
            <v>122</v>
          </cell>
          <cell r="K885">
            <v>1</v>
          </cell>
          <cell r="L885">
            <v>0.30840000000000001</v>
          </cell>
          <cell r="M885">
            <v>23.7</v>
          </cell>
          <cell r="N885">
            <v>2.7</v>
          </cell>
          <cell r="O885">
            <v>0.69159999999999999</v>
          </cell>
          <cell r="P885">
            <v>6.1699999999999998E-2</v>
          </cell>
          <cell r="Q885">
            <v>0.15290000000000001</v>
          </cell>
          <cell r="R885">
            <v>0.47699999999999998</v>
          </cell>
          <cell r="S885" t="str">
            <v>NA</v>
          </cell>
          <cell r="T885">
            <v>59.4</v>
          </cell>
          <cell r="U885">
            <v>4.8</v>
          </cell>
          <cell r="V885">
            <v>74.900000000000006</v>
          </cell>
          <cell r="W885">
            <v>7.6</v>
          </cell>
          <cell r="X885">
            <v>52.4</v>
          </cell>
          <cell r="Y885">
            <v>6.8</v>
          </cell>
          <cell r="Z885" t="str">
            <v>NA</v>
          </cell>
          <cell r="AA885" t="str">
            <v>NA</v>
          </cell>
        </row>
        <row r="886">
          <cell r="A886">
            <v>45143</v>
          </cell>
          <cell r="B886" t="str">
            <v>A1</v>
          </cell>
          <cell r="C886">
            <v>1</v>
          </cell>
          <cell r="D886">
            <v>1</v>
          </cell>
          <cell r="E886" t="str">
            <v>ARIS.A1.Aim1.Bin1.LB</v>
          </cell>
          <cell r="F886">
            <v>3</v>
          </cell>
          <cell r="G886" t="str">
            <v>SplineDFA</v>
          </cell>
          <cell r="H886" t="str">
            <v>Y</v>
          </cell>
          <cell r="I886" t="str">
            <v>N</v>
          </cell>
          <cell r="J886">
            <v>115</v>
          </cell>
          <cell r="K886">
            <v>1</v>
          </cell>
          <cell r="L886">
            <v>0.59350000000000003</v>
          </cell>
          <cell r="M886">
            <v>23.7</v>
          </cell>
          <cell r="N886">
            <v>2.7</v>
          </cell>
          <cell r="O886">
            <v>0.40649999999999997</v>
          </cell>
          <cell r="P886">
            <v>0.36130000000000001</v>
          </cell>
          <cell r="Q886">
            <v>4.5199999999999997E-2</v>
          </cell>
          <cell r="R886" t="str">
            <v>NA</v>
          </cell>
          <cell r="S886" t="str">
            <v>NA</v>
          </cell>
          <cell r="T886">
            <v>58.9</v>
          </cell>
          <cell r="U886">
            <v>4.8</v>
          </cell>
          <cell r="V886">
            <v>74.5</v>
          </cell>
          <cell r="W886">
            <v>7.5</v>
          </cell>
          <cell r="X886" t="str">
            <v>NA</v>
          </cell>
          <cell r="Y886" t="str">
            <v>NA</v>
          </cell>
          <cell r="Z886" t="str">
            <v>NA</v>
          </cell>
          <cell r="AA886" t="str">
            <v>NA</v>
          </cell>
        </row>
        <row r="887">
          <cell r="A887">
            <v>45143</v>
          </cell>
          <cell r="B887" t="str">
            <v>A1</v>
          </cell>
          <cell r="C887">
            <v>1</v>
          </cell>
          <cell r="D887">
            <v>2</v>
          </cell>
          <cell r="E887" t="str">
            <v>ARIS.A1.Aim2.Bin1.LB</v>
          </cell>
          <cell r="F887">
            <v>3</v>
          </cell>
          <cell r="G887" t="str">
            <v>SplineDFA</v>
          </cell>
          <cell r="H887" t="str">
            <v>Y</v>
          </cell>
          <cell r="I887" t="str">
            <v>N</v>
          </cell>
          <cell r="J887">
            <v>164</v>
          </cell>
          <cell r="K887">
            <v>1</v>
          </cell>
          <cell r="L887">
            <v>0.79890000000000005</v>
          </cell>
          <cell r="M887">
            <v>23.7</v>
          </cell>
          <cell r="N887">
            <v>2.7</v>
          </cell>
          <cell r="O887">
            <v>0.2011</v>
          </cell>
          <cell r="P887">
            <v>0.1875</v>
          </cell>
          <cell r="Q887">
            <v>1.3599999999999999E-2</v>
          </cell>
          <cell r="R887" t="str">
            <v>NA</v>
          </cell>
          <cell r="S887" t="str">
            <v>NA</v>
          </cell>
          <cell r="T887">
            <v>58.9</v>
          </cell>
          <cell r="U887">
            <v>4.8</v>
          </cell>
          <cell r="V887">
            <v>74.5</v>
          </cell>
          <cell r="W887">
            <v>7.5</v>
          </cell>
          <cell r="X887" t="str">
            <v>NA</v>
          </cell>
          <cell r="Y887" t="str">
            <v>NA</v>
          </cell>
          <cell r="Z887" t="str">
            <v>NA</v>
          </cell>
          <cell r="AA887" t="str">
            <v>NA</v>
          </cell>
        </row>
        <row r="888">
          <cell r="A888">
            <v>45143</v>
          </cell>
          <cell r="B888" t="str">
            <v>A1</v>
          </cell>
          <cell r="C888">
            <v>2</v>
          </cell>
          <cell r="D888">
            <v>3</v>
          </cell>
          <cell r="E888" t="str">
            <v>ARIS.A1.Aim3.Bin2.LB</v>
          </cell>
          <cell r="F888">
            <v>3</v>
          </cell>
          <cell r="G888" t="str">
            <v>SplineDFA</v>
          </cell>
          <cell r="H888" t="str">
            <v>Y</v>
          </cell>
          <cell r="I888" t="str">
            <v>N</v>
          </cell>
          <cell r="J888">
            <v>200</v>
          </cell>
          <cell r="K888">
            <v>0.99990000000000001</v>
          </cell>
          <cell r="L888">
            <v>0.26540000000000002</v>
          </cell>
          <cell r="M888">
            <v>23.7</v>
          </cell>
          <cell r="N888">
            <v>2.7</v>
          </cell>
          <cell r="O888">
            <v>0.73450000000000004</v>
          </cell>
          <cell r="P888">
            <v>0.49399999999999999</v>
          </cell>
          <cell r="Q888">
            <v>0.24049999999999999</v>
          </cell>
          <cell r="R888" t="str">
            <v>NA</v>
          </cell>
          <cell r="S888" t="str">
            <v>NA</v>
          </cell>
          <cell r="T888">
            <v>58.9</v>
          </cell>
          <cell r="U888">
            <v>4.8</v>
          </cell>
          <cell r="V888">
            <v>74.5</v>
          </cell>
          <cell r="W888">
            <v>7.5</v>
          </cell>
          <cell r="X888" t="str">
            <v>NA</v>
          </cell>
          <cell r="Y888" t="str">
            <v>NA</v>
          </cell>
          <cell r="Z888" t="str">
            <v>NA</v>
          </cell>
          <cell r="AA888" t="str">
            <v>NA</v>
          </cell>
        </row>
        <row r="889">
          <cell r="A889">
            <v>45143</v>
          </cell>
          <cell r="B889" t="str">
            <v>A1</v>
          </cell>
          <cell r="C889">
            <v>3</v>
          </cell>
          <cell r="D889">
            <v>3</v>
          </cell>
          <cell r="E889" t="str">
            <v>ARIS.A1.Aim3.Bin3.LB</v>
          </cell>
          <cell r="F889">
            <v>3</v>
          </cell>
          <cell r="G889" t="str">
            <v>SplineDFA</v>
          </cell>
          <cell r="H889" t="str">
            <v>Y</v>
          </cell>
          <cell r="I889" t="str">
            <v>N</v>
          </cell>
          <cell r="J889">
            <v>139</v>
          </cell>
          <cell r="K889">
            <v>1</v>
          </cell>
          <cell r="L889">
            <v>0.1376</v>
          </cell>
          <cell r="M889">
            <v>23.7</v>
          </cell>
          <cell r="N889">
            <v>2.7</v>
          </cell>
          <cell r="O889">
            <v>0.86240000000000006</v>
          </cell>
          <cell r="P889">
            <v>0.3785</v>
          </cell>
          <cell r="Q889">
            <v>0.4839</v>
          </cell>
          <cell r="R889" t="str">
            <v>NA</v>
          </cell>
          <cell r="S889" t="str">
            <v>NA</v>
          </cell>
          <cell r="T889">
            <v>58.9</v>
          </cell>
          <cell r="U889">
            <v>4.8</v>
          </cell>
          <cell r="V889">
            <v>74.5</v>
          </cell>
          <cell r="W889">
            <v>7.5</v>
          </cell>
          <cell r="X889" t="str">
            <v>NA</v>
          </cell>
          <cell r="Y889" t="str">
            <v>NA</v>
          </cell>
          <cell r="Z889" t="str">
            <v>NA</v>
          </cell>
          <cell r="AA889" t="str">
            <v>NA</v>
          </cell>
        </row>
        <row r="890">
          <cell r="A890">
            <v>45143</v>
          </cell>
          <cell r="B890" t="str">
            <v>A1</v>
          </cell>
          <cell r="C890">
            <v>4</v>
          </cell>
          <cell r="D890">
            <v>3</v>
          </cell>
          <cell r="E890" t="str">
            <v>ARIS.A1.Aim3.Bin4.LB</v>
          </cell>
          <cell r="F890">
            <v>3</v>
          </cell>
          <cell r="G890" t="str">
            <v>SplineDFA</v>
          </cell>
          <cell r="H890" t="str">
            <v>Y</v>
          </cell>
          <cell r="I890" t="str">
            <v>N</v>
          </cell>
          <cell r="J890">
            <v>139</v>
          </cell>
          <cell r="K890">
            <v>1</v>
          </cell>
          <cell r="L890">
            <v>0.1376</v>
          </cell>
          <cell r="M890">
            <v>23.7</v>
          </cell>
          <cell r="N890">
            <v>2.7</v>
          </cell>
          <cell r="O890">
            <v>0.86240000000000006</v>
          </cell>
          <cell r="P890">
            <v>0.3785</v>
          </cell>
          <cell r="Q890">
            <v>0.4839</v>
          </cell>
          <cell r="R890" t="str">
            <v>NA</v>
          </cell>
          <cell r="S890" t="str">
            <v>NA</v>
          </cell>
          <cell r="T890">
            <v>58.9</v>
          </cell>
          <cell r="U890">
            <v>4.8</v>
          </cell>
          <cell r="V890">
            <v>74.5</v>
          </cell>
          <cell r="W890">
            <v>7.5</v>
          </cell>
          <cell r="X890" t="str">
            <v>NA</v>
          </cell>
          <cell r="Y890" t="str">
            <v>NA</v>
          </cell>
          <cell r="Z890" t="str">
            <v>NA</v>
          </cell>
          <cell r="AA890" t="str">
            <v>NA</v>
          </cell>
        </row>
        <row r="891">
          <cell r="A891">
            <v>45143</v>
          </cell>
          <cell r="B891" t="str">
            <v>A1</v>
          </cell>
          <cell r="C891">
            <v>1</v>
          </cell>
          <cell r="D891">
            <v>1</v>
          </cell>
          <cell r="E891" t="str">
            <v>ARIS.A1.Aim1.Bin1.LB</v>
          </cell>
          <cell r="F891">
            <v>3</v>
          </cell>
          <cell r="G891" t="str">
            <v>Unweighted</v>
          </cell>
          <cell r="H891" t="str">
            <v>N</v>
          </cell>
          <cell r="I891" t="str">
            <v>N</v>
          </cell>
          <cell r="J891">
            <v>115</v>
          </cell>
          <cell r="K891">
            <v>1</v>
          </cell>
          <cell r="L891">
            <v>0.76719999999999999</v>
          </cell>
          <cell r="M891">
            <v>23.1</v>
          </cell>
          <cell r="N891">
            <v>9.6</v>
          </cell>
          <cell r="O891">
            <v>0.23280000000000001</v>
          </cell>
          <cell r="P891">
            <v>0.21790000000000001</v>
          </cell>
          <cell r="Q891">
            <v>1.49E-2</v>
          </cell>
          <cell r="R891" t="str">
            <v>NA</v>
          </cell>
          <cell r="S891" t="str">
            <v>NA</v>
          </cell>
          <cell r="T891">
            <v>58.9</v>
          </cell>
          <cell r="U891">
            <v>4.8</v>
          </cell>
          <cell r="V891">
            <v>74.5</v>
          </cell>
          <cell r="W891">
            <v>7.5</v>
          </cell>
          <cell r="X891" t="str">
            <v>NA</v>
          </cell>
          <cell r="Y891" t="str">
            <v>NA</v>
          </cell>
          <cell r="Z891" t="str">
            <v>NA</v>
          </cell>
          <cell r="AA891" t="str">
            <v>NA</v>
          </cell>
        </row>
        <row r="892">
          <cell r="A892">
            <v>45143</v>
          </cell>
          <cell r="B892" t="str">
            <v>A1</v>
          </cell>
          <cell r="C892">
            <v>1</v>
          </cell>
          <cell r="D892">
            <v>2</v>
          </cell>
          <cell r="E892" t="str">
            <v>ARIS.A1.Aim2.Bin1.LB</v>
          </cell>
          <cell r="F892">
            <v>3</v>
          </cell>
          <cell r="G892" t="str">
            <v>Unweighted</v>
          </cell>
          <cell r="H892" t="str">
            <v>N</v>
          </cell>
          <cell r="I892" t="str">
            <v>N</v>
          </cell>
          <cell r="J892">
            <v>164</v>
          </cell>
          <cell r="K892">
            <v>1</v>
          </cell>
          <cell r="L892">
            <v>0.75639999999999996</v>
          </cell>
          <cell r="M892">
            <v>16.899999999999999</v>
          </cell>
          <cell r="N892">
            <v>7.6</v>
          </cell>
          <cell r="O892">
            <v>0.24360000000000001</v>
          </cell>
          <cell r="P892">
            <v>0.23599999999999999</v>
          </cell>
          <cell r="Q892">
            <v>7.6E-3</v>
          </cell>
          <cell r="R892" t="str">
            <v>NA</v>
          </cell>
          <cell r="S892" t="str">
            <v>NA</v>
          </cell>
          <cell r="T892">
            <v>58.9</v>
          </cell>
          <cell r="U892">
            <v>4.8</v>
          </cell>
          <cell r="V892">
            <v>74.5</v>
          </cell>
          <cell r="W892">
            <v>7.5</v>
          </cell>
          <cell r="X892" t="str">
            <v>NA</v>
          </cell>
          <cell r="Y892" t="str">
            <v>NA</v>
          </cell>
          <cell r="Z892" t="str">
            <v>NA</v>
          </cell>
          <cell r="AA892" t="str">
            <v>NA</v>
          </cell>
        </row>
        <row r="893">
          <cell r="A893">
            <v>45143</v>
          </cell>
          <cell r="B893" t="str">
            <v>A1</v>
          </cell>
          <cell r="C893">
            <v>1</v>
          </cell>
          <cell r="D893" t="str">
            <v>1&amp;2</v>
          </cell>
          <cell r="E893" t="str">
            <v>ARIS.A1.Aim1&amp;Aim2.Bin1.LB</v>
          </cell>
          <cell r="F893">
            <v>3</v>
          </cell>
          <cell r="G893" t="str">
            <v>Unweighted</v>
          </cell>
          <cell r="H893" t="str">
            <v>N</v>
          </cell>
          <cell r="I893" t="str">
            <v>N</v>
          </cell>
          <cell r="J893">
            <v>279</v>
          </cell>
          <cell r="K893">
            <v>1</v>
          </cell>
          <cell r="L893">
            <v>0.75929999999999997</v>
          </cell>
          <cell r="M893">
            <v>19.7</v>
          </cell>
          <cell r="N893">
            <v>8.6999999999999993</v>
          </cell>
          <cell r="O893">
            <v>0.2407</v>
          </cell>
          <cell r="P893">
            <v>0.23130000000000001</v>
          </cell>
          <cell r="Q893">
            <v>9.4000000000000004E-3</v>
          </cell>
          <cell r="R893" t="str">
            <v>NA</v>
          </cell>
          <cell r="S893" t="str">
            <v>NA</v>
          </cell>
          <cell r="T893">
            <v>58.9</v>
          </cell>
          <cell r="U893">
            <v>4.8</v>
          </cell>
          <cell r="V893">
            <v>74.5</v>
          </cell>
          <cell r="W893">
            <v>7.5</v>
          </cell>
          <cell r="X893" t="str">
            <v>NA</v>
          </cell>
          <cell r="Y893" t="str">
            <v>NA</v>
          </cell>
          <cell r="Z893" t="str">
            <v>NA</v>
          </cell>
          <cell r="AA893" t="str">
            <v>NA</v>
          </cell>
        </row>
        <row r="894">
          <cell r="A894">
            <v>45143</v>
          </cell>
          <cell r="B894" t="str">
            <v>A1</v>
          </cell>
          <cell r="C894">
            <v>2</v>
          </cell>
          <cell r="D894">
            <v>3</v>
          </cell>
          <cell r="E894" t="str">
            <v>ARIS.A1.Aim3.Bin2.LB</v>
          </cell>
          <cell r="F894">
            <v>3</v>
          </cell>
          <cell r="G894" t="str">
            <v>Unweighted</v>
          </cell>
          <cell r="H894" t="str">
            <v>N</v>
          </cell>
          <cell r="I894" t="str">
            <v>N</v>
          </cell>
          <cell r="J894">
            <v>200</v>
          </cell>
          <cell r="K894">
            <v>1</v>
          </cell>
          <cell r="L894">
            <v>0.45829999999999999</v>
          </cell>
          <cell r="M894">
            <v>23.7</v>
          </cell>
          <cell r="N894">
            <v>12.2</v>
          </cell>
          <cell r="O894">
            <v>0.54169999999999996</v>
          </cell>
          <cell r="P894">
            <v>0.39290000000000003</v>
          </cell>
          <cell r="Q894">
            <v>0.14879999999999999</v>
          </cell>
          <cell r="R894" t="str">
            <v>NA</v>
          </cell>
          <cell r="S894" t="str">
            <v>NA</v>
          </cell>
          <cell r="T894">
            <v>58.9</v>
          </cell>
          <cell r="U894">
            <v>4.8</v>
          </cell>
          <cell r="V894">
            <v>74.5</v>
          </cell>
          <cell r="W894">
            <v>7.5</v>
          </cell>
          <cell r="X894" t="str">
            <v>NA</v>
          </cell>
          <cell r="Y894" t="str">
            <v>NA</v>
          </cell>
          <cell r="Z894" t="str">
            <v>NA</v>
          </cell>
          <cell r="AA894" t="str">
            <v>NA</v>
          </cell>
        </row>
        <row r="895">
          <cell r="A895">
            <v>45143</v>
          </cell>
          <cell r="B895" t="str">
            <v>A1</v>
          </cell>
          <cell r="C895">
            <v>3</v>
          </cell>
          <cell r="D895">
            <v>3</v>
          </cell>
          <cell r="E895" t="str">
            <v>ARIS.A1.Aim3.Bin3.LB</v>
          </cell>
          <cell r="F895">
            <v>3</v>
          </cell>
          <cell r="G895" t="str">
            <v>Unweighted</v>
          </cell>
          <cell r="H895" t="str">
            <v>N</v>
          </cell>
          <cell r="I895" t="str">
            <v>N</v>
          </cell>
          <cell r="J895">
            <v>139</v>
          </cell>
          <cell r="K895">
            <v>1</v>
          </cell>
          <cell r="L895">
            <v>0.33610000000000001</v>
          </cell>
          <cell r="M895">
            <v>23.7</v>
          </cell>
          <cell r="N895">
            <v>16.600000000000001</v>
          </cell>
          <cell r="O895">
            <v>0.66390000000000005</v>
          </cell>
          <cell r="P895">
            <v>0.185</v>
          </cell>
          <cell r="Q895">
            <v>0.47889999999999999</v>
          </cell>
          <cell r="R895" t="str">
            <v>NA</v>
          </cell>
          <cell r="S895" t="str">
            <v>NA</v>
          </cell>
          <cell r="T895">
            <v>58.9</v>
          </cell>
          <cell r="U895">
            <v>4.8</v>
          </cell>
          <cell r="V895">
            <v>74.5</v>
          </cell>
          <cell r="W895">
            <v>7.5</v>
          </cell>
          <cell r="X895" t="str">
            <v>NA</v>
          </cell>
          <cell r="Y895" t="str">
            <v>NA</v>
          </cell>
          <cell r="Z895" t="str">
            <v>NA</v>
          </cell>
          <cell r="AA895" t="str">
            <v>NA</v>
          </cell>
        </row>
        <row r="896">
          <cell r="A896">
            <v>45143</v>
          </cell>
          <cell r="B896" t="str">
            <v>A1</v>
          </cell>
          <cell r="C896">
            <v>4</v>
          </cell>
          <cell r="D896">
            <v>3</v>
          </cell>
          <cell r="E896" t="str">
            <v>ARIS.A1.Aim3.Bin4.LB</v>
          </cell>
          <cell r="F896">
            <v>3</v>
          </cell>
          <cell r="G896" t="str">
            <v>Unweighted</v>
          </cell>
          <cell r="H896" t="str">
            <v>N</v>
          </cell>
          <cell r="I896" t="str">
            <v>N</v>
          </cell>
          <cell r="J896">
            <v>139</v>
          </cell>
          <cell r="K896">
            <v>1</v>
          </cell>
          <cell r="L896">
            <v>0.33610000000000001</v>
          </cell>
          <cell r="M896">
            <v>23.7</v>
          </cell>
          <cell r="N896">
            <v>16.600000000000001</v>
          </cell>
          <cell r="O896">
            <v>0.66390000000000005</v>
          </cell>
          <cell r="P896">
            <v>0.185</v>
          </cell>
          <cell r="Q896">
            <v>0.47889999999999999</v>
          </cell>
          <cell r="R896" t="str">
            <v>NA</v>
          </cell>
          <cell r="S896" t="str">
            <v>NA</v>
          </cell>
          <cell r="T896">
            <v>58.9</v>
          </cell>
          <cell r="U896">
            <v>4.8</v>
          </cell>
          <cell r="V896">
            <v>74.5</v>
          </cell>
          <cell r="W896">
            <v>7.5</v>
          </cell>
          <cell r="X896" t="str">
            <v>NA</v>
          </cell>
          <cell r="Y896" t="str">
            <v>NA</v>
          </cell>
          <cell r="Z896" t="str">
            <v>NA</v>
          </cell>
          <cell r="AA896" t="str">
            <v>NA</v>
          </cell>
        </row>
        <row r="897">
          <cell r="A897">
            <v>45143</v>
          </cell>
          <cell r="B897" t="str">
            <v>A2</v>
          </cell>
          <cell r="C897">
            <v>1</v>
          </cell>
          <cell r="D897">
            <v>1</v>
          </cell>
          <cell r="E897" t="str">
            <v>ARIS.A2.Aim1.Bin1.RB</v>
          </cell>
          <cell r="F897">
            <v>3</v>
          </cell>
          <cell r="G897" t="str">
            <v>Unweighted</v>
          </cell>
          <cell r="H897" t="str">
            <v>N</v>
          </cell>
          <cell r="I897" t="str">
            <v>N</v>
          </cell>
          <cell r="J897">
            <v>205</v>
          </cell>
          <cell r="K897">
            <v>1</v>
          </cell>
          <cell r="L897">
            <v>0.9234</v>
          </cell>
          <cell r="M897">
            <v>18.600000000000001</v>
          </cell>
          <cell r="N897">
            <v>6.4</v>
          </cell>
          <cell r="O897">
            <v>7.6600000000000001E-2</v>
          </cell>
          <cell r="P897">
            <v>7.6600000000000001E-2</v>
          </cell>
          <cell r="Q897">
            <v>0</v>
          </cell>
          <cell r="R897" t="str">
            <v>NA</v>
          </cell>
          <cell r="S897" t="str">
            <v>NA</v>
          </cell>
          <cell r="T897">
            <v>58.9</v>
          </cell>
          <cell r="U897">
            <v>4.8</v>
          </cell>
          <cell r="V897">
            <v>74.5</v>
          </cell>
          <cell r="W897">
            <v>7.5</v>
          </cell>
          <cell r="X897" t="str">
            <v>NA</v>
          </cell>
          <cell r="Y897" t="str">
            <v>NA</v>
          </cell>
          <cell r="Z897" t="str">
            <v>NA</v>
          </cell>
          <cell r="AA897" t="str">
            <v>NA</v>
          </cell>
        </row>
        <row r="898">
          <cell r="A898">
            <v>45143</v>
          </cell>
          <cell r="B898" t="str">
            <v>A2</v>
          </cell>
          <cell r="C898">
            <v>2</v>
          </cell>
          <cell r="D898">
            <v>1</v>
          </cell>
          <cell r="E898" t="str">
            <v>ARIS.A2.Aim1.Bin2.RB</v>
          </cell>
          <cell r="F898">
            <v>3</v>
          </cell>
          <cell r="G898" t="str">
            <v>Unweighted</v>
          </cell>
          <cell r="H898" t="str">
            <v>N</v>
          </cell>
          <cell r="I898" t="str">
            <v>N</v>
          </cell>
          <cell r="J898">
            <v>152</v>
          </cell>
          <cell r="K898">
            <v>1</v>
          </cell>
          <cell r="L898">
            <v>0.84750000000000003</v>
          </cell>
          <cell r="M898">
            <v>26.7</v>
          </cell>
          <cell r="N898">
            <v>7.3</v>
          </cell>
          <cell r="O898">
            <v>0.1525</v>
          </cell>
          <cell r="P898">
            <v>0.1016</v>
          </cell>
          <cell r="Q898">
            <v>5.0900000000000001E-2</v>
          </cell>
          <cell r="R898" t="str">
            <v>NA</v>
          </cell>
          <cell r="S898" t="str">
            <v>NA</v>
          </cell>
          <cell r="T898">
            <v>58.9</v>
          </cell>
          <cell r="U898">
            <v>4.8</v>
          </cell>
          <cell r="V898">
            <v>74.5</v>
          </cell>
          <cell r="W898">
            <v>7.5</v>
          </cell>
          <cell r="X898" t="str">
            <v>NA</v>
          </cell>
          <cell r="Y898" t="str">
            <v>NA</v>
          </cell>
          <cell r="Z898" t="str">
            <v>NA</v>
          </cell>
          <cell r="AA898" t="str">
            <v>NA</v>
          </cell>
        </row>
        <row r="899">
          <cell r="A899">
            <v>45143</v>
          </cell>
          <cell r="B899" t="str">
            <v>A2</v>
          </cell>
          <cell r="C899">
            <v>3</v>
          </cell>
          <cell r="D899">
            <v>1</v>
          </cell>
          <cell r="E899" t="str">
            <v>ARIS.A2.Aim1.Bin3.RB</v>
          </cell>
          <cell r="F899">
            <v>3</v>
          </cell>
          <cell r="G899" t="str">
            <v>Unweighted</v>
          </cell>
          <cell r="H899" t="str">
            <v>N</v>
          </cell>
          <cell r="I899" t="str">
            <v>N</v>
          </cell>
          <cell r="J899">
            <v>129</v>
          </cell>
          <cell r="K899">
            <v>1</v>
          </cell>
          <cell r="L899">
            <v>0.66249999999999998</v>
          </cell>
          <cell r="M899">
            <v>23.7</v>
          </cell>
          <cell r="N899">
            <v>13.5</v>
          </cell>
          <cell r="O899">
            <v>0.33750000000000002</v>
          </cell>
          <cell r="P899">
            <v>0.14030000000000001</v>
          </cell>
          <cell r="Q899">
            <v>0.19719999999999999</v>
          </cell>
          <cell r="R899" t="str">
            <v>NA</v>
          </cell>
          <cell r="S899" t="str">
            <v>NA</v>
          </cell>
          <cell r="T899">
            <v>58.9</v>
          </cell>
          <cell r="U899">
            <v>4.8</v>
          </cell>
          <cell r="V899">
            <v>74.5</v>
          </cell>
          <cell r="W899">
            <v>7.5</v>
          </cell>
          <cell r="X899" t="str">
            <v>NA</v>
          </cell>
          <cell r="Y899" t="str">
            <v>NA</v>
          </cell>
          <cell r="Z899" t="str">
            <v>NA</v>
          </cell>
          <cell r="AA899" t="str">
            <v>NA</v>
          </cell>
        </row>
        <row r="900">
          <cell r="A900">
            <v>45143</v>
          </cell>
          <cell r="B900" t="str">
            <v>A2</v>
          </cell>
          <cell r="C900">
            <v>4</v>
          </cell>
          <cell r="D900">
            <v>1</v>
          </cell>
          <cell r="E900" t="str">
            <v>ARIS.A2.Aim1.Bin4.RB</v>
          </cell>
          <cell r="F900">
            <v>3</v>
          </cell>
          <cell r="G900" t="str">
            <v>Unweighted</v>
          </cell>
          <cell r="H900" t="str">
            <v>N</v>
          </cell>
          <cell r="I900" t="str">
            <v>N</v>
          </cell>
          <cell r="J900">
            <v>129</v>
          </cell>
          <cell r="K900">
            <v>1</v>
          </cell>
          <cell r="L900">
            <v>0.66249999999999998</v>
          </cell>
          <cell r="M900">
            <v>23.7</v>
          </cell>
          <cell r="N900">
            <v>13.5</v>
          </cell>
          <cell r="O900">
            <v>0.33750000000000002</v>
          </cell>
          <cell r="P900">
            <v>0.14030000000000001</v>
          </cell>
          <cell r="Q900">
            <v>0.19719999999999999</v>
          </cell>
          <cell r="R900" t="str">
            <v>NA</v>
          </cell>
          <cell r="S900" t="str">
            <v>NA</v>
          </cell>
          <cell r="T900">
            <v>58.9</v>
          </cell>
          <cell r="U900">
            <v>4.8</v>
          </cell>
          <cell r="V900">
            <v>74.5</v>
          </cell>
          <cell r="W900">
            <v>7.5</v>
          </cell>
          <cell r="X900" t="str">
            <v>NA</v>
          </cell>
          <cell r="Y900" t="str">
            <v>NA</v>
          </cell>
          <cell r="Z900" t="str">
            <v>NA</v>
          </cell>
          <cell r="AA900" t="str">
            <v>NA</v>
          </cell>
        </row>
        <row r="901">
          <cell r="A901">
            <v>45143</v>
          </cell>
          <cell r="B901" t="str">
            <v>A2</v>
          </cell>
          <cell r="C901">
            <v>1</v>
          </cell>
          <cell r="D901">
            <v>1</v>
          </cell>
          <cell r="E901" t="str">
            <v>ARIS.A2.Aim1.Bin1.RB</v>
          </cell>
          <cell r="F901">
            <v>3</v>
          </cell>
          <cell r="G901" t="str">
            <v>SplineDFA</v>
          </cell>
          <cell r="H901" t="str">
            <v>Y</v>
          </cell>
          <cell r="I901" t="str">
            <v>N</v>
          </cell>
          <cell r="J901">
            <v>205</v>
          </cell>
          <cell r="K901">
            <v>1</v>
          </cell>
          <cell r="L901">
            <v>0.95820000000000005</v>
          </cell>
          <cell r="M901">
            <v>23.7</v>
          </cell>
          <cell r="N901">
            <v>2.7</v>
          </cell>
          <cell r="O901">
            <v>4.1799999999999997E-2</v>
          </cell>
          <cell r="P901">
            <v>4.1799999999999997E-2</v>
          </cell>
          <cell r="Q901">
            <v>0</v>
          </cell>
          <cell r="R901" t="str">
            <v>NA</v>
          </cell>
          <cell r="S901" t="str">
            <v>NA</v>
          </cell>
          <cell r="T901">
            <v>58.9</v>
          </cell>
          <cell r="U901">
            <v>4.8</v>
          </cell>
          <cell r="V901">
            <v>74.5</v>
          </cell>
          <cell r="W901">
            <v>7.5</v>
          </cell>
          <cell r="X901" t="str">
            <v>NA</v>
          </cell>
          <cell r="Y901" t="str">
            <v>NA</v>
          </cell>
          <cell r="Z901" t="str">
            <v>NA</v>
          </cell>
          <cell r="AA901" t="str">
            <v>NA</v>
          </cell>
        </row>
        <row r="902">
          <cell r="A902">
            <v>45143</v>
          </cell>
          <cell r="B902" t="str">
            <v>A2</v>
          </cell>
          <cell r="C902">
            <v>2</v>
          </cell>
          <cell r="D902">
            <v>1</v>
          </cell>
          <cell r="E902" t="str">
            <v>ARIS.A2.Aim1.Bin2.RB</v>
          </cell>
          <cell r="F902">
            <v>3</v>
          </cell>
          <cell r="G902" t="str">
            <v>SplineDFA</v>
          </cell>
          <cell r="H902" t="str">
            <v>Y</v>
          </cell>
          <cell r="I902" t="str">
            <v>N</v>
          </cell>
          <cell r="J902">
            <v>152</v>
          </cell>
          <cell r="K902">
            <v>1.0001</v>
          </cell>
          <cell r="L902">
            <v>0.90310000000000001</v>
          </cell>
          <cell r="M902">
            <v>23.7</v>
          </cell>
          <cell r="N902">
            <v>2.7</v>
          </cell>
          <cell r="O902">
            <v>9.7000000000000003E-2</v>
          </cell>
          <cell r="P902">
            <v>8.2900000000000001E-2</v>
          </cell>
          <cell r="Q902">
            <v>1.41E-2</v>
          </cell>
          <cell r="R902" t="str">
            <v>NA</v>
          </cell>
          <cell r="S902" t="str">
            <v>NA</v>
          </cell>
          <cell r="T902">
            <v>58.9</v>
          </cell>
          <cell r="U902">
            <v>4.8</v>
          </cell>
          <cell r="V902">
            <v>74.5</v>
          </cell>
          <cell r="W902">
            <v>7.5</v>
          </cell>
          <cell r="X902" t="str">
            <v>NA</v>
          </cell>
          <cell r="Y902" t="str">
            <v>NA</v>
          </cell>
          <cell r="Z902" t="str">
            <v>NA</v>
          </cell>
          <cell r="AA902" t="str">
            <v>NA</v>
          </cell>
        </row>
        <row r="903">
          <cell r="A903">
            <v>45143</v>
          </cell>
          <cell r="B903" t="str">
            <v>A2</v>
          </cell>
          <cell r="C903">
            <v>3</v>
          </cell>
          <cell r="D903">
            <v>1</v>
          </cell>
          <cell r="E903" t="str">
            <v>ARIS.A2.Aim1.Bin3.RB</v>
          </cell>
          <cell r="F903">
            <v>3</v>
          </cell>
          <cell r="G903" t="str">
            <v>SplineDFA</v>
          </cell>
          <cell r="H903" t="str">
            <v>Y</v>
          </cell>
          <cell r="I903" t="str">
            <v>N</v>
          </cell>
          <cell r="J903">
            <v>129</v>
          </cell>
          <cell r="K903">
            <v>1</v>
          </cell>
          <cell r="L903">
            <v>0.44690000000000002</v>
          </cell>
          <cell r="M903">
            <v>23.7</v>
          </cell>
          <cell r="N903">
            <v>2.7</v>
          </cell>
          <cell r="O903">
            <v>0.55310000000000004</v>
          </cell>
          <cell r="P903">
            <v>0.34560000000000002</v>
          </cell>
          <cell r="Q903">
            <v>0.20749999999999999</v>
          </cell>
          <cell r="R903" t="str">
            <v>NA</v>
          </cell>
          <cell r="S903" t="str">
            <v>NA</v>
          </cell>
          <cell r="T903">
            <v>58.9</v>
          </cell>
          <cell r="U903">
            <v>4.8</v>
          </cell>
          <cell r="V903">
            <v>74.5</v>
          </cell>
          <cell r="W903">
            <v>7.5</v>
          </cell>
          <cell r="X903" t="str">
            <v>NA</v>
          </cell>
          <cell r="Y903" t="str">
            <v>NA</v>
          </cell>
          <cell r="Z903" t="str">
            <v>NA</v>
          </cell>
          <cell r="AA903" t="str">
            <v>NA</v>
          </cell>
        </row>
        <row r="904">
          <cell r="A904">
            <v>45143</v>
          </cell>
          <cell r="B904" t="str">
            <v>A2</v>
          </cell>
          <cell r="C904">
            <v>4</v>
          </cell>
          <cell r="D904">
            <v>1</v>
          </cell>
          <cell r="E904" t="str">
            <v>ARIS.A2.Aim1.Bin4.RB</v>
          </cell>
          <cell r="F904">
            <v>3</v>
          </cell>
          <cell r="G904" t="str">
            <v>SplineDFA</v>
          </cell>
          <cell r="H904" t="str">
            <v>Y</v>
          </cell>
          <cell r="I904" t="str">
            <v>N</v>
          </cell>
          <cell r="J904">
            <v>129</v>
          </cell>
          <cell r="K904">
            <v>1</v>
          </cell>
          <cell r="L904">
            <v>0.44690000000000002</v>
          </cell>
          <cell r="M904">
            <v>23.7</v>
          </cell>
          <cell r="N904">
            <v>2.7</v>
          </cell>
          <cell r="O904">
            <v>0.55310000000000004</v>
          </cell>
          <cell r="P904">
            <v>0.34560000000000002</v>
          </cell>
          <cell r="Q904">
            <v>0.20749999999999999</v>
          </cell>
          <cell r="R904" t="str">
            <v>NA</v>
          </cell>
          <cell r="S904" t="str">
            <v>NA</v>
          </cell>
          <cell r="T904">
            <v>58.9</v>
          </cell>
          <cell r="U904">
            <v>4.8</v>
          </cell>
          <cell r="V904">
            <v>74.5</v>
          </cell>
          <cell r="W904">
            <v>7.5</v>
          </cell>
          <cell r="X904" t="str">
            <v>NA</v>
          </cell>
          <cell r="Y904" t="str">
            <v>NA</v>
          </cell>
          <cell r="Z904" t="str">
            <v>NA</v>
          </cell>
          <cell r="AA904" t="str">
            <v>NA</v>
          </cell>
        </row>
        <row r="905">
          <cell r="A905">
            <v>45143</v>
          </cell>
          <cell r="B905" t="str">
            <v>A1</v>
          </cell>
          <cell r="C905">
            <v>1</v>
          </cell>
          <cell r="D905">
            <v>1</v>
          </cell>
          <cell r="E905" t="str">
            <v>ARIS.A1.Aim1.Bin1.LB</v>
          </cell>
          <cell r="F905">
            <v>4</v>
          </cell>
          <cell r="G905" t="str">
            <v>Unweighted</v>
          </cell>
          <cell r="H905" t="str">
            <v>N</v>
          </cell>
          <cell r="I905" t="str">
            <v>Y</v>
          </cell>
          <cell r="J905">
            <v>115</v>
          </cell>
          <cell r="K905">
            <v>1.0001</v>
          </cell>
          <cell r="L905">
            <v>0.74519999999999997</v>
          </cell>
          <cell r="M905">
            <v>22.6</v>
          </cell>
          <cell r="N905">
            <v>8.9</v>
          </cell>
          <cell r="O905">
            <v>0.25490000000000002</v>
          </cell>
          <cell r="P905">
            <v>0.17230000000000001</v>
          </cell>
          <cell r="Q905">
            <v>1.24E-2</v>
          </cell>
          <cell r="R905">
            <v>7.0199999999999999E-2</v>
          </cell>
          <cell r="S905" t="str">
            <v>NA</v>
          </cell>
          <cell r="T905">
            <v>59.4</v>
          </cell>
          <cell r="U905">
            <v>4.8</v>
          </cell>
          <cell r="V905">
            <v>74.900000000000006</v>
          </cell>
          <cell r="W905">
            <v>7.6</v>
          </cell>
          <cell r="X905">
            <v>52.4</v>
          </cell>
          <cell r="Y905">
            <v>6.8</v>
          </cell>
          <cell r="Z905" t="str">
            <v>NA</v>
          </cell>
          <cell r="AA905" t="str">
            <v>NA</v>
          </cell>
        </row>
        <row r="906">
          <cell r="A906">
            <v>45143</v>
          </cell>
          <cell r="B906" t="str">
            <v>A1</v>
          </cell>
          <cell r="C906">
            <v>1</v>
          </cell>
          <cell r="D906">
            <v>2</v>
          </cell>
          <cell r="E906" t="str">
            <v>ARIS.A1.Aim2.Bin1.LB</v>
          </cell>
          <cell r="F906">
            <v>4</v>
          </cell>
          <cell r="G906" t="str">
            <v>Unweighted</v>
          </cell>
          <cell r="H906" t="str">
            <v>N</v>
          </cell>
          <cell r="I906" t="str">
            <v>Y</v>
          </cell>
          <cell r="J906">
            <v>164</v>
          </cell>
          <cell r="K906">
            <v>1</v>
          </cell>
          <cell r="L906">
            <v>0.74680000000000002</v>
          </cell>
          <cell r="M906">
            <v>16.7</v>
          </cell>
          <cell r="N906">
            <v>7.2</v>
          </cell>
          <cell r="O906">
            <v>0.25319999999999998</v>
          </cell>
          <cell r="P906">
            <v>0.12720000000000001</v>
          </cell>
          <cell r="Q906">
            <v>7.7999999999999996E-3</v>
          </cell>
          <cell r="R906">
            <v>0.1182</v>
          </cell>
          <cell r="S906" t="str">
            <v>NA</v>
          </cell>
          <cell r="T906">
            <v>59.4</v>
          </cell>
          <cell r="U906">
            <v>4.8</v>
          </cell>
          <cell r="V906">
            <v>74.900000000000006</v>
          </cell>
          <cell r="W906">
            <v>7.6</v>
          </cell>
          <cell r="X906">
            <v>52.4</v>
          </cell>
          <cell r="Y906">
            <v>6.8</v>
          </cell>
          <cell r="Z906" t="str">
            <v>NA</v>
          </cell>
          <cell r="AA906" t="str">
            <v>NA</v>
          </cell>
        </row>
        <row r="907">
          <cell r="A907">
            <v>45143</v>
          </cell>
          <cell r="B907" t="str">
            <v>A1</v>
          </cell>
          <cell r="C907">
            <v>1</v>
          </cell>
          <cell r="D907" t="str">
            <v>1&amp;2</v>
          </cell>
          <cell r="E907" t="str">
            <v>ARIS.A1.Aim1&amp;Aim2.Bin1.LB</v>
          </cell>
          <cell r="F907">
            <v>4</v>
          </cell>
          <cell r="G907" t="str">
            <v>Unweighted</v>
          </cell>
          <cell r="H907" t="str">
            <v>N</v>
          </cell>
          <cell r="I907" t="str">
            <v>Y</v>
          </cell>
          <cell r="J907">
            <v>279</v>
          </cell>
          <cell r="K907">
            <v>1</v>
          </cell>
          <cell r="L907">
            <v>0.73699999999999999</v>
          </cell>
          <cell r="M907">
            <v>19</v>
          </cell>
          <cell r="N907">
            <v>7.8</v>
          </cell>
          <cell r="O907">
            <v>0.26300000000000001</v>
          </cell>
          <cell r="P907">
            <v>0.13650000000000001</v>
          </cell>
          <cell r="Q907">
            <v>9.4999999999999998E-3</v>
          </cell>
          <cell r="R907">
            <v>0.11700000000000001</v>
          </cell>
          <cell r="S907" t="str">
            <v>NA</v>
          </cell>
          <cell r="T907">
            <v>59.4</v>
          </cell>
          <cell r="U907">
            <v>4.8</v>
          </cell>
          <cell r="V907">
            <v>74.900000000000006</v>
          </cell>
          <cell r="W907">
            <v>7.6</v>
          </cell>
          <cell r="X907">
            <v>52.4</v>
          </cell>
          <cell r="Y907">
            <v>6.8</v>
          </cell>
          <cell r="Z907" t="str">
            <v>NA</v>
          </cell>
          <cell r="AA907" t="str">
            <v>NA</v>
          </cell>
        </row>
        <row r="908">
          <cell r="A908">
            <v>45143</v>
          </cell>
          <cell r="B908" t="str">
            <v>A1</v>
          </cell>
          <cell r="C908">
            <v>2</v>
          </cell>
          <cell r="D908">
            <v>3</v>
          </cell>
          <cell r="E908" t="str">
            <v>ARIS.A1.Aim3.Bin2.LB</v>
          </cell>
          <cell r="F908">
            <v>4</v>
          </cell>
          <cell r="G908" t="str">
            <v>Unweighted</v>
          </cell>
          <cell r="H908" t="str">
            <v>N</v>
          </cell>
          <cell r="I908" t="str">
            <v>Y</v>
          </cell>
          <cell r="J908">
            <v>200</v>
          </cell>
          <cell r="K908">
            <v>1</v>
          </cell>
          <cell r="L908">
            <v>0.3881</v>
          </cell>
          <cell r="M908">
            <v>28.4</v>
          </cell>
          <cell r="N908">
            <v>8</v>
          </cell>
          <cell r="O908">
            <v>0.6119</v>
          </cell>
          <cell r="P908">
            <v>0.21129999999999999</v>
          </cell>
          <cell r="Q908">
            <v>0.1532</v>
          </cell>
          <cell r="R908">
            <v>0.24740000000000001</v>
          </cell>
          <cell r="S908" t="str">
            <v>NA</v>
          </cell>
          <cell r="T908">
            <v>59.4</v>
          </cell>
          <cell r="U908">
            <v>4.8</v>
          </cell>
          <cell r="V908">
            <v>74.900000000000006</v>
          </cell>
          <cell r="W908">
            <v>7.6</v>
          </cell>
          <cell r="X908">
            <v>52.4</v>
          </cell>
          <cell r="Y908">
            <v>6.8</v>
          </cell>
          <cell r="Z908" t="str">
            <v>NA</v>
          </cell>
          <cell r="AA908" t="str">
            <v>NA</v>
          </cell>
        </row>
        <row r="909">
          <cell r="A909">
            <v>45143</v>
          </cell>
          <cell r="B909" t="str">
            <v>A1</v>
          </cell>
          <cell r="C909">
            <v>3</v>
          </cell>
          <cell r="D909">
            <v>3</v>
          </cell>
          <cell r="E909" t="str">
            <v>ARIS.A1.Aim3.Bin3.LB</v>
          </cell>
          <cell r="F909">
            <v>4</v>
          </cell>
          <cell r="G909" t="str">
            <v>Unweighted</v>
          </cell>
          <cell r="H909" t="str">
            <v>N</v>
          </cell>
          <cell r="I909" t="str">
            <v>Y</v>
          </cell>
          <cell r="J909">
            <v>139</v>
          </cell>
          <cell r="K909">
            <v>1</v>
          </cell>
          <cell r="L909">
            <v>0.1704</v>
          </cell>
          <cell r="M909">
            <v>29.5</v>
          </cell>
          <cell r="N909">
            <v>3</v>
          </cell>
          <cell r="O909">
            <v>0.8296</v>
          </cell>
          <cell r="P909">
            <v>0</v>
          </cell>
          <cell r="Q909">
            <v>0.50290000000000001</v>
          </cell>
          <cell r="R909">
            <v>0.32669999999999999</v>
          </cell>
          <cell r="S909" t="str">
            <v>NA</v>
          </cell>
          <cell r="T909">
            <v>59.4</v>
          </cell>
          <cell r="U909">
            <v>4.8</v>
          </cell>
          <cell r="V909">
            <v>74.900000000000006</v>
          </cell>
          <cell r="W909">
            <v>7.6</v>
          </cell>
          <cell r="X909">
            <v>52.4</v>
          </cell>
          <cell r="Y909">
            <v>6.8</v>
          </cell>
          <cell r="Z909" t="str">
            <v>NA</v>
          </cell>
          <cell r="AA909" t="str">
            <v>NA</v>
          </cell>
        </row>
        <row r="910">
          <cell r="A910">
            <v>45143</v>
          </cell>
          <cell r="B910" t="str">
            <v>A1</v>
          </cell>
          <cell r="C910">
            <v>4</v>
          </cell>
          <cell r="D910">
            <v>3</v>
          </cell>
          <cell r="E910" t="str">
            <v>ARIS.A1.Aim3.Bin4.LB</v>
          </cell>
          <cell r="F910">
            <v>4</v>
          </cell>
          <cell r="G910" t="str">
            <v>Unweighted</v>
          </cell>
          <cell r="H910" t="str">
            <v>N</v>
          </cell>
          <cell r="I910" t="str">
            <v>Y</v>
          </cell>
          <cell r="J910">
            <v>139</v>
          </cell>
          <cell r="K910">
            <v>1</v>
          </cell>
          <cell r="L910">
            <v>0.1704</v>
          </cell>
          <cell r="M910">
            <v>29.5</v>
          </cell>
          <cell r="N910">
            <v>3</v>
          </cell>
          <cell r="O910">
            <v>0.8296</v>
          </cell>
          <cell r="P910">
            <v>0</v>
          </cell>
          <cell r="Q910">
            <v>0.50290000000000001</v>
          </cell>
          <cell r="R910">
            <v>0.32669999999999999</v>
          </cell>
          <cell r="S910" t="str">
            <v>NA</v>
          </cell>
          <cell r="T910">
            <v>59.4</v>
          </cell>
          <cell r="U910">
            <v>4.8</v>
          </cell>
          <cell r="V910">
            <v>74.900000000000006</v>
          </cell>
          <cell r="W910">
            <v>7.6</v>
          </cell>
          <cell r="X910">
            <v>52.4</v>
          </cell>
          <cell r="Y910">
            <v>6.8</v>
          </cell>
          <cell r="Z910" t="str">
            <v>NA</v>
          </cell>
          <cell r="AA910" t="str">
            <v>NA</v>
          </cell>
        </row>
        <row r="911">
          <cell r="A911">
            <v>45143</v>
          </cell>
          <cell r="B911" t="str">
            <v>A2</v>
          </cell>
          <cell r="C911">
            <v>1</v>
          </cell>
          <cell r="D911">
            <v>1</v>
          </cell>
          <cell r="E911" t="str">
            <v>ARIS.A2.Aim1.Bin1.RB</v>
          </cell>
          <cell r="F911">
            <v>4</v>
          </cell>
          <cell r="G911" t="str">
            <v>Unweighted</v>
          </cell>
          <cell r="H911" t="str">
            <v>N</v>
          </cell>
          <cell r="I911" t="str">
            <v>Y</v>
          </cell>
          <cell r="J911">
            <v>205</v>
          </cell>
          <cell r="K911">
            <v>1</v>
          </cell>
          <cell r="L911">
            <v>0.90029999999999999</v>
          </cell>
          <cell r="M911">
            <v>18.399999999999999</v>
          </cell>
          <cell r="N911">
            <v>6</v>
          </cell>
          <cell r="O911">
            <v>9.9699999999999997E-2</v>
          </cell>
          <cell r="P911">
            <v>2.3599999999999999E-2</v>
          </cell>
          <cell r="Q911">
            <v>0</v>
          </cell>
          <cell r="R911">
            <v>7.6100000000000001E-2</v>
          </cell>
          <cell r="S911" t="str">
            <v>NA</v>
          </cell>
          <cell r="T911">
            <v>59.4</v>
          </cell>
          <cell r="U911">
            <v>4.8</v>
          </cell>
          <cell r="V911">
            <v>74.900000000000006</v>
          </cell>
          <cell r="W911">
            <v>7.6</v>
          </cell>
          <cell r="X911">
            <v>52.4</v>
          </cell>
          <cell r="Y911">
            <v>6.8</v>
          </cell>
          <cell r="Z911" t="str">
            <v>NA</v>
          </cell>
          <cell r="AA911" t="str">
            <v>NA</v>
          </cell>
        </row>
        <row r="912">
          <cell r="A912">
            <v>45143</v>
          </cell>
          <cell r="B912" t="str">
            <v>A2</v>
          </cell>
          <cell r="C912">
            <v>2</v>
          </cell>
          <cell r="D912">
            <v>1</v>
          </cell>
          <cell r="E912" t="str">
            <v>ARIS.A2.Aim1.Bin2.RB</v>
          </cell>
          <cell r="F912">
            <v>4</v>
          </cell>
          <cell r="G912" t="str">
            <v>Unweighted</v>
          </cell>
          <cell r="H912" t="str">
            <v>N</v>
          </cell>
          <cell r="I912" t="str">
            <v>Y</v>
          </cell>
          <cell r="J912">
            <v>152</v>
          </cell>
          <cell r="K912">
            <v>1</v>
          </cell>
          <cell r="L912">
            <v>0.83499999999999996</v>
          </cell>
          <cell r="M912">
            <v>26.4</v>
          </cell>
          <cell r="N912">
            <v>7</v>
          </cell>
          <cell r="O912">
            <v>0.16500000000000001</v>
          </cell>
          <cell r="P912">
            <v>8.6599999999999996E-2</v>
          </cell>
          <cell r="Q912">
            <v>4.8500000000000001E-2</v>
          </cell>
          <cell r="R912">
            <v>2.9899999999999999E-2</v>
          </cell>
          <cell r="S912" t="str">
            <v>NA</v>
          </cell>
          <cell r="T912">
            <v>59.4</v>
          </cell>
          <cell r="U912">
            <v>4.8</v>
          </cell>
          <cell r="V912">
            <v>74.900000000000006</v>
          </cell>
          <cell r="W912">
            <v>7.6</v>
          </cell>
          <cell r="X912">
            <v>52.4</v>
          </cell>
          <cell r="Y912">
            <v>6.8</v>
          </cell>
          <cell r="Z912" t="str">
            <v>NA</v>
          </cell>
          <cell r="AA912" t="str">
            <v>NA</v>
          </cell>
        </row>
        <row r="913">
          <cell r="A913">
            <v>45143</v>
          </cell>
          <cell r="B913" t="str">
            <v>A2</v>
          </cell>
          <cell r="C913">
            <v>3</v>
          </cell>
          <cell r="D913">
            <v>1</v>
          </cell>
          <cell r="E913" t="str">
            <v>ARIS.A2.Aim1.Bin3.RB</v>
          </cell>
          <cell r="F913">
            <v>4</v>
          </cell>
          <cell r="G913" t="str">
            <v>Unweighted</v>
          </cell>
          <cell r="H913" t="str">
            <v>N</v>
          </cell>
          <cell r="I913" t="str">
            <v>Y</v>
          </cell>
          <cell r="J913">
            <v>129</v>
          </cell>
          <cell r="K913">
            <v>1</v>
          </cell>
          <cell r="L913">
            <v>0.40699999999999997</v>
          </cell>
          <cell r="M913">
            <v>28.7</v>
          </cell>
          <cell r="N913">
            <v>3.7</v>
          </cell>
          <cell r="O913">
            <v>0.59299999999999997</v>
          </cell>
          <cell r="P913">
            <v>0</v>
          </cell>
          <cell r="Q913">
            <v>0.1958</v>
          </cell>
          <cell r="R913">
            <v>0.3972</v>
          </cell>
          <cell r="S913" t="str">
            <v>NA</v>
          </cell>
          <cell r="T913">
            <v>59.4</v>
          </cell>
          <cell r="U913">
            <v>4.8</v>
          </cell>
          <cell r="V913">
            <v>74.900000000000006</v>
          </cell>
          <cell r="W913">
            <v>7.6</v>
          </cell>
          <cell r="X913">
            <v>52.4</v>
          </cell>
          <cell r="Y913">
            <v>6.8</v>
          </cell>
          <cell r="Z913" t="str">
            <v>NA</v>
          </cell>
          <cell r="AA913" t="str">
            <v>NA</v>
          </cell>
        </row>
        <row r="914">
          <cell r="A914">
            <v>45143</v>
          </cell>
          <cell r="B914" t="str">
            <v>A2</v>
          </cell>
          <cell r="C914">
            <v>4</v>
          </cell>
          <cell r="D914">
            <v>1</v>
          </cell>
          <cell r="E914" t="str">
            <v>ARIS.A2.Aim1.Bin4.RB</v>
          </cell>
          <cell r="F914">
            <v>4</v>
          </cell>
          <cell r="G914" t="str">
            <v>Unweighted</v>
          </cell>
          <cell r="H914" t="str">
            <v>N</v>
          </cell>
          <cell r="I914" t="str">
            <v>Y</v>
          </cell>
          <cell r="J914">
            <v>129</v>
          </cell>
          <cell r="K914">
            <v>1</v>
          </cell>
          <cell r="L914">
            <v>0.40699999999999997</v>
          </cell>
          <cell r="M914">
            <v>28.7</v>
          </cell>
          <cell r="N914">
            <v>3.7</v>
          </cell>
          <cell r="O914">
            <v>0.59299999999999997</v>
          </cell>
          <cell r="P914">
            <v>0</v>
          </cell>
          <cell r="Q914">
            <v>0.1958</v>
          </cell>
          <cell r="R914">
            <v>0.3972</v>
          </cell>
          <cell r="S914" t="str">
            <v>NA</v>
          </cell>
          <cell r="T914">
            <v>59.4</v>
          </cell>
          <cell r="U914">
            <v>4.8</v>
          </cell>
          <cell r="V914">
            <v>74.900000000000006</v>
          </cell>
          <cell r="W914">
            <v>7.6</v>
          </cell>
          <cell r="X914">
            <v>52.4</v>
          </cell>
          <cell r="Y914">
            <v>6.8</v>
          </cell>
          <cell r="Z914" t="str">
            <v>NA</v>
          </cell>
          <cell r="AA914" t="str">
            <v>NA</v>
          </cell>
        </row>
        <row r="915">
          <cell r="A915">
            <v>45143</v>
          </cell>
          <cell r="B915" t="str">
            <v>A1</v>
          </cell>
          <cell r="C915">
            <v>1</v>
          </cell>
          <cell r="D915">
            <v>1</v>
          </cell>
          <cell r="E915" t="str">
            <v>ARIS.A1.Aim1.Bin1.LB</v>
          </cell>
          <cell r="F915">
            <v>4</v>
          </cell>
          <cell r="G915" t="str">
            <v>SplineDFA</v>
          </cell>
          <cell r="H915" t="str">
            <v>Y</v>
          </cell>
          <cell r="I915" t="str">
            <v>N</v>
          </cell>
          <cell r="J915">
            <v>115</v>
          </cell>
          <cell r="K915">
            <v>1</v>
          </cell>
          <cell r="L915">
            <v>0.55889999999999995</v>
          </cell>
          <cell r="M915">
            <v>23.7</v>
          </cell>
          <cell r="N915">
            <v>2.7</v>
          </cell>
          <cell r="O915">
            <v>0.44109999999999999</v>
          </cell>
          <cell r="P915">
            <v>0.22869999999999999</v>
          </cell>
          <cell r="Q915">
            <v>3.0099999999999998E-2</v>
          </cell>
          <cell r="R915">
            <v>0.18229999999999999</v>
          </cell>
          <cell r="S915" t="str">
            <v>NA</v>
          </cell>
          <cell r="T915">
            <v>59.4</v>
          </cell>
          <cell r="U915">
            <v>4.8</v>
          </cell>
          <cell r="V915">
            <v>74.900000000000006</v>
          </cell>
          <cell r="W915">
            <v>7.6</v>
          </cell>
          <cell r="X915">
            <v>52.4</v>
          </cell>
          <cell r="Y915">
            <v>6.8</v>
          </cell>
          <cell r="Z915" t="str">
            <v>NA</v>
          </cell>
          <cell r="AA915" t="str">
            <v>NA</v>
          </cell>
        </row>
        <row r="916">
          <cell r="A916">
            <v>45143</v>
          </cell>
          <cell r="B916" t="str">
            <v>A1</v>
          </cell>
          <cell r="C916">
            <v>1</v>
          </cell>
          <cell r="D916">
            <v>2</v>
          </cell>
          <cell r="E916" t="str">
            <v>ARIS.A1.Aim2.Bin1.LB</v>
          </cell>
          <cell r="F916">
            <v>4</v>
          </cell>
          <cell r="G916" t="str">
            <v>SplineDFA</v>
          </cell>
          <cell r="H916" t="str">
            <v>Y</v>
          </cell>
          <cell r="I916" t="str">
            <v>N</v>
          </cell>
          <cell r="J916">
            <v>164</v>
          </cell>
          <cell r="K916">
            <v>1</v>
          </cell>
          <cell r="L916">
            <v>0.78490000000000004</v>
          </cell>
          <cell r="M916">
            <v>23.7</v>
          </cell>
          <cell r="N916">
            <v>2.7</v>
          </cell>
          <cell r="O916">
            <v>0.21510000000000001</v>
          </cell>
          <cell r="P916">
            <v>0.1071</v>
          </cell>
          <cell r="Q916">
            <v>1.35E-2</v>
          </cell>
          <cell r="R916">
            <v>9.4500000000000001E-2</v>
          </cell>
          <cell r="S916" t="str">
            <v>NA</v>
          </cell>
          <cell r="T916">
            <v>59.4</v>
          </cell>
          <cell r="U916">
            <v>4.8</v>
          </cell>
          <cell r="V916">
            <v>74.900000000000006</v>
          </cell>
          <cell r="W916">
            <v>7.6</v>
          </cell>
          <cell r="X916">
            <v>52.4</v>
          </cell>
          <cell r="Y916">
            <v>6.8</v>
          </cell>
          <cell r="Z916" t="str">
            <v>NA</v>
          </cell>
          <cell r="AA916" t="str">
            <v>NA</v>
          </cell>
        </row>
        <row r="917">
          <cell r="A917">
            <v>45143</v>
          </cell>
          <cell r="B917" t="str">
            <v>A1</v>
          </cell>
          <cell r="C917">
            <v>2</v>
          </cell>
          <cell r="D917">
            <v>3</v>
          </cell>
          <cell r="E917" t="str">
            <v>ARIS.A1.Aim3.Bin2.LB</v>
          </cell>
          <cell r="F917">
            <v>4</v>
          </cell>
          <cell r="G917" t="str">
            <v>SplineDFA</v>
          </cell>
          <cell r="H917" t="str">
            <v>Y</v>
          </cell>
          <cell r="I917" t="str">
            <v>N</v>
          </cell>
          <cell r="J917">
            <v>200</v>
          </cell>
          <cell r="K917">
            <v>1</v>
          </cell>
          <cell r="L917">
            <v>0.19719999999999999</v>
          </cell>
          <cell r="M917">
            <v>23.7</v>
          </cell>
          <cell r="N917">
            <v>2.7</v>
          </cell>
          <cell r="O917">
            <v>0.80279999999999996</v>
          </cell>
          <cell r="P917">
            <v>0.27339999999999998</v>
          </cell>
          <cell r="Q917">
            <v>0.23880000000000001</v>
          </cell>
          <cell r="R917">
            <v>0.29060000000000002</v>
          </cell>
          <cell r="S917" t="str">
            <v>NA</v>
          </cell>
          <cell r="T917">
            <v>59.4</v>
          </cell>
          <cell r="U917">
            <v>4.8</v>
          </cell>
          <cell r="V917">
            <v>74.900000000000006</v>
          </cell>
          <cell r="W917">
            <v>7.6</v>
          </cell>
          <cell r="X917">
            <v>52.4</v>
          </cell>
          <cell r="Y917">
            <v>6.8</v>
          </cell>
          <cell r="Z917" t="str">
            <v>NA</v>
          </cell>
          <cell r="AA917" t="str">
            <v>NA</v>
          </cell>
        </row>
        <row r="918">
          <cell r="A918">
            <v>45143</v>
          </cell>
          <cell r="B918" t="str">
            <v>A1</v>
          </cell>
          <cell r="C918">
            <v>3</v>
          </cell>
          <cell r="D918">
            <v>3</v>
          </cell>
          <cell r="E918" t="str">
            <v>ARIS.A1.Aim3.Bin3.LB</v>
          </cell>
          <cell r="F918">
            <v>4</v>
          </cell>
          <cell r="G918" t="str">
            <v>SplineDFA</v>
          </cell>
          <cell r="H918" t="str">
            <v>Y</v>
          </cell>
          <cell r="I918" t="str">
            <v>N</v>
          </cell>
          <cell r="J918">
            <v>139</v>
          </cell>
          <cell r="K918">
            <v>1.0001</v>
          </cell>
          <cell r="L918">
            <v>8.2000000000000003E-2</v>
          </cell>
          <cell r="M918">
            <v>23.7</v>
          </cell>
          <cell r="N918">
            <v>2.7</v>
          </cell>
          <cell r="O918">
            <v>0.91810000000000003</v>
          </cell>
          <cell r="P918">
            <v>0.18729999999999999</v>
          </cell>
          <cell r="Q918">
            <v>0.46600000000000003</v>
          </cell>
          <cell r="R918">
            <v>0.26479999999999998</v>
          </cell>
          <cell r="S918" t="str">
            <v>NA</v>
          </cell>
          <cell r="T918">
            <v>59.4</v>
          </cell>
          <cell r="U918">
            <v>4.8</v>
          </cell>
          <cell r="V918">
            <v>74.900000000000006</v>
          </cell>
          <cell r="W918">
            <v>7.6</v>
          </cell>
          <cell r="X918">
            <v>52.4</v>
          </cell>
          <cell r="Y918">
            <v>6.8</v>
          </cell>
          <cell r="Z918" t="str">
            <v>NA</v>
          </cell>
          <cell r="AA918" t="str">
            <v>NA</v>
          </cell>
        </row>
        <row r="919">
          <cell r="A919">
            <v>45143</v>
          </cell>
          <cell r="B919" t="str">
            <v>A1</v>
          </cell>
          <cell r="C919">
            <v>4</v>
          </cell>
          <cell r="D919">
            <v>3</v>
          </cell>
          <cell r="E919" t="str">
            <v>ARIS.A1.Aim3.Bin4.LB</v>
          </cell>
          <cell r="F919">
            <v>4</v>
          </cell>
          <cell r="G919" t="str">
            <v>SplineDFA</v>
          </cell>
          <cell r="H919" t="str">
            <v>Y</v>
          </cell>
          <cell r="I919" t="str">
            <v>N</v>
          </cell>
          <cell r="J919">
            <v>139</v>
          </cell>
          <cell r="K919">
            <v>1.0001</v>
          </cell>
          <cell r="L919">
            <v>8.2000000000000003E-2</v>
          </cell>
          <cell r="M919">
            <v>23.7</v>
          </cell>
          <cell r="N919">
            <v>2.7</v>
          </cell>
          <cell r="O919">
            <v>0.91810000000000003</v>
          </cell>
          <cell r="P919">
            <v>0.18729999999999999</v>
          </cell>
          <cell r="Q919">
            <v>0.46600000000000003</v>
          </cell>
          <cell r="R919">
            <v>0.26479999999999998</v>
          </cell>
          <cell r="S919" t="str">
            <v>NA</v>
          </cell>
          <cell r="T919">
            <v>59.4</v>
          </cell>
          <cell r="U919">
            <v>4.8</v>
          </cell>
          <cell r="V919">
            <v>74.900000000000006</v>
          </cell>
          <cell r="W919">
            <v>7.6</v>
          </cell>
          <cell r="X919">
            <v>52.4</v>
          </cell>
          <cell r="Y919">
            <v>6.8</v>
          </cell>
          <cell r="Z919" t="str">
            <v>NA</v>
          </cell>
          <cell r="AA919" t="str">
            <v>NA</v>
          </cell>
        </row>
        <row r="920">
          <cell r="A920">
            <v>45143</v>
          </cell>
          <cell r="B920" t="str">
            <v>A2</v>
          </cell>
          <cell r="C920">
            <v>1</v>
          </cell>
          <cell r="D920">
            <v>1</v>
          </cell>
          <cell r="E920" t="str">
            <v>ARIS.A2.Aim1.Bin1.RB</v>
          </cell>
          <cell r="F920">
            <v>4</v>
          </cell>
          <cell r="G920" t="str">
            <v>SplineDFA</v>
          </cell>
          <cell r="H920" t="str">
            <v>Y</v>
          </cell>
          <cell r="I920" t="str">
            <v>N</v>
          </cell>
          <cell r="J920">
            <v>205</v>
          </cell>
          <cell r="K920">
            <v>1</v>
          </cell>
          <cell r="L920">
            <v>0.93610000000000004</v>
          </cell>
          <cell r="M920">
            <v>23.7</v>
          </cell>
          <cell r="N920">
            <v>2.7</v>
          </cell>
          <cell r="O920">
            <v>6.3899999999999998E-2</v>
          </cell>
          <cell r="P920">
            <v>2.1299999999999999E-2</v>
          </cell>
          <cell r="Q920">
            <v>0</v>
          </cell>
          <cell r="R920">
            <v>4.2599999999999999E-2</v>
          </cell>
          <cell r="S920" t="str">
            <v>NA</v>
          </cell>
          <cell r="T920">
            <v>59.4</v>
          </cell>
          <cell r="U920">
            <v>4.8</v>
          </cell>
          <cell r="V920">
            <v>74.900000000000006</v>
          </cell>
          <cell r="W920">
            <v>7.6</v>
          </cell>
          <cell r="X920">
            <v>52.4</v>
          </cell>
          <cell r="Y920">
            <v>6.8</v>
          </cell>
          <cell r="Z920" t="str">
            <v>NA</v>
          </cell>
          <cell r="AA920" t="str">
            <v>NA</v>
          </cell>
        </row>
        <row r="921">
          <cell r="A921">
            <v>45143</v>
          </cell>
          <cell r="B921" t="str">
            <v>A2</v>
          </cell>
          <cell r="C921">
            <v>2</v>
          </cell>
          <cell r="D921">
            <v>1</v>
          </cell>
          <cell r="E921" t="str">
            <v>ARIS.A2.Aim1.Bin2.RB</v>
          </cell>
          <cell r="F921">
            <v>4</v>
          </cell>
          <cell r="G921" t="str">
            <v>SplineDFA</v>
          </cell>
          <cell r="H921" t="str">
            <v>Y</v>
          </cell>
          <cell r="I921" t="str">
            <v>N</v>
          </cell>
          <cell r="J921">
            <v>152</v>
          </cell>
          <cell r="K921">
            <v>0.99990000000000001</v>
          </cell>
          <cell r="L921">
            <v>0.83330000000000004</v>
          </cell>
          <cell r="M921">
            <v>23.7</v>
          </cell>
          <cell r="N921">
            <v>2.7</v>
          </cell>
          <cell r="O921">
            <v>0.1666</v>
          </cell>
          <cell r="P921">
            <v>3.95E-2</v>
          </cell>
          <cell r="Q921">
            <v>1.34E-2</v>
          </cell>
          <cell r="R921">
            <v>0.1137</v>
          </cell>
          <cell r="S921" t="str">
            <v>NA</v>
          </cell>
          <cell r="T921">
            <v>59.4</v>
          </cell>
          <cell r="U921">
            <v>4.8</v>
          </cell>
          <cell r="V921">
            <v>74.900000000000006</v>
          </cell>
          <cell r="W921">
            <v>7.6</v>
          </cell>
          <cell r="X921">
            <v>52.4</v>
          </cell>
          <cell r="Y921">
            <v>6.8</v>
          </cell>
          <cell r="Z921" t="str">
            <v>NA</v>
          </cell>
          <cell r="AA921" t="str">
            <v>NA</v>
          </cell>
        </row>
        <row r="922">
          <cell r="A922">
            <v>45143</v>
          </cell>
          <cell r="B922" t="str">
            <v>A2</v>
          </cell>
          <cell r="C922">
            <v>3</v>
          </cell>
          <cell r="D922">
            <v>1</v>
          </cell>
          <cell r="E922" t="str">
            <v>ARIS.A2.Aim1.Bin3.RB</v>
          </cell>
          <cell r="F922">
            <v>4</v>
          </cell>
          <cell r="G922" t="str">
            <v>SplineDFA</v>
          </cell>
          <cell r="H922" t="str">
            <v>Y</v>
          </cell>
          <cell r="I922" t="str">
            <v>N</v>
          </cell>
          <cell r="J922">
            <v>129</v>
          </cell>
          <cell r="K922">
            <v>1</v>
          </cell>
          <cell r="L922">
            <v>0.31380000000000002</v>
          </cell>
          <cell r="M922">
            <v>23.7</v>
          </cell>
          <cell r="N922">
            <v>2.7</v>
          </cell>
          <cell r="O922">
            <v>0.68620000000000003</v>
          </cell>
          <cell r="P922">
            <v>7.6700000000000004E-2</v>
          </cell>
          <cell r="Q922">
            <v>0.20749999999999999</v>
          </cell>
          <cell r="R922">
            <v>0.40200000000000002</v>
          </cell>
          <cell r="S922" t="str">
            <v>NA</v>
          </cell>
          <cell r="T922">
            <v>59.4</v>
          </cell>
          <cell r="U922">
            <v>4.8</v>
          </cell>
          <cell r="V922">
            <v>74.900000000000006</v>
          </cell>
          <cell r="W922">
            <v>7.6</v>
          </cell>
          <cell r="X922">
            <v>52.4</v>
          </cell>
          <cell r="Y922">
            <v>6.8</v>
          </cell>
          <cell r="Z922" t="str">
            <v>NA</v>
          </cell>
          <cell r="AA922" t="str">
            <v>NA</v>
          </cell>
        </row>
        <row r="923">
          <cell r="A923">
            <v>45143</v>
          </cell>
          <cell r="B923" t="str">
            <v>A2</v>
          </cell>
          <cell r="C923">
            <v>4</v>
          </cell>
          <cell r="D923">
            <v>1</v>
          </cell>
          <cell r="E923" t="str">
            <v>ARIS.A2.Aim1.Bin4.RB</v>
          </cell>
          <cell r="F923">
            <v>4</v>
          </cell>
          <cell r="G923" t="str">
            <v>SplineDFA</v>
          </cell>
          <cell r="H923" t="str">
            <v>Y</v>
          </cell>
          <cell r="I923" t="str">
            <v>N</v>
          </cell>
          <cell r="J923">
            <v>129</v>
          </cell>
          <cell r="K923">
            <v>1</v>
          </cell>
          <cell r="L923">
            <v>0.31380000000000002</v>
          </cell>
          <cell r="M923">
            <v>23.7</v>
          </cell>
          <cell r="N923">
            <v>2.7</v>
          </cell>
          <cell r="O923">
            <v>0.68620000000000003</v>
          </cell>
          <cell r="P923">
            <v>7.6700000000000004E-2</v>
          </cell>
          <cell r="Q923">
            <v>0.20749999999999999</v>
          </cell>
          <cell r="R923">
            <v>0.40200000000000002</v>
          </cell>
          <cell r="S923" t="str">
            <v>NA</v>
          </cell>
          <cell r="T923">
            <v>59.4</v>
          </cell>
          <cell r="U923">
            <v>4.8</v>
          </cell>
          <cell r="V923">
            <v>74.900000000000006</v>
          </cell>
          <cell r="W923">
            <v>7.6</v>
          </cell>
          <cell r="X923">
            <v>52.4</v>
          </cell>
          <cell r="Y923">
            <v>6.8</v>
          </cell>
          <cell r="Z923" t="str">
            <v>NA</v>
          </cell>
          <cell r="AA923" t="str">
            <v>NA</v>
          </cell>
        </row>
        <row r="924">
          <cell r="A924">
            <v>45144</v>
          </cell>
          <cell r="B924" t="str">
            <v>A1</v>
          </cell>
          <cell r="C924">
            <v>1</v>
          </cell>
          <cell r="D924">
            <v>1</v>
          </cell>
          <cell r="E924" t="str">
            <v>ARIS.A1.Aim1.Bin1.LB</v>
          </cell>
          <cell r="F924">
            <v>3</v>
          </cell>
          <cell r="G924" t="str">
            <v>SplineDFA</v>
          </cell>
          <cell r="H924" t="str">
            <v>Y</v>
          </cell>
          <cell r="I924" t="str">
            <v>N</v>
          </cell>
          <cell r="J924">
            <v>145</v>
          </cell>
          <cell r="K924">
            <v>1</v>
          </cell>
          <cell r="L924">
            <v>0.69040000000000001</v>
          </cell>
          <cell r="M924">
            <v>23.7</v>
          </cell>
          <cell r="N924">
            <v>2.7</v>
          </cell>
          <cell r="O924">
            <v>0.30959999999999999</v>
          </cell>
          <cell r="P924">
            <v>0.26569999999999999</v>
          </cell>
          <cell r="Q924">
            <v>4.3900000000000002E-2</v>
          </cell>
          <cell r="R924" t="str">
            <v>NA</v>
          </cell>
          <cell r="S924" t="str">
            <v>NA</v>
          </cell>
          <cell r="T924">
            <v>58.9</v>
          </cell>
          <cell r="U924">
            <v>4.8</v>
          </cell>
          <cell r="V924">
            <v>74.5</v>
          </cell>
          <cell r="W924">
            <v>7.5</v>
          </cell>
          <cell r="X924" t="str">
            <v>NA</v>
          </cell>
          <cell r="Y924" t="str">
            <v>NA</v>
          </cell>
          <cell r="Z924" t="str">
            <v>NA</v>
          </cell>
          <cell r="AA924" t="str">
            <v>NA</v>
          </cell>
        </row>
        <row r="925">
          <cell r="A925">
            <v>45144</v>
          </cell>
          <cell r="B925" t="str">
            <v>A1</v>
          </cell>
          <cell r="C925">
            <v>1</v>
          </cell>
          <cell r="D925">
            <v>2</v>
          </cell>
          <cell r="E925" t="str">
            <v>ARIS.A1.Aim2.Bin1.LB</v>
          </cell>
          <cell r="F925">
            <v>3</v>
          </cell>
          <cell r="G925" t="str">
            <v>SplineDFA</v>
          </cell>
          <cell r="H925" t="str">
            <v>Y</v>
          </cell>
          <cell r="I925" t="str">
            <v>N</v>
          </cell>
          <cell r="J925">
            <v>174</v>
          </cell>
          <cell r="K925">
            <v>0.99990000000000001</v>
          </cell>
          <cell r="L925">
            <v>0.70069999999999999</v>
          </cell>
          <cell r="M925">
            <v>23.7</v>
          </cell>
          <cell r="N925">
            <v>2.7</v>
          </cell>
          <cell r="O925">
            <v>0.29920000000000002</v>
          </cell>
          <cell r="P925">
            <v>0.23250000000000001</v>
          </cell>
          <cell r="Q925">
            <v>6.6699999999999995E-2</v>
          </cell>
          <cell r="R925" t="str">
            <v>NA</v>
          </cell>
          <cell r="S925" t="str">
            <v>NA</v>
          </cell>
          <cell r="T925">
            <v>58.9</v>
          </cell>
          <cell r="U925">
            <v>4.8</v>
          </cell>
          <cell r="V925">
            <v>74.5</v>
          </cell>
          <cell r="W925">
            <v>7.5</v>
          </cell>
          <cell r="X925" t="str">
            <v>NA</v>
          </cell>
          <cell r="Y925" t="str">
            <v>NA</v>
          </cell>
          <cell r="Z925" t="str">
            <v>NA</v>
          </cell>
          <cell r="AA925" t="str">
            <v>NA</v>
          </cell>
        </row>
        <row r="926">
          <cell r="A926">
            <v>45144</v>
          </cell>
          <cell r="B926" t="str">
            <v>A1</v>
          </cell>
          <cell r="C926">
            <v>2</v>
          </cell>
          <cell r="D926">
            <v>3</v>
          </cell>
          <cell r="E926" t="str">
            <v>ARIS.A1.Aim3.Bin2.LB</v>
          </cell>
          <cell r="F926">
            <v>3</v>
          </cell>
          <cell r="G926" t="str">
            <v>SplineDFA</v>
          </cell>
          <cell r="H926" t="str">
            <v>Y</v>
          </cell>
          <cell r="I926" t="str">
            <v>N</v>
          </cell>
          <cell r="J926">
            <v>164</v>
          </cell>
          <cell r="K926">
            <v>1.0001</v>
          </cell>
          <cell r="L926">
            <v>0.30780000000000002</v>
          </cell>
          <cell r="M926">
            <v>23.7</v>
          </cell>
          <cell r="N926">
            <v>2.7</v>
          </cell>
          <cell r="O926">
            <v>0.69230000000000003</v>
          </cell>
          <cell r="P926">
            <v>0.44900000000000001</v>
          </cell>
          <cell r="Q926">
            <v>0.24329999999999999</v>
          </cell>
          <cell r="R926" t="str">
            <v>NA</v>
          </cell>
          <cell r="S926" t="str">
            <v>NA</v>
          </cell>
          <cell r="T926">
            <v>58.9</v>
          </cell>
          <cell r="U926">
            <v>4.8</v>
          </cell>
          <cell r="V926">
            <v>74.5</v>
          </cell>
          <cell r="W926">
            <v>7.5</v>
          </cell>
          <cell r="X926" t="str">
            <v>NA</v>
          </cell>
          <cell r="Y926" t="str">
            <v>NA</v>
          </cell>
          <cell r="Z926" t="str">
            <v>NA</v>
          </cell>
          <cell r="AA926" t="str">
            <v>NA</v>
          </cell>
        </row>
        <row r="927">
          <cell r="A927">
            <v>45144</v>
          </cell>
          <cell r="B927" t="str">
            <v>A1</v>
          </cell>
          <cell r="C927">
            <v>3</v>
          </cell>
          <cell r="D927">
            <v>3</v>
          </cell>
          <cell r="E927" t="str">
            <v>ARIS.A1.Aim3.Bin3.LB</v>
          </cell>
          <cell r="F927">
            <v>3</v>
          </cell>
          <cell r="G927" t="str">
            <v>SplineDFA</v>
          </cell>
          <cell r="H927" t="str">
            <v>Y</v>
          </cell>
          <cell r="I927" t="str">
            <v>N</v>
          </cell>
          <cell r="J927">
            <v>166</v>
          </cell>
          <cell r="K927">
            <v>1</v>
          </cell>
          <cell r="L927">
            <v>6.0900000000000003E-2</v>
          </cell>
          <cell r="M927">
            <v>23.7</v>
          </cell>
          <cell r="N927">
            <v>2.7</v>
          </cell>
          <cell r="O927">
            <v>0.93910000000000005</v>
          </cell>
          <cell r="P927">
            <v>0.34949999999999998</v>
          </cell>
          <cell r="Q927">
            <v>0.58960000000000001</v>
          </cell>
          <cell r="R927" t="str">
            <v>NA</v>
          </cell>
          <cell r="S927" t="str">
            <v>NA</v>
          </cell>
          <cell r="T927">
            <v>58.9</v>
          </cell>
          <cell r="U927">
            <v>4.8</v>
          </cell>
          <cell r="V927">
            <v>74.5</v>
          </cell>
          <cell r="W927">
            <v>7.5</v>
          </cell>
          <cell r="X927" t="str">
            <v>NA</v>
          </cell>
          <cell r="Y927" t="str">
            <v>NA</v>
          </cell>
          <cell r="Z927" t="str">
            <v>NA</v>
          </cell>
          <cell r="AA927" t="str">
            <v>NA</v>
          </cell>
        </row>
        <row r="928">
          <cell r="A928">
            <v>45144</v>
          </cell>
          <cell r="B928" t="str">
            <v>A1</v>
          </cell>
          <cell r="C928">
            <v>4</v>
          </cell>
          <cell r="D928">
            <v>3</v>
          </cell>
          <cell r="E928" t="str">
            <v>ARIS.A1.Aim3.Bin4.LB</v>
          </cell>
          <cell r="F928">
            <v>3</v>
          </cell>
          <cell r="G928" t="str">
            <v>SplineDFA</v>
          </cell>
          <cell r="H928" t="str">
            <v>Y</v>
          </cell>
          <cell r="I928" t="str">
            <v>N</v>
          </cell>
          <cell r="J928">
            <v>166</v>
          </cell>
          <cell r="K928">
            <v>1</v>
          </cell>
          <cell r="L928">
            <v>6.0900000000000003E-2</v>
          </cell>
          <cell r="M928">
            <v>23.7</v>
          </cell>
          <cell r="N928">
            <v>2.7</v>
          </cell>
          <cell r="O928">
            <v>0.93910000000000005</v>
          </cell>
          <cell r="P928">
            <v>0.34949999999999998</v>
          </cell>
          <cell r="Q928">
            <v>0.58960000000000001</v>
          </cell>
          <cell r="R928" t="str">
            <v>NA</v>
          </cell>
          <cell r="S928" t="str">
            <v>NA</v>
          </cell>
          <cell r="T928">
            <v>58.9</v>
          </cell>
          <cell r="U928">
            <v>4.8</v>
          </cell>
          <cell r="V928">
            <v>74.5</v>
          </cell>
          <cell r="W928">
            <v>7.5</v>
          </cell>
          <cell r="X928" t="str">
            <v>NA</v>
          </cell>
          <cell r="Y928" t="str">
            <v>NA</v>
          </cell>
          <cell r="Z928" t="str">
            <v>NA</v>
          </cell>
          <cell r="AA928" t="str">
            <v>NA</v>
          </cell>
        </row>
        <row r="929">
          <cell r="A929">
            <v>45144</v>
          </cell>
          <cell r="B929" t="str">
            <v>A1</v>
          </cell>
          <cell r="C929">
            <v>1</v>
          </cell>
          <cell r="D929">
            <v>1</v>
          </cell>
          <cell r="E929" t="str">
            <v>ARIS.A1.Aim1.Bin1.LB</v>
          </cell>
          <cell r="F929">
            <v>3</v>
          </cell>
          <cell r="G929" t="str">
            <v>Unweighted</v>
          </cell>
          <cell r="H929" t="str">
            <v>N</v>
          </cell>
          <cell r="I929" t="str">
            <v>N</v>
          </cell>
          <cell r="J929">
            <v>145</v>
          </cell>
          <cell r="K929">
            <v>1</v>
          </cell>
          <cell r="L929">
            <v>0.74360000000000004</v>
          </cell>
          <cell r="M929">
            <v>21.8</v>
          </cell>
          <cell r="N929">
            <v>9.6</v>
          </cell>
          <cell r="O929">
            <v>0.25640000000000002</v>
          </cell>
          <cell r="P929">
            <v>0.2203</v>
          </cell>
          <cell r="Q929">
            <v>3.61E-2</v>
          </cell>
          <cell r="R929" t="str">
            <v>NA</v>
          </cell>
          <cell r="S929" t="str">
            <v>NA</v>
          </cell>
          <cell r="T929">
            <v>58.9</v>
          </cell>
          <cell r="U929">
            <v>4.8</v>
          </cell>
          <cell r="V929">
            <v>74.5</v>
          </cell>
          <cell r="W929">
            <v>7.5</v>
          </cell>
          <cell r="X929" t="str">
            <v>NA</v>
          </cell>
          <cell r="Y929" t="str">
            <v>NA</v>
          </cell>
          <cell r="Z929" t="str">
            <v>NA</v>
          </cell>
          <cell r="AA929" t="str">
            <v>NA</v>
          </cell>
        </row>
        <row r="930">
          <cell r="A930">
            <v>45144</v>
          </cell>
          <cell r="B930" t="str">
            <v>A1</v>
          </cell>
          <cell r="C930">
            <v>1</v>
          </cell>
          <cell r="D930">
            <v>2</v>
          </cell>
          <cell r="E930" t="str">
            <v>ARIS.A1.Aim2.Bin1.LB</v>
          </cell>
          <cell r="F930">
            <v>3</v>
          </cell>
          <cell r="G930" t="str">
            <v>Unweighted</v>
          </cell>
          <cell r="H930" t="str">
            <v>N</v>
          </cell>
          <cell r="I930" t="str">
            <v>N</v>
          </cell>
          <cell r="J930">
            <v>174</v>
          </cell>
          <cell r="K930">
            <v>1.0001</v>
          </cell>
          <cell r="L930">
            <v>0.72799999999999998</v>
          </cell>
          <cell r="M930">
            <v>18.899999999999999</v>
          </cell>
          <cell r="N930">
            <v>7.7</v>
          </cell>
          <cell r="O930">
            <v>0.27210000000000001</v>
          </cell>
          <cell r="P930">
            <v>0.21890000000000001</v>
          </cell>
          <cell r="Q930">
            <v>5.3199999999999997E-2</v>
          </cell>
          <cell r="R930" t="str">
            <v>NA</v>
          </cell>
          <cell r="S930" t="str">
            <v>NA</v>
          </cell>
          <cell r="T930">
            <v>58.9</v>
          </cell>
          <cell r="U930">
            <v>4.8</v>
          </cell>
          <cell r="V930">
            <v>74.5</v>
          </cell>
          <cell r="W930">
            <v>7.5</v>
          </cell>
          <cell r="X930" t="str">
            <v>NA</v>
          </cell>
          <cell r="Y930" t="str">
            <v>NA</v>
          </cell>
          <cell r="Z930" t="str">
            <v>NA</v>
          </cell>
          <cell r="AA930" t="str">
            <v>NA</v>
          </cell>
        </row>
        <row r="931">
          <cell r="A931">
            <v>45144</v>
          </cell>
          <cell r="B931" t="str">
            <v>A1</v>
          </cell>
          <cell r="C931">
            <v>1</v>
          </cell>
          <cell r="D931" t="str">
            <v>1&amp;2</v>
          </cell>
          <cell r="E931" t="str">
            <v>ARIS.A1.Aim1&amp;Aim2.Bin1.LB</v>
          </cell>
          <cell r="F931">
            <v>3</v>
          </cell>
          <cell r="G931" t="str">
            <v>Unweighted</v>
          </cell>
          <cell r="H931" t="str">
            <v>N</v>
          </cell>
          <cell r="I931" t="str">
            <v>N</v>
          </cell>
          <cell r="J931">
            <v>319</v>
          </cell>
          <cell r="K931">
            <v>1.0001</v>
          </cell>
          <cell r="L931">
            <v>0.73450000000000004</v>
          </cell>
          <cell r="M931">
            <v>20.2</v>
          </cell>
          <cell r="N931">
            <v>8.6999999999999993</v>
          </cell>
          <cell r="O931">
            <v>0.2656</v>
          </cell>
          <cell r="P931">
            <v>0.22040000000000001</v>
          </cell>
          <cell r="Q931">
            <v>4.5199999999999997E-2</v>
          </cell>
          <cell r="R931" t="str">
            <v>NA</v>
          </cell>
          <cell r="S931" t="str">
            <v>NA</v>
          </cell>
          <cell r="T931">
            <v>58.9</v>
          </cell>
          <cell r="U931">
            <v>4.8</v>
          </cell>
          <cell r="V931">
            <v>74.5</v>
          </cell>
          <cell r="W931">
            <v>7.5</v>
          </cell>
          <cell r="X931" t="str">
            <v>NA</v>
          </cell>
          <cell r="Y931" t="str">
            <v>NA</v>
          </cell>
          <cell r="Z931" t="str">
            <v>NA</v>
          </cell>
          <cell r="AA931" t="str">
            <v>NA</v>
          </cell>
        </row>
        <row r="932">
          <cell r="A932">
            <v>45144</v>
          </cell>
          <cell r="B932" t="str">
            <v>A1</v>
          </cell>
          <cell r="C932">
            <v>2</v>
          </cell>
          <cell r="D932">
            <v>3</v>
          </cell>
          <cell r="E932" t="str">
            <v>ARIS.A1.Aim3.Bin2.LB</v>
          </cell>
          <cell r="F932">
            <v>3</v>
          </cell>
          <cell r="G932" t="str">
            <v>Unweighted</v>
          </cell>
          <cell r="H932" t="str">
            <v>N</v>
          </cell>
          <cell r="I932" t="str">
            <v>N</v>
          </cell>
          <cell r="J932">
            <v>164</v>
          </cell>
          <cell r="K932">
            <v>1</v>
          </cell>
          <cell r="L932">
            <v>0.41830000000000001</v>
          </cell>
          <cell r="M932">
            <v>23.7</v>
          </cell>
          <cell r="N932">
            <v>10.199999999999999</v>
          </cell>
          <cell r="O932">
            <v>0.58169999999999999</v>
          </cell>
          <cell r="P932">
            <v>0.29699999999999999</v>
          </cell>
          <cell r="Q932">
            <v>0.28470000000000001</v>
          </cell>
          <cell r="R932" t="str">
            <v>NA</v>
          </cell>
          <cell r="S932" t="str">
            <v>NA</v>
          </cell>
          <cell r="T932">
            <v>58.9</v>
          </cell>
          <cell r="U932">
            <v>4.8</v>
          </cell>
          <cell r="V932">
            <v>74.5</v>
          </cell>
          <cell r="W932">
            <v>7.5</v>
          </cell>
          <cell r="X932" t="str">
            <v>NA</v>
          </cell>
          <cell r="Y932" t="str">
            <v>NA</v>
          </cell>
          <cell r="Z932" t="str">
            <v>NA</v>
          </cell>
          <cell r="AA932" t="str">
            <v>NA</v>
          </cell>
        </row>
        <row r="933">
          <cell r="A933">
            <v>45144</v>
          </cell>
          <cell r="B933" t="str">
            <v>A1</v>
          </cell>
          <cell r="C933">
            <v>3</v>
          </cell>
          <cell r="D933">
            <v>3</v>
          </cell>
          <cell r="E933" t="str">
            <v>ARIS.A1.Aim3.Bin3.LB</v>
          </cell>
          <cell r="F933">
            <v>3</v>
          </cell>
          <cell r="G933" t="str">
            <v>Unweighted</v>
          </cell>
          <cell r="H933" t="str">
            <v>N</v>
          </cell>
          <cell r="I933" t="str">
            <v>N</v>
          </cell>
          <cell r="J933">
            <v>166</v>
          </cell>
          <cell r="K933">
            <v>1</v>
          </cell>
          <cell r="L933">
            <v>0.15129999999999999</v>
          </cell>
          <cell r="M933">
            <v>23.7</v>
          </cell>
          <cell r="N933">
            <v>18.899999999999999</v>
          </cell>
          <cell r="O933">
            <v>0.84870000000000001</v>
          </cell>
          <cell r="P933">
            <v>0.1588</v>
          </cell>
          <cell r="Q933">
            <v>0.68989999999999996</v>
          </cell>
          <cell r="R933" t="str">
            <v>NA</v>
          </cell>
          <cell r="S933" t="str">
            <v>NA</v>
          </cell>
          <cell r="T933">
            <v>58.9</v>
          </cell>
          <cell r="U933">
            <v>4.8</v>
          </cell>
          <cell r="V933">
            <v>74.5</v>
          </cell>
          <cell r="W933">
            <v>7.5</v>
          </cell>
          <cell r="X933" t="str">
            <v>NA</v>
          </cell>
          <cell r="Y933" t="str">
            <v>NA</v>
          </cell>
          <cell r="Z933" t="str">
            <v>NA</v>
          </cell>
          <cell r="AA933" t="str">
            <v>NA</v>
          </cell>
        </row>
        <row r="934">
          <cell r="A934">
            <v>45144</v>
          </cell>
          <cell r="B934" t="str">
            <v>A1</v>
          </cell>
          <cell r="C934">
            <v>4</v>
          </cell>
          <cell r="D934">
            <v>3</v>
          </cell>
          <cell r="E934" t="str">
            <v>ARIS.A1.Aim3.Bin4.LB</v>
          </cell>
          <cell r="F934">
            <v>3</v>
          </cell>
          <cell r="G934" t="str">
            <v>Unweighted</v>
          </cell>
          <cell r="H934" t="str">
            <v>N</v>
          </cell>
          <cell r="I934" t="str">
            <v>N</v>
          </cell>
          <cell r="J934">
            <v>166</v>
          </cell>
          <cell r="K934">
            <v>1</v>
          </cell>
          <cell r="L934">
            <v>0.15129999999999999</v>
          </cell>
          <cell r="M934">
            <v>23.7</v>
          </cell>
          <cell r="N934">
            <v>18.899999999999999</v>
          </cell>
          <cell r="O934">
            <v>0.84870000000000001</v>
          </cell>
          <cell r="P934">
            <v>0.1588</v>
          </cell>
          <cell r="Q934">
            <v>0.68989999999999996</v>
          </cell>
          <cell r="R934" t="str">
            <v>NA</v>
          </cell>
          <cell r="S934" t="str">
            <v>NA</v>
          </cell>
          <cell r="T934">
            <v>58.9</v>
          </cell>
          <cell r="U934">
            <v>4.8</v>
          </cell>
          <cell r="V934">
            <v>74.5</v>
          </cell>
          <cell r="W934">
            <v>7.5</v>
          </cell>
          <cell r="X934" t="str">
            <v>NA</v>
          </cell>
          <cell r="Y934" t="str">
            <v>NA</v>
          </cell>
          <cell r="Z934" t="str">
            <v>NA</v>
          </cell>
          <cell r="AA934" t="str">
            <v>NA</v>
          </cell>
        </row>
        <row r="935">
          <cell r="A935">
            <v>45144</v>
          </cell>
          <cell r="B935" t="str">
            <v>A2</v>
          </cell>
          <cell r="C935">
            <v>1</v>
          </cell>
          <cell r="D935">
            <v>1</v>
          </cell>
          <cell r="E935" t="str">
            <v>ARIS.A2.Aim1.Bin1.RB</v>
          </cell>
          <cell r="F935">
            <v>3</v>
          </cell>
          <cell r="G935" t="str">
            <v>Unweighted</v>
          </cell>
          <cell r="H935" t="str">
            <v>N</v>
          </cell>
          <cell r="I935" t="str">
            <v>N</v>
          </cell>
          <cell r="J935">
            <v>205</v>
          </cell>
          <cell r="K935">
            <v>1</v>
          </cell>
          <cell r="L935">
            <v>0.9234</v>
          </cell>
          <cell r="M935">
            <v>18.600000000000001</v>
          </cell>
          <cell r="N935">
            <v>6.4</v>
          </cell>
          <cell r="O935">
            <v>7.6600000000000001E-2</v>
          </cell>
          <cell r="P935">
            <v>7.6600000000000001E-2</v>
          </cell>
          <cell r="Q935">
            <v>0</v>
          </cell>
          <cell r="R935" t="str">
            <v>NA</v>
          </cell>
          <cell r="S935" t="str">
            <v>NA</v>
          </cell>
          <cell r="T935">
            <v>58.9</v>
          </cell>
          <cell r="U935">
            <v>4.8</v>
          </cell>
          <cell r="V935">
            <v>74.5</v>
          </cell>
          <cell r="W935">
            <v>7.5</v>
          </cell>
          <cell r="X935" t="str">
            <v>NA</v>
          </cell>
          <cell r="Y935" t="str">
            <v>NA</v>
          </cell>
          <cell r="Z935" t="str">
            <v>NA</v>
          </cell>
          <cell r="AA935" t="str">
            <v>NA</v>
          </cell>
        </row>
        <row r="936">
          <cell r="A936">
            <v>45144</v>
          </cell>
          <cell r="B936" t="str">
            <v>A2</v>
          </cell>
          <cell r="C936">
            <v>2</v>
          </cell>
          <cell r="D936">
            <v>1</v>
          </cell>
          <cell r="E936" t="str">
            <v>ARIS.A2.Aim1.Bin2.RB</v>
          </cell>
          <cell r="F936">
            <v>3</v>
          </cell>
          <cell r="G936" t="str">
            <v>Unweighted</v>
          </cell>
          <cell r="H936" t="str">
            <v>N</v>
          </cell>
          <cell r="I936" t="str">
            <v>N</v>
          </cell>
          <cell r="J936">
            <v>152</v>
          </cell>
          <cell r="K936">
            <v>1</v>
          </cell>
          <cell r="L936">
            <v>0.84750000000000003</v>
          </cell>
          <cell r="M936">
            <v>26.7</v>
          </cell>
          <cell r="N936">
            <v>7.3</v>
          </cell>
          <cell r="O936">
            <v>0.1525</v>
          </cell>
          <cell r="P936">
            <v>0.1016</v>
          </cell>
          <cell r="Q936">
            <v>5.0900000000000001E-2</v>
          </cell>
          <cell r="R936" t="str">
            <v>NA</v>
          </cell>
          <cell r="S936" t="str">
            <v>NA</v>
          </cell>
          <cell r="T936">
            <v>58.9</v>
          </cell>
          <cell r="U936">
            <v>4.8</v>
          </cell>
          <cell r="V936">
            <v>74.5</v>
          </cell>
          <cell r="W936">
            <v>7.5</v>
          </cell>
          <cell r="X936" t="str">
            <v>NA</v>
          </cell>
          <cell r="Y936" t="str">
            <v>NA</v>
          </cell>
          <cell r="Z936" t="str">
            <v>NA</v>
          </cell>
          <cell r="AA936" t="str">
            <v>NA</v>
          </cell>
        </row>
        <row r="937">
          <cell r="A937">
            <v>45144</v>
          </cell>
          <cell r="B937" t="str">
            <v>A2</v>
          </cell>
          <cell r="C937">
            <v>3</v>
          </cell>
          <cell r="D937">
            <v>1</v>
          </cell>
          <cell r="E937" t="str">
            <v>ARIS.A2.Aim1.Bin3.RB</v>
          </cell>
          <cell r="F937">
            <v>3</v>
          </cell>
          <cell r="G937" t="str">
            <v>Unweighted</v>
          </cell>
          <cell r="H937" t="str">
            <v>N</v>
          </cell>
          <cell r="I937" t="str">
            <v>N</v>
          </cell>
          <cell r="J937">
            <v>129</v>
          </cell>
          <cell r="K937">
            <v>1</v>
          </cell>
          <cell r="L937">
            <v>0.66249999999999998</v>
          </cell>
          <cell r="M937">
            <v>23.7</v>
          </cell>
          <cell r="N937">
            <v>13.5</v>
          </cell>
          <cell r="O937">
            <v>0.33750000000000002</v>
          </cell>
          <cell r="P937">
            <v>0.14030000000000001</v>
          </cell>
          <cell r="Q937">
            <v>0.19719999999999999</v>
          </cell>
          <cell r="R937" t="str">
            <v>NA</v>
          </cell>
          <cell r="S937" t="str">
            <v>NA</v>
          </cell>
          <cell r="T937">
            <v>58.9</v>
          </cell>
          <cell r="U937">
            <v>4.8</v>
          </cell>
          <cell r="V937">
            <v>74.5</v>
          </cell>
          <cell r="W937">
            <v>7.5</v>
          </cell>
          <cell r="X937" t="str">
            <v>NA</v>
          </cell>
          <cell r="Y937" t="str">
            <v>NA</v>
          </cell>
          <cell r="Z937" t="str">
            <v>NA</v>
          </cell>
          <cell r="AA937" t="str">
            <v>NA</v>
          </cell>
        </row>
        <row r="938">
          <cell r="A938">
            <v>45144</v>
          </cell>
          <cell r="B938" t="str">
            <v>A2</v>
          </cell>
          <cell r="C938">
            <v>4</v>
          </cell>
          <cell r="D938">
            <v>1</v>
          </cell>
          <cell r="E938" t="str">
            <v>ARIS.A2.Aim1.Bin4.RB</v>
          </cell>
          <cell r="F938">
            <v>3</v>
          </cell>
          <cell r="G938" t="str">
            <v>Unweighted</v>
          </cell>
          <cell r="H938" t="str">
            <v>N</v>
          </cell>
          <cell r="I938" t="str">
            <v>N</v>
          </cell>
          <cell r="J938">
            <v>129</v>
          </cell>
          <cell r="K938">
            <v>1</v>
          </cell>
          <cell r="L938">
            <v>0.66249999999999998</v>
          </cell>
          <cell r="M938">
            <v>23.7</v>
          </cell>
          <cell r="N938">
            <v>13.5</v>
          </cell>
          <cell r="O938">
            <v>0.33750000000000002</v>
          </cell>
          <cell r="P938">
            <v>0.14030000000000001</v>
          </cell>
          <cell r="Q938">
            <v>0.19719999999999999</v>
          </cell>
          <cell r="R938" t="str">
            <v>NA</v>
          </cell>
          <cell r="S938" t="str">
            <v>NA</v>
          </cell>
          <cell r="T938">
            <v>58.9</v>
          </cell>
          <cell r="U938">
            <v>4.8</v>
          </cell>
          <cell r="V938">
            <v>74.5</v>
          </cell>
          <cell r="W938">
            <v>7.5</v>
          </cell>
          <cell r="X938" t="str">
            <v>NA</v>
          </cell>
          <cell r="Y938" t="str">
            <v>NA</v>
          </cell>
          <cell r="Z938" t="str">
            <v>NA</v>
          </cell>
          <cell r="AA938" t="str">
            <v>NA</v>
          </cell>
        </row>
        <row r="939">
          <cell r="A939">
            <v>45144</v>
          </cell>
          <cell r="B939" t="str">
            <v>A2</v>
          </cell>
          <cell r="C939">
            <v>1</v>
          </cell>
          <cell r="D939">
            <v>1</v>
          </cell>
          <cell r="E939" t="str">
            <v>ARIS.A2.Aim1.Bin1.RB</v>
          </cell>
          <cell r="F939">
            <v>3</v>
          </cell>
          <cell r="G939" t="str">
            <v>SplineDFA</v>
          </cell>
          <cell r="H939" t="str">
            <v>Y</v>
          </cell>
          <cell r="I939" t="str">
            <v>N</v>
          </cell>
          <cell r="J939">
            <v>205</v>
          </cell>
          <cell r="K939">
            <v>1</v>
          </cell>
          <cell r="L939">
            <v>0.95820000000000005</v>
          </cell>
          <cell r="M939">
            <v>23.7</v>
          </cell>
          <cell r="N939">
            <v>2.7</v>
          </cell>
          <cell r="O939">
            <v>4.1799999999999997E-2</v>
          </cell>
          <cell r="P939">
            <v>4.1799999999999997E-2</v>
          </cell>
          <cell r="Q939">
            <v>0</v>
          </cell>
          <cell r="R939" t="str">
            <v>NA</v>
          </cell>
          <cell r="S939" t="str">
            <v>NA</v>
          </cell>
          <cell r="T939">
            <v>58.9</v>
          </cell>
          <cell r="U939">
            <v>4.8</v>
          </cell>
          <cell r="V939">
            <v>74.5</v>
          </cell>
          <cell r="W939">
            <v>7.5</v>
          </cell>
          <cell r="X939" t="str">
            <v>NA</v>
          </cell>
          <cell r="Y939" t="str">
            <v>NA</v>
          </cell>
          <cell r="Z939" t="str">
            <v>NA</v>
          </cell>
          <cell r="AA939" t="str">
            <v>NA</v>
          </cell>
        </row>
        <row r="940">
          <cell r="A940">
            <v>45144</v>
          </cell>
          <cell r="B940" t="str">
            <v>A2</v>
          </cell>
          <cell r="C940">
            <v>2</v>
          </cell>
          <cell r="D940">
            <v>1</v>
          </cell>
          <cell r="E940" t="str">
            <v>ARIS.A2.Aim1.Bin2.RB</v>
          </cell>
          <cell r="F940">
            <v>3</v>
          </cell>
          <cell r="G940" t="str">
            <v>SplineDFA</v>
          </cell>
          <cell r="H940" t="str">
            <v>Y</v>
          </cell>
          <cell r="I940" t="str">
            <v>N</v>
          </cell>
          <cell r="J940">
            <v>152</v>
          </cell>
          <cell r="K940">
            <v>1.0001</v>
          </cell>
          <cell r="L940">
            <v>0.90310000000000001</v>
          </cell>
          <cell r="M940">
            <v>23.7</v>
          </cell>
          <cell r="N940">
            <v>2.7</v>
          </cell>
          <cell r="O940">
            <v>9.7000000000000003E-2</v>
          </cell>
          <cell r="P940">
            <v>8.2900000000000001E-2</v>
          </cell>
          <cell r="Q940">
            <v>1.41E-2</v>
          </cell>
          <cell r="R940" t="str">
            <v>NA</v>
          </cell>
          <cell r="S940" t="str">
            <v>NA</v>
          </cell>
          <cell r="T940">
            <v>58.9</v>
          </cell>
          <cell r="U940">
            <v>4.8</v>
          </cell>
          <cell r="V940">
            <v>74.5</v>
          </cell>
          <cell r="W940">
            <v>7.5</v>
          </cell>
          <cell r="X940" t="str">
            <v>NA</v>
          </cell>
          <cell r="Y940" t="str">
            <v>NA</v>
          </cell>
          <cell r="Z940" t="str">
            <v>NA</v>
          </cell>
          <cell r="AA940" t="str">
            <v>NA</v>
          </cell>
        </row>
        <row r="941">
          <cell r="A941">
            <v>45144</v>
          </cell>
          <cell r="B941" t="str">
            <v>A2</v>
          </cell>
          <cell r="C941">
            <v>3</v>
          </cell>
          <cell r="D941">
            <v>1</v>
          </cell>
          <cell r="E941" t="str">
            <v>ARIS.A2.Aim1.Bin3.RB</v>
          </cell>
          <cell r="F941">
            <v>3</v>
          </cell>
          <cell r="G941" t="str">
            <v>SplineDFA</v>
          </cell>
          <cell r="H941" t="str">
            <v>Y</v>
          </cell>
          <cell r="I941" t="str">
            <v>N</v>
          </cell>
          <cell r="J941">
            <v>129</v>
          </cell>
          <cell r="K941">
            <v>1</v>
          </cell>
          <cell r="L941">
            <v>0.44690000000000002</v>
          </cell>
          <cell r="M941">
            <v>23.7</v>
          </cell>
          <cell r="N941">
            <v>2.7</v>
          </cell>
          <cell r="O941">
            <v>0.55310000000000004</v>
          </cell>
          <cell r="P941">
            <v>0.34560000000000002</v>
          </cell>
          <cell r="Q941">
            <v>0.20749999999999999</v>
          </cell>
          <cell r="R941" t="str">
            <v>NA</v>
          </cell>
          <cell r="S941" t="str">
            <v>NA</v>
          </cell>
          <cell r="T941">
            <v>58.9</v>
          </cell>
          <cell r="U941">
            <v>4.8</v>
          </cell>
          <cell r="V941">
            <v>74.5</v>
          </cell>
          <cell r="W941">
            <v>7.5</v>
          </cell>
          <cell r="X941" t="str">
            <v>NA</v>
          </cell>
          <cell r="Y941" t="str">
            <v>NA</v>
          </cell>
          <cell r="Z941" t="str">
            <v>NA</v>
          </cell>
          <cell r="AA941" t="str">
            <v>NA</v>
          </cell>
        </row>
        <row r="942">
          <cell r="A942">
            <v>45144</v>
          </cell>
          <cell r="B942" t="str">
            <v>A2</v>
          </cell>
          <cell r="C942">
            <v>4</v>
          </cell>
          <cell r="D942">
            <v>1</v>
          </cell>
          <cell r="E942" t="str">
            <v>ARIS.A2.Aim1.Bin4.RB</v>
          </cell>
          <cell r="F942">
            <v>3</v>
          </cell>
          <cell r="G942" t="str">
            <v>SplineDFA</v>
          </cell>
          <cell r="H942" t="str">
            <v>Y</v>
          </cell>
          <cell r="I942" t="str">
            <v>N</v>
          </cell>
          <cell r="J942">
            <v>129</v>
          </cell>
          <cell r="K942">
            <v>1</v>
          </cell>
          <cell r="L942">
            <v>0.44690000000000002</v>
          </cell>
          <cell r="M942">
            <v>23.7</v>
          </cell>
          <cell r="N942">
            <v>2.7</v>
          </cell>
          <cell r="O942">
            <v>0.55310000000000004</v>
          </cell>
          <cell r="P942">
            <v>0.34560000000000002</v>
          </cell>
          <cell r="Q942">
            <v>0.20749999999999999</v>
          </cell>
          <cell r="R942" t="str">
            <v>NA</v>
          </cell>
          <cell r="S942" t="str">
            <v>NA</v>
          </cell>
          <cell r="T942">
            <v>58.9</v>
          </cell>
          <cell r="U942">
            <v>4.8</v>
          </cell>
          <cell r="V942">
            <v>74.5</v>
          </cell>
          <cell r="W942">
            <v>7.5</v>
          </cell>
          <cell r="X942" t="str">
            <v>NA</v>
          </cell>
          <cell r="Y942" t="str">
            <v>NA</v>
          </cell>
          <cell r="Z942" t="str">
            <v>NA</v>
          </cell>
          <cell r="AA942" t="str">
            <v>NA</v>
          </cell>
        </row>
        <row r="943">
          <cell r="A943">
            <v>45144</v>
          </cell>
          <cell r="B943" t="str">
            <v>A1</v>
          </cell>
          <cell r="C943">
            <v>1</v>
          </cell>
          <cell r="D943">
            <v>1</v>
          </cell>
          <cell r="E943" t="str">
            <v>ARIS.A1.Aim1.Bin1.LB</v>
          </cell>
          <cell r="F943">
            <v>4</v>
          </cell>
          <cell r="G943" t="str">
            <v>Unweighted</v>
          </cell>
          <cell r="H943" t="str">
            <v>N</v>
          </cell>
          <cell r="I943" t="str">
            <v>Y</v>
          </cell>
          <cell r="J943">
            <v>145</v>
          </cell>
          <cell r="K943">
            <v>1</v>
          </cell>
          <cell r="L943">
            <v>0.73609999999999998</v>
          </cell>
          <cell r="M943">
            <v>21.6</v>
          </cell>
          <cell r="N943">
            <v>9.3000000000000007</v>
          </cell>
          <cell r="O943">
            <v>0.26390000000000002</v>
          </cell>
          <cell r="P943">
            <v>0.1971</v>
          </cell>
          <cell r="Q943">
            <v>3.3500000000000002E-2</v>
          </cell>
          <cell r="R943">
            <v>3.3300000000000003E-2</v>
          </cell>
          <cell r="S943" t="str">
            <v>NA</v>
          </cell>
          <cell r="T943">
            <v>59.4</v>
          </cell>
          <cell r="U943">
            <v>4.8</v>
          </cell>
          <cell r="V943">
            <v>74.900000000000006</v>
          </cell>
          <cell r="W943">
            <v>7.6</v>
          </cell>
          <cell r="X943">
            <v>52.4</v>
          </cell>
          <cell r="Y943">
            <v>6.8</v>
          </cell>
          <cell r="Z943" t="str">
            <v>NA</v>
          </cell>
          <cell r="AA943" t="str">
            <v>NA</v>
          </cell>
        </row>
        <row r="944">
          <cell r="A944">
            <v>45144</v>
          </cell>
          <cell r="B944" t="str">
            <v>A1</v>
          </cell>
          <cell r="C944">
            <v>1</v>
          </cell>
          <cell r="D944">
            <v>2</v>
          </cell>
          <cell r="E944" t="str">
            <v>ARIS.A1.Aim2.Bin1.LB</v>
          </cell>
          <cell r="F944">
            <v>4</v>
          </cell>
          <cell r="G944" t="str">
            <v>Unweighted</v>
          </cell>
          <cell r="H944" t="str">
            <v>N</v>
          </cell>
          <cell r="I944" t="str">
            <v>Y</v>
          </cell>
          <cell r="J944">
            <v>174</v>
          </cell>
          <cell r="K944">
            <v>1</v>
          </cell>
          <cell r="L944">
            <v>0.70489999999999997</v>
          </cell>
          <cell r="M944">
            <v>18.2</v>
          </cell>
          <cell r="N944">
            <v>6.7</v>
          </cell>
          <cell r="O944">
            <v>0.29509999999999997</v>
          </cell>
          <cell r="P944">
            <v>0.14380000000000001</v>
          </cell>
          <cell r="Q944">
            <v>5.3499999999999999E-2</v>
          </cell>
          <cell r="R944">
            <v>9.7799999999999998E-2</v>
          </cell>
          <cell r="S944" t="str">
            <v>NA</v>
          </cell>
          <cell r="T944">
            <v>59.4</v>
          </cell>
          <cell r="U944">
            <v>4.8</v>
          </cell>
          <cell r="V944">
            <v>74.900000000000006</v>
          </cell>
          <cell r="W944">
            <v>7.6</v>
          </cell>
          <cell r="X944">
            <v>52.4</v>
          </cell>
          <cell r="Y944">
            <v>6.8</v>
          </cell>
          <cell r="Z944" t="str">
            <v>NA</v>
          </cell>
          <cell r="AA944" t="str">
            <v>NA</v>
          </cell>
        </row>
        <row r="945">
          <cell r="A945">
            <v>45144</v>
          </cell>
          <cell r="B945" t="str">
            <v>A1</v>
          </cell>
          <cell r="C945">
            <v>1</v>
          </cell>
          <cell r="D945" t="str">
            <v>1&amp;2</v>
          </cell>
          <cell r="E945" t="str">
            <v>ARIS.A1.Aim1&amp;Aim2.Bin1.LB</v>
          </cell>
          <cell r="F945">
            <v>4</v>
          </cell>
          <cell r="G945" t="str">
            <v>Unweighted</v>
          </cell>
          <cell r="H945" t="str">
            <v>N</v>
          </cell>
          <cell r="I945" t="str">
            <v>Y</v>
          </cell>
          <cell r="J945">
            <v>319</v>
          </cell>
          <cell r="K945">
            <v>1</v>
          </cell>
          <cell r="L945">
            <v>0.72160000000000002</v>
          </cell>
          <cell r="M945">
            <v>19.899999999999999</v>
          </cell>
          <cell r="N945">
            <v>8.1999999999999993</v>
          </cell>
          <cell r="O945">
            <v>0.27839999999999998</v>
          </cell>
          <cell r="P945">
            <v>0.17230000000000001</v>
          </cell>
          <cell r="Q945">
            <v>4.36E-2</v>
          </cell>
          <cell r="R945">
            <v>6.25E-2</v>
          </cell>
          <cell r="S945" t="str">
            <v>NA</v>
          </cell>
          <cell r="T945">
            <v>59.4</v>
          </cell>
          <cell r="U945">
            <v>4.8</v>
          </cell>
          <cell r="V945">
            <v>74.900000000000006</v>
          </cell>
          <cell r="W945">
            <v>7.6</v>
          </cell>
          <cell r="X945">
            <v>52.4</v>
          </cell>
          <cell r="Y945">
            <v>6.8</v>
          </cell>
          <cell r="Z945" t="str">
            <v>NA</v>
          </cell>
          <cell r="AA945" t="str">
            <v>NA</v>
          </cell>
        </row>
        <row r="946">
          <cell r="A946">
            <v>45144</v>
          </cell>
          <cell r="B946" t="str">
            <v>A1</v>
          </cell>
          <cell r="C946">
            <v>2</v>
          </cell>
          <cell r="D946">
            <v>3</v>
          </cell>
          <cell r="E946" t="str">
            <v>ARIS.A1.Aim3.Bin2.LB</v>
          </cell>
          <cell r="F946">
            <v>4</v>
          </cell>
          <cell r="G946" t="str">
            <v>Unweighted</v>
          </cell>
          <cell r="H946" t="str">
            <v>N</v>
          </cell>
          <cell r="I946" t="str">
            <v>Y</v>
          </cell>
          <cell r="J946">
            <v>164</v>
          </cell>
          <cell r="K946">
            <v>0.99990000000000001</v>
          </cell>
          <cell r="L946">
            <v>0.41830000000000001</v>
          </cell>
          <cell r="M946">
            <v>30.4</v>
          </cell>
          <cell r="N946">
            <v>7.7</v>
          </cell>
          <cell r="O946">
            <v>0.58160000000000001</v>
          </cell>
          <cell r="P946">
            <v>0.2888</v>
          </cell>
          <cell r="Q946">
            <v>0.27389999999999998</v>
          </cell>
          <cell r="R946">
            <v>1.89E-2</v>
          </cell>
          <cell r="S946" t="str">
            <v>NA</v>
          </cell>
          <cell r="T946">
            <v>59.4</v>
          </cell>
          <cell r="U946">
            <v>4.8</v>
          </cell>
          <cell r="V946">
            <v>74.900000000000006</v>
          </cell>
          <cell r="W946">
            <v>7.6</v>
          </cell>
          <cell r="X946">
            <v>52.4</v>
          </cell>
          <cell r="Y946">
            <v>6.8</v>
          </cell>
          <cell r="Z946" t="str">
            <v>NA</v>
          </cell>
          <cell r="AA946" t="str">
            <v>NA</v>
          </cell>
        </row>
        <row r="947">
          <cell r="A947">
            <v>45144</v>
          </cell>
          <cell r="B947" t="str">
            <v>A1</v>
          </cell>
          <cell r="C947">
            <v>3</v>
          </cell>
          <cell r="D947">
            <v>3</v>
          </cell>
          <cell r="E947" t="str">
            <v>ARIS.A1.Aim3.Bin3.LB</v>
          </cell>
          <cell r="F947">
            <v>4</v>
          </cell>
          <cell r="G947" t="str">
            <v>Unweighted</v>
          </cell>
          <cell r="H947" t="str">
            <v>N</v>
          </cell>
          <cell r="I947" t="str">
            <v>Y</v>
          </cell>
          <cell r="J947">
            <v>166</v>
          </cell>
          <cell r="K947">
            <v>1</v>
          </cell>
          <cell r="L947">
            <v>0.1883</v>
          </cell>
          <cell r="M947">
            <v>41.8</v>
          </cell>
          <cell r="N947">
            <v>11.1</v>
          </cell>
          <cell r="O947">
            <v>0.81169999999999998</v>
          </cell>
          <cell r="P947">
            <v>9.6199999999999994E-2</v>
          </cell>
          <cell r="Q947">
            <v>0.69589999999999996</v>
          </cell>
          <cell r="R947">
            <v>1.9599999999999999E-2</v>
          </cell>
          <cell r="S947" t="str">
            <v>NA</v>
          </cell>
          <cell r="T947">
            <v>59.4</v>
          </cell>
          <cell r="U947">
            <v>4.8</v>
          </cell>
          <cell r="V947">
            <v>74.900000000000006</v>
          </cell>
          <cell r="W947">
            <v>7.6</v>
          </cell>
          <cell r="X947">
            <v>52.4</v>
          </cell>
          <cell r="Y947">
            <v>6.8</v>
          </cell>
          <cell r="Z947" t="str">
            <v>NA</v>
          </cell>
          <cell r="AA947" t="str">
            <v>NA</v>
          </cell>
        </row>
        <row r="948">
          <cell r="A948">
            <v>45144</v>
          </cell>
          <cell r="B948" t="str">
            <v>A1</v>
          </cell>
          <cell r="C948">
            <v>4</v>
          </cell>
          <cell r="D948">
            <v>3</v>
          </cell>
          <cell r="E948" t="str">
            <v>ARIS.A1.Aim3.Bin4.LB</v>
          </cell>
          <cell r="F948">
            <v>4</v>
          </cell>
          <cell r="G948" t="str">
            <v>Unweighted</v>
          </cell>
          <cell r="H948" t="str">
            <v>N</v>
          </cell>
          <cell r="I948" t="str">
            <v>Y</v>
          </cell>
          <cell r="J948">
            <v>166</v>
          </cell>
          <cell r="K948">
            <v>1</v>
          </cell>
          <cell r="L948">
            <v>0.1883</v>
          </cell>
          <cell r="M948">
            <v>41.8</v>
          </cell>
          <cell r="N948">
            <v>11.1</v>
          </cell>
          <cell r="O948">
            <v>0.81169999999999998</v>
          </cell>
          <cell r="P948">
            <v>9.6199999999999994E-2</v>
          </cell>
          <cell r="Q948">
            <v>0.69589999999999996</v>
          </cell>
          <cell r="R948">
            <v>1.9599999999999999E-2</v>
          </cell>
          <cell r="S948" t="str">
            <v>NA</v>
          </cell>
          <cell r="T948">
            <v>59.4</v>
          </cell>
          <cell r="U948">
            <v>4.8</v>
          </cell>
          <cell r="V948">
            <v>74.900000000000006</v>
          </cell>
          <cell r="W948">
            <v>7.6</v>
          </cell>
          <cell r="X948">
            <v>52.4</v>
          </cell>
          <cell r="Y948">
            <v>6.8</v>
          </cell>
          <cell r="Z948" t="str">
            <v>NA</v>
          </cell>
          <cell r="AA948" t="str">
            <v>NA</v>
          </cell>
        </row>
        <row r="949">
          <cell r="A949">
            <v>45144</v>
          </cell>
          <cell r="B949" t="str">
            <v>A2</v>
          </cell>
          <cell r="C949">
            <v>1</v>
          </cell>
          <cell r="D949">
            <v>1</v>
          </cell>
          <cell r="E949" t="str">
            <v>ARIS.A2.Aim1.Bin1.RB</v>
          </cell>
          <cell r="F949">
            <v>4</v>
          </cell>
          <cell r="G949" t="str">
            <v>Unweighted</v>
          </cell>
          <cell r="H949" t="str">
            <v>N</v>
          </cell>
          <cell r="I949" t="str">
            <v>Y</v>
          </cell>
          <cell r="J949">
            <v>205</v>
          </cell>
          <cell r="K949">
            <v>1</v>
          </cell>
          <cell r="L949">
            <v>0.90029999999999999</v>
          </cell>
          <cell r="M949">
            <v>18.399999999999999</v>
          </cell>
          <cell r="N949">
            <v>6</v>
          </cell>
          <cell r="O949">
            <v>9.9699999999999997E-2</v>
          </cell>
          <cell r="P949">
            <v>2.3599999999999999E-2</v>
          </cell>
          <cell r="Q949">
            <v>0</v>
          </cell>
          <cell r="R949">
            <v>7.6100000000000001E-2</v>
          </cell>
          <cell r="S949" t="str">
            <v>NA</v>
          </cell>
          <cell r="T949">
            <v>59.4</v>
          </cell>
          <cell r="U949">
            <v>4.8</v>
          </cell>
          <cell r="V949">
            <v>74.900000000000006</v>
          </cell>
          <cell r="W949">
            <v>7.6</v>
          </cell>
          <cell r="X949">
            <v>52.4</v>
          </cell>
          <cell r="Y949">
            <v>6.8</v>
          </cell>
          <cell r="Z949" t="str">
            <v>NA</v>
          </cell>
          <cell r="AA949" t="str">
            <v>NA</v>
          </cell>
        </row>
        <row r="950">
          <cell r="A950">
            <v>45144</v>
          </cell>
          <cell r="B950" t="str">
            <v>A2</v>
          </cell>
          <cell r="C950">
            <v>2</v>
          </cell>
          <cell r="D950">
            <v>1</v>
          </cell>
          <cell r="E950" t="str">
            <v>ARIS.A2.Aim1.Bin2.RB</v>
          </cell>
          <cell r="F950">
            <v>4</v>
          </cell>
          <cell r="G950" t="str">
            <v>Unweighted</v>
          </cell>
          <cell r="H950" t="str">
            <v>N</v>
          </cell>
          <cell r="I950" t="str">
            <v>Y</v>
          </cell>
          <cell r="J950">
            <v>152</v>
          </cell>
          <cell r="K950">
            <v>1</v>
          </cell>
          <cell r="L950">
            <v>0.83499999999999996</v>
          </cell>
          <cell r="M950">
            <v>26.4</v>
          </cell>
          <cell r="N950">
            <v>7</v>
          </cell>
          <cell r="O950">
            <v>0.16500000000000001</v>
          </cell>
          <cell r="P950">
            <v>8.6599999999999996E-2</v>
          </cell>
          <cell r="Q950">
            <v>4.8500000000000001E-2</v>
          </cell>
          <cell r="R950">
            <v>2.9899999999999999E-2</v>
          </cell>
          <cell r="S950" t="str">
            <v>NA</v>
          </cell>
          <cell r="T950">
            <v>59.4</v>
          </cell>
          <cell r="U950">
            <v>4.8</v>
          </cell>
          <cell r="V950">
            <v>74.900000000000006</v>
          </cell>
          <cell r="W950">
            <v>7.6</v>
          </cell>
          <cell r="X950">
            <v>52.4</v>
          </cell>
          <cell r="Y950">
            <v>6.8</v>
          </cell>
          <cell r="Z950" t="str">
            <v>NA</v>
          </cell>
          <cell r="AA950" t="str">
            <v>NA</v>
          </cell>
        </row>
        <row r="951">
          <cell r="A951">
            <v>45144</v>
          </cell>
          <cell r="B951" t="str">
            <v>A2</v>
          </cell>
          <cell r="C951">
            <v>3</v>
          </cell>
          <cell r="D951">
            <v>1</v>
          </cell>
          <cell r="E951" t="str">
            <v>ARIS.A2.Aim1.Bin3.RB</v>
          </cell>
          <cell r="F951">
            <v>4</v>
          </cell>
          <cell r="G951" t="str">
            <v>Unweighted</v>
          </cell>
          <cell r="H951" t="str">
            <v>N</v>
          </cell>
          <cell r="I951" t="str">
            <v>Y</v>
          </cell>
          <cell r="J951">
            <v>129</v>
          </cell>
          <cell r="K951">
            <v>1</v>
          </cell>
          <cell r="L951">
            <v>0.40699999999999997</v>
          </cell>
          <cell r="M951">
            <v>28.7</v>
          </cell>
          <cell r="N951">
            <v>3.7</v>
          </cell>
          <cell r="O951">
            <v>0.59299999999999997</v>
          </cell>
          <cell r="P951">
            <v>0</v>
          </cell>
          <cell r="Q951">
            <v>0.1958</v>
          </cell>
          <cell r="R951">
            <v>0.3972</v>
          </cell>
          <cell r="S951" t="str">
            <v>NA</v>
          </cell>
          <cell r="T951">
            <v>59.4</v>
          </cell>
          <cell r="U951">
            <v>4.8</v>
          </cell>
          <cell r="V951">
            <v>74.900000000000006</v>
          </cell>
          <cell r="W951">
            <v>7.6</v>
          </cell>
          <cell r="X951">
            <v>52.4</v>
          </cell>
          <cell r="Y951">
            <v>6.8</v>
          </cell>
          <cell r="Z951" t="str">
            <v>NA</v>
          </cell>
          <cell r="AA951" t="str">
            <v>NA</v>
          </cell>
        </row>
        <row r="952">
          <cell r="A952">
            <v>45144</v>
          </cell>
          <cell r="B952" t="str">
            <v>A2</v>
          </cell>
          <cell r="C952">
            <v>4</v>
          </cell>
          <cell r="D952">
            <v>1</v>
          </cell>
          <cell r="E952" t="str">
            <v>ARIS.A2.Aim1.Bin4.RB</v>
          </cell>
          <cell r="F952">
            <v>4</v>
          </cell>
          <cell r="G952" t="str">
            <v>Unweighted</v>
          </cell>
          <cell r="H952" t="str">
            <v>N</v>
          </cell>
          <cell r="I952" t="str">
            <v>Y</v>
          </cell>
          <cell r="J952">
            <v>129</v>
          </cell>
          <cell r="K952">
            <v>1</v>
          </cell>
          <cell r="L952">
            <v>0.40699999999999997</v>
          </cell>
          <cell r="M952">
            <v>28.7</v>
          </cell>
          <cell r="N952">
            <v>3.7</v>
          </cell>
          <cell r="O952">
            <v>0.59299999999999997</v>
          </cell>
          <cell r="P952">
            <v>0</v>
          </cell>
          <cell r="Q952">
            <v>0.1958</v>
          </cell>
          <cell r="R952">
            <v>0.3972</v>
          </cell>
          <cell r="S952" t="str">
            <v>NA</v>
          </cell>
          <cell r="T952">
            <v>59.4</v>
          </cell>
          <cell r="U952">
            <v>4.8</v>
          </cell>
          <cell r="V952">
            <v>74.900000000000006</v>
          </cell>
          <cell r="W952">
            <v>7.6</v>
          </cell>
          <cell r="X952">
            <v>52.4</v>
          </cell>
          <cell r="Y952">
            <v>6.8</v>
          </cell>
          <cell r="Z952" t="str">
            <v>NA</v>
          </cell>
          <cell r="AA952" t="str">
            <v>NA</v>
          </cell>
        </row>
        <row r="953">
          <cell r="A953">
            <v>45144</v>
          </cell>
          <cell r="B953" t="str">
            <v>A1</v>
          </cell>
          <cell r="C953">
            <v>1</v>
          </cell>
          <cell r="D953">
            <v>1</v>
          </cell>
          <cell r="E953" t="str">
            <v>ARIS.A1.Aim1.Bin1.LB</v>
          </cell>
          <cell r="F953">
            <v>4</v>
          </cell>
          <cell r="G953" t="str">
            <v>SplineDFA</v>
          </cell>
          <cell r="H953" t="str">
            <v>Y</v>
          </cell>
          <cell r="I953" t="str">
            <v>N</v>
          </cell>
          <cell r="J953">
            <v>145</v>
          </cell>
          <cell r="K953">
            <v>1.0001</v>
          </cell>
          <cell r="L953">
            <v>0.62560000000000004</v>
          </cell>
          <cell r="M953">
            <v>23.7</v>
          </cell>
          <cell r="N953">
            <v>2.7</v>
          </cell>
          <cell r="O953">
            <v>0.3745</v>
          </cell>
          <cell r="P953">
            <v>0.1618</v>
          </cell>
          <cell r="Q953">
            <v>4.4699999999999997E-2</v>
          </cell>
          <cell r="R953">
            <v>0.16800000000000001</v>
          </cell>
          <cell r="S953" t="str">
            <v>NA</v>
          </cell>
          <cell r="T953">
            <v>59.4</v>
          </cell>
          <cell r="U953">
            <v>4.8</v>
          </cell>
          <cell r="V953">
            <v>74.900000000000006</v>
          </cell>
          <cell r="W953">
            <v>7.6</v>
          </cell>
          <cell r="X953">
            <v>52.4</v>
          </cell>
          <cell r="Y953">
            <v>6.8</v>
          </cell>
          <cell r="Z953" t="str">
            <v>NA</v>
          </cell>
          <cell r="AA953" t="str">
            <v>NA</v>
          </cell>
        </row>
        <row r="954">
          <cell r="A954">
            <v>45144</v>
          </cell>
          <cell r="B954" t="str">
            <v>A1</v>
          </cell>
          <cell r="C954">
            <v>1</v>
          </cell>
          <cell r="D954">
            <v>2</v>
          </cell>
          <cell r="E954" t="str">
            <v>ARIS.A1.Aim2.Bin1.LB</v>
          </cell>
          <cell r="F954">
            <v>4</v>
          </cell>
          <cell r="G954" t="str">
            <v>SplineDFA</v>
          </cell>
          <cell r="H954" t="str">
            <v>Y</v>
          </cell>
          <cell r="I954" t="str">
            <v>N</v>
          </cell>
          <cell r="J954">
            <v>174</v>
          </cell>
          <cell r="K954">
            <v>1</v>
          </cell>
          <cell r="L954">
            <v>0.69069999999999998</v>
          </cell>
          <cell r="M954">
            <v>23.7</v>
          </cell>
          <cell r="N954">
            <v>2.7</v>
          </cell>
          <cell r="O954">
            <v>0.30930000000000002</v>
          </cell>
          <cell r="P954">
            <v>0.14330000000000001</v>
          </cell>
          <cell r="Q954">
            <v>6.5100000000000005E-2</v>
          </cell>
          <cell r="R954">
            <v>0.1009</v>
          </cell>
          <cell r="S954" t="str">
            <v>NA</v>
          </cell>
          <cell r="T954">
            <v>59.4</v>
          </cell>
          <cell r="U954">
            <v>4.8</v>
          </cell>
          <cell r="V954">
            <v>74.900000000000006</v>
          </cell>
          <cell r="W954">
            <v>7.6</v>
          </cell>
          <cell r="X954">
            <v>52.4</v>
          </cell>
          <cell r="Y954">
            <v>6.8</v>
          </cell>
          <cell r="Z954" t="str">
            <v>NA</v>
          </cell>
          <cell r="AA954" t="str">
            <v>NA</v>
          </cell>
        </row>
        <row r="955">
          <cell r="A955">
            <v>45144</v>
          </cell>
          <cell r="B955" t="str">
            <v>A1</v>
          </cell>
          <cell r="C955">
            <v>2</v>
          </cell>
          <cell r="D955">
            <v>3</v>
          </cell>
          <cell r="E955" t="str">
            <v>ARIS.A1.Aim3.Bin2.LB</v>
          </cell>
          <cell r="F955">
            <v>4</v>
          </cell>
          <cell r="G955" t="str">
            <v>SplineDFA</v>
          </cell>
          <cell r="H955" t="str">
            <v>Y</v>
          </cell>
          <cell r="I955" t="str">
            <v>N</v>
          </cell>
          <cell r="J955">
            <v>164</v>
          </cell>
          <cell r="K955">
            <v>1.0001</v>
          </cell>
          <cell r="L955">
            <v>0.27750000000000002</v>
          </cell>
          <cell r="M955">
            <v>23.7</v>
          </cell>
          <cell r="N955">
            <v>2.7</v>
          </cell>
          <cell r="O955">
            <v>0.72260000000000002</v>
          </cell>
          <cell r="P955">
            <v>0.29580000000000001</v>
          </cell>
          <cell r="Q955">
            <v>0.24199999999999999</v>
          </cell>
          <cell r="R955">
            <v>0.18479999999999999</v>
          </cell>
          <cell r="S955" t="str">
            <v>NA</v>
          </cell>
          <cell r="T955">
            <v>59.4</v>
          </cell>
          <cell r="U955">
            <v>4.8</v>
          </cell>
          <cell r="V955">
            <v>74.900000000000006</v>
          </cell>
          <cell r="W955">
            <v>7.6</v>
          </cell>
          <cell r="X955">
            <v>52.4</v>
          </cell>
          <cell r="Y955">
            <v>6.8</v>
          </cell>
          <cell r="Z955" t="str">
            <v>NA</v>
          </cell>
          <cell r="AA955" t="str">
            <v>NA</v>
          </cell>
        </row>
        <row r="956">
          <cell r="A956">
            <v>45144</v>
          </cell>
          <cell r="B956" t="str">
            <v>A1</v>
          </cell>
          <cell r="C956">
            <v>3</v>
          </cell>
          <cell r="D956">
            <v>3</v>
          </cell>
          <cell r="E956" t="str">
            <v>ARIS.A1.Aim3.Bin3.LB</v>
          </cell>
          <cell r="F956">
            <v>4</v>
          </cell>
          <cell r="G956" t="str">
            <v>SplineDFA</v>
          </cell>
          <cell r="H956" t="str">
            <v>Y</v>
          </cell>
          <cell r="I956" t="str">
            <v>N</v>
          </cell>
          <cell r="J956">
            <v>166</v>
          </cell>
          <cell r="K956">
            <v>1.0001</v>
          </cell>
          <cell r="L956">
            <v>4.2700000000000002E-2</v>
          </cell>
          <cell r="M956">
            <v>23.7</v>
          </cell>
          <cell r="N956">
            <v>2.7</v>
          </cell>
          <cell r="O956">
            <v>0.95740000000000003</v>
          </cell>
          <cell r="P956">
            <v>0.22869999999999999</v>
          </cell>
          <cell r="Q956">
            <v>0.59030000000000005</v>
          </cell>
          <cell r="R956">
            <v>0.1384</v>
          </cell>
          <cell r="S956" t="str">
            <v>NA</v>
          </cell>
          <cell r="T956">
            <v>59.4</v>
          </cell>
          <cell r="U956">
            <v>4.8</v>
          </cell>
          <cell r="V956">
            <v>74.900000000000006</v>
          </cell>
          <cell r="W956">
            <v>7.6</v>
          </cell>
          <cell r="X956">
            <v>52.4</v>
          </cell>
          <cell r="Y956">
            <v>6.8</v>
          </cell>
          <cell r="Z956" t="str">
            <v>NA</v>
          </cell>
          <cell r="AA956" t="str">
            <v>NA</v>
          </cell>
        </row>
        <row r="957">
          <cell r="A957">
            <v>45144</v>
          </cell>
          <cell r="B957" t="str">
            <v>A1</v>
          </cell>
          <cell r="C957">
            <v>4</v>
          </cell>
          <cell r="D957">
            <v>3</v>
          </cell>
          <cell r="E957" t="str">
            <v>ARIS.A1.Aim3.Bin4.LB</v>
          </cell>
          <cell r="F957">
            <v>4</v>
          </cell>
          <cell r="G957" t="str">
            <v>SplineDFA</v>
          </cell>
          <cell r="H957" t="str">
            <v>Y</v>
          </cell>
          <cell r="I957" t="str">
            <v>N</v>
          </cell>
          <cell r="J957">
            <v>166</v>
          </cell>
          <cell r="K957">
            <v>1.0001</v>
          </cell>
          <cell r="L957">
            <v>4.2700000000000002E-2</v>
          </cell>
          <cell r="M957">
            <v>23.7</v>
          </cell>
          <cell r="N957">
            <v>2.7</v>
          </cell>
          <cell r="O957">
            <v>0.95740000000000003</v>
          </cell>
          <cell r="P957">
            <v>0.22869999999999999</v>
          </cell>
          <cell r="Q957">
            <v>0.59030000000000005</v>
          </cell>
          <cell r="R957">
            <v>0.1384</v>
          </cell>
          <cell r="S957" t="str">
            <v>NA</v>
          </cell>
          <cell r="T957">
            <v>59.4</v>
          </cell>
          <cell r="U957">
            <v>4.8</v>
          </cell>
          <cell r="V957">
            <v>74.900000000000006</v>
          </cell>
          <cell r="W957">
            <v>7.6</v>
          </cell>
          <cell r="X957">
            <v>52.4</v>
          </cell>
          <cell r="Y957">
            <v>6.8</v>
          </cell>
          <cell r="Z957" t="str">
            <v>NA</v>
          </cell>
          <cell r="AA957" t="str">
            <v>NA</v>
          </cell>
        </row>
        <row r="958">
          <cell r="A958">
            <v>45144</v>
          </cell>
          <cell r="B958" t="str">
            <v>A2</v>
          </cell>
          <cell r="C958">
            <v>1</v>
          </cell>
          <cell r="D958">
            <v>1</v>
          </cell>
          <cell r="E958" t="str">
            <v>ARIS.A2.Aim1.Bin1.RB</v>
          </cell>
          <cell r="F958">
            <v>4</v>
          </cell>
          <cell r="G958" t="str">
            <v>SplineDFA</v>
          </cell>
          <cell r="H958" t="str">
            <v>Y</v>
          </cell>
          <cell r="I958" t="str">
            <v>N</v>
          </cell>
          <cell r="J958">
            <v>205</v>
          </cell>
          <cell r="K958">
            <v>1</v>
          </cell>
          <cell r="L958">
            <v>0.93610000000000004</v>
          </cell>
          <cell r="M958">
            <v>23.7</v>
          </cell>
          <cell r="N958">
            <v>2.7</v>
          </cell>
          <cell r="O958">
            <v>6.3899999999999998E-2</v>
          </cell>
          <cell r="P958">
            <v>2.1299999999999999E-2</v>
          </cell>
          <cell r="Q958">
            <v>0</v>
          </cell>
          <cell r="R958">
            <v>4.2599999999999999E-2</v>
          </cell>
          <cell r="S958" t="str">
            <v>NA</v>
          </cell>
          <cell r="T958">
            <v>59.4</v>
          </cell>
          <cell r="U958">
            <v>4.8</v>
          </cell>
          <cell r="V958">
            <v>74.900000000000006</v>
          </cell>
          <cell r="W958">
            <v>7.6</v>
          </cell>
          <cell r="X958">
            <v>52.4</v>
          </cell>
          <cell r="Y958">
            <v>6.8</v>
          </cell>
          <cell r="Z958" t="str">
            <v>NA</v>
          </cell>
          <cell r="AA958" t="str">
            <v>NA</v>
          </cell>
        </row>
        <row r="959">
          <cell r="A959">
            <v>45144</v>
          </cell>
          <cell r="B959" t="str">
            <v>A2</v>
          </cell>
          <cell r="C959">
            <v>2</v>
          </cell>
          <cell r="D959">
            <v>1</v>
          </cell>
          <cell r="E959" t="str">
            <v>ARIS.A2.Aim1.Bin2.RB</v>
          </cell>
          <cell r="F959">
            <v>4</v>
          </cell>
          <cell r="G959" t="str">
            <v>SplineDFA</v>
          </cell>
          <cell r="H959" t="str">
            <v>Y</v>
          </cell>
          <cell r="I959" t="str">
            <v>N</v>
          </cell>
          <cell r="J959">
            <v>152</v>
          </cell>
          <cell r="K959">
            <v>0.99990000000000001</v>
          </cell>
          <cell r="L959">
            <v>0.83330000000000004</v>
          </cell>
          <cell r="M959">
            <v>23.7</v>
          </cell>
          <cell r="N959">
            <v>2.7</v>
          </cell>
          <cell r="O959">
            <v>0.1666</v>
          </cell>
          <cell r="P959">
            <v>3.95E-2</v>
          </cell>
          <cell r="Q959">
            <v>1.34E-2</v>
          </cell>
          <cell r="R959">
            <v>0.1137</v>
          </cell>
          <cell r="S959" t="str">
            <v>NA</v>
          </cell>
          <cell r="T959">
            <v>59.4</v>
          </cell>
          <cell r="U959">
            <v>4.8</v>
          </cell>
          <cell r="V959">
            <v>74.900000000000006</v>
          </cell>
          <cell r="W959">
            <v>7.6</v>
          </cell>
          <cell r="X959">
            <v>52.4</v>
          </cell>
          <cell r="Y959">
            <v>6.8</v>
          </cell>
          <cell r="Z959" t="str">
            <v>NA</v>
          </cell>
          <cell r="AA959" t="str">
            <v>NA</v>
          </cell>
        </row>
        <row r="960">
          <cell r="A960">
            <v>45144</v>
          </cell>
          <cell r="B960" t="str">
            <v>A2</v>
          </cell>
          <cell r="C960">
            <v>3</v>
          </cell>
          <cell r="D960">
            <v>1</v>
          </cell>
          <cell r="E960" t="str">
            <v>ARIS.A2.Aim1.Bin3.RB</v>
          </cell>
          <cell r="F960">
            <v>4</v>
          </cell>
          <cell r="G960" t="str">
            <v>SplineDFA</v>
          </cell>
          <cell r="H960" t="str">
            <v>Y</v>
          </cell>
          <cell r="I960" t="str">
            <v>N</v>
          </cell>
          <cell r="J960">
            <v>129</v>
          </cell>
          <cell r="K960">
            <v>1</v>
          </cell>
          <cell r="L960">
            <v>0.31380000000000002</v>
          </cell>
          <cell r="M960">
            <v>23.7</v>
          </cell>
          <cell r="N960">
            <v>2.7</v>
          </cell>
          <cell r="O960">
            <v>0.68620000000000003</v>
          </cell>
          <cell r="P960">
            <v>7.6700000000000004E-2</v>
          </cell>
          <cell r="Q960">
            <v>0.20749999999999999</v>
          </cell>
          <cell r="R960">
            <v>0.40200000000000002</v>
          </cell>
          <cell r="S960" t="str">
            <v>NA</v>
          </cell>
          <cell r="T960">
            <v>59.4</v>
          </cell>
          <cell r="U960">
            <v>4.8</v>
          </cell>
          <cell r="V960">
            <v>74.900000000000006</v>
          </cell>
          <cell r="W960">
            <v>7.6</v>
          </cell>
          <cell r="X960">
            <v>52.4</v>
          </cell>
          <cell r="Y960">
            <v>6.8</v>
          </cell>
          <cell r="Z960" t="str">
            <v>NA</v>
          </cell>
          <cell r="AA960" t="str">
            <v>NA</v>
          </cell>
        </row>
        <row r="961">
          <cell r="A961">
            <v>45144</v>
          </cell>
          <cell r="B961" t="str">
            <v>A2</v>
          </cell>
          <cell r="C961">
            <v>4</v>
          </cell>
          <cell r="D961">
            <v>1</v>
          </cell>
          <cell r="E961" t="str">
            <v>ARIS.A2.Aim1.Bin4.RB</v>
          </cell>
          <cell r="F961">
            <v>4</v>
          </cell>
          <cell r="G961" t="str">
            <v>SplineDFA</v>
          </cell>
          <cell r="H961" t="str">
            <v>Y</v>
          </cell>
          <cell r="I961" t="str">
            <v>N</v>
          </cell>
          <cell r="J961">
            <v>129</v>
          </cell>
          <cell r="K961">
            <v>1</v>
          </cell>
          <cell r="L961">
            <v>0.31380000000000002</v>
          </cell>
          <cell r="M961">
            <v>23.7</v>
          </cell>
          <cell r="N961">
            <v>2.7</v>
          </cell>
          <cell r="O961">
            <v>0.68620000000000003</v>
          </cell>
          <cell r="P961">
            <v>7.6700000000000004E-2</v>
          </cell>
          <cell r="Q961">
            <v>0.20749999999999999</v>
          </cell>
          <cell r="R961">
            <v>0.40200000000000002</v>
          </cell>
          <cell r="S961" t="str">
            <v>NA</v>
          </cell>
          <cell r="T961">
            <v>59.4</v>
          </cell>
          <cell r="U961">
            <v>4.8</v>
          </cell>
          <cell r="V961">
            <v>74.900000000000006</v>
          </cell>
          <cell r="W961">
            <v>7.6</v>
          </cell>
          <cell r="X961">
            <v>52.4</v>
          </cell>
          <cell r="Y961">
            <v>6.8</v>
          </cell>
          <cell r="Z961" t="str">
            <v>NA</v>
          </cell>
          <cell r="AA961" t="str">
            <v>NA</v>
          </cell>
        </row>
        <row r="962">
          <cell r="A962">
            <v>45145</v>
          </cell>
          <cell r="B962" t="str">
            <v>A1</v>
          </cell>
          <cell r="C962">
            <v>1</v>
          </cell>
          <cell r="D962">
            <v>1</v>
          </cell>
          <cell r="E962" t="str">
            <v>ARIS.A1.Aim1.Bin1.LB</v>
          </cell>
          <cell r="F962">
            <v>3</v>
          </cell>
          <cell r="G962" t="str">
            <v>SplineDFA</v>
          </cell>
          <cell r="H962" t="str">
            <v>Y</v>
          </cell>
          <cell r="I962" t="str">
            <v>N</v>
          </cell>
          <cell r="J962">
            <v>145</v>
          </cell>
          <cell r="K962">
            <v>1</v>
          </cell>
          <cell r="L962">
            <v>0.63349999999999995</v>
          </cell>
          <cell r="M962">
            <v>23.7</v>
          </cell>
          <cell r="N962">
            <v>2.7</v>
          </cell>
          <cell r="O962">
            <v>0.36649999999999999</v>
          </cell>
          <cell r="P962">
            <v>0.27829999999999999</v>
          </cell>
          <cell r="Q962">
            <v>8.8200000000000001E-2</v>
          </cell>
          <cell r="R962" t="str">
            <v>NA</v>
          </cell>
          <cell r="S962" t="str">
            <v>NA</v>
          </cell>
          <cell r="T962">
            <v>58.9</v>
          </cell>
          <cell r="U962">
            <v>4.8</v>
          </cell>
          <cell r="V962">
            <v>74.5</v>
          </cell>
          <cell r="W962">
            <v>7.5</v>
          </cell>
          <cell r="X962" t="str">
            <v>NA</v>
          </cell>
          <cell r="Y962" t="str">
            <v>NA</v>
          </cell>
          <cell r="Z962" t="str">
            <v>NA</v>
          </cell>
          <cell r="AA962" t="str">
            <v>NA</v>
          </cell>
        </row>
        <row r="963">
          <cell r="A963">
            <v>45145</v>
          </cell>
          <cell r="B963" t="str">
            <v>A1</v>
          </cell>
          <cell r="C963">
            <v>1</v>
          </cell>
          <cell r="D963">
            <v>2</v>
          </cell>
          <cell r="E963" t="str">
            <v>ARIS.A1.Aim2.Bin1.LB</v>
          </cell>
          <cell r="F963">
            <v>3</v>
          </cell>
          <cell r="G963" t="str">
            <v>SplineDFA</v>
          </cell>
          <cell r="H963" t="str">
            <v>Y</v>
          </cell>
          <cell r="I963" t="str">
            <v>N</v>
          </cell>
          <cell r="J963">
            <v>173</v>
          </cell>
          <cell r="K963">
            <v>1</v>
          </cell>
          <cell r="L963">
            <v>0.79339999999999999</v>
          </cell>
          <cell r="M963">
            <v>23.7</v>
          </cell>
          <cell r="N963">
            <v>2.7</v>
          </cell>
          <cell r="O963">
            <v>0.20660000000000001</v>
          </cell>
          <cell r="P963">
            <v>0.16339999999999999</v>
          </cell>
          <cell r="Q963">
            <v>4.3200000000000002E-2</v>
          </cell>
          <cell r="R963" t="str">
            <v>NA</v>
          </cell>
          <cell r="S963" t="str">
            <v>NA</v>
          </cell>
          <cell r="T963">
            <v>58.9</v>
          </cell>
          <cell r="U963">
            <v>4.8</v>
          </cell>
          <cell r="V963">
            <v>74.5</v>
          </cell>
          <cell r="W963">
            <v>7.5</v>
          </cell>
          <cell r="X963" t="str">
            <v>NA</v>
          </cell>
          <cell r="Y963" t="str">
            <v>NA</v>
          </cell>
          <cell r="Z963" t="str">
            <v>NA</v>
          </cell>
          <cell r="AA963" t="str">
            <v>NA</v>
          </cell>
        </row>
        <row r="964">
          <cell r="A964">
            <v>45145</v>
          </cell>
          <cell r="B964" t="str">
            <v>A1</v>
          </cell>
          <cell r="C964">
            <v>2</v>
          </cell>
          <cell r="D964">
            <v>3</v>
          </cell>
          <cell r="E964" t="str">
            <v>ARIS.A1.Aim3.Bin2.LB</v>
          </cell>
          <cell r="F964">
            <v>3</v>
          </cell>
          <cell r="G964" t="str">
            <v>SplineDFA</v>
          </cell>
          <cell r="H964" t="str">
            <v>Y</v>
          </cell>
          <cell r="I964" t="str">
            <v>N</v>
          </cell>
          <cell r="J964">
            <v>157</v>
          </cell>
          <cell r="K964">
            <v>1</v>
          </cell>
          <cell r="L964">
            <v>0.29699999999999999</v>
          </cell>
          <cell r="M964">
            <v>23.7</v>
          </cell>
          <cell r="N964">
            <v>2.7</v>
          </cell>
          <cell r="O964">
            <v>0.70299999999999996</v>
          </cell>
          <cell r="P964">
            <v>0.34739999999999999</v>
          </cell>
          <cell r="Q964">
            <v>0.35560000000000003</v>
          </cell>
          <cell r="R964" t="str">
            <v>NA</v>
          </cell>
          <cell r="S964" t="str">
            <v>NA</v>
          </cell>
          <cell r="T964">
            <v>58.9</v>
          </cell>
          <cell r="U964">
            <v>4.8</v>
          </cell>
          <cell r="V964">
            <v>74.5</v>
          </cell>
          <cell r="W964">
            <v>7.5</v>
          </cell>
          <cell r="X964" t="str">
            <v>NA</v>
          </cell>
          <cell r="Y964" t="str">
            <v>NA</v>
          </cell>
          <cell r="Z964" t="str">
            <v>NA</v>
          </cell>
          <cell r="AA964" t="str">
            <v>NA</v>
          </cell>
        </row>
        <row r="965">
          <cell r="A965">
            <v>45145</v>
          </cell>
          <cell r="B965" t="str">
            <v>A1</v>
          </cell>
          <cell r="C965">
            <v>3</v>
          </cell>
          <cell r="D965">
            <v>3</v>
          </cell>
          <cell r="E965" t="str">
            <v>ARIS.A1.Aim3.Bin3.LB</v>
          </cell>
          <cell r="F965">
            <v>3</v>
          </cell>
          <cell r="G965" t="str">
            <v>SplineDFA</v>
          </cell>
          <cell r="H965" t="str">
            <v>Y</v>
          </cell>
          <cell r="I965" t="str">
            <v>N</v>
          </cell>
          <cell r="J965">
            <v>161</v>
          </cell>
          <cell r="K965">
            <v>0.99990000000000001</v>
          </cell>
          <cell r="L965">
            <v>3.7900000000000003E-2</v>
          </cell>
          <cell r="M965">
            <v>23.7</v>
          </cell>
          <cell r="N965">
            <v>2.7</v>
          </cell>
          <cell r="O965">
            <v>0.96199999999999997</v>
          </cell>
          <cell r="P965">
            <v>0.3589</v>
          </cell>
          <cell r="Q965">
            <v>0.60309999999999997</v>
          </cell>
          <cell r="R965" t="str">
            <v>NA</v>
          </cell>
          <cell r="S965" t="str">
            <v>NA</v>
          </cell>
          <cell r="T965">
            <v>58.9</v>
          </cell>
          <cell r="U965">
            <v>4.8</v>
          </cell>
          <cell r="V965">
            <v>74.5</v>
          </cell>
          <cell r="W965">
            <v>7.5</v>
          </cell>
          <cell r="X965" t="str">
            <v>NA</v>
          </cell>
          <cell r="Y965" t="str">
            <v>NA</v>
          </cell>
          <cell r="Z965" t="str">
            <v>NA</v>
          </cell>
          <cell r="AA965" t="str">
            <v>NA</v>
          </cell>
        </row>
        <row r="966">
          <cell r="A966">
            <v>45145</v>
          </cell>
          <cell r="B966" t="str">
            <v>A1</v>
          </cell>
          <cell r="C966">
            <v>4</v>
          </cell>
          <cell r="D966">
            <v>3</v>
          </cell>
          <cell r="E966" t="str">
            <v>ARIS.A1.Aim3.Bin4.LB</v>
          </cell>
          <cell r="F966">
            <v>3</v>
          </cell>
          <cell r="G966" t="str">
            <v>SplineDFA</v>
          </cell>
          <cell r="H966" t="str">
            <v>Y</v>
          </cell>
          <cell r="I966" t="str">
            <v>N</v>
          </cell>
          <cell r="J966">
            <v>161</v>
          </cell>
          <cell r="K966">
            <v>0.99990000000000001</v>
          </cell>
          <cell r="L966">
            <v>3.7900000000000003E-2</v>
          </cell>
          <cell r="M966">
            <v>23.7</v>
          </cell>
          <cell r="N966">
            <v>2.7</v>
          </cell>
          <cell r="O966">
            <v>0.96199999999999997</v>
          </cell>
          <cell r="P966">
            <v>0.3589</v>
          </cell>
          <cell r="Q966">
            <v>0.60309999999999997</v>
          </cell>
          <cell r="R966" t="str">
            <v>NA</v>
          </cell>
          <cell r="S966" t="str">
            <v>NA</v>
          </cell>
          <cell r="T966">
            <v>58.9</v>
          </cell>
          <cell r="U966">
            <v>4.8</v>
          </cell>
          <cell r="V966">
            <v>74.5</v>
          </cell>
          <cell r="W966">
            <v>7.5</v>
          </cell>
          <cell r="X966" t="str">
            <v>NA</v>
          </cell>
          <cell r="Y966" t="str">
            <v>NA</v>
          </cell>
          <cell r="Z966" t="str">
            <v>NA</v>
          </cell>
          <cell r="AA966" t="str">
            <v>NA</v>
          </cell>
        </row>
        <row r="967">
          <cell r="A967">
            <v>45145</v>
          </cell>
          <cell r="B967" t="str">
            <v>A1</v>
          </cell>
          <cell r="C967">
            <v>1</v>
          </cell>
          <cell r="D967">
            <v>1</v>
          </cell>
          <cell r="E967" t="str">
            <v>ARIS.A1.Aim1.Bin1.LB</v>
          </cell>
          <cell r="F967">
            <v>3</v>
          </cell>
          <cell r="G967" t="str">
            <v>Unweighted</v>
          </cell>
          <cell r="H967" t="str">
            <v>N</v>
          </cell>
          <cell r="I967" t="str">
            <v>N</v>
          </cell>
          <cell r="J967">
            <v>145</v>
          </cell>
          <cell r="K967">
            <v>0.99990000000000001</v>
          </cell>
          <cell r="L967">
            <v>0.75990000000000002</v>
          </cell>
          <cell r="M967">
            <v>25.7</v>
          </cell>
          <cell r="N967">
            <v>7.6</v>
          </cell>
          <cell r="O967">
            <v>0.24</v>
          </cell>
          <cell r="P967">
            <v>0.1842</v>
          </cell>
          <cell r="Q967">
            <v>5.5800000000000002E-2</v>
          </cell>
          <cell r="R967" t="str">
            <v>NA</v>
          </cell>
          <cell r="S967" t="str">
            <v>NA</v>
          </cell>
          <cell r="T967">
            <v>58.9</v>
          </cell>
          <cell r="U967">
            <v>4.8</v>
          </cell>
          <cell r="V967">
            <v>74.5</v>
          </cell>
          <cell r="W967">
            <v>7.5</v>
          </cell>
          <cell r="X967" t="str">
            <v>NA</v>
          </cell>
          <cell r="Y967" t="str">
            <v>NA</v>
          </cell>
          <cell r="Z967" t="str">
            <v>NA</v>
          </cell>
          <cell r="AA967" t="str">
            <v>NA</v>
          </cell>
        </row>
        <row r="968">
          <cell r="A968">
            <v>45145</v>
          </cell>
          <cell r="B968" t="str">
            <v>A1</v>
          </cell>
          <cell r="C968">
            <v>1</v>
          </cell>
          <cell r="D968">
            <v>2</v>
          </cell>
          <cell r="E968" t="str">
            <v>ARIS.A1.Aim2.Bin1.LB</v>
          </cell>
          <cell r="F968">
            <v>3</v>
          </cell>
          <cell r="G968" t="str">
            <v>Unweighted</v>
          </cell>
          <cell r="H968" t="str">
            <v>N</v>
          </cell>
          <cell r="I968" t="str">
            <v>N</v>
          </cell>
          <cell r="J968">
            <v>173</v>
          </cell>
          <cell r="K968">
            <v>0.99990000000000001</v>
          </cell>
          <cell r="L968">
            <v>0.74950000000000006</v>
          </cell>
          <cell r="M968">
            <v>17.2</v>
          </cell>
          <cell r="N968">
            <v>6.6</v>
          </cell>
          <cell r="O968">
            <v>0.25040000000000001</v>
          </cell>
          <cell r="P968">
            <v>0.21940000000000001</v>
          </cell>
          <cell r="Q968">
            <v>3.1E-2</v>
          </cell>
          <cell r="R968" t="str">
            <v>NA</v>
          </cell>
          <cell r="S968" t="str">
            <v>NA</v>
          </cell>
          <cell r="T968">
            <v>58.9</v>
          </cell>
          <cell r="U968">
            <v>4.8</v>
          </cell>
          <cell r="V968">
            <v>74.5</v>
          </cell>
          <cell r="W968">
            <v>7.5</v>
          </cell>
          <cell r="X968" t="str">
            <v>NA</v>
          </cell>
          <cell r="Y968" t="str">
            <v>NA</v>
          </cell>
          <cell r="Z968" t="str">
            <v>NA</v>
          </cell>
          <cell r="AA968" t="str">
            <v>NA</v>
          </cell>
        </row>
        <row r="969">
          <cell r="A969">
            <v>45145</v>
          </cell>
          <cell r="B969" t="str">
            <v>A1</v>
          </cell>
          <cell r="C969">
            <v>1</v>
          </cell>
          <cell r="D969" t="str">
            <v>1&amp;2</v>
          </cell>
          <cell r="E969" t="str">
            <v>ARIS.A1.Aim1&amp;Aim2.Bin1.LB</v>
          </cell>
          <cell r="F969">
            <v>3</v>
          </cell>
          <cell r="G969" t="str">
            <v>Unweighted</v>
          </cell>
          <cell r="H969" t="str">
            <v>N</v>
          </cell>
          <cell r="I969" t="str">
            <v>N</v>
          </cell>
          <cell r="J969">
            <v>318</v>
          </cell>
          <cell r="K969">
            <v>1</v>
          </cell>
          <cell r="L969">
            <v>0.75929999999999997</v>
          </cell>
          <cell r="M969">
            <v>21.3</v>
          </cell>
          <cell r="N969">
            <v>8.4</v>
          </cell>
          <cell r="O969">
            <v>0.2407</v>
          </cell>
          <cell r="P969">
            <v>0.1963</v>
          </cell>
          <cell r="Q969">
            <v>4.4400000000000002E-2</v>
          </cell>
          <cell r="R969" t="str">
            <v>NA</v>
          </cell>
          <cell r="S969" t="str">
            <v>NA</v>
          </cell>
          <cell r="T969">
            <v>58.9</v>
          </cell>
          <cell r="U969">
            <v>4.8</v>
          </cell>
          <cell r="V969">
            <v>74.5</v>
          </cell>
          <cell r="W969">
            <v>7.5</v>
          </cell>
          <cell r="X969" t="str">
            <v>NA</v>
          </cell>
          <cell r="Y969" t="str">
            <v>NA</v>
          </cell>
          <cell r="Z969" t="str">
            <v>NA</v>
          </cell>
          <cell r="AA969" t="str">
            <v>NA</v>
          </cell>
        </row>
        <row r="970">
          <cell r="A970">
            <v>45145</v>
          </cell>
          <cell r="B970" t="str">
            <v>A1</v>
          </cell>
          <cell r="C970">
            <v>2</v>
          </cell>
          <cell r="D970">
            <v>3</v>
          </cell>
          <cell r="E970" t="str">
            <v>ARIS.A1.Aim3.Bin2.LB</v>
          </cell>
          <cell r="F970">
            <v>3</v>
          </cell>
          <cell r="G970" t="str">
            <v>Unweighted</v>
          </cell>
          <cell r="H970" t="str">
            <v>N</v>
          </cell>
          <cell r="I970" t="str">
            <v>N</v>
          </cell>
          <cell r="J970">
            <v>157</v>
          </cell>
          <cell r="K970">
            <v>1</v>
          </cell>
          <cell r="L970">
            <v>0.46279999999999999</v>
          </cell>
          <cell r="M970">
            <v>23.7</v>
          </cell>
          <cell r="N970">
            <v>9.5</v>
          </cell>
          <cell r="O970">
            <v>0.53720000000000001</v>
          </cell>
          <cell r="P970">
            <v>0.20880000000000001</v>
          </cell>
          <cell r="Q970">
            <v>0.32840000000000003</v>
          </cell>
          <cell r="R970" t="str">
            <v>NA</v>
          </cell>
          <cell r="S970" t="str">
            <v>NA</v>
          </cell>
          <cell r="T970">
            <v>58.9</v>
          </cell>
          <cell r="U970">
            <v>4.8</v>
          </cell>
          <cell r="V970">
            <v>74.5</v>
          </cell>
          <cell r="W970">
            <v>7.5</v>
          </cell>
          <cell r="X970" t="str">
            <v>NA</v>
          </cell>
          <cell r="Y970" t="str">
            <v>NA</v>
          </cell>
          <cell r="Z970" t="str">
            <v>NA</v>
          </cell>
          <cell r="AA970" t="str">
            <v>NA</v>
          </cell>
        </row>
        <row r="971">
          <cell r="A971">
            <v>45145</v>
          </cell>
          <cell r="B971" t="str">
            <v>A1</v>
          </cell>
          <cell r="C971">
            <v>3</v>
          </cell>
          <cell r="D971">
            <v>3</v>
          </cell>
          <cell r="E971" t="str">
            <v>ARIS.A1.Aim3.Bin3.LB</v>
          </cell>
          <cell r="F971">
            <v>3</v>
          </cell>
          <cell r="G971" t="str">
            <v>Unweighted</v>
          </cell>
          <cell r="H971" t="str">
            <v>N</v>
          </cell>
          <cell r="I971" t="str">
            <v>N</v>
          </cell>
          <cell r="J971">
            <v>161</v>
          </cell>
          <cell r="K971">
            <v>1</v>
          </cell>
          <cell r="L971">
            <v>0.1787</v>
          </cell>
          <cell r="M971">
            <v>23.7</v>
          </cell>
          <cell r="N971">
            <v>20.100000000000001</v>
          </cell>
          <cell r="O971">
            <v>0.82130000000000003</v>
          </cell>
          <cell r="P971">
            <v>0.17660000000000001</v>
          </cell>
          <cell r="Q971">
            <v>0.64470000000000005</v>
          </cell>
          <cell r="R971" t="str">
            <v>NA</v>
          </cell>
          <cell r="S971" t="str">
            <v>NA</v>
          </cell>
          <cell r="T971">
            <v>58.9</v>
          </cell>
          <cell r="U971">
            <v>4.8</v>
          </cell>
          <cell r="V971">
            <v>74.5</v>
          </cell>
          <cell r="W971">
            <v>7.5</v>
          </cell>
          <cell r="X971" t="str">
            <v>NA</v>
          </cell>
          <cell r="Y971" t="str">
            <v>NA</v>
          </cell>
          <cell r="Z971" t="str">
            <v>NA</v>
          </cell>
          <cell r="AA971" t="str">
            <v>NA</v>
          </cell>
        </row>
        <row r="972">
          <cell r="A972">
            <v>45145</v>
          </cell>
          <cell r="B972" t="str">
            <v>A1</v>
          </cell>
          <cell r="C972">
            <v>4</v>
          </cell>
          <cell r="D972">
            <v>3</v>
          </cell>
          <cell r="E972" t="str">
            <v>ARIS.A1.Aim3.Bin4.LB</v>
          </cell>
          <cell r="F972">
            <v>3</v>
          </cell>
          <cell r="G972" t="str">
            <v>Unweighted</v>
          </cell>
          <cell r="H972" t="str">
            <v>N</v>
          </cell>
          <cell r="I972" t="str">
            <v>N</v>
          </cell>
          <cell r="J972">
            <v>161</v>
          </cell>
          <cell r="K972">
            <v>1</v>
          </cell>
          <cell r="L972">
            <v>0.1787</v>
          </cell>
          <cell r="M972">
            <v>23.7</v>
          </cell>
          <cell r="N972">
            <v>20.100000000000001</v>
          </cell>
          <cell r="O972">
            <v>0.82130000000000003</v>
          </cell>
          <cell r="P972">
            <v>0.17660000000000001</v>
          </cell>
          <cell r="Q972">
            <v>0.64470000000000005</v>
          </cell>
          <cell r="R972" t="str">
            <v>NA</v>
          </cell>
          <cell r="S972" t="str">
            <v>NA</v>
          </cell>
          <cell r="T972">
            <v>58.9</v>
          </cell>
          <cell r="U972">
            <v>4.8</v>
          </cell>
          <cell r="V972">
            <v>74.5</v>
          </cell>
          <cell r="W972">
            <v>7.5</v>
          </cell>
          <cell r="X972" t="str">
            <v>NA</v>
          </cell>
          <cell r="Y972" t="str">
            <v>NA</v>
          </cell>
          <cell r="Z972" t="str">
            <v>NA</v>
          </cell>
          <cell r="AA972" t="str">
            <v>NA</v>
          </cell>
        </row>
        <row r="973">
          <cell r="A973">
            <v>45145</v>
          </cell>
          <cell r="B973" t="str">
            <v>A2</v>
          </cell>
          <cell r="C973">
            <v>1</v>
          </cell>
          <cell r="D973">
            <v>1</v>
          </cell>
          <cell r="E973" t="str">
            <v>ARIS.A2.Aim1.Bin1.RB</v>
          </cell>
          <cell r="F973">
            <v>3</v>
          </cell>
          <cell r="G973" t="str">
            <v>Unweighted</v>
          </cell>
          <cell r="H973" t="str">
            <v>N</v>
          </cell>
          <cell r="I973" t="str">
            <v>N</v>
          </cell>
          <cell r="J973">
            <v>170</v>
          </cell>
          <cell r="K973">
            <v>0.99990000000000001</v>
          </cell>
          <cell r="L973">
            <v>0.9627</v>
          </cell>
          <cell r="M973">
            <v>23.5</v>
          </cell>
          <cell r="N973">
            <v>8.9</v>
          </cell>
          <cell r="O973">
            <v>3.7199999999999997E-2</v>
          </cell>
          <cell r="P973">
            <v>2.1100000000000001E-2</v>
          </cell>
          <cell r="Q973">
            <v>1.61E-2</v>
          </cell>
          <cell r="R973" t="str">
            <v>NA</v>
          </cell>
          <cell r="S973" t="str">
            <v>NA</v>
          </cell>
          <cell r="T973">
            <v>58.9</v>
          </cell>
          <cell r="U973">
            <v>4.8</v>
          </cell>
          <cell r="V973">
            <v>74.5</v>
          </cell>
          <cell r="W973">
            <v>7.5</v>
          </cell>
          <cell r="X973" t="str">
            <v>NA</v>
          </cell>
          <cell r="Y973" t="str">
            <v>NA</v>
          </cell>
          <cell r="Z973" t="str">
            <v>NA</v>
          </cell>
          <cell r="AA973" t="str">
            <v>NA</v>
          </cell>
        </row>
        <row r="974">
          <cell r="A974">
            <v>45145</v>
          </cell>
          <cell r="B974" t="str">
            <v>A2</v>
          </cell>
          <cell r="C974">
            <v>2</v>
          </cell>
          <cell r="D974">
            <v>1</v>
          </cell>
          <cell r="E974" t="str">
            <v>ARIS.A2.Aim1.Bin2.RB</v>
          </cell>
          <cell r="F974">
            <v>3</v>
          </cell>
          <cell r="G974" t="str">
            <v>Unweighted</v>
          </cell>
          <cell r="H974" t="str">
            <v>N</v>
          </cell>
          <cell r="I974" t="str">
            <v>N</v>
          </cell>
          <cell r="J974">
            <v>163</v>
          </cell>
          <cell r="K974">
            <v>1</v>
          </cell>
          <cell r="L974">
            <v>0.66990000000000005</v>
          </cell>
          <cell r="M974">
            <v>23.7</v>
          </cell>
          <cell r="N974">
            <v>12.1</v>
          </cell>
          <cell r="O974">
            <v>0.3301</v>
          </cell>
          <cell r="P974">
            <v>0.13819999999999999</v>
          </cell>
          <cell r="Q974">
            <v>0.19189999999999999</v>
          </cell>
          <cell r="R974" t="str">
            <v>NA</v>
          </cell>
          <cell r="S974" t="str">
            <v>NA</v>
          </cell>
          <cell r="T974">
            <v>58.9</v>
          </cell>
          <cell r="U974">
            <v>4.8</v>
          </cell>
          <cell r="V974">
            <v>74.5</v>
          </cell>
          <cell r="W974">
            <v>7.5</v>
          </cell>
          <cell r="X974" t="str">
            <v>NA</v>
          </cell>
          <cell r="Y974" t="str">
            <v>NA</v>
          </cell>
          <cell r="Z974" t="str">
            <v>NA</v>
          </cell>
          <cell r="AA974" t="str">
            <v>NA</v>
          </cell>
        </row>
        <row r="975">
          <cell r="A975">
            <v>45145</v>
          </cell>
          <cell r="B975" t="str">
            <v>A2</v>
          </cell>
          <cell r="C975">
            <v>3</v>
          </cell>
          <cell r="D975">
            <v>1</v>
          </cell>
          <cell r="E975" t="str">
            <v>ARIS.A2.Aim1.Bin3.RB</v>
          </cell>
          <cell r="F975">
            <v>3</v>
          </cell>
          <cell r="G975" t="str">
            <v>Unweighted</v>
          </cell>
          <cell r="H975" t="str">
            <v>N</v>
          </cell>
          <cell r="I975" t="str">
            <v>N</v>
          </cell>
          <cell r="J975">
            <v>135</v>
          </cell>
          <cell r="K975">
            <v>1</v>
          </cell>
          <cell r="L975">
            <v>0.41070000000000001</v>
          </cell>
          <cell r="M975">
            <v>23.7</v>
          </cell>
          <cell r="N975">
            <v>16.600000000000001</v>
          </cell>
          <cell r="O975">
            <v>0.58930000000000005</v>
          </cell>
          <cell r="P975">
            <v>0.15490000000000001</v>
          </cell>
          <cell r="Q975">
            <v>0.43440000000000001</v>
          </cell>
          <cell r="R975" t="str">
            <v>NA</v>
          </cell>
          <cell r="S975" t="str">
            <v>NA</v>
          </cell>
          <cell r="T975">
            <v>58.9</v>
          </cell>
          <cell r="U975">
            <v>4.8</v>
          </cell>
          <cell r="V975">
            <v>74.5</v>
          </cell>
          <cell r="W975">
            <v>7.5</v>
          </cell>
          <cell r="X975" t="str">
            <v>NA</v>
          </cell>
          <cell r="Y975" t="str">
            <v>NA</v>
          </cell>
          <cell r="Z975" t="str">
            <v>NA</v>
          </cell>
          <cell r="AA975" t="str">
            <v>NA</v>
          </cell>
        </row>
        <row r="976">
          <cell r="A976">
            <v>45145</v>
          </cell>
          <cell r="B976" t="str">
            <v>A2</v>
          </cell>
          <cell r="C976">
            <v>4</v>
          </cell>
          <cell r="D976">
            <v>1</v>
          </cell>
          <cell r="E976" t="str">
            <v>ARIS.A2.Aim1.Bin4.RB</v>
          </cell>
          <cell r="F976">
            <v>3</v>
          </cell>
          <cell r="G976" t="str">
            <v>Unweighted</v>
          </cell>
          <cell r="H976" t="str">
            <v>N</v>
          </cell>
          <cell r="I976" t="str">
            <v>N</v>
          </cell>
          <cell r="J976">
            <v>135</v>
          </cell>
          <cell r="K976">
            <v>1</v>
          </cell>
          <cell r="L976">
            <v>0.41070000000000001</v>
          </cell>
          <cell r="M976">
            <v>23.7</v>
          </cell>
          <cell r="N976">
            <v>16.600000000000001</v>
          </cell>
          <cell r="O976">
            <v>0.58930000000000005</v>
          </cell>
          <cell r="P976">
            <v>0.15490000000000001</v>
          </cell>
          <cell r="Q976">
            <v>0.43440000000000001</v>
          </cell>
          <cell r="R976" t="str">
            <v>NA</v>
          </cell>
          <cell r="S976" t="str">
            <v>NA</v>
          </cell>
          <cell r="T976">
            <v>58.9</v>
          </cell>
          <cell r="U976">
            <v>4.8</v>
          </cell>
          <cell r="V976">
            <v>74.5</v>
          </cell>
          <cell r="W976">
            <v>7.5</v>
          </cell>
          <cell r="X976" t="str">
            <v>NA</v>
          </cell>
          <cell r="Y976" t="str">
            <v>NA</v>
          </cell>
          <cell r="Z976" t="str">
            <v>NA</v>
          </cell>
          <cell r="AA976" t="str">
            <v>NA</v>
          </cell>
        </row>
        <row r="977">
          <cell r="A977">
            <v>45145</v>
          </cell>
          <cell r="B977" t="str">
            <v>A2</v>
          </cell>
          <cell r="C977">
            <v>1</v>
          </cell>
          <cell r="D977">
            <v>1</v>
          </cell>
          <cell r="E977" t="str">
            <v>ARIS.A2.Aim1.Bin1.RB</v>
          </cell>
          <cell r="F977">
            <v>3</v>
          </cell>
          <cell r="G977" t="str">
            <v>SplineDFA</v>
          </cell>
          <cell r="H977" t="str">
            <v>Y</v>
          </cell>
          <cell r="I977" t="str">
            <v>N</v>
          </cell>
          <cell r="J977">
            <v>170</v>
          </cell>
          <cell r="K977">
            <v>1</v>
          </cell>
          <cell r="L977">
            <v>0.92059999999999997</v>
          </cell>
          <cell r="M977">
            <v>23.7</v>
          </cell>
          <cell r="N977">
            <v>2.7</v>
          </cell>
          <cell r="O977">
            <v>7.9399999999999998E-2</v>
          </cell>
          <cell r="P977">
            <v>7.1300000000000002E-2</v>
          </cell>
          <cell r="Q977">
            <v>8.0999999999999996E-3</v>
          </cell>
          <cell r="R977" t="str">
            <v>NA</v>
          </cell>
          <cell r="S977" t="str">
            <v>NA</v>
          </cell>
          <cell r="T977">
            <v>58.9</v>
          </cell>
          <cell r="U977">
            <v>4.8</v>
          </cell>
          <cell r="V977">
            <v>74.5</v>
          </cell>
          <cell r="W977">
            <v>7.5</v>
          </cell>
          <cell r="X977" t="str">
            <v>NA</v>
          </cell>
          <cell r="Y977" t="str">
            <v>NA</v>
          </cell>
          <cell r="Z977" t="str">
            <v>NA</v>
          </cell>
          <cell r="AA977" t="str">
            <v>NA</v>
          </cell>
        </row>
        <row r="978">
          <cell r="A978">
            <v>45145</v>
          </cell>
          <cell r="B978" t="str">
            <v>A2</v>
          </cell>
          <cell r="C978">
            <v>2</v>
          </cell>
          <cell r="D978">
            <v>1</v>
          </cell>
          <cell r="E978" t="str">
            <v>ARIS.A2.Aim1.Bin2.RB</v>
          </cell>
          <cell r="F978">
            <v>3</v>
          </cell>
          <cell r="G978" t="str">
            <v>SplineDFA</v>
          </cell>
          <cell r="H978" t="str">
            <v>Y</v>
          </cell>
          <cell r="I978" t="str">
            <v>N</v>
          </cell>
          <cell r="J978">
            <v>163</v>
          </cell>
          <cell r="K978">
            <v>1</v>
          </cell>
          <cell r="L978">
            <v>0.49199999999999999</v>
          </cell>
          <cell r="M978">
            <v>23.7</v>
          </cell>
          <cell r="N978">
            <v>2.7</v>
          </cell>
          <cell r="O978">
            <v>0.50800000000000001</v>
          </cell>
          <cell r="P978">
            <v>0.32379999999999998</v>
          </cell>
          <cell r="Q978">
            <v>0.1842</v>
          </cell>
          <cell r="R978" t="str">
            <v>NA</v>
          </cell>
          <cell r="S978" t="str">
            <v>NA</v>
          </cell>
          <cell r="T978">
            <v>58.9</v>
          </cell>
          <cell r="U978">
            <v>4.8</v>
          </cell>
          <cell r="V978">
            <v>74.5</v>
          </cell>
          <cell r="W978">
            <v>7.5</v>
          </cell>
          <cell r="X978" t="str">
            <v>NA</v>
          </cell>
          <cell r="Y978" t="str">
            <v>NA</v>
          </cell>
          <cell r="Z978" t="str">
            <v>NA</v>
          </cell>
          <cell r="AA978" t="str">
            <v>NA</v>
          </cell>
        </row>
        <row r="979">
          <cell r="A979">
            <v>45145</v>
          </cell>
          <cell r="B979" t="str">
            <v>A2</v>
          </cell>
          <cell r="C979">
            <v>3</v>
          </cell>
          <cell r="D979">
            <v>1</v>
          </cell>
          <cell r="E979" t="str">
            <v>ARIS.A2.Aim1.Bin3.RB</v>
          </cell>
          <cell r="F979">
            <v>3</v>
          </cell>
          <cell r="G979" t="str">
            <v>SplineDFA</v>
          </cell>
          <cell r="H979" t="str">
            <v>Y</v>
          </cell>
          <cell r="I979" t="str">
            <v>N</v>
          </cell>
          <cell r="J979">
            <v>135</v>
          </cell>
          <cell r="K979">
            <v>1</v>
          </cell>
          <cell r="L979">
            <v>0.25259999999999999</v>
          </cell>
          <cell r="M979">
            <v>23.7</v>
          </cell>
          <cell r="N979">
            <v>2.7</v>
          </cell>
          <cell r="O979">
            <v>0.74739999999999995</v>
          </cell>
          <cell r="P979">
            <v>0.34379999999999999</v>
          </cell>
          <cell r="Q979">
            <v>0.40360000000000001</v>
          </cell>
          <cell r="R979" t="str">
            <v>NA</v>
          </cell>
          <cell r="S979" t="str">
            <v>NA</v>
          </cell>
          <cell r="T979">
            <v>58.9</v>
          </cell>
          <cell r="U979">
            <v>4.8</v>
          </cell>
          <cell r="V979">
            <v>74.5</v>
          </cell>
          <cell r="W979">
            <v>7.5</v>
          </cell>
          <cell r="X979" t="str">
            <v>NA</v>
          </cell>
          <cell r="Y979" t="str">
            <v>NA</v>
          </cell>
          <cell r="Z979" t="str">
            <v>NA</v>
          </cell>
          <cell r="AA979" t="str">
            <v>NA</v>
          </cell>
        </row>
        <row r="980">
          <cell r="A980">
            <v>45145</v>
          </cell>
          <cell r="B980" t="str">
            <v>A2</v>
          </cell>
          <cell r="C980">
            <v>4</v>
          </cell>
          <cell r="D980">
            <v>1</v>
          </cell>
          <cell r="E980" t="str">
            <v>ARIS.A2.Aim1.Bin4.RB</v>
          </cell>
          <cell r="F980">
            <v>3</v>
          </cell>
          <cell r="G980" t="str">
            <v>SplineDFA</v>
          </cell>
          <cell r="H980" t="str">
            <v>Y</v>
          </cell>
          <cell r="I980" t="str">
            <v>N</v>
          </cell>
          <cell r="J980">
            <v>135</v>
          </cell>
          <cell r="K980">
            <v>1</v>
          </cell>
          <cell r="L980">
            <v>0.25259999999999999</v>
          </cell>
          <cell r="M980">
            <v>23.7</v>
          </cell>
          <cell r="N980">
            <v>2.7</v>
          </cell>
          <cell r="O980">
            <v>0.74739999999999995</v>
          </cell>
          <cell r="P980">
            <v>0.34379999999999999</v>
          </cell>
          <cell r="Q980">
            <v>0.40360000000000001</v>
          </cell>
          <cell r="R980" t="str">
            <v>NA</v>
          </cell>
          <cell r="S980" t="str">
            <v>NA</v>
          </cell>
          <cell r="T980">
            <v>58.9</v>
          </cell>
          <cell r="U980">
            <v>4.8</v>
          </cell>
          <cell r="V980">
            <v>74.5</v>
          </cell>
          <cell r="W980">
            <v>7.5</v>
          </cell>
          <cell r="X980" t="str">
            <v>NA</v>
          </cell>
          <cell r="Y980" t="str">
            <v>NA</v>
          </cell>
          <cell r="Z980" t="str">
            <v>NA</v>
          </cell>
          <cell r="AA980" t="str">
            <v>NA</v>
          </cell>
        </row>
        <row r="981">
          <cell r="A981">
            <v>45145</v>
          </cell>
          <cell r="B981" t="str">
            <v>A1</v>
          </cell>
          <cell r="C981">
            <v>1</v>
          </cell>
          <cell r="D981">
            <v>1</v>
          </cell>
          <cell r="E981" t="str">
            <v>ARIS.A1.Aim1.Bin1.LB</v>
          </cell>
          <cell r="F981">
            <v>4</v>
          </cell>
          <cell r="G981" t="str">
            <v>Unweighted</v>
          </cell>
          <cell r="H981" t="str">
            <v>N</v>
          </cell>
          <cell r="I981" t="str">
            <v>Y</v>
          </cell>
          <cell r="J981">
            <v>145</v>
          </cell>
          <cell r="K981">
            <v>1</v>
          </cell>
          <cell r="L981">
            <v>0.74370000000000003</v>
          </cell>
          <cell r="M981">
            <v>25.3</v>
          </cell>
          <cell r="N981">
            <v>7.1</v>
          </cell>
          <cell r="O981">
            <v>0.25629999999999997</v>
          </cell>
          <cell r="P981">
            <v>0.1497</v>
          </cell>
          <cell r="Q981">
            <v>5.33E-2</v>
          </cell>
          <cell r="R981">
            <v>5.33E-2</v>
          </cell>
          <cell r="S981" t="str">
            <v>NA</v>
          </cell>
          <cell r="T981">
            <v>59.4</v>
          </cell>
          <cell r="U981">
            <v>4.8</v>
          </cell>
          <cell r="V981">
            <v>74.900000000000006</v>
          </cell>
          <cell r="W981">
            <v>7.6</v>
          </cell>
          <cell r="X981">
            <v>52.4</v>
          </cell>
          <cell r="Y981">
            <v>6.8</v>
          </cell>
          <cell r="Z981" t="str">
            <v>NA</v>
          </cell>
          <cell r="AA981" t="str">
            <v>NA</v>
          </cell>
        </row>
        <row r="982">
          <cell r="A982">
            <v>45145</v>
          </cell>
          <cell r="B982" t="str">
            <v>A1</v>
          </cell>
          <cell r="C982">
            <v>1</v>
          </cell>
          <cell r="D982">
            <v>2</v>
          </cell>
          <cell r="E982" t="str">
            <v>ARIS.A1.Aim2.Bin1.LB</v>
          </cell>
          <cell r="F982">
            <v>4</v>
          </cell>
          <cell r="G982" t="str">
            <v>Unweighted</v>
          </cell>
          <cell r="H982" t="str">
            <v>N</v>
          </cell>
          <cell r="I982" t="str">
            <v>Y</v>
          </cell>
          <cell r="J982">
            <v>173</v>
          </cell>
          <cell r="K982">
            <v>0.99990000000000001</v>
          </cell>
          <cell r="L982">
            <v>0.74139999999999995</v>
          </cell>
          <cell r="M982">
            <v>16.899999999999999</v>
          </cell>
          <cell r="N982">
            <v>6.2</v>
          </cell>
          <cell r="O982">
            <v>0.25850000000000001</v>
          </cell>
          <cell r="P982">
            <v>0.16819999999999999</v>
          </cell>
          <cell r="Q982">
            <v>2.87E-2</v>
          </cell>
          <cell r="R982">
            <v>6.1600000000000002E-2</v>
          </cell>
          <cell r="S982" t="str">
            <v>NA</v>
          </cell>
          <cell r="T982">
            <v>59.4</v>
          </cell>
          <cell r="U982">
            <v>4.8</v>
          </cell>
          <cell r="V982">
            <v>74.900000000000006</v>
          </cell>
          <cell r="W982">
            <v>7.6</v>
          </cell>
          <cell r="X982">
            <v>52.4</v>
          </cell>
          <cell r="Y982">
            <v>6.8</v>
          </cell>
          <cell r="Z982" t="str">
            <v>NA</v>
          </cell>
          <cell r="AA982" t="str">
            <v>NA</v>
          </cell>
        </row>
        <row r="983">
          <cell r="A983">
            <v>45145</v>
          </cell>
          <cell r="B983" t="str">
            <v>A1</v>
          </cell>
          <cell r="C983">
            <v>1</v>
          </cell>
          <cell r="D983" t="str">
            <v>1&amp;2</v>
          </cell>
          <cell r="E983" t="str">
            <v>ARIS.A1.Aim1&amp;Aim2.Bin1.LB</v>
          </cell>
          <cell r="F983">
            <v>4</v>
          </cell>
          <cell r="G983" t="str">
            <v>Unweighted</v>
          </cell>
          <cell r="H983" t="str">
            <v>N</v>
          </cell>
          <cell r="I983" t="str">
            <v>Y</v>
          </cell>
          <cell r="J983">
            <v>318</v>
          </cell>
          <cell r="K983">
            <v>1</v>
          </cell>
          <cell r="L983">
            <v>0.7419</v>
          </cell>
          <cell r="M983">
            <v>20.8</v>
          </cell>
          <cell r="N983">
            <v>7.8</v>
          </cell>
          <cell r="O983">
            <v>0.2581</v>
          </cell>
          <cell r="P983">
            <v>0.15740000000000001</v>
          </cell>
          <cell r="Q983">
            <v>4.1500000000000002E-2</v>
          </cell>
          <cell r="R983">
            <v>5.9200000000000003E-2</v>
          </cell>
          <cell r="S983" t="str">
            <v>NA</v>
          </cell>
          <cell r="T983">
            <v>59.4</v>
          </cell>
          <cell r="U983">
            <v>4.8</v>
          </cell>
          <cell r="V983">
            <v>74.900000000000006</v>
          </cell>
          <cell r="W983">
            <v>7.6</v>
          </cell>
          <cell r="X983">
            <v>52.4</v>
          </cell>
          <cell r="Y983">
            <v>6.8</v>
          </cell>
          <cell r="Z983" t="str">
            <v>NA</v>
          </cell>
          <cell r="AA983" t="str">
            <v>NA</v>
          </cell>
        </row>
        <row r="984">
          <cell r="A984">
            <v>45145</v>
          </cell>
          <cell r="B984" t="str">
            <v>A1</v>
          </cell>
          <cell r="C984">
            <v>2</v>
          </cell>
          <cell r="D984">
            <v>3</v>
          </cell>
          <cell r="E984" t="str">
            <v>ARIS.A1.Aim3.Bin2.LB</v>
          </cell>
          <cell r="F984">
            <v>4</v>
          </cell>
          <cell r="G984" t="str">
            <v>Unweighted</v>
          </cell>
          <cell r="H984" t="str">
            <v>N</v>
          </cell>
          <cell r="I984" t="str">
            <v>Y</v>
          </cell>
          <cell r="J984">
            <v>157</v>
          </cell>
          <cell r="K984">
            <v>0.99990000000000001</v>
          </cell>
          <cell r="L984">
            <v>0.45400000000000001</v>
          </cell>
          <cell r="M984">
            <v>27.9</v>
          </cell>
          <cell r="N984">
            <v>8.1</v>
          </cell>
          <cell r="O984">
            <v>0.54590000000000005</v>
          </cell>
          <cell r="P984">
            <v>0.18870000000000001</v>
          </cell>
          <cell r="Q984">
            <v>0.31859999999999999</v>
          </cell>
          <cell r="R984">
            <v>3.8600000000000002E-2</v>
          </cell>
          <cell r="S984" t="str">
            <v>NA</v>
          </cell>
          <cell r="T984">
            <v>59.4</v>
          </cell>
          <cell r="U984">
            <v>4.8</v>
          </cell>
          <cell r="V984">
            <v>74.900000000000006</v>
          </cell>
          <cell r="W984">
            <v>7.6</v>
          </cell>
          <cell r="X984">
            <v>52.4</v>
          </cell>
          <cell r="Y984">
            <v>6.8</v>
          </cell>
          <cell r="Z984" t="str">
            <v>NA</v>
          </cell>
          <cell r="AA984" t="str">
            <v>NA</v>
          </cell>
        </row>
        <row r="985">
          <cell r="A985">
            <v>45145</v>
          </cell>
          <cell r="B985" t="str">
            <v>A1</v>
          </cell>
          <cell r="C985">
            <v>3</v>
          </cell>
          <cell r="D985">
            <v>3</v>
          </cell>
          <cell r="E985" t="str">
            <v>ARIS.A1.Aim3.Bin3.LB</v>
          </cell>
          <cell r="F985">
            <v>4</v>
          </cell>
          <cell r="G985" t="str">
            <v>Unweighted</v>
          </cell>
          <cell r="H985" t="str">
            <v>N</v>
          </cell>
          <cell r="I985" t="str">
            <v>Y</v>
          </cell>
          <cell r="J985">
            <v>161</v>
          </cell>
          <cell r="K985">
            <v>1</v>
          </cell>
          <cell r="L985">
            <v>0.1628</v>
          </cell>
          <cell r="M985">
            <v>41</v>
          </cell>
          <cell r="N985">
            <v>6.3</v>
          </cell>
          <cell r="O985">
            <v>0.83720000000000006</v>
          </cell>
          <cell r="P985">
            <v>0.1794</v>
          </cell>
          <cell r="Q985">
            <v>0.65780000000000005</v>
          </cell>
          <cell r="R985">
            <v>0</v>
          </cell>
          <cell r="S985" t="str">
            <v>NA</v>
          </cell>
          <cell r="T985">
            <v>59.4</v>
          </cell>
          <cell r="U985">
            <v>4.8</v>
          </cell>
          <cell r="V985">
            <v>74.900000000000006</v>
          </cell>
          <cell r="W985">
            <v>7.6</v>
          </cell>
          <cell r="X985">
            <v>52.4</v>
          </cell>
          <cell r="Y985">
            <v>6.8</v>
          </cell>
          <cell r="Z985" t="str">
            <v>NA</v>
          </cell>
          <cell r="AA985" t="str">
            <v>NA</v>
          </cell>
        </row>
        <row r="986">
          <cell r="A986">
            <v>45145</v>
          </cell>
          <cell r="B986" t="str">
            <v>A1</v>
          </cell>
          <cell r="C986">
            <v>4</v>
          </cell>
          <cell r="D986">
            <v>3</v>
          </cell>
          <cell r="E986" t="str">
            <v>ARIS.A1.Aim3.Bin4.LB</v>
          </cell>
          <cell r="F986">
            <v>4</v>
          </cell>
          <cell r="G986" t="str">
            <v>Unweighted</v>
          </cell>
          <cell r="H986" t="str">
            <v>N</v>
          </cell>
          <cell r="I986" t="str">
            <v>Y</v>
          </cell>
          <cell r="J986">
            <v>161</v>
          </cell>
          <cell r="K986">
            <v>1</v>
          </cell>
          <cell r="L986">
            <v>0.1628</v>
          </cell>
          <cell r="M986">
            <v>41</v>
          </cell>
          <cell r="N986">
            <v>6.3</v>
          </cell>
          <cell r="O986">
            <v>0.83720000000000006</v>
          </cell>
          <cell r="P986">
            <v>0.1794</v>
          </cell>
          <cell r="Q986">
            <v>0.65780000000000005</v>
          </cell>
          <cell r="R986">
            <v>0</v>
          </cell>
          <cell r="S986" t="str">
            <v>NA</v>
          </cell>
          <cell r="T986">
            <v>59.4</v>
          </cell>
          <cell r="U986">
            <v>4.8</v>
          </cell>
          <cell r="V986">
            <v>74.900000000000006</v>
          </cell>
          <cell r="W986">
            <v>7.6</v>
          </cell>
          <cell r="X986">
            <v>52.4</v>
          </cell>
          <cell r="Y986">
            <v>6.8</v>
          </cell>
          <cell r="Z986" t="str">
            <v>NA</v>
          </cell>
          <cell r="AA986" t="str">
            <v>NA</v>
          </cell>
        </row>
        <row r="987">
          <cell r="A987">
            <v>45145</v>
          </cell>
          <cell r="B987" t="str">
            <v>A2</v>
          </cell>
          <cell r="C987">
            <v>1</v>
          </cell>
          <cell r="D987">
            <v>1</v>
          </cell>
          <cell r="E987" t="str">
            <v>ARIS.A2.Aim1.Bin1.RB</v>
          </cell>
          <cell r="F987">
            <v>4</v>
          </cell>
          <cell r="G987" t="str">
            <v>Unweighted</v>
          </cell>
          <cell r="H987" t="str">
            <v>N</v>
          </cell>
          <cell r="I987" t="str">
            <v>Y</v>
          </cell>
          <cell r="J987">
            <v>170</v>
          </cell>
          <cell r="K987">
            <v>0.99990000000000001</v>
          </cell>
          <cell r="L987">
            <v>0.84230000000000005</v>
          </cell>
          <cell r="M987">
            <v>21</v>
          </cell>
          <cell r="N987">
            <v>6.3</v>
          </cell>
          <cell r="O987">
            <v>0.15759999999999999</v>
          </cell>
          <cell r="P987">
            <v>0</v>
          </cell>
          <cell r="Q987">
            <v>2.2100000000000002E-2</v>
          </cell>
          <cell r="R987">
            <v>0.13550000000000001</v>
          </cell>
          <cell r="S987" t="str">
            <v>NA</v>
          </cell>
          <cell r="T987">
            <v>59.4</v>
          </cell>
          <cell r="U987">
            <v>4.8</v>
          </cell>
          <cell r="V987">
            <v>74.900000000000006</v>
          </cell>
          <cell r="W987">
            <v>7.6</v>
          </cell>
          <cell r="X987">
            <v>52.4</v>
          </cell>
          <cell r="Y987">
            <v>6.8</v>
          </cell>
          <cell r="Z987" t="str">
            <v>NA</v>
          </cell>
          <cell r="AA987" t="str">
            <v>NA</v>
          </cell>
        </row>
        <row r="988">
          <cell r="A988">
            <v>45145</v>
          </cell>
          <cell r="B988" t="str">
            <v>A2</v>
          </cell>
          <cell r="C988">
            <v>2</v>
          </cell>
          <cell r="D988">
            <v>1</v>
          </cell>
          <cell r="E988" t="str">
            <v>ARIS.A2.Aim1.Bin2.RB</v>
          </cell>
          <cell r="F988">
            <v>4</v>
          </cell>
          <cell r="G988" t="str">
            <v>Unweighted</v>
          </cell>
          <cell r="H988" t="str">
            <v>N</v>
          </cell>
          <cell r="I988" t="str">
            <v>Y</v>
          </cell>
          <cell r="J988">
            <v>163</v>
          </cell>
          <cell r="K988">
            <v>0.99990000000000001</v>
          </cell>
          <cell r="L988">
            <v>0.49909999999999999</v>
          </cell>
          <cell r="M988">
            <v>24.6</v>
          </cell>
          <cell r="N988">
            <v>6.3</v>
          </cell>
          <cell r="O988">
            <v>0.50080000000000002</v>
          </cell>
          <cell r="P988">
            <v>0</v>
          </cell>
          <cell r="Q988">
            <v>0.2019</v>
          </cell>
          <cell r="R988">
            <v>0.2989</v>
          </cell>
          <cell r="S988" t="str">
            <v>NA</v>
          </cell>
          <cell r="T988">
            <v>59.4</v>
          </cell>
          <cell r="U988">
            <v>4.8</v>
          </cell>
          <cell r="V988">
            <v>74.900000000000006</v>
          </cell>
          <cell r="W988">
            <v>7.6</v>
          </cell>
          <cell r="X988">
            <v>52.4</v>
          </cell>
          <cell r="Y988">
            <v>6.8</v>
          </cell>
          <cell r="Z988" t="str">
            <v>NA</v>
          </cell>
          <cell r="AA988" t="str">
            <v>NA</v>
          </cell>
        </row>
        <row r="989">
          <cell r="A989">
            <v>45145</v>
          </cell>
          <cell r="B989" t="str">
            <v>A2</v>
          </cell>
          <cell r="C989">
            <v>3</v>
          </cell>
          <cell r="D989">
            <v>1</v>
          </cell>
          <cell r="E989" t="str">
            <v>ARIS.A2.Aim1.Bin3.RB</v>
          </cell>
          <cell r="F989">
            <v>4</v>
          </cell>
          <cell r="G989" t="str">
            <v>Unweighted</v>
          </cell>
          <cell r="H989" t="str">
            <v>N</v>
          </cell>
          <cell r="I989" t="str">
            <v>Y</v>
          </cell>
          <cell r="J989">
            <v>135</v>
          </cell>
          <cell r="K989">
            <v>0.99990000000000001</v>
          </cell>
          <cell r="L989">
            <v>0.2117</v>
          </cell>
          <cell r="M989">
            <v>28.4</v>
          </cell>
          <cell r="N989">
            <v>4.3</v>
          </cell>
          <cell r="O989">
            <v>0.78820000000000001</v>
          </cell>
          <cell r="P989">
            <v>0</v>
          </cell>
          <cell r="Q989">
            <v>0.44879999999999998</v>
          </cell>
          <cell r="R989">
            <v>0.33939999999999998</v>
          </cell>
          <cell r="S989" t="str">
            <v>NA</v>
          </cell>
          <cell r="T989">
            <v>59.4</v>
          </cell>
          <cell r="U989">
            <v>4.8</v>
          </cell>
          <cell r="V989">
            <v>74.900000000000006</v>
          </cell>
          <cell r="W989">
            <v>7.6</v>
          </cell>
          <cell r="X989">
            <v>52.4</v>
          </cell>
          <cell r="Y989">
            <v>6.8</v>
          </cell>
          <cell r="Z989" t="str">
            <v>NA</v>
          </cell>
          <cell r="AA989" t="str">
            <v>NA</v>
          </cell>
        </row>
        <row r="990">
          <cell r="A990">
            <v>45145</v>
          </cell>
          <cell r="B990" t="str">
            <v>A2</v>
          </cell>
          <cell r="C990">
            <v>4</v>
          </cell>
          <cell r="D990">
            <v>1</v>
          </cell>
          <cell r="E990" t="str">
            <v>ARIS.A2.Aim1.Bin4.RB</v>
          </cell>
          <cell r="F990">
            <v>4</v>
          </cell>
          <cell r="G990" t="str">
            <v>Unweighted</v>
          </cell>
          <cell r="H990" t="str">
            <v>N</v>
          </cell>
          <cell r="I990" t="str">
            <v>Y</v>
          </cell>
          <cell r="J990">
            <v>135</v>
          </cell>
          <cell r="K990">
            <v>0.99990000000000001</v>
          </cell>
          <cell r="L990">
            <v>0.2117</v>
          </cell>
          <cell r="M990">
            <v>28.4</v>
          </cell>
          <cell r="N990">
            <v>4.3</v>
          </cell>
          <cell r="O990">
            <v>0.78820000000000001</v>
          </cell>
          <cell r="P990">
            <v>0</v>
          </cell>
          <cell r="Q990">
            <v>0.44879999999999998</v>
          </cell>
          <cell r="R990">
            <v>0.33939999999999998</v>
          </cell>
          <cell r="S990" t="str">
            <v>NA</v>
          </cell>
          <cell r="T990">
            <v>59.4</v>
          </cell>
          <cell r="U990">
            <v>4.8</v>
          </cell>
          <cell r="V990">
            <v>74.900000000000006</v>
          </cell>
          <cell r="W990">
            <v>7.6</v>
          </cell>
          <cell r="X990">
            <v>52.4</v>
          </cell>
          <cell r="Y990">
            <v>6.8</v>
          </cell>
          <cell r="Z990" t="str">
            <v>NA</v>
          </cell>
          <cell r="AA990" t="str">
            <v>NA</v>
          </cell>
        </row>
        <row r="991">
          <cell r="A991">
            <v>45145</v>
          </cell>
          <cell r="B991" t="str">
            <v>A1</v>
          </cell>
          <cell r="C991">
            <v>1</v>
          </cell>
          <cell r="D991">
            <v>1</v>
          </cell>
          <cell r="E991" t="str">
            <v>ARIS.A1.Aim1.Bin1.LB</v>
          </cell>
          <cell r="F991">
            <v>4</v>
          </cell>
          <cell r="G991" t="str">
            <v>SplineDFA</v>
          </cell>
          <cell r="H991" t="str">
            <v>Y</v>
          </cell>
          <cell r="I991" t="str">
            <v>N</v>
          </cell>
          <cell r="J991">
            <v>145</v>
          </cell>
          <cell r="K991">
            <v>1.0001</v>
          </cell>
          <cell r="L991">
            <v>0.58260000000000001</v>
          </cell>
          <cell r="M991">
            <v>23.7</v>
          </cell>
          <cell r="N991">
            <v>2.7</v>
          </cell>
          <cell r="O991">
            <v>0.41749999999999998</v>
          </cell>
          <cell r="P991">
            <v>0.16009999999999999</v>
          </cell>
          <cell r="Q991">
            <v>8.9499999999999996E-2</v>
          </cell>
          <cell r="R991">
            <v>0.16789999999999999</v>
          </cell>
          <cell r="S991" t="str">
            <v>NA</v>
          </cell>
          <cell r="T991">
            <v>59.4</v>
          </cell>
          <cell r="U991">
            <v>4.8</v>
          </cell>
          <cell r="V991">
            <v>74.900000000000006</v>
          </cell>
          <cell r="W991">
            <v>7.6</v>
          </cell>
          <cell r="X991">
            <v>52.4</v>
          </cell>
          <cell r="Y991">
            <v>6.8</v>
          </cell>
          <cell r="Z991" t="str">
            <v>NA</v>
          </cell>
          <cell r="AA991" t="str">
            <v>NA</v>
          </cell>
        </row>
        <row r="992">
          <cell r="A992">
            <v>45145</v>
          </cell>
          <cell r="B992" t="str">
            <v>A1</v>
          </cell>
          <cell r="C992">
            <v>1</v>
          </cell>
          <cell r="D992">
            <v>2</v>
          </cell>
          <cell r="E992" t="str">
            <v>ARIS.A1.Aim2.Bin1.LB</v>
          </cell>
          <cell r="F992">
            <v>4</v>
          </cell>
          <cell r="G992" t="str">
            <v>SplineDFA</v>
          </cell>
          <cell r="H992" t="str">
            <v>Y</v>
          </cell>
          <cell r="I992" t="str">
            <v>N</v>
          </cell>
          <cell r="J992">
            <v>173</v>
          </cell>
          <cell r="K992">
            <v>1</v>
          </cell>
          <cell r="L992">
            <v>0.79339999999999999</v>
          </cell>
          <cell r="M992">
            <v>23.7</v>
          </cell>
          <cell r="N992">
            <v>2.7</v>
          </cell>
          <cell r="O992">
            <v>0.20660000000000001</v>
          </cell>
          <cell r="P992">
            <v>0.1386</v>
          </cell>
          <cell r="Q992">
            <v>2.9100000000000001E-2</v>
          </cell>
          <cell r="R992">
            <v>3.8899999999999997E-2</v>
          </cell>
          <cell r="S992" t="str">
            <v>NA</v>
          </cell>
          <cell r="T992">
            <v>59.4</v>
          </cell>
          <cell r="U992">
            <v>4.8</v>
          </cell>
          <cell r="V992">
            <v>74.900000000000006</v>
          </cell>
          <cell r="W992">
            <v>7.6</v>
          </cell>
          <cell r="X992">
            <v>52.4</v>
          </cell>
          <cell r="Y992">
            <v>6.8</v>
          </cell>
          <cell r="Z992" t="str">
            <v>NA</v>
          </cell>
          <cell r="AA992" t="str">
            <v>NA</v>
          </cell>
        </row>
        <row r="993">
          <cell r="A993">
            <v>45145</v>
          </cell>
          <cell r="B993" t="str">
            <v>A1</v>
          </cell>
          <cell r="C993">
            <v>2</v>
          </cell>
          <cell r="D993">
            <v>3</v>
          </cell>
          <cell r="E993" t="str">
            <v>ARIS.A1.Aim3.Bin2.LB</v>
          </cell>
          <cell r="F993">
            <v>4</v>
          </cell>
          <cell r="G993" t="str">
            <v>SplineDFA</v>
          </cell>
          <cell r="H993" t="str">
            <v>Y</v>
          </cell>
          <cell r="I993" t="str">
            <v>N</v>
          </cell>
          <cell r="J993">
            <v>157</v>
          </cell>
          <cell r="K993">
            <v>1</v>
          </cell>
          <cell r="L993">
            <v>0.26250000000000001</v>
          </cell>
          <cell r="M993">
            <v>23.7</v>
          </cell>
          <cell r="N993">
            <v>2.7</v>
          </cell>
          <cell r="O993">
            <v>0.73750000000000004</v>
          </cell>
          <cell r="P993">
            <v>0.26669999999999999</v>
          </cell>
          <cell r="Q993">
            <v>0.32619999999999999</v>
          </cell>
          <cell r="R993">
            <v>0.14460000000000001</v>
          </cell>
          <cell r="S993" t="str">
            <v>NA</v>
          </cell>
          <cell r="T993">
            <v>59.4</v>
          </cell>
          <cell r="U993">
            <v>4.8</v>
          </cell>
          <cell r="V993">
            <v>74.900000000000006</v>
          </cell>
          <cell r="W993">
            <v>7.6</v>
          </cell>
          <cell r="X993">
            <v>52.4</v>
          </cell>
          <cell r="Y993">
            <v>6.8</v>
          </cell>
          <cell r="Z993" t="str">
            <v>NA</v>
          </cell>
          <cell r="AA993" t="str">
            <v>NA</v>
          </cell>
        </row>
        <row r="994">
          <cell r="A994">
            <v>45145</v>
          </cell>
          <cell r="B994" t="str">
            <v>A1</v>
          </cell>
          <cell r="C994">
            <v>3</v>
          </cell>
          <cell r="D994">
            <v>3</v>
          </cell>
          <cell r="E994" t="str">
            <v>ARIS.A1.Aim3.Bin3.LB</v>
          </cell>
          <cell r="F994">
            <v>4</v>
          </cell>
          <cell r="G994" t="str">
            <v>SplineDFA</v>
          </cell>
          <cell r="H994" t="str">
            <v>Y</v>
          </cell>
          <cell r="I994" t="str">
            <v>N</v>
          </cell>
          <cell r="J994">
            <v>161</v>
          </cell>
          <cell r="K994">
            <v>1</v>
          </cell>
          <cell r="L994">
            <v>9.2999999999999992E-3</v>
          </cell>
          <cell r="M994">
            <v>23.7</v>
          </cell>
          <cell r="N994">
            <v>2.7</v>
          </cell>
          <cell r="O994">
            <v>0.99070000000000003</v>
          </cell>
          <cell r="P994">
            <v>0.24229999999999999</v>
          </cell>
          <cell r="Q994">
            <v>0.59730000000000005</v>
          </cell>
          <cell r="R994">
            <v>0.15110000000000001</v>
          </cell>
          <cell r="S994" t="str">
            <v>NA</v>
          </cell>
          <cell r="T994">
            <v>59.4</v>
          </cell>
          <cell r="U994">
            <v>4.8</v>
          </cell>
          <cell r="V994">
            <v>74.900000000000006</v>
          </cell>
          <cell r="W994">
            <v>7.6</v>
          </cell>
          <cell r="X994">
            <v>52.4</v>
          </cell>
          <cell r="Y994">
            <v>6.8</v>
          </cell>
          <cell r="Z994" t="str">
            <v>NA</v>
          </cell>
          <cell r="AA994" t="str">
            <v>NA</v>
          </cell>
        </row>
        <row r="995">
          <cell r="A995">
            <v>45145</v>
          </cell>
          <cell r="B995" t="str">
            <v>A1</v>
          </cell>
          <cell r="C995">
            <v>4</v>
          </cell>
          <cell r="D995">
            <v>3</v>
          </cell>
          <cell r="E995" t="str">
            <v>ARIS.A1.Aim3.Bin4.LB</v>
          </cell>
          <cell r="F995">
            <v>4</v>
          </cell>
          <cell r="G995" t="str">
            <v>SplineDFA</v>
          </cell>
          <cell r="H995" t="str">
            <v>Y</v>
          </cell>
          <cell r="I995" t="str">
            <v>N</v>
          </cell>
          <cell r="J995">
            <v>161</v>
          </cell>
          <cell r="K995">
            <v>1</v>
          </cell>
          <cell r="L995">
            <v>9.2999999999999992E-3</v>
          </cell>
          <cell r="M995">
            <v>23.7</v>
          </cell>
          <cell r="N995">
            <v>2.7</v>
          </cell>
          <cell r="O995">
            <v>0.99070000000000003</v>
          </cell>
          <cell r="P995">
            <v>0.24229999999999999</v>
          </cell>
          <cell r="Q995">
            <v>0.59730000000000005</v>
          </cell>
          <cell r="R995">
            <v>0.15110000000000001</v>
          </cell>
          <cell r="S995" t="str">
            <v>NA</v>
          </cell>
          <cell r="T995">
            <v>59.4</v>
          </cell>
          <cell r="U995">
            <v>4.8</v>
          </cell>
          <cell r="V995">
            <v>74.900000000000006</v>
          </cell>
          <cell r="W995">
            <v>7.6</v>
          </cell>
          <cell r="X995">
            <v>52.4</v>
          </cell>
          <cell r="Y995">
            <v>6.8</v>
          </cell>
          <cell r="Z995" t="str">
            <v>NA</v>
          </cell>
          <cell r="AA995" t="str">
            <v>NA</v>
          </cell>
        </row>
        <row r="996">
          <cell r="A996">
            <v>45145</v>
          </cell>
          <cell r="B996" t="str">
            <v>A2</v>
          </cell>
          <cell r="C996">
            <v>1</v>
          </cell>
          <cell r="D996">
            <v>1</v>
          </cell>
          <cell r="E996" t="str">
            <v>ARIS.A2.Aim1.Bin1.RB</v>
          </cell>
          <cell r="F996">
            <v>4</v>
          </cell>
          <cell r="G996" t="str">
            <v>SplineDFA</v>
          </cell>
          <cell r="H996" t="str">
            <v>Y</v>
          </cell>
          <cell r="I996" t="str">
            <v>N</v>
          </cell>
          <cell r="J996">
            <v>170</v>
          </cell>
          <cell r="K996">
            <v>1</v>
          </cell>
          <cell r="L996">
            <v>0.87560000000000004</v>
          </cell>
          <cell r="M996">
            <v>23.7</v>
          </cell>
          <cell r="N996">
            <v>2.7</v>
          </cell>
          <cell r="O996">
            <v>0.1244</v>
          </cell>
          <cell r="P996">
            <v>8.6E-3</v>
          </cell>
          <cell r="Q996">
            <v>6.6E-3</v>
          </cell>
          <cell r="R996">
            <v>0.10920000000000001</v>
          </cell>
          <cell r="S996" t="str">
            <v>NA</v>
          </cell>
          <cell r="T996">
            <v>59.4</v>
          </cell>
          <cell r="U996">
            <v>4.8</v>
          </cell>
          <cell r="V996">
            <v>74.900000000000006</v>
          </cell>
          <cell r="W996">
            <v>7.6</v>
          </cell>
          <cell r="X996">
            <v>52.4</v>
          </cell>
          <cell r="Y996">
            <v>6.8</v>
          </cell>
          <cell r="Z996" t="str">
            <v>NA</v>
          </cell>
          <cell r="AA996" t="str">
            <v>NA</v>
          </cell>
        </row>
        <row r="997">
          <cell r="A997">
            <v>45145</v>
          </cell>
          <cell r="B997" t="str">
            <v>A2</v>
          </cell>
          <cell r="C997">
            <v>2</v>
          </cell>
          <cell r="D997">
            <v>1</v>
          </cell>
          <cell r="E997" t="str">
            <v>ARIS.A2.Aim1.Bin2.RB</v>
          </cell>
          <cell r="F997">
            <v>4</v>
          </cell>
          <cell r="G997" t="str">
            <v>SplineDFA</v>
          </cell>
          <cell r="H997" t="str">
            <v>Y</v>
          </cell>
          <cell r="I997" t="str">
            <v>N</v>
          </cell>
          <cell r="J997">
            <v>163</v>
          </cell>
          <cell r="K997">
            <v>1</v>
          </cell>
          <cell r="L997">
            <v>0.41049999999999998</v>
          </cell>
          <cell r="M997">
            <v>23.7</v>
          </cell>
          <cell r="N997">
            <v>2.7</v>
          </cell>
          <cell r="O997">
            <v>0.58950000000000002</v>
          </cell>
          <cell r="P997">
            <v>8.5800000000000001E-2</v>
          </cell>
          <cell r="Q997">
            <v>0.17799999999999999</v>
          </cell>
          <cell r="R997">
            <v>0.32569999999999999</v>
          </cell>
          <cell r="S997" t="str">
            <v>NA</v>
          </cell>
          <cell r="T997">
            <v>59.4</v>
          </cell>
          <cell r="U997">
            <v>4.8</v>
          </cell>
          <cell r="V997">
            <v>74.900000000000006</v>
          </cell>
          <cell r="W997">
            <v>7.6</v>
          </cell>
          <cell r="X997">
            <v>52.4</v>
          </cell>
          <cell r="Y997">
            <v>6.8</v>
          </cell>
          <cell r="Z997" t="str">
            <v>NA</v>
          </cell>
          <cell r="AA997" t="str">
            <v>NA</v>
          </cell>
        </row>
        <row r="998">
          <cell r="A998">
            <v>45145</v>
          </cell>
          <cell r="B998" t="str">
            <v>A2</v>
          </cell>
          <cell r="C998">
            <v>3</v>
          </cell>
          <cell r="D998">
            <v>1</v>
          </cell>
          <cell r="E998" t="str">
            <v>ARIS.A2.Aim1.Bin3.RB</v>
          </cell>
          <cell r="F998">
            <v>4</v>
          </cell>
          <cell r="G998" t="str">
            <v>SplineDFA</v>
          </cell>
          <cell r="H998" t="str">
            <v>Y</v>
          </cell>
          <cell r="I998" t="str">
            <v>N</v>
          </cell>
          <cell r="J998">
            <v>135</v>
          </cell>
          <cell r="K998">
            <v>1</v>
          </cell>
          <cell r="L998">
            <v>0.1802</v>
          </cell>
          <cell r="M998">
            <v>23.7</v>
          </cell>
          <cell r="N998">
            <v>2.7</v>
          </cell>
          <cell r="O998">
            <v>0.81979999999999997</v>
          </cell>
          <cell r="P998">
            <v>0.1128</v>
          </cell>
          <cell r="Q998">
            <v>0.38540000000000002</v>
          </cell>
          <cell r="R998">
            <v>0.3216</v>
          </cell>
          <cell r="S998" t="str">
            <v>NA</v>
          </cell>
          <cell r="T998">
            <v>59.4</v>
          </cell>
          <cell r="U998">
            <v>4.8</v>
          </cell>
          <cell r="V998">
            <v>74.900000000000006</v>
          </cell>
          <cell r="W998">
            <v>7.6</v>
          </cell>
          <cell r="X998">
            <v>52.4</v>
          </cell>
          <cell r="Y998">
            <v>6.8</v>
          </cell>
          <cell r="Z998" t="str">
            <v>NA</v>
          </cell>
          <cell r="AA998" t="str">
            <v>NA</v>
          </cell>
        </row>
        <row r="999">
          <cell r="A999">
            <v>45145</v>
          </cell>
          <cell r="B999" t="str">
            <v>A2</v>
          </cell>
          <cell r="C999">
            <v>4</v>
          </cell>
          <cell r="D999">
            <v>1</v>
          </cell>
          <cell r="E999" t="str">
            <v>ARIS.A2.Aim1.Bin4.RB</v>
          </cell>
          <cell r="F999">
            <v>4</v>
          </cell>
          <cell r="G999" t="str">
            <v>SplineDFA</v>
          </cell>
          <cell r="H999" t="str">
            <v>Y</v>
          </cell>
          <cell r="I999" t="str">
            <v>N</v>
          </cell>
          <cell r="J999">
            <v>135</v>
          </cell>
          <cell r="K999">
            <v>1</v>
          </cell>
          <cell r="L999">
            <v>0.1802</v>
          </cell>
          <cell r="M999">
            <v>23.7</v>
          </cell>
          <cell r="N999">
            <v>2.7</v>
          </cell>
          <cell r="O999">
            <v>0.81979999999999997</v>
          </cell>
          <cell r="P999">
            <v>0.1128</v>
          </cell>
          <cell r="Q999">
            <v>0.38540000000000002</v>
          </cell>
          <cell r="R999">
            <v>0.3216</v>
          </cell>
          <cell r="S999" t="str">
            <v>NA</v>
          </cell>
          <cell r="T999">
            <v>59.4</v>
          </cell>
          <cell r="U999">
            <v>4.8</v>
          </cell>
          <cell r="V999">
            <v>74.900000000000006</v>
          </cell>
          <cell r="W999">
            <v>7.6</v>
          </cell>
          <cell r="X999">
            <v>52.4</v>
          </cell>
          <cell r="Y999">
            <v>6.8</v>
          </cell>
          <cell r="Z999" t="str">
            <v>NA</v>
          </cell>
          <cell r="AA999" t="str">
            <v>NA</v>
          </cell>
        </row>
        <row r="1000">
          <cell r="A1000">
            <v>45146</v>
          </cell>
          <cell r="B1000" t="str">
            <v>A1</v>
          </cell>
          <cell r="C1000">
            <v>1</v>
          </cell>
          <cell r="D1000">
            <v>1</v>
          </cell>
          <cell r="E1000" t="str">
            <v>ARIS.A1.Aim1.Bin1.LB</v>
          </cell>
          <cell r="F1000">
            <v>3</v>
          </cell>
          <cell r="G1000" t="str">
            <v>SplineDFA</v>
          </cell>
          <cell r="H1000" t="str">
            <v>Y</v>
          </cell>
          <cell r="I1000" t="str">
            <v>N</v>
          </cell>
          <cell r="J1000">
            <v>156</v>
          </cell>
          <cell r="K1000">
            <v>1</v>
          </cell>
          <cell r="L1000">
            <v>0.76070000000000004</v>
          </cell>
          <cell r="M1000">
            <v>23.7</v>
          </cell>
          <cell r="N1000">
            <v>2.7</v>
          </cell>
          <cell r="O1000">
            <v>0.23930000000000001</v>
          </cell>
          <cell r="P1000">
            <v>0.22670000000000001</v>
          </cell>
          <cell r="Q1000">
            <v>1.26E-2</v>
          </cell>
          <cell r="R1000" t="str">
            <v>NA</v>
          </cell>
          <cell r="S1000" t="str">
            <v>NA</v>
          </cell>
          <cell r="T1000">
            <v>59.4</v>
          </cell>
          <cell r="U1000">
            <v>4.8</v>
          </cell>
          <cell r="V1000">
            <v>74.900000000000006</v>
          </cell>
          <cell r="W1000">
            <v>7.6</v>
          </cell>
          <cell r="X1000" t="str">
            <v>NA</v>
          </cell>
          <cell r="Y1000" t="str">
            <v>NA</v>
          </cell>
          <cell r="Z1000" t="str">
            <v>NA</v>
          </cell>
          <cell r="AA1000" t="str">
            <v>NA</v>
          </cell>
        </row>
        <row r="1001">
          <cell r="A1001">
            <v>45146</v>
          </cell>
          <cell r="B1001" t="str">
            <v>A1</v>
          </cell>
          <cell r="C1001">
            <v>1</v>
          </cell>
          <cell r="D1001">
            <v>2</v>
          </cell>
          <cell r="E1001" t="str">
            <v>ARIS.A1.Aim2.Bin1.LB</v>
          </cell>
          <cell r="F1001">
            <v>3</v>
          </cell>
          <cell r="G1001" t="str">
            <v>SplineDFA</v>
          </cell>
          <cell r="H1001" t="str">
            <v>Y</v>
          </cell>
          <cell r="I1001" t="str">
            <v>N</v>
          </cell>
          <cell r="J1001">
            <v>182</v>
          </cell>
          <cell r="K1001">
            <v>1</v>
          </cell>
          <cell r="L1001">
            <v>0.6956</v>
          </cell>
          <cell r="M1001">
            <v>23.7</v>
          </cell>
          <cell r="N1001">
            <v>2.7</v>
          </cell>
          <cell r="O1001">
            <v>0.3044</v>
          </cell>
          <cell r="P1001">
            <v>0.27710000000000001</v>
          </cell>
          <cell r="Q1001">
            <v>2.7300000000000001E-2</v>
          </cell>
          <cell r="R1001" t="str">
            <v>NA</v>
          </cell>
          <cell r="S1001" t="str">
            <v>NA</v>
          </cell>
          <cell r="T1001">
            <v>59.4</v>
          </cell>
          <cell r="U1001">
            <v>4.8</v>
          </cell>
          <cell r="V1001">
            <v>74.900000000000006</v>
          </cell>
          <cell r="W1001">
            <v>7.6</v>
          </cell>
          <cell r="X1001" t="str">
            <v>NA</v>
          </cell>
          <cell r="Y1001" t="str">
            <v>NA</v>
          </cell>
          <cell r="Z1001" t="str">
            <v>NA</v>
          </cell>
          <cell r="AA1001" t="str">
            <v>NA</v>
          </cell>
        </row>
        <row r="1002">
          <cell r="A1002">
            <v>45146</v>
          </cell>
          <cell r="B1002" t="str">
            <v>A1</v>
          </cell>
          <cell r="C1002">
            <v>2</v>
          </cell>
          <cell r="D1002">
            <v>3</v>
          </cell>
          <cell r="E1002" t="str">
            <v>ARIS.A1.Aim3.Bin2.LB</v>
          </cell>
          <cell r="F1002">
            <v>3</v>
          </cell>
          <cell r="G1002" t="str">
            <v>SplineDFA</v>
          </cell>
          <cell r="H1002" t="str">
            <v>Y</v>
          </cell>
          <cell r="I1002" t="str">
            <v>N</v>
          </cell>
          <cell r="J1002">
            <v>146</v>
          </cell>
          <cell r="K1002">
            <v>1</v>
          </cell>
          <cell r="L1002">
            <v>0.41210000000000002</v>
          </cell>
          <cell r="M1002">
            <v>23.7</v>
          </cell>
          <cell r="N1002">
            <v>2.7</v>
          </cell>
          <cell r="O1002">
            <v>0.58789999999999998</v>
          </cell>
          <cell r="P1002">
            <v>0.30299999999999999</v>
          </cell>
          <cell r="Q1002">
            <v>0.28489999999999999</v>
          </cell>
          <cell r="R1002" t="str">
            <v>NA</v>
          </cell>
          <cell r="S1002" t="str">
            <v>NA</v>
          </cell>
          <cell r="T1002">
            <v>59.4</v>
          </cell>
          <cell r="U1002">
            <v>4.8</v>
          </cell>
          <cell r="V1002">
            <v>74.900000000000006</v>
          </cell>
          <cell r="W1002">
            <v>7.6</v>
          </cell>
          <cell r="X1002" t="str">
            <v>NA</v>
          </cell>
          <cell r="Y1002" t="str">
            <v>NA</v>
          </cell>
          <cell r="Z1002" t="str">
            <v>NA</v>
          </cell>
          <cell r="AA1002" t="str">
            <v>NA</v>
          </cell>
        </row>
        <row r="1003">
          <cell r="A1003">
            <v>45146</v>
          </cell>
          <cell r="B1003" t="str">
            <v>A1</v>
          </cell>
          <cell r="C1003">
            <v>3</v>
          </cell>
          <cell r="D1003">
            <v>3</v>
          </cell>
          <cell r="E1003" t="str">
            <v>ARIS.A1.Aim3.Bin3.LB</v>
          </cell>
          <cell r="F1003">
            <v>3</v>
          </cell>
          <cell r="G1003" t="str">
            <v>SplineDFA</v>
          </cell>
          <cell r="H1003" t="str">
            <v>Y</v>
          </cell>
          <cell r="I1003" t="str">
            <v>N</v>
          </cell>
          <cell r="J1003">
            <v>175</v>
          </cell>
          <cell r="K1003">
            <v>1</v>
          </cell>
          <cell r="L1003">
            <v>0.1018</v>
          </cell>
          <cell r="M1003">
            <v>23.7</v>
          </cell>
          <cell r="N1003">
            <v>2.7</v>
          </cell>
          <cell r="O1003">
            <v>0.8982</v>
          </cell>
          <cell r="P1003">
            <v>0.32840000000000003</v>
          </cell>
          <cell r="Q1003">
            <v>0.56979999999999997</v>
          </cell>
          <cell r="R1003" t="str">
            <v>NA</v>
          </cell>
          <cell r="S1003" t="str">
            <v>NA</v>
          </cell>
          <cell r="T1003">
            <v>59.4</v>
          </cell>
          <cell r="U1003">
            <v>4.8</v>
          </cell>
          <cell r="V1003">
            <v>74.900000000000006</v>
          </cell>
          <cell r="W1003">
            <v>7.6</v>
          </cell>
          <cell r="X1003" t="str">
            <v>NA</v>
          </cell>
          <cell r="Y1003" t="str">
            <v>NA</v>
          </cell>
          <cell r="Z1003" t="str">
            <v>NA</v>
          </cell>
          <cell r="AA1003" t="str">
            <v>NA</v>
          </cell>
        </row>
        <row r="1004">
          <cell r="A1004">
            <v>45146</v>
          </cell>
          <cell r="B1004" t="str">
            <v>A1</v>
          </cell>
          <cell r="C1004">
            <v>4</v>
          </cell>
          <cell r="D1004">
            <v>3</v>
          </cell>
          <cell r="E1004" t="str">
            <v>ARIS.A1.Aim3.Bin4.LB</v>
          </cell>
          <cell r="F1004">
            <v>3</v>
          </cell>
          <cell r="G1004" t="str">
            <v>SplineDFA</v>
          </cell>
          <cell r="H1004" t="str">
            <v>Y</v>
          </cell>
          <cell r="I1004" t="str">
            <v>N</v>
          </cell>
          <cell r="J1004">
            <v>175</v>
          </cell>
          <cell r="K1004">
            <v>1</v>
          </cell>
          <cell r="L1004">
            <v>0.1018</v>
          </cell>
          <cell r="M1004">
            <v>23.7</v>
          </cell>
          <cell r="N1004">
            <v>2.7</v>
          </cell>
          <cell r="O1004">
            <v>0.8982</v>
          </cell>
          <cell r="P1004">
            <v>0.32840000000000003</v>
          </cell>
          <cell r="Q1004">
            <v>0.56979999999999997</v>
          </cell>
          <cell r="R1004" t="str">
            <v>NA</v>
          </cell>
          <cell r="S1004" t="str">
            <v>NA</v>
          </cell>
          <cell r="T1004">
            <v>59.4</v>
          </cell>
          <cell r="U1004">
            <v>4.8</v>
          </cell>
          <cell r="V1004">
            <v>74.900000000000006</v>
          </cell>
          <cell r="W1004">
            <v>7.6</v>
          </cell>
          <cell r="X1004" t="str">
            <v>NA</v>
          </cell>
          <cell r="Y1004" t="str">
            <v>NA</v>
          </cell>
          <cell r="Z1004" t="str">
            <v>NA</v>
          </cell>
          <cell r="AA1004" t="str">
            <v>NA</v>
          </cell>
        </row>
        <row r="1005">
          <cell r="A1005">
            <v>45146</v>
          </cell>
          <cell r="B1005" t="str">
            <v>A1</v>
          </cell>
          <cell r="C1005">
            <v>1</v>
          </cell>
          <cell r="D1005">
            <v>1</v>
          </cell>
          <cell r="E1005" t="str">
            <v>ARIS.A1.Aim1.Bin1.LB</v>
          </cell>
          <cell r="F1005">
            <v>3</v>
          </cell>
          <cell r="G1005" t="str">
            <v>Unweighted</v>
          </cell>
          <cell r="H1005" t="str">
            <v>N</v>
          </cell>
          <cell r="I1005" t="str">
            <v>N</v>
          </cell>
          <cell r="J1005">
            <v>156</v>
          </cell>
          <cell r="K1005">
            <v>1</v>
          </cell>
          <cell r="L1005">
            <v>0.78069999999999995</v>
          </cell>
          <cell r="M1005">
            <v>25.6</v>
          </cell>
          <cell r="N1005">
            <v>10.3</v>
          </cell>
          <cell r="O1005">
            <v>0.21929999999999999</v>
          </cell>
          <cell r="P1005">
            <v>0.21049999999999999</v>
          </cell>
          <cell r="Q1005">
            <v>8.8000000000000005E-3</v>
          </cell>
          <cell r="R1005" t="str">
            <v>NA</v>
          </cell>
          <cell r="S1005" t="str">
            <v>NA</v>
          </cell>
          <cell r="T1005">
            <v>59.4</v>
          </cell>
          <cell r="U1005">
            <v>4.8</v>
          </cell>
          <cell r="V1005">
            <v>74.900000000000006</v>
          </cell>
          <cell r="W1005">
            <v>7.6</v>
          </cell>
          <cell r="X1005" t="str">
            <v>NA</v>
          </cell>
          <cell r="Y1005" t="str">
            <v>NA</v>
          </cell>
          <cell r="Z1005" t="str">
            <v>NA</v>
          </cell>
          <cell r="AA1005" t="str">
            <v>NA</v>
          </cell>
        </row>
        <row r="1006">
          <cell r="A1006">
            <v>45146</v>
          </cell>
          <cell r="B1006" t="str">
            <v>A1</v>
          </cell>
          <cell r="C1006">
            <v>1</v>
          </cell>
          <cell r="D1006">
            <v>2</v>
          </cell>
          <cell r="E1006" t="str">
            <v>ARIS.A1.Aim2.Bin1.LB</v>
          </cell>
          <cell r="F1006">
            <v>3</v>
          </cell>
          <cell r="G1006" t="str">
            <v>Unweighted</v>
          </cell>
          <cell r="H1006" t="str">
            <v>N</v>
          </cell>
          <cell r="I1006" t="str">
            <v>N</v>
          </cell>
          <cell r="J1006">
            <v>182</v>
          </cell>
          <cell r="K1006">
            <v>1</v>
          </cell>
          <cell r="L1006">
            <v>0.71140000000000003</v>
          </cell>
          <cell r="M1006">
            <v>19.8</v>
          </cell>
          <cell r="N1006">
            <v>10.5</v>
          </cell>
          <cell r="O1006">
            <v>0.28860000000000002</v>
          </cell>
          <cell r="P1006">
            <v>0.27360000000000001</v>
          </cell>
          <cell r="Q1006">
            <v>1.4999999999999999E-2</v>
          </cell>
          <cell r="R1006" t="str">
            <v>NA</v>
          </cell>
          <cell r="S1006" t="str">
            <v>NA</v>
          </cell>
          <cell r="T1006">
            <v>59.4</v>
          </cell>
          <cell r="U1006">
            <v>4.8</v>
          </cell>
          <cell r="V1006">
            <v>74.900000000000006</v>
          </cell>
          <cell r="W1006">
            <v>7.6</v>
          </cell>
          <cell r="X1006" t="str">
            <v>NA</v>
          </cell>
          <cell r="Y1006" t="str">
            <v>NA</v>
          </cell>
          <cell r="Z1006" t="str">
            <v>NA</v>
          </cell>
          <cell r="AA1006" t="str">
            <v>NA</v>
          </cell>
        </row>
        <row r="1007">
          <cell r="A1007">
            <v>45146</v>
          </cell>
          <cell r="B1007" t="str">
            <v>A1</v>
          </cell>
          <cell r="C1007">
            <v>1</v>
          </cell>
          <cell r="D1007" t="str">
            <v>1&amp;2</v>
          </cell>
          <cell r="E1007" t="str">
            <v>ARIS.A1.Aim1&amp;Aim2.Bin1.LB</v>
          </cell>
          <cell r="F1007">
            <v>3</v>
          </cell>
          <cell r="G1007" t="str">
            <v>Unweighted</v>
          </cell>
          <cell r="H1007" t="str">
            <v>N</v>
          </cell>
          <cell r="I1007" t="str">
            <v>N</v>
          </cell>
          <cell r="J1007">
            <v>338</v>
          </cell>
          <cell r="K1007">
            <v>1</v>
          </cell>
          <cell r="L1007">
            <v>0.74709999999999999</v>
          </cell>
          <cell r="M1007">
            <v>22.8</v>
          </cell>
          <cell r="N1007">
            <v>11</v>
          </cell>
          <cell r="O1007">
            <v>0.25290000000000001</v>
          </cell>
          <cell r="P1007">
            <v>0.24079999999999999</v>
          </cell>
          <cell r="Q1007">
            <v>1.21E-2</v>
          </cell>
          <cell r="R1007" t="str">
            <v>NA</v>
          </cell>
          <cell r="S1007" t="str">
            <v>NA</v>
          </cell>
          <cell r="T1007">
            <v>59.4</v>
          </cell>
          <cell r="U1007">
            <v>4.8</v>
          </cell>
          <cell r="V1007">
            <v>74.900000000000006</v>
          </cell>
          <cell r="W1007">
            <v>7.6</v>
          </cell>
          <cell r="X1007" t="str">
            <v>NA</v>
          </cell>
          <cell r="Y1007" t="str">
            <v>NA</v>
          </cell>
          <cell r="Z1007" t="str">
            <v>NA</v>
          </cell>
          <cell r="AA1007" t="str">
            <v>NA</v>
          </cell>
        </row>
        <row r="1008">
          <cell r="A1008">
            <v>45146</v>
          </cell>
          <cell r="B1008" t="str">
            <v>A1</v>
          </cell>
          <cell r="C1008">
            <v>2</v>
          </cell>
          <cell r="D1008">
            <v>3</v>
          </cell>
          <cell r="E1008" t="str">
            <v>ARIS.A1.Aim3.Bin2.LB</v>
          </cell>
          <cell r="F1008">
            <v>3</v>
          </cell>
          <cell r="G1008" t="str">
            <v>Unweighted</v>
          </cell>
          <cell r="H1008" t="str">
            <v>N</v>
          </cell>
          <cell r="I1008" t="str">
            <v>N</v>
          </cell>
          <cell r="J1008">
            <v>146</v>
          </cell>
          <cell r="K1008">
            <v>1.0001</v>
          </cell>
          <cell r="L1008">
            <v>0.45760000000000001</v>
          </cell>
          <cell r="M1008">
            <v>26.8</v>
          </cell>
          <cell r="N1008">
            <v>9.1999999999999993</v>
          </cell>
          <cell r="O1008">
            <v>0.54249999999999998</v>
          </cell>
          <cell r="P1008">
            <v>0.23250000000000001</v>
          </cell>
          <cell r="Q1008">
            <v>0.31</v>
          </cell>
          <cell r="R1008" t="str">
            <v>NA</v>
          </cell>
          <cell r="S1008" t="str">
            <v>NA</v>
          </cell>
          <cell r="T1008">
            <v>59.4</v>
          </cell>
          <cell r="U1008">
            <v>4.8</v>
          </cell>
          <cell r="V1008">
            <v>74.900000000000006</v>
          </cell>
          <cell r="W1008">
            <v>7.6</v>
          </cell>
          <cell r="X1008" t="str">
            <v>NA</v>
          </cell>
          <cell r="Y1008" t="str">
            <v>NA</v>
          </cell>
          <cell r="Z1008" t="str">
            <v>NA</v>
          </cell>
          <cell r="AA1008" t="str">
            <v>NA</v>
          </cell>
        </row>
        <row r="1009">
          <cell r="A1009">
            <v>45146</v>
          </cell>
          <cell r="B1009" t="str">
            <v>A1</v>
          </cell>
          <cell r="C1009">
            <v>3</v>
          </cell>
          <cell r="D1009">
            <v>3</v>
          </cell>
          <cell r="E1009" t="str">
            <v>ARIS.A1.Aim3.Bin3.LB</v>
          </cell>
          <cell r="F1009">
            <v>3</v>
          </cell>
          <cell r="G1009" t="str">
            <v>Unweighted</v>
          </cell>
          <cell r="H1009" t="str">
            <v>N</v>
          </cell>
          <cell r="I1009" t="str">
            <v>N</v>
          </cell>
          <cell r="J1009">
            <v>175</v>
          </cell>
          <cell r="K1009">
            <v>1</v>
          </cell>
          <cell r="L1009">
            <v>0.23469999999999999</v>
          </cell>
          <cell r="M1009">
            <v>23.7</v>
          </cell>
          <cell r="N1009">
            <v>19.5</v>
          </cell>
          <cell r="O1009">
            <v>0.76529999999999998</v>
          </cell>
          <cell r="P1009">
            <v>0.1152</v>
          </cell>
          <cell r="Q1009">
            <v>0.65010000000000001</v>
          </cell>
          <cell r="R1009" t="str">
            <v>NA</v>
          </cell>
          <cell r="S1009" t="str">
            <v>NA</v>
          </cell>
          <cell r="T1009">
            <v>59.4</v>
          </cell>
          <cell r="U1009">
            <v>4.8</v>
          </cell>
          <cell r="V1009">
            <v>74.900000000000006</v>
          </cell>
          <cell r="W1009">
            <v>7.6</v>
          </cell>
          <cell r="X1009" t="str">
            <v>NA</v>
          </cell>
          <cell r="Y1009" t="str">
            <v>NA</v>
          </cell>
          <cell r="Z1009" t="str">
            <v>NA</v>
          </cell>
          <cell r="AA1009" t="str">
            <v>NA</v>
          </cell>
        </row>
        <row r="1010">
          <cell r="A1010">
            <v>45146</v>
          </cell>
          <cell r="B1010" t="str">
            <v>A1</v>
          </cell>
          <cell r="C1010">
            <v>4</v>
          </cell>
          <cell r="D1010">
            <v>3</v>
          </cell>
          <cell r="E1010" t="str">
            <v>ARIS.A1.Aim3.Bin4.LB</v>
          </cell>
          <cell r="F1010">
            <v>3</v>
          </cell>
          <cell r="G1010" t="str">
            <v>Unweighted</v>
          </cell>
          <cell r="H1010" t="str">
            <v>N</v>
          </cell>
          <cell r="I1010" t="str">
            <v>N</v>
          </cell>
          <cell r="J1010">
            <v>175</v>
          </cell>
          <cell r="K1010">
            <v>1</v>
          </cell>
          <cell r="L1010">
            <v>0.23469999999999999</v>
          </cell>
          <cell r="M1010">
            <v>23.7</v>
          </cell>
          <cell r="N1010">
            <v>19.5</v>
          </cell>
          <cell r="O1010">
            <v>0.76529999999999998</v>
          </cell>
          <cell r="P1010">
            <v>0.1152</v>
          </cell>
          <cell r="Q1010">
            <v>0.65010000000000001</v>
          </cell>
          <cell r="R1010" t="str">
            <v>NA</v>
          </cell>
          <cell r="S1010" t="str">
            <v>NA</v>
          </cell>
          <cell r="T1010">
            <v>59.4</v>
          </cell>
          <cell r="U1010">
            <v>4.8</v>
          </cell>
          <cell r="V1010">
            <v>74.900000000000006</v>
          </cell>
          <cell r="W1010">
            <v>7.6</v>
          </cell>
          <cell r="X1010" t="str">
            <v>NA</v>
          </cell>
          <cell r="Y1010" t="str">
            <v>NA</v>
          </cell>
          <cell r="Z1010" t="str">
            <v>NA</v>
          </cell>
          <cell r="AA1010" t="str">
            <v>NA</v>
          </cell>
        </row>
        <row r="1011">
          <cell r="A1011">
            <v>45146</v>
          </cell>
          <cell r="B1011" t="str">
            <v>A2</v>
          </cell>
          <cell r="C1011">
            <v>1</v>
          </cell>
          <cell r="D1011">
            <v>1</v>
          </cell>
          <cell r="E1011" t="str">
            <v>ARIS.A2.Aim1.Bin1.RB</v>
          </cell>
          <cell r="F1011">
            <v>3</v>
          </cell>
          <cell r="G1011" t="str">
            <v>Unweighted</v>
          </cell>
          <cell r="H1011" t="str">
            <v>N</v>
          </cell>
          <cell r="I1011" t="str">
            <v>N</v>
          </cell>
          <cell r="J1011">
            <v>170</v>
          </cell>
          <cell r="K1011">
            <v>0.99990000000000001</v>
          </cell>
          <cell r="L1011">
            <v>0.9627</v>
          </cell>
          <cell r="M1011">
            <v>23.5</v>
          </cell>
          <cell r="N1011">
            <v>8.9</v>
          </cell>
          <cell r="O1011">
            <v>3.7199999999999997E-2</v>
          </cell>
          <cell r="P1011">
            <v>2.1100000000000001E-2</v>
          </cell>
          <cell r="Q1011">
            <v>1.61E-2</v>
          </cell>
          <cell r="R1011" t="str">
            <v>NA</v>
          </cell>
          <cell r="S1011" t="str">
            <v>NA</v>
          </cell>
          <cell r="T1011">
            <v>58.9</v>
          </cell>
          <cell r="U1011">
            <v>4.8</v>
          </cell>
          <cell r="V1011">
            <v>74.5</v>
          </cell>
          <cell r="W1011">
            <v>7.5</v>
          </cell>
          <cell r="X1011" t="str">
            <v>NA</v>
          </cell>
          <cell r="Y1011" t="str">
            <v>NA</v>
          </cell>
          <cell r="Z1011" t="str">
            <v>NA</v>
          </cell>
          <cell r="AA1011" t="str">
            <v>NA</v>
          </cell>
        </row>
        <row r="1012">
          <cell r="A1012">
            <v>45146</v>
          </cell>
          <cell r="B1012" t="str">
            <v>A2</v>
          </cell>
          <cell r="C1012">
            <v>2</v>
          </cell>
          <cell r="D1012">
            <v>1</v>
          </cell>
          <cell r="E1012" t="str">
            <v>ARIS.A2.Aim1.Bin2.RB</v>
          </cell>
          <cell r="F1012">
            <v>3</v>
          </cell>
          <cell r="G1012" t="str">
            <v>Unweighted</v>
          </cell>
          <cell r="H1012" t="str">
            <v>N</v>
          </cell>
          <cell r="I1012" t="str">
            <v>N</v>
          </cell>
          <cell r="J1012">
            <v>163</v>
          </cell>
          <cell r="K1012">
            <v>1</v>
          </cell>
          <cell r="L1012">
            <v>0.66990000000000005</v>
          </cell>
          <cell r="M1012">
            <v>23.7</v>
          </cell>
          <cell r="N1012">
            <v>12.1</v>
          </cell>
          <cell r="O1012">
            <v>0.3301</v>
          </cell>
          <cell r="P1012">
            <v>0.13819999999999999</v>
          </cell>
          <cell r="Q1012">
            <v>0.19189999999999999</v>
          </cell>
          <cell r="R1012" t="str">
            <v>NA</v>
          </cell>
          <cell r="S1012" t="str">
            <v>NA</v>
          </cell>
          <cell r="T1012">
            <v>58.9</v>
          </cell>
          <cell r="U1012">
            <v>4.8</v>
          </cell>
          <cell r="V1012">
            <v>74.5</v>
          </cell>
          <cell r="W1012">
            <v>7.5</v>
          </cell>
          <cell r="X1012" t="str">
            <v>NA</v>
          </cell>
          <cell r="Y1012" t="str">
            <v>NA</v>
          </cell>
          <cell r="Z1012" t="str">
            <v>NA</v>
          </cell>
          <cell r="AA1012" t="str">
            <v>NA</v>
          </cell>
        </row>
        <row r="1013">
          <cell r="A1013">
            <v>45146</v>
          </cell>
          <cell r="B1013" t="str">
            <v>A2</v>
          </cell>
          <cell r="C1013">
            <v>3</v>
          </cell>
          <cell r="D1013">
            <v>1</v>
          </cell>
          <cell r="E1013" t="str">
            <v>ARIS.A2.Aim1.Bin3.RB</v>
          </cell>
          <cell r="F1013">
            <v>3</v>
          </cell>
          <cell r="G1013" t="str">
            <v>Unweighted</v>
          </cell>
          <cell r="H1013" t="str">
            <v>N</v>
          </cell>
          <cell r="I1013" t="str">
            <v>N</v>
          </cell>
          <cell r="J1013">
            <v>135</v>
          </cell>
          <cell r="K1013">
            <v>1</v>
          </cell>
          <cell r="L1013">
            <v>0.41070000000000001</v>
          </cell>
          <cell r="M1013">
            <v>23.7</v>
          </cell>
          <cell r="N1013">
            <v>16.600000000000001</v>
          </cell>
          <cell r="O1013">
            <v>0.58930000000000005</v>
          </cell>
          <cell r="P1013">
            <v>0.15490000000000001</v>
          </cell>
          <cell r="Q1013">
            <v>0.43440000000000001</v>
          </cell>
          <cell r="R1013" t="str">
            <v>NA</v>
          </cell>
          <cell r="S1013" t="str">
            <v>NA</v>
          </cell>
          <cell r="T1013">
            <v>58.9</v>
          </cell>
          <cell r="U1013">
            <v>4.8</v>
          </cell>
          <cell r="V1013">
            <v>74.5</v>
          </cell>
          <cell r="W1013">
            <v>7.5</v>
          </cell>
          <cell r="X1013" t="str">
            <v>NA</v>
          </cell>
          <cell r="Y1013" t="str">
            <v>NA</v>
          </cell>
          <cell r="Z1013" t="str">
            <v>NA</v>
          </cell>
          <cell r="AA1013" t="str">
            <v>NA</v>
          </cell>
        </row>
        <row r="1014">
          <cell r="A1014">
            <v>45146</v>
          </cell>
          <cell r="B1014" t="str">
            <v>A2</v>
          </cell>
          <cell r="C1014">
            <v>4</v>
          </cell>
          <cell r="D1014">
            <v>1</v>
          </cell>
          <cell r="E1014" t="str">
            <v>ARIS.A2.Aim1.Bin4.RB</v>
          </cell>
          <cell r="F1014">
            <v>3</v>
          </cell>
          <cell r="G1014" t="str">
            <v>Unweighted</v>
          </cell>
          <cell r="H1014" t="str">
            <v>N</v>
          </cell>
          <cell r="I1014" t="str">
            <v>N</v>
          </cell>
          <cell r="J1014">
            <v>135</v>
          </cell>
          <cell r="K1014">
            <v>1</v>
          </cell>
          <cell r="L1014">
            <v>0.41070000000000001</v>
          </cell>
          <cell r="M1014">
            <v>23.7</v>
          </cell>
          <cell r="N1014">
            <v>16.600000000000001</v>
          </cell>
          <cell r="O1014">
            <v>0.58930000000000005</v>
          </cell>
          <cell r="P1014">
            <v>0.15490000000000001</v>
          </cell>
          <cell r="Q1014">
            <v>0.43440000000000001</v>
          </cell>
          <cell r="R1014" t="str">
            <v>NA</v>
          </cell>
          <cell r="S1014" t="str">
            <v>NA</v>
          </cell>
          <cell r="T1014">
            <v>58.9</v>
          </cell>
          <cell r="U1014">
            <v>4.8</v>
          </cell>
          <cell r="V1014">
            <v>74.5</v>
          </cell>
          <cell r="W1014">
            <v>7.5</v>
          </cell>
          <cell r="X1014" t="str">
            <v>NA</v>
          </cell>
          <cell r="Y1014" t="str">
            <v>NA</v>
          </cell>
          <cell r="Z1014" t="str">
            <v>NA</v>
          </cell>
          <cell r="AA1014" t="str">
            <v>NA</v>
          </cell>
        </row>
        <row r="1015">
          <cell r="A1015">
            <v>45146</v>
          </cell>
          <cell r="B1015" t="str">
            <v>A2</v>
          </cell>
          <cell r="C1015">
            <v>1</v>
          </cell>
          <cell r="D1015">
            <v>1</v>
          </cell>
          <cell r="E1015" t="str">
            <v>ARIS.A2.Aim1.Bin1.RB</v>
          </cell>
          <cell r="F1015">
            <v>3</v>
          </cell>
          <cell r="G1015" t="str">
            <v>SplineDFA</v>
          </cell>
          <cell r="H1015" t="str">
            <v>Y</v>
          </cell>
          <cell r="I1015" t="str">
            <v>N</v>
          </cell>
          <cell r="J1015">
            <v>170</v>
          </cell>
          <cell r="K1015">
            <v>1</v>
          </cell>
          <cell r="L1015">
            <v>0.92059999999999997</v>
          </cell>
          <cell r="M1015">
            <v>23.7</v>
          </cell>
          <cell r="N1015">
            <v>2.7</v>
          </cell>
          <cell r="O1015">
            <v>7.9399999999999998E-2</v>
          </cell>
          <cell r="P1015">
            <v>7.1300000000000002E-2</v>
          </cell>
          <cell r="Q1015">
            <v>8.0999999999999996E-3</v>
          </cell>
          <cell r="R1015" t="str">
            <v>NA</v>
          </cell>
          <cell r="S1015" t="str">
            <v>NA</v>
          </cell>
          <cell r="T1015">
            <v>58.9</v>
          </cell>
          <cell r="U1015">
            <v>4.8</v>
          </cell>
          <cell r="V1015">
            <v>74.5</v>
          </cell>
          <cell r="W1015">
            <v>7.5</v>
          </cell>
          <cell r="X1015" t="str">
            <v>NA</v>
          </cell>
          <cell r="Y1015" t="str">
            <v>NA</v>
          </cell>
          <cell r="Z1015" t="str">
            <v>NA</v>
          </cell>
          <cell r="AA1015" t="str">
            <v>NA</v>
          </cell>
        </row>
        <row r="1016">
          <cell r="A1016">
            <v>45146</v>
          </cell>
          <cell r="B1016" t="str">
            <v>A2</v>
          </cell>
          <cell r="C1016">
            <v>2</v>
          </cell>
          <cell r="D1016">
            <v>1</v>
          </cell>
          <cell r="E1016" t="str">
            <v>ARIS.A2.Aim1.Bin2.RB</v>
          </cell>
          <cell r="F1016">
            <v>3</v>
          </cell>
          <cell r="G1016" t="str">
            <v>SplineDFA</v>
          </cell>
          <cell r="H1016" t="str">
            <v>Y</v>
          </cell>
          <cell r="I1016" t="str">
            <v>N</v>
          </cell>
          <cell r="J1016">
            <v>163</v>
          </cell>
          <cell r="K1016">
            <v>1</v>
          </cell>
          <cell r="L1016">
            <v>0.49199999999999999</v>
          </cell>
          <cell r="M1016">
            <v>23.7</v>
          </cell>
          <cell r="N1016">
            <v>2.7</v>
          </cell>
          <cell r="O1016">
            <v>0.50800000000000001</v>
          </cell>
          <cell r="P1016">
            <v>0.32379999999999998</v>
          </cell>
          <cell r="Q1016">
            <v>0.1842</v>
          </cell>
          <cell r="R1016" t="str">
            <v>NA</v>
          </cell>
          <cell r="S1016" t="str">
            <v>NA</v>
          </cell>
          <cell r="T1016">
            <v>58.9</v>
          </cell>
          <cell r="U1016">
            <v>4.8</v>
          </cell>
          <cell r="V1016">
            <v>74.5</v>
          </cell>
          <cell r="W1016">
            <v>7.5</v>
          </cell>
          <cell r="X1016" t="str">
            <v>NA</v>
          </cell>
          <cell r="Y1016" t="str">
            <v>NA</v>
          </cell>
          <cell r="Z1016" t="str">
            <v>NA</v>
          </cell>
          <cell r="AA1016" t="str">
            <v>NA</v>
          </cell>
        </row>
        <row r="1017">
          <cell r="A1017">
            <v>45146</v>
          </cell>
          <cell r="B1017" t="str">
            <v>A2</v>
          </cell>
          <cell r="C1017">
            <v>3</v>
          </cell>
          <cell r="D1017">
            <v>1</v>
          </cell>
          <cell r="E1017" t="str">
            <v>ARIS.A2.Aim1.Bin3.RB</v>
          </cell>
          <cell r="F1017">
            <v>3</v>
          </cell>
          <cell r="G1017" t="str">
            <v>SplineDFA</v>
          </cell>
          <cell r="H1017" t="str">
            <v>Y</v>
          </cell>
          <cell r="I1017" t="str">
            <v>N</v>
          </cell>
          <cell r="J1017">
            <v>135</v>
          </cell>
          <cell r="K1017">
            <v>1</v>
          </cell>
          <cell r="L1017">
            <v>0.25259999999999999</v>
          </cell>
          <cell r="M1017">
            <v>23.7</v>
          </cell>
          <cell r="N1017">
            <v>2.7</v>
          </cell>
          <cell r="O1017">
            <v>0.74739999999999995</v>
          </cell>
          <cell r="P1017">
            <v>0.34379999999999999</v>
          </cell>
          <cell r="Q1017">
            <v>0.40360000000000001</v>
          </cell>
          <cell r="R1017" t="str">
            <v>NA</v>
          </cell>
          <cell r="S1017" t="str">
            <v>NA</v>
          </cell>
          <cell r="T1017">
            <v>58.9</v>
          </cell>
          <cell r="U1017">
            <v>4.8</v>
          </cell>
          <cell r="V1017">
            <v>74.5</v>
          </cell>
          <cell r="W1017">
            <v>7.5</v>
          </cell>
          <cell r="X1017" t="str">
            <v>NA</v>
          </cell>
          <cell r="Y1017" t="str">
            <v>NA</v>
          </cell>
          <cell r="Z1017" t="str">
            <v>NA</v>
          </cell>
          <cell r="AA1017" t="str">
            <v>NA</v>
          </cell>
        </row>
        <row r="1018">
          <cell r="A1018">
            <v>45146</v>
          </cell>
          <cell r="B1018" t="str">
            <v>A2</v>
          </cell>
          <cell r="C1018">
            <v>4</v>
          </cell>
          <cell r="D1018">
            <v>1</v>
          </cell>
          <cell r="E1018" t="str">
            <v>ARIS.A2.Aim1.Bin4.RB</v>
          </cell>
          <cell r="F1018">
            <v>3</v>
          </cell>
          <cell r="G1018" t="str">
            <v>SplineDFA</v>
          </cell>
          <cell r="H1018" t="str">
            <v>Y</v>
          </cell>
          <cell r="I1018" t="str">
            <v>N</v>
          </cell>
          <cell r="J1018">
            <v>135</v>
          </cell>
          <cell r="K1018">
            <v>1</v>
          </cell>
          <cell r="L1018">
            <v>0.25259999999999999</v>
          </cell>
          <cell r="M1018">
            <v>23.7</v>
          </cell>
          <cell r="N1018">
            <v>2.7</v>
          </cell>
          <cell r="O1018">
            <v>0.74739999999999995</v>
          </cell>
          <cell r="P1018">
            <v>0.34379999999999999</v>
          </cell>
          <cell r="Q1018">
            <v>0.40360000000000001</v>
          </cell>
          <cell r="R1018" t="str">
            <v>NA</v>
          </cell>
          <cell r="S1018" t="str">
            <v>NA</v>
          </cell>
          <cell r="T1018">
            <v>58.9</v>
          </cell>
          <cell r="U1018">
            <v>4.8</v>
          </cell>
          <cell r="V1018">
            <v>74.5</v>
          </cell>
          <cell r="W1018">
            <v>7.5</v>
          </cell>
          <cell r="X1018" t="str">
            <v>NA</v>
          </cell>
          <cell r="Y1018" t="str">
            <v>NA</v>
          </cell>
          <cell r="Z1018" t="str">
            <v>NA</v>
          </cell>
          <cell r="AA1018" t="str">
            <v>NA</v>
          </cell>
        </row>
        <row r="1019">
          <cell r="A1019">
            <v>45146</v>
          </cell>
          <cell r="B1019" t="str">
            <v>A1</v>
          </cell>
          <cell r="C1019">
            <v>1</v>
          </cell>
          <cell r="D1019">
            <v>1</v>
          </cell>
          <cell r="E1019" t="str">
            <v>ARIS.A1.Aim1.Bin1.LB</v>
          </cell>
          <cell r="F1019">
            <v>4</v>
          </cell>
          <cell r="G1019" t="str">
            <v>Unweighted</v>
          </cell>
          <cell r="H1019" t="str">
            <v>N</v>
          </cell>
          <cell r="I1019" t="str">
            <v>Y</v>
          </cell>
          <cell r="J1019">
            <v>156</v>
          </cell>
          <cell r="K1019">
            <v>1</v>
          </cell>
          <cell r="L1019">
            <v>0.7681</v>
          </cell>
          <cell r="M1019">
            <v>25.3</v>
          </cell>
          <cell r="N1019">
            <v>10</v>
          </cell>
          <cell r="O1019">
            <v>0.2319</v>
          </cell>
          <cell r="P1019">
            <v>0.19520000000000001</v>
          </cell>
          <cell r="Q1019">
            <v>8.8999999999999999E-3</v>
          </cell>
          <cell r="R1019">
            <v>2.7799999999999998E-2</v>
          </cell>
          <cell r="S1019" t="str">
            <v>NA</v>
          </cell>
          <cell r="T1019">
            <v>59.4</v>
          </cell>
          <cell r="U1019">
            <v>4.8</v>
          </cell>
          <cell r="V1019">
            <v>74.900000000000006</v>
          </cell>
          <cell r="W1019">
            <v>7.6</v>
          </cell>
          <cell r="X1019">
            <v>52.4</v>
          </cell>
          <cell r="Y1019">
            <v>6.8</v>
          </cell>
          <cell r="Z1019" t="str">
            <v>NA</v>
          </cell>
          <cell r="AA1019" t="str">
            <v>NA</v>
          </cell>
        </row>
        <row r="1020">
          <cell r="A1020">
            <v>45146</v>
          </cell>
          <cell r="B1020" t="str">
            <v>A1</v>
          </cell>
          <cell r="C1020">
            <v>1</v>
          </cell>
          <cell r="D1020">
            <v>2</v>
          </cell>
          <cell r="E1020" t="str">
            <v>ARIS.A1.Aim2.Bin1.LB</v>
          </cell>
          <cell r="F1020">
            <v>4</v>
          </cell>
          <cell r="G1020" t="str">
            <v>Unweighted</v>
          </cell>
          <cell r="H1020" t="str">
            <v>N</v>
          </cell>
          <cell r="I1020" t="str">
            <v>Y</v>
          </cell>
          <cell r="J1020">
            <v>182</v>
          </cell>
          <cell r="K1020">
            <v>1</v>
          </cell>
          <cell r="L1020">
            <v>0.66839999999999999</v>
          </cell>
          <cell r="M1020">
            <v>18.399999999999999</v>
          </cell>
          <cell r="N1020">
            <v>8.6</v>
          </cell>
          <cell r="O1020">
            <v>0.33160000000000001</v>
          </cell>
          <cell r="P1020">
            <v>0.19350000000000001</v>
          </cell>
          <cell r="Q1020">
            <v>1.7000000000000001E-2</v>
          </cell>
          <cell r="R1020">
            <v>0.1211</v>
          </cell>
          <cell r="S1020" t="str">
            <v>NA</v>
          </cell>
          <cell r="T1020">
            <v>59.4</v>
          </cell>
          <cell r="U1020">
            <v>4.8</v>
          </cell>
          <cell r="V1020">
            <v>74.900000000000006</v>
          </cell>
          <cell r="W1020">
            <v>7.6</v>
          </cell>
          <cell r="X1020">
            <v>52.4</v>
          </cell>
          <cell r="Y1020">
            <v>6.8</v>
          </cell>
          <cell r="Z1020" t="str">
            <v>NA</v>
          </cell>
          <cell r="AA1020" t="str">
            <v>NA</v>
          </cell>
        </row>
        <row r="1021">
          <cell r="A1021">
            <v>45146</v>
          </cell>
          <cell r="B1021" t="str">
            <v>A1</v>
          </cell>
          <cell r="C1021">
            <v>1</v>
          </cell>
          <cell r="D1021" t="str">
            <v>1&amp;2</v>
          </cell>
          <cell r="E1021" t="str">
            <v>ARIS.A1.Aim1&amp;Aim2.Bin1.LB</v>
          </cell>
          <cell r="F1021">
            <v>4</v>
          </cell>
          <cell r="G1021" t="str">
            <v>Unweighted</v>
          </cell>
          <cell r="H1021" t="str">
            <v>N</v>
          </cell>
          <cell r="I1021" t="str">
            <v>Y</v>
          </cell>
          <cell r="J1021">
            <v>338</v>
          </cell>
          <cell r="K1021">
            <v>0.99990000000000001</v>
          </cell>
          <cell r="L1021">
            <v>0.71730000000000005</v>
          </cell>
          <cell r="M1021">
            <v>21.9</v>
          </cell>
          <cell r="N1021">
            <v>10</v>
          </cell>
          <cell r="O1021">
            <v>0.28260000000000002</v>
          </cell>
          <cell r="P1021">
            <v>0.1986</v>
          </cell>
          <cell r="Q1021">
            <v>1.2800000000000001E-2</v>
          </cell>
          <cell r="R1021">
            <v>7.1199999999999999E-2</v>
          </cell>
          <cell r="S1021" t="str">
            <v>NA</v>
          </cell>
          <cell r="T1021">
            <v>59.4</v>
          </cell>
          <cell r="U1021">
            <v>4.8</v>
          </cell>
          <cell r="V1021">
            <v>74.900000000000006</v>
          </cell>
          <cell r="W1021">
            <v>7.6</v>
          </cell>
          <cell r="X1021">
            <v>52.4</v>
          </cell>
          <cell r="Y1021">
            <v>6.8</v>
          </cell>
          <cell r="Z1021" t="str">
            <v>NA</v>
          </cell>
          <cell r="AA1021" t="str">
            <v>NA</v>
          </cell>
        </row>
        <row r="1022">
          <cell r="A1022">
            <v>45146</v>
          </cell>
          <cell r="B1022" t="str">
            <v>A1</v>
          </cell>
          <cell r="C1022">
            <v>2</v>
          </cell>
          <cell r="D1022">
            <v>3</v>
          </cell>
          <cell r="E1022" t="str">
            <v>ARIS.A1.Aim3.Bin2.LB</v>
          </cell>
          <cell r="F1022">
            <v>4</v>
          </cell>
          <cell r="G1022" t="str">
            <v>Unweighted</v>
          </cell>
          <cell r="H1022" t="str">
            <v>N</v>
          </cell>
          <cell r="I1022" t="str">
            <v>Y</v>
          </cell>
          <cell r="J1022">
            <v>146</v>
          </cell>
          <cell r="K1022">
            <v>0.99990000000000001</v>
          </cell>
          <cell r="L1022">
            <v>0.40739999999999998</v>
          </cell>
          <cell r="M1022">
            <v>24.6</v>
          </cell>
          <cell r="N1022">
            <v>6.9</v>
          </cell>
          <cell r="O1022">
            <v>0.59250000000000003</v>
          </cell>
          <cell r="P1022">
            <v>0.14810000000000001</v>
          </cell>
          <cell r="Q1022">
            <v>0.3246</v>
          </cell>
          <cell r="R1022">
            <v>0.1198</v>
          </cell>
          <cell r="S1022" t="str">
            <v>NA</v>
          </cell>
          <cell r="T1022">
            <v>59.4</v>
          </cell>
          <cell r="U1022">
            <v>4.8</v>
          </cell>
          <cell r="V1022">
            <v>74.900000000000006</v>
          </cell>
          <cell r="W1022">
            <v>7.6</v>
          </cell>
          <cell r="X1022">
            <v>52.4</v>
          </cell>
          <cell r="Y1022">
            <v>6.8</v>
          </cell>
          <cell r="Z1022" t="str">
            <v>NA</v>
          </cell>
          <cell r="AA1022" t="str">
            <v>NA</v>
          </cell>
        </row>
        <row r="1023">
          <cell r="A1023">
            <v>45146</v>
          </cell>
          <cell r="B1023" t="str">
            <v>A1</v>
          </cell>
          <cell r="C1023">
            <v>3</v>
          </cell>
          <cell r="D1023">
            <v>3</v>
          </cell>
          <cell r="E1023" t="str">
            <v>ARIS.A1.Aim3.Bin3.LB</v>
          </cell>
          <cell r="F1023">
            <v>4</v>
          </cell>
          <cell r="G1023" t="str">
            <v>Unweighted</v>
          </cell>
          <cell r="H1023" t="str">
            <v>N</v>
          </cell>
          <cell r="I1023" t="str">
            <v>Y</v>
          </cell>
          <cell r="J1023">
            <v>175</v>
          </cell>
          <cell r="K1023">
            <v>1</v>
          </cell>
          <cell r="L1023">
            <v>9.1600000000000001E-2</v>
          </cell>
          <cell r="M1023">
            <v>27.6</v>
          </cell>
          <cell r="N1023">
            <v>4.0999999999999996</v>
          </cell>
          <cell r="O1023">
            <v>0.90839999999999999</v>
          </cell>
          <cell r="P1023">
            <v>0</v>
          </cell>
          <cell r="Q1023">
            <v>0.6663</v>
          </cell>
          <cell r="R1023">
            <v>0.24210000000000001</v>
          </cell>
          <cell r="S1023" t="str">
            <v>NA</v>
          </cell>
          <cell r="T1023">
            <v>59.4</v>
          </cell>
          <cell r="U1023">
            <v>4.8</v>
          </cell>
          <cell r="V1023">
            <v>74.900000000000006</v>
          </cell>
          <cell r="W1023">
            <v>7.6</v>
          </cell>
          <cell r="X1023">
            <v>52.4</v>
          </cell>
          <cell r="Y1023">
            <v>6.8</v>
          </cell>
          <cell r="Z1023" t="str">
            <v>NA</v>
          </cell>
          <cell r="AA1023" t="str">
            <v>NA</v>
          </cell>
        </row>
        <row r="1024">
          <cell r="A1024">
            <v>45146</v>
          </cell>
          <cell r="B1024" t="str">
            <v>A1</v>
          </cell>
          <cell r="C1024">
            <v>4</v>
          </cell>
          <cell r="D1024">
            <v>3</v>
          </cell>
          <cell r="E1024" t="str">
            <v>ARIS.A1.Aim3.Bin4.LB</v>
          </cell>
          <cell r="F1024">
            <v>4</v>
          </cell>
          <cell r="G1024" t="str">
            <v>Unweighted</v>
          </cell>
          <cell r="H1024" t="str">
            <v>N</v>
          </cell>
          <cell r="I1024" t="str">
            <v>Y</v>
          </cell>
          <cell r="J1024">
            <v>175</v>
          </cell>
          <cell r="K1024">
            <v>1</v>
          </cell>
          <cell r="L1024">
            <v>9.1600000000000001E-2</v>
          </cell>
          <cell r="M1024">
            <v>27.6</v>
          </cell>
          <cell r="N1024">
            <v>4.0999999999999996</v>
          </cell>
          <cell r="O1024">
            <v>0.90839999999999999</v>
          </cell>
          <cell r="P1024">
            <v>0</v>
          </cell>
          <cell r="Q1024">
            <v>0.6663</v>
          </cell>
          <cell r="R1024">
            <v>0.24210000000000001</v>
          </cell>
          <cell r="S1024" t="str">
            <v>NA</v>
          </cell>
          <cell r="T1024">
            <v>59.4</v>
          </cell>
          <cell r="U1024">
            <v>4.8</v>
          </cell>
          <cell r="V1024">
            <v>74.900000000000006</v>
          </cell>
          <cell r="W1024">
            <v>7.6</v>
          </cell>
          <cell r="X1024">
            <v>52.4</v>
          </cell>
          <cell r="Y1024">
            <v>6.8</v>
          </cell>
          <cell r="Z1024" t="str">
            <v>NA</v>
          </cell>
          <cell r="AA1024" t="str">
            <v>NA</v>
          </cell>
        </row>
        <row r="1025">
          <cell r="A1025">
            <v>45146</v>
          </cell>
          <cell r="B1025" t="str">
            <v>A2</v>
          </cell>
          <cell r="C1025">
            <v>1</v>
          </cell>
          <cell r="D1025">
            <v>1</v>
          </cell>
          <cell r="E1025" t="str">
            <v>ARIS.A2.Aim1.Bin1.RB</v>
          </cell>
          <cell r="F1025">
            <v>4</v>
          </cell>
          <cell r="G1025" t="str">
            <v>Unweighted</v>
          </cell>
          <cell r="H1025" t="str">
            <v>N</v>
          </cell>
          <cell r="I1025" t="str">
            <v>Y</v>
          </cell>
          <cell r="J1025">
            <v>170</v>
          </cell>
          <cell r="K1025">
            <v>0.99990000000000001</v>
          </cell>
          <cell r="L1025">
            <v>0.84230000000000005</v>
          </cell>
          <cell r="M1025">
            <v>21</v>
          </cell>
          <cell r="N1025">
            <v>6.3</v>
          </cell>
          <cell r="O1025">
            <v>0.15759999999999999</v>
          </cell>
          <cell r="P1025">
            <v>0</v>
          </cell>
          <cell r="Q1025">
            <v>2.2100000000000002E-2</v>
          </cell>
          <cell r="R1025">
            <v>0.13550000000000001</v>
          </cell>
          <cell r="S1025" t="str">
            <v>NA</v>
          </cell>
          <cell r="T1025">
            <v>59.4</v>
          </cell>
          <cell r="U1025">
            <v>4.8</v>
          </cell>
          <cell r="V1025">
            <v>74.900000000000006</v>
          </cell>
          <cell r="W1025">
            <v>7.6</v>
          </cell>
          <cell r="X1025">
            <v>52.4</v>
          </cell>
          <cell r="Y1025">
            <v>6.8</v>
          </cell>
          <cell r="Z1025" t="str">
            <v>NA</v>
          </cell>
          <cell r="AA1025" t="str">
            <v>NA</v>
          </cell>
        </row>
        <row r="1026">
          <cell r="A1026">
            <v>45146</v>
          </cell>
          <cell r="B1026" t="str">
            <v>A2</v>
          </cell>
          <cell r="C1026">
            <v>2</v>
          </cell>
          <cell r="D1026">
            <v>1</v>
          </cell>
          <cell r="E1026" t="str">
            <v>ARIS.A2.Aim1.Bin2.RB</v>
          </cell>
          <cell r="F1026">
            <v>4</v>
          </cell>
          <cell r="G1026" t="str">
            <v>Unweighted</v>
          </cell>
          <cell r="H1026" t="str">
            <v>N</v>
          </cell>
          <cell r="I1026" t="str">
            <v>Y</v>
          </cell>
          <cell r="J1026">
            <v>163</v>
          </cell>
          <cell r="K1026">
            <v>0.99990000000000001</v>
          </cell>
          <cell r="L1026">
            <v>0.49909999999999999</v>
          </cell>
          <cell r="M1026">
            <v>24.6</v>
          </cell>
          <cell r="N1026">
            <v>6.3</v>
          </cell>
          <cell r="O1026">
            <v>0.50080000000000002</v>
          </cell>
          <cell r="P1026">
            <v>0</v>
          </cell>
          <cell r="Q1026">
            <v>0.2019</v>
          </cell>
          <cell r="R1026">
            <v>0.2989</v>
          </cell>
          <cell r="S1026" t="str">
            <v>NA</v>
          </cell>
          <cell r="T1026">
            <v>59.4</v>
          </cell>
          <cell r="U1026">
            <v>4.8</v>
          </cell>
          <cell r="V1026">
            <v>74.900000000000006</v>
          </cell>
          <cell r="W1026">
            <v>7.6</v>
          </cell>
          <cell r="X1026">
            <v>52.4</v>
          </cell>
          <cell r="Y1026">
            <v>6.8</v>
          </cell>
          <cell r="Z1026" t="str">
            <v>NA</v>
          </cell>
          <cell r="AA1026" t="str">
            <v>NA</v>
          </cell>
        </row>
        <row r="1027">
          <cell r="A1027">
            <v>45146</v>
          </cell>
          <cell r="B1027" t="str">
            <v>A2</v>
          </cell>
          <cell r="C1027">
            <v>3</v>
          </cell>
          <cell r="D1027">
            <v>1</v>
          </cell>
          <cell r="E1027" t="str">
            <v>ARIS.A2.Aim1.Bin3.RB</v>
          </cell>
          <cell r="F1027">
            <v>4</v>
          </cell>
          <cell r="G1027" t="str">
            <v>Unweighted</v>
          </cell>
          <cell r="H1027" t="str">
            <v>N</v>
          </cell>
          <cell r="I1027" t="str">
            <v>Y</v>
          </cell>
          <cell r="J1027">
            <v>135</v>
          </cell>
          <cell r="K1027">
            <v>0.99990000000000001</v>
          </cell>
          <cell r="L1027">
            <v>0.2117</v>
          </cell>
          <cell r="M1027">
            <v>28.4</v>
          </cell>
          <cell r="N1027">
            <v>4.3</v>
          </cell>
          <cell r="O1027">
            <v>0.78820000000000001</v>
          </cell>
          <cell r="P1027">
            <v>0</v>
          </cell>
          <cell r="Q1027">
            <v>0.44879999999999998</v>
          </cell>
          <cell r="R1027">
            <v>0.33939999999999998</v>
          </cell>
          <cell r="S1027" t="str">
            <v>NA</v>
          </cell>
          <cell r="T1027">
            <v>59.4</v>
          </cell>
          <cell r="U1027">
            <v>4.8</v>
          </cell>
          <cell r="V1027">
            <v>74.900000000000006</v>
          </cell>
          <cell r="W1027">
            <v>7.6</v>
          </cell>
          <cell r="X1027">
            <v>52.4</v>
          </cell>
          <cell r="Y1027">
            <v>6.8</v>
          </cell>
          <cell r="Z1027" t="str">
            <v>NA</v>
          </cell>
          <cell r="AA1027" t="str">
            <v>NA</v>
          </cell>
        </row>
        <row r="1028">
          <cell r="A1028">
            <v>45146</v>
          </cell>
          <cell r="B1028" t="str">
            <v>A2</v>
          </cell>
          <cell r="C1028">
            <v>4</v>
          </cell>
          <cell r="D1028">
            <v>1</v>
          </cell>
          <cell r="E1028" t="str">
            <v>ARIS.A2.Aim1.Bin4.RB</v>
          </cell>
          <cell r="F1028">
            <v>4</v>
          </cell>
          <cell r="G1028" t="str">
            <v>Unweighted</v>
          </cell>
          <cell r="H1028" t="str">
            <v>N</v>
          </cell>
          <cell r="I1028" t="str">
            <v>Y</v>
          </cell>
          <cell r="J1028">
            <v>135</v>
          </cell>
          <cell r="K1028">
            <v>0.99990000000000001</v>
          </cell>
          <cell r="L1028">
            <v>0.2117</v>
          </cell>
          <cell r="M1028">
            <v>28.4</v>
          </cell>
          <cell r="N1028">
            <v>4.3</v>
          </cell>
          <cell r="O1028">
            <v>0.78820000000000001</v>
          </cell>
          <cell r="P1028">
            <v>0</v>
          </cell>
          <cell r="Q1028">
            <v>0.44879999999999998</v>
          </cell>
          <cell r="R1028">
            <v>0.33939999999999998</v>
          </cell>
          <cell r="S1028" t="str">
            <v>NA</v>
          </cell>
          <cell r="T1028">
            <v>59.4</v>
          </cell>
          <cell r="U1028">
            <v>4.8</v>
          </cell>
          <cell r="V1028">
            <v>74.900000000000006</v>
          </cell>
          <cell r="W1028">
            <v>7.6</v>
          </cell>
          <cell r="X1028">
            <v>52.4</v>
          </cell>
          <cell r="Y1028">
            <v>6.8</v>
          </cell>
          <cell r="Z1028" t="str">
            <v>NA</v>
          </cell>
          <cell r="AA1028" t="str">
            <v>NA</v>
          </cell>
        </row>
        <row r="1029">
          <cell r="A1029">
            <v>45146</v>
          </cell>
          <cell r="B1029" t="str">
            <v>A1</v>
          </cell>
          <cell r="C1029">
            <v>1</v>
          </cell>
          <cell r="D1029">
            <v>1</v>
          </cell>
          <cell r="E1029" t="str">
            <v>ARIS.A1.Aim1.Bin1.LB</v>
          </cell>
          <cell r="F1029">
            <v>4</v>
          </cell>
          <cell r="G1029" t="str">
            <v>SplineDFA</v>
          </cell>
          <cell r="H1029" t="str">
            <v>Y</v>
          </cell>
          <cell r="I1029" t="str">
            <v>N</v>
          </cell>
          <cell r="J1029">
            <v>156</v>
          </cell>
          <cell r="K1029">
            <v>1.0001</v>
          </cell>
          <cell r="L1029">
            <v>0.69140000000000001</v>
          </cell>
          <cell r="M1029">
            <v>23.7</v>
          </cell>
          <cell r="N1029">
            <v>2.7</v>
          </cell>
          <cell r="O1029">
            <v>0.30869999999999997</v>
          </cell>
          <cell r="P1029">
            <v>0.1298</v>
          </cell>
          <cell r="Q1029">
            <v>1.24E-2</v>
          </cell>
          <cell r="R1029">
            <v>0.16650000000000001</v>
          </cell>
          <cell r="S1029" t="str">
            <v>NA</v>
          </cell>
          <cell r="T1029">
            <v>59.4</v>
          </cell>
          <cell r="U1029">
            <v>4.8</v>
          </cell>
          <cell r="V1029">
            <v>74.900000000000006</v>
          </cell>
          <cell r="W1029">
            <v>7.6</v>
          </cell>
          <cell r="X1029">
            <v>52.4</v>
          </cell>
          <cell r="Y1029">
            <v>6.8</v>
          </cell>
          <cell r="Z1029" t="str">
            <v>NA</v>
          </cell>
          <cell r="AA1029" t="str">
            <v>NA</v>
          </cell>
        </row>
        <row r="1030">
          <cell r="A1030">
            <v>45146</v>
          </cell>
          <cell r="B1030" t="str">
            <v>A1</v>
          </cell>
          <cell r="C1030">
            <v>1</v>
          </cell>
          <cell r="D1030">
            <v>2</v>
          </cell>
          <cell r="E1030" t="str">
            <v>ARIS.A1.Aim2.Bin1.LB</v>
          </cell>
          <cell r="F1030">
            <v>4</v>
          </cell>
          <cell r="G1030" t="str">
            <v>SplineDFA</v>
          </cell>
          <cell r="H1030" t="str">
            <v>Y</v>
          </cell>
          <cell r="I1030" t="str">
            <v>N</v>
          </cell>
          <cell r="J1030">
            <v>182</v>
          </cell>
          <cell r="K1030">
            <v>1</v>
          </cell>
          <cell r="L1030">
            <v>0.67769999999999997</v>
          </cell>
          <cell r="M1030">
            <v>23.7</v>
          </cell>
          <cell r="N1030">
            <v>2.7</v>
          </cell>
          <cell r="O1030">
            <v>0.32229999999999998</v>
          </cell>
          <cell r="P1030">
            <v>0.15140000000000001</v>
          </cell>
          <cell r="Q1030">
            <v>2.7300000000000001E-2</v>
          </cell>
          <cell r="R1030">
            <v>0.14360000000000001</v>
          </cell>
          <cell r="S1030" t="str">
            <v>NA</v>
          </cell>
          <cell r="T1030">
            <v>59.4</v>
          </cell>
          <cell r="U1030">
            <v>4.8</v>
          </cell>
          <cell r="V1030">
            <v>74.900000000000006</v>
          </cell>
          <cell r="W1030">
            <v>7.6</v>
          </cell>
          <cell r="X1030">
            <v>52.4</v>
          </cell>
          <cell r="Y1030">
            <v>6.8</v>
          </cell>
          <cell r="Z1030" t="str">
            <v>NA</v>
          </cell>
          <cell r="AA1030" t="str">
            <v>NA</v>
          </cell>
        </row>
        <row r="1031">
          <cell r="A1031">
            <v>45146</v>
          </cell>
          <cell r="B1031" t="str">
            <v>A1</v>
          </cell>
          <cell r="C1031">
            <v>2</v>
          </cell>
          <cell r="D1031">
            <v>3</v>
          </cell>
          <cell r="E1031" t="str">
            <v>ARIS.A1.Aim3.Bin2.LB</v>
          </cell>
          <cell r="F1031">
            <v>4</v>
          </cell>
          <cell r="G1031" t="str">
            <v>SplineDFA</v>
          </cell>
          <cell r="H1031" t="str">
            <v>Y</v>
          </cell>
          <cell r="I1031" t="str">
            <v>N</v>
          </cell>
          <cell r="J1031">
            <v>146</v>
          </cell>
          <cell r="K1031">
            <v>0.99990000000000001</v>
          </cell>
          <cell r="L1031">
            <v>0.3604</v>
          </cell>
          <cell r="M1031">
            <v>23.7</v>
          </cell>
          <cell r="N1031">
            <v>2.7</v>
          </cell>
          <cell r="O1031">
            <v>0.63949999999999996</v>
          </cell>
          <cell r="P1031">
            <v>0.2021</v>
          </cell>
          <cell r="Q1031">
            <v>0.28489999999999999</v>
          </cell>
          <cell r="R1031">
            <v>0.1525</v>
          </cell>
          <cell r="S1031" t="str">
            <v>NA</v>
          </cell>
          <cell r="T1031">
            <v>59.4</v>
          </cell>
          <cell r="U1031">
            <v>4.8</v>
          </cell>
          <cell r="V1031">
            <v>74.900000000000006</v>
          </cell>
          <cell r="W1031">
            <v>7.6</v>
          </cell>
          <cell r="X1031">
            <v>52.4</v>
          </cell>
          <cell r="Y1031">
            <v>6.8</v>
          </cell>
          <cell r="Z1031" t="str">
            <v>NA</v>
          </cell>
          <cell r="AA1031" t="str">
            <v>NA</v>
          </cell>
        </row>
        <row r="1032">
          <cell r="A1032">
            <v>45146</v>
          </cell>
          <cell r="B1032" t="str">
            <v>A1</v>
          </cell>
          <cell r="C1032">
            <v>3</v>
          </cell>
          <cell r="D1032">
            <v>3</v>
          </cell>
          <cell r="E1032" t="str">
            <v>ARIS.A1.Aim3.Bin3.LB</v>
          </cell>
          <cell r="F1032">
            <v>4</v>
          </cell>
          <cell r="G1032" t="str">
            <v>SplineDFA</v>
          </cell>
          <cell r="H1032" t="str">
            <v>Y</v>
          </cell>
          <cell r="I1032" t="str">
            <v>N</v>
          </cell>
          <cell r="J1032">
            <v>153</v>
          </cell>
          <cell r="K1032">
            <v>1</v>
          </cell>
          <cell r="L1032">
            <v>4.8599999999999997E-2</v>
          </cell>
          <cell r="M1032">
            <v>23.7</v>
          </cell>
          <cell r="N1032">
            <v>2.7</v>
          </cell>
          <cell r="O1032">
            <v>0.95140000000000002</v>
          </cell>
          <cell r="P1032">
            <v>0.2283</v>
          </cell>
          <cell r="Q1032">
            <v>0.34289999999999998</v>
          </cell>
          <cell r="R1032">
            <v>0.38019999999999998</v>
          </cell>
          <cell r="S1032" t="str">
            <v>NA</v>
          </cell>
          <cell r="T1032">
            <v>59.4</v>
          </cell>
          <cell r="U1032">
            <v>4.8</v>
          </cell>
          <cell r="V1032">
            <v>74.900000000000006</v>
          </cell>
          <cell r="W1032">
            <v>7.6</v>
          </cell>
          <cell r="X1032">
            <v>52.4</v>
          </cell>
          <cell r="Y1032">
            <v>6.8</v>
          </cell>
          <cell r="Z1032" t="str">
            <v>NA</v>
          </cell>
          <cell r="AA1032" t="str">
            <v>NA</v>
          </cell>
        </row>
        <row r="1033">
          <cell r="A1033">
            <v>45146</v>
          </cell>
          <cell r="B1033" t="str">
            <v>A1</v>
          </cell>
          <cell r="C1033">
            <v>4</v>
          </cell>
          <cell r="D1033">
            <v>3</v>
          </cell>
          <cell r="E1033" t="str">
            <v>ARIS.A1.Aim3.Bin4.LB</v>
          </cell>
          <cell r="F1033">
            <v>4</v>
          </cell>
          <cell r="G1033" t="str">
            <v>SplineDFA</v>
          </cell>
          <cell r="H1033" t="str">
            <v>Y</v>
          </cell>
          <cell r="I1033" t="str">
            <v>N</v>
          </cell>
          <cell r="J1033">
            <v>153</v>
          </cell>
          <cell r="K1033">
            <v>1</v>
          </cell>
          <cell r="L1033">
            <v>4.8599999999999997E-2</v>
          </cell>
          <cell r="M1033">
            <v>23.7</v>
          </cell>
          <cell r="N1033">
            <v>2.7</v>
          </cell>
          <cell r="O1033">
            <v>0.95140000000000002</v>
          </cell>
          <cell r="P1033">
            <v>0.2283</v>
          </cell>
          <cell r="Q1033">
            <v>0.34289999999999998</v>
          </cell>
          <cell r="R1033">
            <v>0.38019999999999998</v>
          </cell>
          <cell r="S1033" t="str">
            <v>NA</v>
          </cell>
          <cell r="T1033">
            <v>59.4</v>
          </cell>
          <cell r="U1033">
            <v>4.8</v>
          </cell>
          <cell r="V1033">
            <v>74.900000000000006</v>
          </cell>
          <cell r="W1033">
            <v>7.6</v>
          </cell>
          <cell r="X1033">
            <v>52.4</v>
          </cell>
          <cell r="Y1033">
            <v>6.8</v>
          </cell>
          <cell r="Z1033" t="str">
            <v>NA</v>
          </cell>
          <cell r="AA1033" t="str">
            <v>NA</v>
          </cell>
        </row>
        <row r="1034">
          <cell r="A1034">
            <v>45146</v>
          </cell>
          <cell r="B1034" t="str">
            <v>A2</v>
          </cell>
          <cell r="C1034">
            <v>1</v>
          </cell>
          <cell r="D1034">
            <v>1</v>
          </cell>
          <cell r="E1034" t="str">
            <v>ARIS.A2.Aim1.Bin1.RB</v>
          </cell>
          <cell r="F1034">
            <v>4</v>
          </cell>
          <cell r="G1034" t="str">
            <v>SplineDFA</v>
          </cell>
          <cell r="H1034" t="str">
            <v>Y</v>
          </cell>
          <cell r="I1034" t="str">
            <v>N</v>
          </cell>
          <cell r="J1034">
            <v>170</v>
          </cell>
          <cell r="K1034">
            <v>1</v>
          </cell>
          <cell r="L1034">
            <v>0.87560000000000004</v>
          </cell>
          <cell r="M1034">
            <v>23.7</v>
          </cell>
          <cell r="N1034">
            <v>2.7</v>
          </cell>
          <cell r="O1034">
            <v>0.1244</v>
          </cell>
          <cell r="P1034">
            <v>8.6E-3</v>
          </cell>
          <cell r="Q1034">
            <v>6.6E-3</v>
          </cell>
          <cell r="R1034">
            <v>0.10920000000000001</v>
          </cell>
          <cell r="S1034" t="str">
            <v>NA</v>
          </cell>
          <cell r="T1034">
            <v>59.4</v>
          </cell>
          <cell r="U1034">
            <v>4.8</v>
          </cell>
          <cell r="V1034">
            <v>74.900000000000006</v>
          </cell>
          <cell r="W1034">
            <v>7.6</v>
          </cell>
          <cell r="X1034">
            <v>52.4</v>
          </cell>
          <cell r="Y1034">
            <v>6.8</v>
          </cell>
          <cell r="Z1034" t="str">
            <v>NA</v>
          </cell>
          <cell r="AA1034" t="str">
            <v>NA</v>
          </cell>
        </row>
        <row r="1035">
          <cell r="A1035">
            <v>45146</v>
          </cell>
          <cell r="B1035" t="str">
            <v>A2</v>
          </cell>
          <cell r="C1035">
            <v>2</v>
          </cell>
          <cell r="D1035">
            <v>1</v>
          </cell>
          <cell r="E1035" t="str">
            <v>ARIS.A2.Aim1.Bin2.RB</v>
          </cell>
          <cell r="F1035">
            <v>4</v>
          </cell>
          <cell r="G1035" t="str">
            <v>SplineDFA</v>
          </cell>
          <cell r="H1035" t="str">
            <v>Y</v>
          </cell>
          <cell r="I1035" t="str">
            <v>N</v>
          </cell>
          <cell r="J1035">
            <v>163</v>
          </cell>
          <cell r="K1035">
            <v>1</v>
          </cell>
          <cell r="L1035">
            <v>0.41049999999999998</v>
          </cell>
          <cell r="M1035">
            <v>23.7</v>
          </cell>
          <cell r="N1035">
            <v>2.7</v>
          </cell>
          <cell r="O1035">
            <v>0.58950000000000002</v>
          </cell>
          <cell r="P1035">
            <v>8.5800000000000001E-2</v>
          </cell>
          <cell r="Q1035">
            <v>0.17799999999999999</v>
          </cell>
          <cell r="R1035">
            <v>0.32569999999999999</v>
          </cell>
          <cell r="S1035" t="str">
            <v>NA</v>
          </cell>
          <cell r="T1035">
            <v>59.4</v>
          </cell>
          <cell r="U1035">
            <v>4.8</v>
          </cell>
          <cell r="V1035">
            <v>74.900000000000006</v>
          </cell>
          <cell r="W1035">
            <v>7.6</v>
          </cell>
          <cell r="X1035">
            <v>52.4</v>
          </cell>
          <cell r="Y1035">
            <v>6.8</v>
          </cell>
          <cell r="Z1035" t="str">
            <v>NA</v>
          </cell>
          <cell r="AA1035" t="str">
            <v>NA</v>
          </cell>
        </row>
        <row r="1036">
          <cell r="A1036">
            <v>45146</v>
          </cell>
          <cell r="B1036" t="str">
            <v>A2</v>
          </cell>
          <cell r="C1036">
            <v>3</v>
          </cell>
          <cell r="D1036">
            <v>1</v>
          </cell>
          <cell r="E1036" t="str">
            <v>ARIS.A2.Aim1.Bin3.RB</v>
          </cell>
          <cell r="F1036">
            <v>4</v>
          </cell>
          <cell r="G1036" t="str">
            <v>SplineDFA</v>
          </cell>
          <cell r="H1036" t="str">
            <v>Y</v>
          </cell>
          <cell r="I1036" t="str">
            <v>N</v>
          </cell>
          <cell r="J1036">
            <v>135</v>
          </cell>
          <cell r="K1036">
            <v>1</v>
          </cell>
          <cell r="L1036">
            <v>0.1802</v>
          </cell>
          <cell r="M1036">
            <v>23.7</v>
          </cell>
          <cell r="N1036">
            <v>2.7</v>
          </cell>
          <cell r="O1036">
            <v>0.81979999999999997</v>
          </cell>
          <cell r="P1036">
            <v>0.1128</v>
          </cell>
          <cell r="Q1036">
            <v>0.38540000000000002</v>
          </cell>
          <cell r="R1036">
            <v>0.3216</v>
          </cell>
          <cell r="S1036" t="str">
            <v>NA</v>
          </cell>
          <cell r="T1036">
            <v>59.4</v>
          </cell>
          <cell r="U1036">
            <v>4.8</v>
          </cell>
          <cell r="V1036">
            <v>74.900000000000006</v>
          </cell>
          <cell r="W1036">
            <v>7.6</v>
          </cell>
          <cell r="X1036">
            <v>52.4</v>
          </cell>
          <cell r="Y1036">
            <v>6.8</v>
          </cell>
          <cell r="Z1036" t="str">
            <v>NA</v>
          </cell>
          <cell r="AA1036" t="str">
            <v>NA</v>
          </cell>
        </row>
        <row r="1037">
          <cell r="A1037">
            <v>45146</v>
          </cell>
          <cell r="B1037" t="str">
            <v>A2</v>
          </cell>
          <cell r="C1037">
            <v>4</v>
          </cell>
          <cell r="D1037">
            <v>1</v>
          </cell>
          <cell r="E1037" t="str">
            <v>ARIS.A2.Aim1.Bin4.RB</v>
          </cell>
          <cell r="F1037">
            <v>4</v>
          </cell>
          <cell r="G1037" t="str">
            <v>SplineDFA</v>
          </cell>
          <cell r="H1037" t="str">
            <v>Y</v>
          </cell>
          <cell r="I1037" t="str">
            <v>N</v>
          </cell>
          <cell r="J1037">
            <v>135</v>
          </cell>
          <cell r="K1037">
            <v>1</v>
          </cell>
          <cell r="L1037">
            <v>0.1802</v>
          </cell>
          <cell r="M1037">
            <v>23.7</v>
          </cell>
          <cell r="N1037">
            <v>2.7</v>
          </cell>
          <cell r="O1037">
            <v>0.81979999999999997</v>
          </cell>
          <cell r="P1037">
            <v>0.1128</v>
          </cell>
          <cell r="Q1037">
            <v>0.38540000000000002</v>
          </cell>
          <cell r="R1037">
            <v>0.3216</v>
          </cell>
          <cell r="S1037" t="str">
            <v>NA</v>
          </cell>
          <cell r="T1037">
            <v>59.4</v>
          </cell>
          <cell r="U1037">
            <v>4.8</v>
          </cell>
          <cell r="V1037">
            <v>74.900000000000006</v>
          </cell>
          <cell r="W1037">
            <v>7.6</v>
          </cell>
          <cell r="X1037">
            <v>52.4</v>
          </cell>
          <cell r="Y1037">
            <v>6.8</v>
          </cell>
          <cell r="Z1037" t="str">
            <v>NA</v>
          </cell>
          <cell r="AA1037" t="str">
            <v>NA</v>
          </cell>
        </row>
        <row r="1038">
          <cell r="A1038">
            <v>45147</v>
          </cell>
          <cell r="B1038" t="str">
            <v>A1</v>
          </cell>
          <cell r="C1038">
            <v>1</v>
          </cell>
          <cell r="D1038">
            <v>1</v>
          </cell>
          <cell r="E1038" t="str">
            <v>ARIS.A1.Aim1.Bin1.LB</v>
          </cell>
          <cell r="F1038">
            <v>3</v>
          </cell>
          <cell r="G1038" t="str">
            <v>SplineDFA</v>
          </cell>
          <cell r="H1038" t="str">
            <v>N</v>
          </cell>
          <cell r="I1038" t="str">
            <v>N</v>
          </cell>
          <cell r="J1038">
            <v>146</v>
          </cell>
          <cell r="K1038">
            <v>1</v>
          </cell>
          <cell r="L1038">
            <v>0.78890000000000005</v>
          </cell>
          <cell r="M1038">
            <v>23.7</v>
          </cell>
          <cell r="N1038">
            <v>2.7</v>
          </cell>
          <cell r="O1038">
            <v>0.21110000000000001</v>
          </cell>
          <cell r="P1038">
            <v>0.18279999999999999</v>
          </cell>
          <cell r="Q1038">
            <v>2.8299999999999999E-2</v>
          </cell>
          <cell r="R1038" t="str">
            <v>NA</v>
          </cell>
          <cell r="S1038" t="str">
            <v>NA</v>
          </cell>
          <cell r="T1038">
            <v>59.4</v>
          </cell>
          <cell r="U1038">
            <v>4.8</v>
          </cell>
          <cell r="V1038">
            <v>74.900000000000006</v>
          </cell>
          <cell r="W1038">
            <v>7.6</v>
          </cell>
          <cell r="X1038" t="str">
            <v>NA</v>
          </cell>
          <cell r="Y1038" t="str">
            <v>NA</v>
          </cell>
          <cell r="Z1038" t="str">
            <v>NA</v>
          </cell>
          <cell r="AA1038" t="str">
            <v>NA</v>
          </cell>
        </row>
        <row r="1039">
          <cell r="A1039">
            <v>45147</v>
          </cell>
          <cell r="B1039" t="str">
            <v>A1</v>
          </cell>
          <cell r="C1039">
            <v>1</v>
          </cell>
          <cell r="D1039">
            <v>2</v>
          </cell>
          <cell r="E1039" t="str">
            <v>ARIS.A1.Aim2.Bin1.LB</v>
          </cell>
          <cell r="F1039">
            <v>3</v>
          </cell>
          <cell r="G1039" t="str">
            <v>SplineDFA</v>
          </cell>
          <cell r="H1039" t="str">
            <v>N</v>
          </cell>
          <cell r="I1039" t="str">
            <v>N</v>
          </cell>
          <cell r="J1039">
            <v>159</v>
          </cell>
          <cell r="K1039">
            <v>1.0001</v>
          </cell>
          <cell r="L1039">
            <v>0.80179999999999996</v>
          </cell>
          <cell r="M1039">
            <v>23.7</v>
          </cell>
          <cell r="N1039">
            <v>2.7</v>
          </cell>
          <cell r="O1039">
            <v>0.1983</v>
          </cell>
          <cell r="P1039">
            <v>0.1782</v>
          </cell>
          <cell r="Q1039">
            <v>2.01E-2</v>
          </cell>
          <cell r="R1039" t="str">
            <v>NA</v>
          </cell>
          <cell r="S1039" t="str">
            <v>NA</v>
          </cell>
          <cell r="T1039">
            <v>59.4</v>
          </cell>
          <cell r="U1039">
            <v>4.8</v>
          </cell>
          <cell r="V1039">
            <v>74.900000000000006</v>
          </cell>
          <cell r="W1039">
            <v>7.6</v>
          </cell>
          <cell r="X1039" t="str">
            <v>NA</v>
          </cell>
          <cell r="Y1039" t="str">
            <v>NA</v>
          </cell>
          <cell r="Z1039" t="str">
            <v>NA</v>
          </cell>
          <cell r="AA1039" t="str">
            <v>NA</v>
          </cell>
        </row>
        <row r="1040">
          <cell r="A1040">
            <v>45147</v>
          </cell>
          <cell r="B1040" t="str">
            <v>A1</v>
          </cell>
          <cell r="C1040">
            <v>2</v>
          </cell>
          <cell r="D1040">
            <v>3</v>
          </cell>
          <cell r="E1040" t="str">
            <v>ARIS.A1.Aim3.Bin2.LB</v>
          </cell>
          <cell r="F1040">
            <v>3</v>
          </cell>
          <cell r="G1040" t="str">
            <v>SplineDFA</v>
          </cell>
          <cell r="H1040" t="str">
            <v>N</v>
          </cell>
          <cell r="I1040" t="str">
            <v>N</v>
          </cell>
          <cell r="J1040">
            <v>172</v>
          </cell>
          <cell r="K1040">
            <v>1</v>
          </cell>
          <cell r="L1040">
            <v>0.31019999999999998</v>
          </cell>
          <cell r="M1040">
            <v>23.7</v>
          </cell>
          <cell r="N1040">
            <v>2.7</v>
          </cell>
          <cell r="O1040">
            <v>0.68979999999999997</v>
          </cell>
          <cell r="P1040">
            <v>0.52990000000000004</v>
          </cell>
          <cell r="Q1040">
            <v>0.15989999999999999</v>
          </cell>
          <cell r="R1040" t="str">
            <v>NA</v>
          </cell>
          <cell r="S1040" t="str">
            <v>NA</v>
          </cell>
          <cell r="T1040">
            <v>59.4</v>
          </cell>
          <cell r="U1040">
            <v>4.8</v>
          </cell>
          <cell r="V1040">
            <v>74.900000000000006</v>
          </cell>
          <cell r="W1040">
            <v>7.6</v>
          </cell>
          <cell r="X1040" t="str">
            <v>NA</v>
          </cell>
          <cell r="Y1040" t="str">
            <v>NA</v>
          </cell>
          <cell r="Z1040" t="str">
            <v>NA</v>
          </cell>
          <cell r="AA1040" t="str">
            <v>NA</v>
          </cell>
        </row>
        <row r="1041">
          <cell r="A1041">
            <v>45147</v>
          </cell>
          <cell r="B1041" t="str">
            <v>A1</v>
          </cell>
          <cell r="C1041">
            <v>3</v>
          </cell>
          <cell r="D1041">
            <v>3</v>
          </cell>
          <cell r="E1041" t="str">
            <v>ARIS.A1.Aim3.Bin3.LB</v>
          </cell>
          <cell r="F1041">
            <v>3</v>
          </cell>
          <cell r="G1041" t="str">
            <v>SplineDFA</v>
          </cell>
          <cell r="H1041" t="str">
            <v>N</v>
          </cell>
          <cell r="I1041" t="str">
            <v>N</v>
          </cell>
          <cell r="J1041">
            <v>153</v>
          </cell>
          <cell r="K1041">
            <v>1</v>
          </cell>
          <cell r="L1041">
            <v>9.1300000000000006E-2</v>
          </cell>
          <cell r="M1041">
            <v>23.7</v>
          </cell>
          <cell r="N1041">
            <v>2.7</v>
          </cell>
          <cell r="O1041">
            <v>0.90869999999999995</v>
          </cell>
          <cell r="P1041">
            <v>0.56569999999999998</v>
          </cell>
          <cell r="Q1041">
            <v>0.34300000000000003</v>
          </cell>
          <cell r="R1041" t="str">
            <v>NA</v>
          </cell>
          <cell r="S1041" t="str">
            <v>NA</v>
          </cell>
          <cell r="T1041">
            <v>59.4</v>
          </cell>
          <cell r="U1041">
            <v>4.8</v>
          </cell>
          <cell r="V1041">
            <v>74.900000000000006</v>
          </cell>
          <cell r="W1041">
            <v>7.6</v>
          </cell>
          <cell r="X1041" t="str">
            <v>NA</v>
          </cell>
          <cell r="Y1041" t="str">
            <v>NA</v>
          </cell>
          <cell r="Z1041" t="str">
            <v>NA</v>
          </cell>
          <cell r="AA1041" t="str">
            <v>NA</v>
          </cell>
        </row>
        <row r="1042">
          <cell r="A1042">
            <v>45147</v>
          </cell>
          <cell r="B1042" t="str">
            <v>A1</v>
          </cell>
          <cell r="C1042">
            <v>4</v>
          </cell>
          <cell r="D1042">
            <v>3</v>
          </cell>
          <cell r="E1042" t="str">
            <v>ARIS.A1.Aim3.Bin4.LB</v>
          </cell>
          <cell r="F1042">
            <v>3</v>
          </cell>
          <cell r="G1042" t="str">
            <v>SplineDFA</v>
          </cell>
          <cell r="H1042" t="str">
            <v>N</v>
          </cell>
          <cell r="I1042" t="str">
            <v>N</v>
          </cell>
          <cell r="J1042">
            <v>153</v>
          </cell>
          <cell r="K1042">
            <v>1</v>
          </cell>
          <cell r="L1042">
            <v>9.1300000000000006E-2</v>
          </cell>
          <cell r="M1042">
            <v>23.7</v>
          </cell>
          <cell r="N1042">
            <v>2.7</v>
          </cell>
          <cell r="O1042">
            <v>0.90869999999999995</v>
          </cell>
          <cell r="P1042">
            <v>0.56569999999999998</v>
          </cell>
          <cell r="Q1042">
            <v>0.34300000000000003</v>
          </cell>
          <cell r="R1042" t="str">
            <v>NA</v>
          </cell>
          <cell r="S1042" t="str">
            <v>NA</v>
          </cell>
          <cell r="T1042">
            <v>59.4</v>
          </cell>
          <cell r="U1042">
            <v>4.8</v>
          </cell>
          <cell r="V1042">
            <v>74.900000000000006</v>
          </cell>
          <cell r="W1042">
            <v>7.6</v>
          </cell>
          <cell r="X1042" t="str">
            <v>NA</v>
          </cell>
          <cell r="Y1042" t="str">
            <v>NA</v>
          </cell>
          <cell r="Z1042" t="str">
            <v>NA</v>
          </cell>
          <cell r="AA1042" t="str">
            <v>NA</v>
          </cell>
        </row>
        <row r="1043">
          <cell r="A1043">
            <v>45147</v>
          </cell>
          <cell r="B1043" t="str">
            <v>A1</v>
          </cell>
          <cell r="C1043">
            <v>1</v>
          </cell>
          <cell r="D1043">
            <v>1</v>
          </cell>
          <cell r="E1043" t="str">
            <v>ARIS.A1.Aim1.Bin1.LB</v>
          </cell>
          <cell r="F1043">
            <v>3</v>
          </cell>
          <cell r="G1043" t="str">
            <v>Unweighted</v>
          </cell>
          <cell r="H1043" t="str">
            <v>N</v>
          </cell>
          <cell r="I1043" t="str">
            <v>N</v>
          </cell>
          <cell r="J1043">
            <v>146</v>
          </cell>
          <cell r="K1043">
            <v>1</v>
          </cell>
          <cell r="L1043">
            <v>0.83799999999999997</v>
          </cell>
          <cell r="M1043">
            <v>24.4</v>
          </cell>
          <cell r="N1043">
            <v>9</v>
          </cell>
          <cell r="O1043">
            <v>0.16200000000000001</v>
          </cell>
          <cell r="P1043">
            <v>0.1565</v>
          </cell>
          <cell r="Q1043">
            <v>5.4999999999999997E-3</v>
          </cell>
          <cell r="R1043" t="str">
            <v>NA</v>
          </cell>
          <cell r="S1043" t="str">
            <v>NA</v>
          </cell>
          <cell r="T1043">
            <v>59.4</v>
          </cell>
          <cell r="U1043">
            <v>4.8</v>
          </cell>
          <cell r="V1043">
            <v>74.900000000000006</v>
          </cell>
          <cell r="W1043">
            <v>7.6</v>
          </cell>
          <cell r="X1043" t="str">
            <v>NA</v>
          </cell>
          <cell r="Y1043" t="str">
            <v>NA</v>
          </cell>
          <cell r="Z1043" t="str">
            <v>NA</v>
          </cell>
          <cell r="AA1043" t="str">
            <v>NA</v>
          </cell>
        </row>
        <row r="1044">
          <cell r="A1044">
            <v>45147</v>
          </cell>
          <cell r="B1044" t="str">
            <v>A1</v>
          </cell>
          <cell r="C1044">
            <v>1</v>
          </cell>
          <cell r="D1044">
            <v>2</v>
          </cell>
          <cell r="E1044" t="str">
            <v>ARIS.A1.Aim2.Bin1.LB</v>
          </cell>
          <cell r="F1044">
            <v>3</v>
          </cell>
          <cell r="G1044" t="str">
            <v>Unweighted</v>
          </cell>
          <cell r="H1044" t="str">
            <v>N</v>
          </cell>
          <cell r="I1044" t="str">
            <v>N</v>
          </cell>
          <cell r="J1044">
            <v>159</v>
          </cell>
          <cell r="K1044">
            <v>1</v>
          </cell>
          <cell r="L1044">
            <v>0.78759999999999997</v>
          </cell>
          <cell r="M1044">
            <v>21</v>
          </cell>
          <cell r="N1044">
            <v>9.1999999999999993</v>
          </cell>
          <cell r="O1044">
            <v>0.21240000000000001</v>
          </cell>
          <cell r="P1044">
            <v>0.18840000000000001</v>
          </cell>
          <cell r="Q1044">
            <v>2.4E-2</v>
          </cell>
          <cell r="R1044" t="str">
            <v>NA</v>
          </cell>
          <cell r="S1044" t="str">
            <v>NA</v>
          </cell>
          <cell r="T1044">
            <v>59.4</v>
          </cell>
          <cell r="U1044">
            <v>4.8</v>
          </cell>
          <cell r="V1044">
            <v>74.900000000000006</v>
          </cell>
          <cell r="W1044">
            <v>7.6</v>
          </cell>
          <cell r="X1044" t="str">
            <v>NA</v>
          </cell>
          <cell r="Y1044" t="str">
            <v>NA</v>
          </cell>
          <cell r="Z1044" t="str">
            <v>NA</v>
          </cell>
          <cell r="AA1044" t="str">
            <v>NA</v>
          </cell>
        </row>
        <row r="1045">
          <cell r="A1045">
            <v>45147</v>
          </cell>
          <cell r="B1045" t="str">
            <v>A1</v>
          </cell>
          <cell r="C1045">
            <v>1</v>
          </cell>
          <cell r="D1045" t="str">
            <v>1&amp;2</v>
          </cell>
          <cell r="E1045" t="str">
            <v>ARIS.A1.Aim1&amp;Aim2.Bin1.LB</v>
          </cell>
          <cell r="F1045">
            <v>3</v>
          </cell>
          <cell r="G1045" t="str">
            <v>Unweighted</v>
          </cell>
          <cell r="H1045" t="str">
            <v>N</v>
          </cell>
          <cell r="I1045" t="str">
            <v>N</v>
          </cell>
          <cell r="J1045">
            <v>305</v>
          </cell>
          <cell r="K1045">
            <v>0.99990000000000001</v>
          </cell>
          <cell r="L1045">
            <v>0.81110000000000004</v>
          </cell>
          <cell r="M1045">
            <v>22.7</v>
          </cell>
          <cell r="N1045">
            <v>9.3000000000000007</v>
          </cell>
          <cell r="O1045">
            <v>0.1888</v>
          </cell>
          <cell r="P1045">
            <v>0.1714</v>
          </cell>
          <cell r="Q1045">
            <v>1.7399999999999999E-2</v>
          </cell>
          <cell r="R1045" t="str">
            <v>NA</v>
          </cell>
          <cell r="S1045" t="str">
            <v>NA</v>
          </cell>
          <cell r="T1045">
            <v>59.4</v>
          </cell>
          <cell r="U1045">
            <v>4.8</v>
          </cell>
          <cell r="V1045">
            <v>74.900000000000006</v>
          </cell>
          <cell r="W1045">
            <v>7.6</v>
          </cell>
          <cell r="X1045" t="str">
            <v>NA</v>
          </cell>
          <cell r="Y1045" t="str">
            <v>NA</v>
          </cell>
          <cell r="Z1045" t="str">
            <v>NA</v>
          </cell>
          <cell r="AA1045" t="str">
            <v>NA</v>
          </cell>
        </row>
        <row r="1046">
          <cell r="A1046">
            <v>45147</v>
          </cell>
          <cell r="B1046" t="str">
            <v>A1</v>
          </cell>
          <cell r="C1046">
            <v>2</v>
          </cell>
          <cell r="D1046">
            <v>3</v>
          </cell>
          <cell r="E1046" t="str">
            <v>ARIS.A1.Aim3.Bin2.LB</v>
          </cell>
          <cell r="F1046">
            <v>3</v>
          </cell>
          <cell r="G1046" t="str">
            <v>Unweighted</v>
          </cell>
          <cell r="H1046" t="str">
            <v>N</v>
          </cell>
          <cell r="I1046" t="str">
            <v>N</v>
          </cell>
          <cell r="J1046">
            <v>172</v>
          </cell>
          <cell r="K1046">
            <v>1</v>
          </cell>
          <cell r="L1046">
            <v>0.52759999999999996</v>
          </cell>
          <cell r="M1046">
            <v>23.7</v>
          </cell>
          <cell r="N1046">
            <v>14.9</v>
          </cell>
          <cell r="O1046">
            <v>0.47239999999999999</v>
          </cell>
          <cell r="P1046">
            <v>0.31929999999999997</v>
          </cell>
          <cell r="Q1046">
            <v>0.15310000000000001</v>
          </cell>
          <cell r="R1046" t="str">
            <v>NA</v>
          </cell>
          <cell r="S1046" t="str">
            <v>NA</v>
          </cell>
          <cell r="T1046">
            <v>59.4</v>
          </cell>
          <cell r="U1046">
            <v>4.8</v>
          </cell>
          <cell r="V1046">
            <v>74.900000000000006</v>
          </cell>
          <cell r="W1046">
            <v>7.6</v>
          </cell>
          <cell r="X1046" t="str">
            <v>NA</v>
          </cell>
          <cell r="Y1046" t="str">
            <v>NA</v>
          </cell>
          <cell r="Z1046" t="str">
            <v>NA</v>
          </cell>
          <cell r="AA1046" t="str">
            <v>NA</v>
          </cell>
        </row>
        <row r="1047">
          <cell r="A1047">
            <v>45147</v>
          </cell>
          <cell r="B1047" t="str">
            <v>A1</v>
          </cell>
          <cell r="C1047">
            <v>3</v>
          </cell>
          <cell r="D1047">
            <v>3</v>
          </cell>
          <cell r="E1047" t="str">
            <v>ARIS.A1.Aim3.Bin3.LB</v>
          </cell>
          <cell r="F1047">
            <v>3</v>
          </cell>
          <cell r="G1047" t="str">
            <v>Unweighted</v>
          </cell>
          <cell r="H1047" t="str">
            <v>N</v>
          </cell>
          <cell r="I1047" t="str">
            <v>N</v>
          </cell>
          <cell r="J1047">
            <v>153</v>
          </cell>
          <cell r="K1047">
            <v>1</v>
          </cell>
          <cell r="L1047">
            <v>0.32329999999999998</v>
          </cell>
          <cell r="M1047">
            <v>23.7</v>
          </cell>
          <cell r="N1047">
            <v>19.2</v>
          </cell>
          <cell r="O1047">
            <v>0.67669999999999997</v>
          </cell>
          <cell r="P1047">
            <v>0.24490000000000001</v>
          </cell>
          <cell r="Q1047">
            <v>0.43180000000000002</v>
          </cell>
          <cell r="R1047" t="str">
            <v>NA</v>
          </cell>
          <cell r="S1047" t="str">
            <v>NA</v>
          </cell>
          <cell r="T1047">
            <v>59.4</v>
          </cell>
          <cell r="U1047">
            <v>4.8</v>
          </cell>
          <cell r="V1047">
            <v>74.900000000000006</v>
          </cell>
          <cell r="W1047">
            <v>7.6</v>
          </cell>
          <cell r="X1047" t="str">
            <v>NA</v>
          </cell>
          <cell r="Y1047" t="str">
            <v>NA</v>
          </cell>
          <cell r="Z1047" t="str">
            <v>NA</v>
          </cell>
          <cell r="AA1047" t="str">
            <v>NA</v>
          </cell>
        </row>
        <row r="1048">
          <cell r="A1048">
            <v>45147</v>
          </cell>
          <cell r="B1048" t="str">
            <v>A1</v>
          </cell>
          <cell r="C1048">
            <v>4</v>
          </cell>
          <cell r="D1048">
            <v>3</v>
          </cell>
          <cell r="E1048" t="str">
            <v>ARIS.A1.Aim3.Bin4.LB</v>
          </cell>
          <cell r="F1048">
            <v>3</v>
          </cell>
          <cell r="G1048" t="str">
            <v>Unweighted</v>
          </cell>
          <cell r="H1048" t="str">
            <v>N</v>
          </cell>
          <cell r="I1048" t="str">
            <v>N</v>
          </cell>
          <cell r="J1048">
            <v>153</v>
          </cell>
          <cell r="K1048">
            <v>1</v>
          </cell>
          <cell r="L1048">
            <v>0.32329999999999998</v>
          </cell>
          <cell r="M1048">
            <v>23.7</v>
          </cell>
          <cell r="N1048">
            <v>19.2</v>
          </cell>
          <cell r="O1048">
            <v>0.67669999999999997</v>
          </cell>
          <cell r="P1048">
            <v>0.24490000000000001</v>
          </cell>
          <cell r="Q1048">
            <v>0.43180000000000002</v>
          </cell>
          <cell r="R1048" t="str">
            <v>NA</v>
          </cell>
          <cell r="S1048" t="str">
            <v>NA</v>
          </cell>
          <cell r="T1048">
            <v>59.4</v>
          </cell>
          <cell r="U1048">
            <v>4.8</v>
          </cell>
          <cell r="V1048">
            <v>74.900000000000006</v>
          </cell>
          <cell r="W1048">
            <v>7.6</v>
          </cell>
          <cell r="X1048" t="str">
            <v>NA</v>
          </cell>
          <cell r="Y1048" t="str">
            <v>NA</v>
          </cell>
          <cell r="Z1048" t="str">
            <v>NA</v>
          </cell>
          <cell r="AA1048" t="str">
            <v>NA</v>
          </cell>
        </row>
        <row r="1049">
          <cell r="A1049">
            <v>45147</v>
          </cell>
          <cell r="B1049" t="str">
            <v>A2</v>
          </cell>
          <cell r="C1049">
            <v>1</v>
          </cell>
          <cell r="D1049">
            <v>1</v>
          </cell>
          <cell r="E1049" t="str">
            <v>ARIS.A2.Aim1.Bin1.RB</v>
          </cell>
          <cell r="F1049">
            <v>3</v>
          </cell>
          <cell r="G1049" t="str">
            <v>Unweighted</v>
          </cell>
          <cell r="H1049" t="str">
            <v>N</v>
          </cell>
          <cell r="I1049" t="str">
            <v>N</v>
          </cell>
          <cell r="J1049">
            <v>180</v>
          </cell>
          <cell r="K1049">
            <v>1</v>
          </cell>
          <cell r="L1049">
            <v>0.90910000000000002</v>
          </cell>
          <cell r="M1049">
            <v>21.4</v>
          </cell>
          <cell r="N1049">
            <v>7.7</v>
          </cell>
          <cell r="O1049">
            <v>9.0899999999999995E-2</v>
          </cell>
          <cell r="P1049">
            <v>7.6600000000000001E-2</v>
          </cell>
          <cell r="Q1049">
            <v>1.43E-2</v>
          </cell>
          <cell r="R1049" t="str">
            <v>NA</v>
          </cell>
          <cell r="S1049" t="str">
            <v>NA</v>
          </cell>
          <cell r="T1049">
            <v>59.4</v>
          </cell>
          <cell r="U1049">
            <v>4.8</v>
          </cell>
          <cell r="V1049">
            <v>74.900000000000006</v>
          </cell>
          <cell r="W1049">
            <v>7.6</v>
          </cell>
          <cell r="X1049" t="str">
            <v>NA</v>
          </cell>
          <cell r="Y1049" t="str">
            <v>NA</v>
          </cell>
          <cell r="Z1049" t="str">
            <v>NA</v>
          </cell>
          <cell r="AA1049" t="str">
            <v>NA</v>
          </cell>
        </row>
        <row r="1050">
          <cell r="A1050">
            <v>45147</v>
          </cell>
          <cell r="B1050" t="str">
            <v>A2</v>
          </cell>
          <cell r="C1050">
            <v>2</v>
          </cell>
          <cell r="D1050">
            <v>1</v>
          </cell>
          <cell r="E1050" t="str">
            <v>ARIS.A2.Aim1.Bin2.RB</v>
          </cell>
          <cell r="F1050">
            <v>3</v>
          </cell>
          <cell r="G1050" t="str">
            <v>Unweighted</v>
          </cell>
          <cell r="H1050" t="str">
            <v>N</v>
          </cell>
          <cell r="I1050" t="str">
            <v>N</v>
          </cell>
          <cell r="J1050">
            <v>164</v>
          </cell>
          <cell r="K1050">
            <v>1</v>
          </cell>
          <cell r="L1050">
            <v>0.71050000000000002</v>
          </cell>
          <cell r="M1050">
            <v>23.7</v>
          </cell>
          <cell r="N1050">
            <v>10.9</v>
          </cell>
          <cell r="O1050">
            <v>0.28949999999999998</v>
          </cell>
          <cell r="P1050">
            <v>0.20949999999999999</v>
          </cell>
          <cell r="Q1050">
            <v>0.08</v>
          </cell>
          <cell r="R1050" t="str">
            <v>NA</v>
          </cell>
          <cell r="S1050" t="str">
            <v>NA</v>
          </cell>
          <cell r="T1050">
            <v>59.4</v>
          </cell>
          <cell r="U1050">
            <v>4.8</v>
          </cell>
          <cell r="V1050">
            <v>74.900000000000006</v>
          </cell>
          <cell r="W1050">
            <v>7.6</v>
          </cell>
          <cell r="X1050" t="str">
            <v>NA</v>
          </cell>
          <cell r="Y1050" t="str">
            <v>NA</v>
          </cell>
          <cell r="Z1050" t="str">
            <v>NA</v>
          </cell>
          <cell r="AA1050" t="str">
            <v>NA</v>
          </cell>
        </row>
        <row r="1051">
          <cell r="A1051">
            <v>45147</v>
          </cell>
          <cell r="B1051" t="str">
            <v>A2</v>
          </cell>
          <cell r="C1051">
            <v>3</v>
          </cell>
          <cell r="D1051">
            <v>1</v>
          </cell>
          <cell r="E1051" t="str">
            <v>ARIS.A2.Aim1.Bin3.RB</v>
          </cell>
          <cell r="F1051">
            <v>3</v>
          </cell>
          <cell r="G1051" t="str">
            <v>Unweighted</v>
          </cell>
          <cell r="H1051" t="str">
            <v>N</v>
          </cell>
          <cell r="I1051" t="str">
            <v>N</v>
          </cell>
          <cell r="J1051">
            <v>155</v>
          </cell>
          <cell r="K1051">
            <v>1</v>
          </cell>
          <cell r="L1051">
            <v>0.63019999999999998</v>
          </cell>
          <cell r="M1051">
            <v>23.7</v>
          </cell>
          <cell r="N1051">
            <v>16.899999999999999</v>
          </cell>
          <cell r="O1051">
            <v>0.36980000000000002</v>
          </cell>
          <cell r="P1051">
            <v>8.8200000000000001E-2</v>
          </cell>
          <cell r="Q1051">
            <v>0.28160000000000002</v>
          </cell>
          <cell r="R1051" t="str">
            <v>NA</v>
          </cell>
          <cell r="S1051" t="str">
            <v>NA</v>
          </cell>
          <cell r="T1051">
            <v>59.4</v>
          </cell>
          <cell r="U1051">
            <v>4.8</v>
          </cell>
          <cell r="V1051">
            <v>74.900000000000006</v>
          </cell>
          <cell r="W1051">
            <v>7.6</v>
          </cell>
          <cell r="X1051" t="str">
            <v>NA</v>
          </cell>
          <cell r="Y1051" t="str">
            <v>NA</v>
          </cell>
          <cell r="Z1051" t="str">
            <v>NA</v>
          </cell>
          <cell r="AA1051" t="str">
            <v>NA</v>
          </cell>
        </row>
        <row r="1052">
          <cell r="A1052">
            <v>45147</v>
          </cell>
          <cell r="B1052" t="str">
            <v>A2</v>
          </cell>
          <cell r="C1052">
            <v>4</v>
          </cell>
          <cell r="D1052">
            <v>1</v>
          </cell>
          <cell r="E1052" t="str">
            <v>ARIS.A2.Aim1.Bin4.RB</v>
          </cell>
          <cell r="F1052">
            <v>3</v>
          </cell>
          <cell r="G1052" t="str">
            <v>Unweighted</v>
          </cell>
          <cell r="H1052" t="str">
            <v>N</v>
          </cell>
          <cell r="I1052" t="str">
            <v>N</v>
          </cell>
          <cell r="J1052">
            <v>155</v>
          </cell>
          <cell r="K1052">
            <v>1</v>
          </cell>
          <cell r="L1052">
            <v>0.63019999999999998</v>
          </cell>
          <cell r="M1052">
            <v>23.7</v>
          </cell>
          <cell r="N1052">
            <v>16.899999999999999</v>
          </cell>
          <cell r="O1052">
            <v>0.36980000000000002</v>
          </cell>
          <cell r="P1052">
            <v>8.8200000000000001E-2</v>
          </cell>
          <cell r="Q1052">
            <v>0.28160000000000002</v>
          </cell>
          <cell r="R1052" t="str">
            <v>NA</v>
          </cell>
          <cell r="S1052" t="str">
            <v>NA</v>
          </cell>
          <cell r="T1052">
            <v>59.4</v>
          </cell>
          <cell r="U1052">
            <v>4.8</v>
          </cell>
          <cell r="V1052">
            <v>74.900000000000006</v>
          </cell>
          <cell r="W1052">
            <v>7.6</v>
          </cell>
          <cell r="X1052" t="str">
            <v>NA</v>
          </cell>
          <cell r="Y1052" t="str">
            <v>NA</v>
          </cell>
          <cell r="Z1052" t="str">
            <v>NA</v>
          </cell>
          <cell r="AA1052" t="str">
            <v>NA</v>
          </cell>
        </row>
        <row r="1053">
          <cell r="A1053">
            <v>45147</v>
          </cell>
          <cell r="B1053" t="str">
            <v>A2</v>
          </cell>
          <cell r="C1053">
            <v>1</v>
          </cell>
          <cell r="D1053">
            <v>1</v>
          </cell>
          <cell r="E1053" t="str">
            <v>ARIS.A2.Aim1.Bin1.RB</v>
          </cell>
          <cell r="F1053">
            <v>3</v>
          </cell>
          <cell r="G1053" t="str">
            <v>SplineDFA</v>
          </cell>
          <cell r="H1053" t="str">
            <v>N</v>
          </cell>
          <cell r="I1053" t="str">
            <v>N</v>
          </cell>
          <cell r="J1053">
            <v>180</v>
          </cell>
          <cell r="K1053">
            <v>1.0001</v>
          </cell>
          <cell r="L1053">
            <v>0.88739999999999997</v>
          </cell>
          <cell r="M1053">
            <v>23.7</v>
          </cell>
          <cell r="N1053">
            <v>2.7</v>
          </cell>
          <cell r="O1053">
            <v>0.11269999999999999</v>
          </cell>
          <cell r="P1053">
            <v>0.105</v>
          </cell>
          <cell r="Q1053">
            <v>7.7000000000000002E-3</v>
          </cell>
          <cell r="R1053" t="str">
            <v>NA</v>
          </cell>
          <cell r="S1053" t="str">
            <v>NA</v>
          </cell>
          <cell r="T1053">
            <v>59.4</v>
          </cell>
          <cell r="U1053">
            <v>4.8</v>
          </cell>
          <cell r="V1053">
            <v>74.900000000000006</v>
          </cell>
          <cell r="W1053">
            <v>7.6</v>
          </cell>
          <cell r="X1053" t="str">
            <v>NA</v>
          </cell>
          <cell r="Y1053" t="str">
            <v>NA</v>
          </cell>
          <cell r="Z1053" t="str">
            <v>NA</v>
          </cell>
          <cell r="AA1053" t="str">
            <v>NA</v>
          </cell>
        </row>
        <row r="1054">
          <cell r="A1054">
            <v>45147</v>
          </cell>
          <cell r="B1054" t="str">
            <v>A2</v>
          </cell>
          <cell r="C1054">
            <v>2</v>
          </cell>
          <cell r="D1054">
            <v>1</v>
          </cell>
          <cell r="E1054" t="str">
            <v>ARIS.A2.Aim1.Bin2.RB</v>
          </cell>
          <cell r="F1054">
            <v>3</v>
          </cell>
          <cell r="G1054" t="str">
            <v>SplineDFA</v>
          </cell>
          <cell r="H1054" t="str">
            <v>N</v>
          </cell>
          <cell r="I1054" t="str">
            <v>N</v>
          </cell>
          <cell r="J1054">
            <v>164</v>
          </cell>
          <cell r="K1054">
            <v>1</v>
          </cell>
          <cell r="L1054">
            <v>0.5514</v>
          </cell>
          <cell r="M1054">
            <v>23.7</v>
          </cell>
          <cell r="N1054">
            <v>2.7</v>
          </cell>
          <cell r="O1054">
            <v>0.4486</v>
          </cell>
          <cell r="P1054">
            <v>0.34229999999999999</v>
          </cell>
          <cell r="Q1054">
            <v>0.10630000000000001</v>
          </cell>
          <cell r="R1054" t="str">
            <v>NA</v>
          </cell>
          <cell r="S1054" t="str">
            <v>NA</v>
          </cell>
          <cell r="T1054">
            <v>59.4</v>
          </cell>
          <cell r="U1054">
            <v>4.8</v>
          </cell>
          <cell r="V1054">
            <v>74.900000000000006</v>
          </cell>
          <cell r="W1054">
            <v>7.6</v>
          </cell>
          <cell r="X1054" t="str">
            <v>NA</v>
          </cell>
          <cell r="Y1054" t="str">
            <v>NA</v>
          </cell>
          <cell r="Z1054" t="str">
            <v>NA</v>
          </cell>
          <cell r="AA1054" t="str">
            <v>NA</v>
          </cell>
        </row>
        <row r="1055">
          <cell r="A1055">
            <v>45147</v>
          </cell>
          <cell r="B1055" t="str">
            <v>A2</v>
          </cell>
          <cell r="C1055">
            <v>3</v>
          </cell>
          <cell r="D1055">
            <v>1</v>
          </cell>
          <cell r="E1055" t="str">
            <v>ARIS.A2.Aim1.Bin3.RB</v>
          </cell>
          <cell r="F1055">
            <v>3</v>
          </cell>
          <cell r="G1055" t="str">
            <v>SplineDFA</v>
          </cell>
          <cell r="H1055" t="str">
            <v>N</v>
          </cell>
          <cell r="I1055" t="str">
            <v>N</v>
          </cell>
          <cell r="J1055">
            <v>155</v>
          </cell>
          <cell r="K1055">
            <v>1.0001</v>
          </cell>
          <cell r="L1055">
            <v>0.29480000000000001</v>
          </cell>
          <cell r="M1055">
            <v>23.7</v>
          </cell>
          <cell r="N1055">
            <v>2.7</v>
          </cell>
          <cell r="O1055">
            <v>0.70530000000000004</v>
          </cell>
          <cell r="P1055">
            <v>0.43780000000000002</v>
          </cell>
          <cell r="Q1055">
            <v>0.26750000000000002</v>
          </cell>
          <cell r="R1055" t="str">
            <v>NA</v>
          </cell>
          <cell r="S1055" t="str">
            <v>NA</v>
          </cell>
          <cell r="T1055">
            <v>59.4</v>
          </cell>
          <cell r="U1055">
            <v>4.8</v>
          </cell>
          <cell r="V1055">
            <v>74.900000000000006</v>
          </cell>
          <cell r="W1055">
            <v>7.6</v>
          </cell>
          <cell r="X1055" t="str">
            <v>NA</v>
          </cell>
          <cell r="Y1055" t="str">
            <v>NA</v>
          </cell>
          <cell r="Z1055" t="str">
            <v>NA</v>
          </cell>
          <cell r="AA1055" t="str">
            <v>NA</v>
          </cell>
        </row>
        <row r="1056">
          <cell r="A1056">
            <v>45147</v>
          </cell>
          <cell r="B1056" t="str">
            <v>A2</v>
          </cell>
          <cell r="C1056">
            <v>4</v>
          </cell>
          <cell r="D1056">
            <v>1</v>
          </cell>
          <cell r="E1056" t="str">
            <v>ARIS.A2.Aim1.Bin4.RB</v>
          </cell>
          <cell r="F1056">
            <v>3</v>
          </cell>
          <cell r="G1056" t="str">
            <v>SplineDFA</v>
          </cell>
          <cell r="H1056" t="str">
            <v>N</v>
          </cell>
          <cell r="I1056" t="str">
            <v>N</v>
          </cell>
          <cell r="J1056">
            <v>155</v>
          </cell>
          <cell r="K1056">
            <v>1.0001</v>
          </cell>
          <cell r="L1056">
            <v>0.29480000000000001</v>
          </cell>
          <cell r="M1056">
            <v>23.7</v>
          </cell>
          <cell r="N1056">
            <v>2.7</v>
          </cell>
          <cell r="O1056">
            <v>0.70530000000000004</v>
          </cell>
          <cell r="P1056">
            <v>0.43780000000000002</v>
          </cell>
          <cell r="Q1056">
            <v>0.26750000000000002</v>
          </cell>
          <cell r="R1056" t="str">
            <v>NA</v>
          </cell>
          <cell r="S1056" t="str">
            <v>NA</v>
          </cell>
          <cell r="T1056">
            <v>59.4</v>
          </cell>
          <cell r="U1056">
            <v>4.8</v>
          </cell>
          <cell r="V1056">
            <v>74.900000000000006</v>
          </cell>
          <cell r="W1056">
            <v>7.6</v>
          </cell>
          <cell r="X1056" t="str">
            <v>NA</v>
          </cell>
          <cell r="Y1056" t="str">
            <v>NA</v>
          </cell>
          <cell r="Z1056" t="str">
            <v>NA</v>
          </cell>
          <cell r="AA1056" t="str">
            <v>NA</v>
          </cell>
        </row>
        <row r="1057">
          <cell r="A1057">
            <v>45147</v>
          </cell>
          <cell r="B1057" t="str">
            <v>A1</v>
          </cell>
          <cell r="C1057">
            <v>1</v>
          </cell>
          <cell r="D1057">
            <v>1</v>
          </cell>
          <cell r="E1057" t="str">
            <v>ARIS.A1.Aim1.Bin1.LB</v>
          </cell>
          <cell r="F1057">
            <v>4</v>
          </cell>
          <cell r="G1057" t="str">
            <v>Unweighted</v>
          </cell>
          <cell r="H1057" t="str">
            <v>N</v>
          </cell>
          <cell r="I1057" t="str">
            <v>Y</v>
          </cell>
          <cell r="J1057">
            <v>146</v>
          </cell>
          <cell r="K1057">
            <v>1</v>
          </cell>
          <cell r="L1057">
            <v>0.79830000000000001</v>
          </cell>
          <cell r="M1057">
            <v>23.4</v>
          </cell>
          <cell r="N1057">
            <v>7.8</v>
          </cell>
          <cell r="O1057">
            <v>0.20169999999999999</v>
          </cell>
          <cell r="P1057">
            <v>9.4500000000000001E-2</v>
          </cell>
          <cell r="Q1057">
            <v>1.0999999999999999E-2</v>
          </cell>
          <cell r="R1057">
            <v>9.6199999999999994E-2</v>
          </cell>
          <cell r="S1057" t="str">
            <v>NA</v>
          </cell>
          <cell r="T1057">
            <v>59.4</v>
          </cell>
          <cell r="U1057">
            <v>4.8</v>
          </cell>
          <cell r="V1057">
            <v>74.900000000000006</v>
          </cell>
          <cell r="W1057">
            <v>7.6</v>
          </cell>
          <cell r="X1057">
            <v>52.4</v>
          </cell>
          <cell r="Y1057">
            <v>6.8</v>
          </cell>
          <cell r="Z1057" t="str">
            <v>NA</v>
          </cell>
          <cell r="AA1057" t="str">
            <v>NA</v>
          </cell>
        </row>
        <row r="1058">
          <cell r="A1058">
            <v>45147</v>
          </cell>
          <cell r="B1058" t="str">
            <v>A1</v>
          </cell>
          <cell r="C1058">
            <v>1</v>
          </cell>
          <cell r="D1058">
            <v>2</v>
          </cell>
          <cell r="E1058" t="str">
            <v>ARIS.A1.Aim2.Bin1.LB</v>
          </cell>
          <cell r="F1058">
            <v>4</v>
          </cell>
          <cell r="G1058" t="str">
            <v>Unweighted</v>
          </cell>
          <cell r="H1058" t="str">
            <v>N</v>
          </cell>
          <cell r="I1058" t="str">
            <v>Y</v>
          </cell>
          <cell r="J1058">
            <v>159</v>
          </cell>
          <cell r="K1058">
            <v>1</v>
          </cell>
          <cell r="L1058">
            <v>0.76439999999999997</v>
          </cell>
          <cell r="M1058">
            <v>20.399999999999999</v>
          </cell>
          <cell r="N1058">
            <v>8.4</v>
          </cell>
          <cell r="O1058">
            <v>0.2356</v>
          </cell>
          <cell r="P1058">
            <v>0.13589999999999999</v>
          </cell>
          <cell r="Q1058">
            <v>2.5999999999999999E-2</v>
          </cell>
          <cell r="R1058">
            <v>7.3700000000000002E-2</v>
          </cell>
          <cell r="S1058" t="str">
            <v>NA</v>
          </cell>
          <cell r="T1058">
            <v>59.4</v>
          </cell>
          <cell r="U1058">
            <v>4.8</v>
          </cell>
          <cell r="V1058">
            <v>74.900000000000006</v>
          </cell>
          <cell r="W1058">
            <v>7.6</v>
          </cell>
          <cell r="X1058">
            <v>52.4</v>
          </cell>
          <cell r="Y1058">
            <v>6.8</v>
          </cell>
          <cell r="Z1058" t="str">
            <v>NA</v>
          </cell>
          <cell r="AA1058" t="str">
            <v>NA</v>
          </cell>
        </row>
        <row r="1059">
          <cell r="A1059">
            <v>45147</v>
          </cell>
          <cell r="B1059" t="str">
            <v>A1</v>
          </cell>
          <cell r="C1059">
            <v>1</v>
          </cell>
          <cell r="D1059" t="str">
            <v>1&amp;2</v>
          </cell>
          <cell r="E1059" t="str">
            <v>ARIS.A1.Aim1&amp;Aim2.Bin1.LB</v>
          </cell>
          <cell r="F1059">
            <v>4</v>
          </cell>
          <cell r="G1059" t="str">
            <v>Unweighted</v>
          </cell>
          <cell r="H1059" t="str">
            <v>N</v>
          </cell>
          <cell r="I1059" t="str">
            <v>Y</v>
          </cell>
          <cell r="J1059">
            <v>305</v>
          </cell>
          <cell r="K1059">
            <v>1</v>
          </cell>
          <cell r="L1059">
            <v>0.78180000000000005</v>
          </cell>
          <cell r="M1059">
            <v>21.9</v>
          </cell>
          <cell r="N1059">
            <v>8.3000000000000007</v>
          </cell>
          <cell r="O1059">
            <v>0.21820000000000001</v>
          </cell>
          <cell r="P1059">
            <v>0.114</v>
          </cell>
          <cell r="Q1059">
            <v>2.0400000000000001E-2</v>
          </cell>
          <cell r="R1059">
            <v>8.3799999999999999E-2</v>
          </cell>
          <cell r="S1059" t="str">
            <v>NA</v>
          </cell>
          <cell r="T1059">
            <v>59.4</v>
          </cell>
          <cell r="U1059">
            <v>4.8</v>
          </cell>
          <cell r="V1059">
            <v>74.900000000000006</v>
          </cell>
          <cell r="W1059">
            <v>7.6</v>
          </cell>
          <cell r="X1059">
            <v>52.4</v>
          </cell>
          <cell r="Y1059">
            <v>6.8</v>
          </cell>
          <cell r="Z1059" t="str">
            <v>NA</v>
          </cell>
          <cell r="AA1059" t="str">
            <v>NA</v>
          </cell>
        </row>
        <row r="1060">
          <cell r="A1060">
            <v>45147</v>
          </cell>
          <cell r="B1060" t="str">
            <v>A1</v>
          </cell>
          <cell r="C1060">
            <v>2</v>
          </cell>
          <cell r="D1060">
            <v>3</v>
          </cell>
          <cell r="E1060" t="str">
            <v>ARIS.A1.Aim3.Bin2.LB</v>
          </cell>
          <cell r="F1060">
            <v>4</v>
          </cell>
          <cell r="G1060" t="str">
            <v>Unweighted</v>
          </cell>
          <cell r="H1060" t="str">
            <v>N</v>
          </cell>
          <cell r="I1060" t="str">
            <v>Y</v>
          </cell>
          <cell r="J1060">
            <v>172</v>
          </cell>
          <cell r="K1060">
            <v>1</v>
          </cell>
          <cell r="L1060">
            <v>0.37240000000000001</v>
          </cell>
          <cell r="M1060">
            <v>23.7</v>
          </cell>
          <cell r="N1060">
            <v>10.3</v>
          </cell>
          <cell r="O1060">
            <v>0.62760000000000005</v>
          </cell>
          <cell r="P1060">
            <v>0.14510000000000001</v>
          </cell>
          <cell r="Q1060">
            <v>0.1739</v>
          </cell>
          <cell r="R1060">
            <v>0.30859999999999999</v>
          </cell>
          <cell r="S1060" t="str">
            <v>NA</v>
          </cell>
          <cell r="T1060">
            <v>59.4</v>
          </cell>
          <cell r="U1060">
            <v>4.8</v>
          </cell>
          <cell r="V1060">
            <v>74.900000000000006</v>
          </cell>
          <cell r="W1060">
            <v>7.6</v>
          </cell>
          <cell r="X1060">
            <v>52.4</v>
          </cell>
          <cell r="Y1060">
            <v>6.8</v>
          </cell>
          <cell r="Z1060" t="str">
            <v>NA</v>
          </cell>
          <cell r="AA1060" t="str">
            <v>NA</v>
          </cell>
        </row>
        <row r="1061">
          <cell r="A1061">
            <v>45147</v>
          </cell>
          <cell r="B1061" t="str">
            <v>A1</v>
          </cell>
          <cell r="C1061">
            <v>3</v>
          </cell>
          <cell r="D1061">
            <v>3</v>
          </cell>
          <cell r="E1061" t="str">
            <v>ARIS.A1.Aim3.Bin3.LB</v>
          </cell>
          <cell r="F1061">
            <v>4</v>
          </cell>
          <cell r="G1061" t="str">
            <v>Unweighted</v>
          </cell>
          <cell r="H1061" t="str">
            <v>N</v>
          </cell>
          <cell r="I1061" t="str">
            <v>Y</v>
          </cell>
          <cell r="J1061">
            <v>153</v>
          </cell>
          <cell r="K1061">
            <v>1</v>
          </cell>
          <cell r="L1061">
            <v>0.12759999999999999</v>
          </cell>
          <cell r="M1061">
            <v>23.7</v>
          </cell>
          <cell r="N1061">
            <v>12.1</v>
          </cell>
          <cell r="O1061">
            <v>0.87239999999999995</v>
          </cell>
          <cell r="P1061">
            <v>4.3400000000000001E-2</v>
          </cell>
          <cell r="Q1061">
            <v>0.4698</v>
          </cell>
          <cell r="R1061">
            <v>0.35920000000000002</v>
          </cell>
          <cell r="S1061" t="str">
            <v>NA</v>
          </cell>
          <cell r="T1061">
            <v>59.4</v>
          </cell>
          <cell r="U1061">
            <v>4.8</v>
          </cell>
          <cell r="V1061">
            <v>74.900000000000006</v>
          </cell>
          <cell r="W1061">
            <v>7.6</v>
          </cell>
          <cell r="X1061">
            <v>52.4</v>
          </cell>
          <cell r="Y1061">
            <v>6.8</v>
          </cell>
          <cell r="Z1061" t="str">
            <v>NA</v>
          </cell>
          <cell r="AA1061" t="str">
            <v>NA</v>
          </cell>
        </row>
        <row r="1062">
          <cell r="A1062">
            <v>45147</v>
          </cell>
          <cell r="B1062" t="str">
            <v>A1</v>
          </cell>
          <cell r="C1062">
            <v>4</v>
          </cell>
          <cell r="D1062">
            <v>3</v>
          </cell>
          <cell r="E1062" t="str">
            <v>ARIS.A1.Aim3.Bin4.LB</v>
          </cell>
          <cell r="F1062">
            <v>4</v>
          </cell>
          <cell r="G1062" t="str">
            <v>Unweighted</v>
          </cell>
          <cell r="H1062" t="str">
            <v>N</v>
          </cell>
          <cell r="I1062" t="str">
            <v>Y</v>
          </cell>
          <cell r="J1062">
            <v>153</v>
          </cell>
          <cell r="K1062">
            <v>1</v>
          </cell>
          <cell r="L1062">
            <v>0.12759999999999999</v>
          </cell>
          <cell r="M1062">
            <v>23.7</v>
          </cell>
          <cell r="N1062">
            <v>12.1</v>
          </cell>
          <cell r="O1062">
            <v>0.87239999999999995</v>
          </cell>
          <cell r="P1062">
            <v>4.3400000000000001E-2</v>
          </cell>
          <cell r="Q1062">
            <v>0.4698</v>
          </cell>
          <cell r="R1062">
            <v>0.35920000000000002</v>
          </cell>
          <cell r="S1062" t="str">
            <v>NA</v>
          </cell>
          <cell r="T1062">
            <v>59.4</v>
          </cell>
          <cell r="U1062">
            <v>4.8</v>
          </cell>
          <cell r="V1062">
            <v>74.900000000000006</v>
          </cell>
          <cell r="W1062">
            <v>7.6</v>
          </cell>
          <cell r="X1062">
            <v>52.4</v>
          </cell>
          <cell r="Y1062">
            <v>6.8</v>
          </cell>
          <cell r="Z1062" t="str">
            <v>NA</v>
          </cell>
          <cell r="AA1062" t="str">
            <v>NA</v>
          </cell>
        </row>
        <row r="1063">
          <cell r="A1063">
            <v>45147</v>
          </cell>
          <cell r="B1063" t="str">
            <v>A2</v>
          </cell>
          <cell r="C1063">
            <v>1</v>
          </cell>
          <cell r="D1063">
            <v>1</v>
          </cell>
          <cell r="E1063" t="str">
            <v>ARIS.A2.Aim1.Bin1.RB</v>
          </cell>
          <cell r="F1063">
            <v>4</v>
          </cell>
          <cell r="G1063" t="str">
            <v>Unweighted</v>
          </cell>
          <cell r="H1063" t="str">
            <v>N</v>
          </cell>
          <cell r="I1063" t="str">
            <v>Y</v>
          </cell>
          <cell r="J1063">
            <v>180</v>
          </cell>
          <cell r="K1063">
            <v>1.0001</v>
          </cell>
          <cell r="L1063">
            <v>0.87870000000000004</v>
          </cell>
          <cell r="M1063">
            <v>20.7</v>
          </cell>
          <cell r="N1063">
            <v>6.7</v>
          </cell>
          <cell r="O1063">
            <v>0.12139999999999999</v>
          </cell>
          <cell r="P1063">
            <v>1.4E-2</v>
          </cell>
          <cell r="Q1063">
            <v>1.72E-2</v>
          </cell>
          <cell r="R1063">
            <v>9.0200000000000002E-2</v>
          </cell>
          <cell r="S1063" t="str">
            <v>NA</v>
          </cell>
          <cell r="T1063">
            <v>59.4</v>
          </cell>
          <cell r="U1063">
            <v>4.8</v>
          </cell>
          <cell r="V1063">
            <v>74.900000000000006</v>
          </cell>
          <cell r="W1063">
            <v>7.6</v>
          </cell>
          <cell r="X1063">
            <v>52.4</v>
          </cell>
          <cell r="Y1063">
            <v>6.8</v>
          </cell>
          <cell r="Z1063" t="str">
            <v>NA</v>
          </cell>
          <cell r="AA1063" t="str">
            <v>NA</v>
          </cell>
        </row>
        <row r="1064">
          <cell r="A1064">
            <v>45147</v>
          </cell>
          <cell r="B1064" t="str">
            <v>A2</v>
          </cell>
          <cell r="C1064">
            <v>2</v>
          </cell>
          <cell r="D1064">
            <v>1</v>
          </cell>
          <cell r="E1064" t="str">
            <v>ARIS.A2.Aim1.Bin2.RB</v>
          </cell>
          <cell r="F1064">
            <v>4</v>
          </cell>
          <cell r="G1064" t="str">
            <v>Unweighted</v>
          </cell>
          <cell r="H1064" t="str">
            <v>N</v>
          </cell>
          <cell r="I1064" t="str">
            <v>Y</v>
          </cell>
          <cell r="J1064">
            <v>164</v>
          </cell>
          <cell r="K1064">
            <v>0.99990000000000001</v>
          </cell>
          <cell r="L1064">
            <v>0.60760000000000003</v>
          </cell>
          <cell r="M1064">
            <v>26.8</v>
          </cell>
          <cell r="N1064">
            <v>6.7</v>
          </cell>
          <cell r="O1064">
            <v>0.39229999999999998</v>
          </cell>
          <cell r="P1064">
            <v>3.4799999999999998E-2</v>
          </cell>
          <cell r="Q1064">
            <v>9.4500000000000001E-2</v>
          </cell>
          <cell r="R1064">
            <v>0.26300000000000001</v>
          </cell>
          <cell r="S1064" t="str">
            <v>NA</v>
          </cell>
          <cell r="T1064">
            <v>59.4</v>
          </cell>
          <cell r="U1064">
            <v>4.8</v>
          </cell>
          <cell r="V1064">
            <v>74.900000000000006</v>
          </cell>
          <cell r="W1064">
            <v>7.6</v>
          </cell>
          <cell r="X1064">
            <v>52.4</v>
          </cell>
          <cell r="Y1064">
            <v>6.8</v>
          </cell>
          <cell r="Z1064" t="str">
            <v>NA</v>
          </cell>
          <cell r="AA1064" t="str">
            <v>NA</v>
          </cell>
        </row>
        <row r="1065">
          <cell r="A1065">
            <v>45147</v>
          </cell>
          <cell r="B1065" t="str">
            <v>A2</v>
          </cell>
          <cell r="C1065">
            <v>3</v>
          </cell>
          <cell r="D1065">
            <v>1</v>
          </cell>
          <cell r="E1065" t="str">
            <v>ARIS.A2.Aim1.Bin3.RB</v>
          </cell>
          <cell r="F1065">
            <v>4</v>
          </cell>
          <cell r="G1065" t="str">
            <v>Unweighted</v>
          </cell>
          <cell r="H1065" t="str">
            <v>N</v>
          </cell>
          <cell r="I1065" t="str">
            <v>Y</v>
          </cell>
          <cell r="J1065">
            <v>155</v>
          </cell>
          <cell r="K1065">
            <v>1</v>
          </cell>
          <cell r="L1065">
            <v>0.2571</v>
          </cell>
          <cell r="M1065">
            <v>29.3</v>
          </cell>
          <cell r="N1065">
            <v>3.6</v>
          </cell>
          <cell r="O1065">
            <v>0.7429</v>
          </cell>
          <cell r="P1065">
            <v>0</v>
          </cell>
          <cell r="Q1065">
            <v>0.29139999999999999</v>
          </cell>
          <cell r="R1065">
            <v>0.45150000000000001</v>
          </cell>
          <cell r="S1065" t="str">
            <v>NA</v>
          </cell>
          <cell r="T1065">
            <v>59.4</v>
          </cell>
          <cell r="U1065">
            <v>4.8</v>
          </cell>
          <cell r="V1065">
            <v>74.900000000000006</v>
          </cell>
          <cell r="W1065">
            <v>7.6</v>
          </cell>
          <cell r="X1065">
            <v>52.4</v>
          </cell>
          <cell r="Y1065">
            <v>6.8</v>
          </cell>
          <cell r="Z1065" t="str">
            <v>NA</v>
          </cell>
          <cell r="AA1065" t="str">
            <v>NA</v>
          </cell>
        </row>
        <row r="1066">
          <cell r="A1066">
            <v>45147</v>
          </cell>
          <cell r="B1066" t="str">
            <v>A2</v>
          </cell>
          <cell r="C1066">
            <v>4</v>
          </cell>
          <cell r="D1066">
            <v>1</v>
          </cell>
          <cell r="E1066" t="str">
            <v>ARIS.A2.Aim1.Bin4.RB</v>
          </cell>
          <cell r="F1066">
            <v>4</v>
          </cell>
          <cell r="G1066" t="str">
            <v>Unweighted</v>
          </cell>
          <cell r="H1066" t="str">
            <v>N</v>
          </cell>
          <cell r="I1066" t="str">
            <v>Y</v>
          </cell>
          <cell r="J1066">
            <v>155</v>
          </cell>
          <cell r="K1066">
            <v>1</v>
          </cell>
          <cell r="L1066">
            <v>0.2571</v>
          </cell>
          <cell r="M1066">
            <v>29.3</v>
          </cell>
          <cell r="N1066">
            <v>3.6</v>
          </cell>
          <cell r="O1066">
            <v>0.7429</v>
          </cell>
          <cell r="P1066">
            <v>0</v>
          </cell>
          <cell r="Q1066">
            <v>0.29139999999999999</v>
          </cell>
          <cell r="R1066">
            <v>0.45150000000000001</v>
          </cell>
          <cell r="S1066" t="str">
            <v>NA</v>
          </cell>
          <cell r="T1066">
            <v>59.4</v>
          </cell>
          <cell r="U1066">
            <v>4.8</v>
          </cell>
          <cell r="V1066">
            <v>74.900000000000006</v>
          </cell>
          <cell r="W1066">
            <v>7.6</v>
          </cell>
          <cell r="X1066">
            <v>52.4</v>
          </cell>
          <cell r="Y1066">
            <v>6.8</v>
          </cell>
          <cell r="Z1066" t="str">
            <v>NA</v>
          </cell>
          <cell r="AA1066" t="str">
            <v>NA</v>
          </cell>
        </row>
        <row r="1067">
          <cell r="A1067">
            <v>45147</v>
          </cell>
          <cell r="B1067" t="str">
            <v>A1</v>
          </cell>
          <cell r="C1067">
            <v>1</v>
          </cell>
          <cell r="D1067">
            <v>1</v>
          </cell>
          <cell r="E1067" t="str">
            <v>ARIS.A1.Aim1.Bin1.LB</v>
          </cell>
          <cell r="F1067">
            <v>4</v>
          </cell>
          <cell r="G1067" t="str">
            <v>SplineDFA</v>
          </cell>
          <cell r="H1067" t="str">
            <v>Y</v>
          </cell>
          <cell r="I1067" t="str">
            <v>N</v>
          </cell>
          <cell r="J1067">
            <v>146</v>
          </cell>
          <cell r="K1067">
            <v>1</v>
          </cell>
          <cell r="L1067">
            <v>0.7298</v>
          </cell>
          <cell r="M1067">
            <v>23.7</v>
          </cell>
          <cell r="N1067">
            <v>2.7</v>
          </cell>
          <cell r="O1067">
            <v>0.2702</v>
          </cell>
          <cell r="P1067">
            <v>5.9200000000000003E-2</v>
          </cell>
          <cell r="Q1067">
            <v>2.8299999999999999E-2</v>
          </cell>
          <cell r="R1067">
            <v>0.1827</v>
          </cell>
          <cell r="S1067" t="str">
            <v>NA</v>
          </cell>
          <cell r="T1067">
            <v>59.4</v>
          </cell>
          <cell r="U1067">
            <v>4.8</v>
          </cell>
          <cell r="V1067">
            <v>74.900000000000006</v>
          </cell>
          <cell r="W1067">
            <v>7.6</v>
          </cell>
          <cell r="X1067">
            <v>52.4</v>
          </cell>
          <cell r="Y1067">
            <v>6.8</v>
          </cell>
          <cell r="Z1067" t="str">
            <v>NA</v>
          </cell>
          <cell r="AA1067" t="str">
            <v>NA</v>
          </cell>
        </row>
        <row r="1068">
          <cell r="A1068">
            <v>45147</v>
          </cell>
          <cell r="B1068" t="str">
            <v>A1</v>
          </cell>
          <cell r="C1068">
            <v>1</v>
          </cell>
          <cell r="D1068">
            <v>2</v>
          </cell>
          <cell r="E1068" t="str">
            <v>ARIS.A1.Aim2.Bin1.LB</v>
          </cell>
          <cell r="F1068">
            <v>4</v>
          </cell>
          <cell r="G1068" t="str">
            <v>SplineDFA</v>
          </cell>
          <cell r="H1068" t="str">
            <v>Y</v>
          </cell>
          <cell r="I1068" t="str">
            <v>N</v>
          </cell>
          <cell r="J1068">
            <v>159</v>
          </cell>
          <cell r="K1068">
            <v>1</v>
          </cell>
          <cell r="L1068">
            <v>0.76680000000000004</v>
          </cell>
          <cell r="M1068">
            <v>23.7</v>
          </cell>
          <cell r="N1068">
            <v>2.7</v>
          </cell>
          <cell r="O1068">
            <v>0.23319999999999999</v>
          </cell>
          <cell r="P1068">
            <v>8.9300000000000004E-2</v>
          </cell>
          <cell r="Q1068">
            <v>2.01E-2</v>
          </cell>
          <cell r="R1068">
            <v>0.12379999999999999</v>
          </cell>
          <cell r="S1068" t="str">
            <v>NA</v>
          </cell>
          <cell r="T1068">
            <v>59.4</v>
          </cell>
          <cell r="U1068">
            <v>4.8</v>
          </cell>
          <cell r="V1068">
            <v>74.900000000000006</v>
          </cell>
          <cell r="W1068">
            <v>7.6</v>
          </cell>
          <cell r="X1068">
            <v>52.4</v>
          </cell>
          <cell r="Y1068">
            <v>6.8</v>
          </cell>
          <cell r="Z1068" t="str">
            <v>NA</v>
          </cell>
          <cell r="AA1068" t="str">
            <v>NA</v>
          </cell>
        </row>
        <row r="1069">
          <cell r="A1069">
            <v>45147</v>
          </cell>
          <cell r="B1069" t="str">
            <v>A1</v>
          </cell>
          <cell r="C1069">
            <v>2</v>
          </cell>
          <cell r="D1069">
            <v>3</v>
          </cell>
          <cell r="E1069" t="str">
            <v>ARIS.A1.Aim3.Bin2.LB</v>
          </cell>
          <cell r="F1069">
            <v>4</v>
          </cell>
          <cell r="G1069" t="str">
            <v>SplineDFA</v>
          </cell>
          <cell r="H1069" t="str">
            <v>Y</v>
          </cell>
          <cell r="I1069" t="str">
            <v>N</v>
          </cell>
          <cell r="J1069">
            <v>172</v>
          </cell>
          <cell r="K1069">
            <v>1</v>
          </cell>
          <cell r="L1069">
            <v>0.25679999999999997</v>
          </cell>
          <cell r="M1069">
            <v>23.7</v>
          </cell>
          <cell r="N1069">
            <v>2.7</v>
          </cell>
          <cell r="O1069">
            <v>0.74319999999999997</v>
          </cell>
          <cell r="P1069">
            <v>0.2298</v>
          </cell>
          <cell r="Q1069">
            <v>0.15989999999999999</v>
          </cell>
          <cell r="R1069">
            <v>0.35349999999999998</v>
          </cell>
          <cell r="S1069" t="str">
            <v>NA</v>
          </cell>
          <cell r="T1069">
            <v>59.4</v>
          </cell>
          <cell r="U1069">
            <v>4.8</v>
          </cell>
          <cell r="V1069">
            <v>74.900000000000006</v>
          </cell>
          <cell r="W1069">
            <v>7.6</v>
          </cell>
          <cell r="X1069">
            <v>52.4</v>
          </cell>
          <cell r="Y1069">
            <v>6.8</v>
          </cell>
          <cell r="Z1069" t="str">
            <v>NA</v>
          </cell>
          <cell r="AA1069" t="str">
            <v>NA</v>
          </cell>
        </row>
        <row r="1070">
          <cell r="A1070">
            <v>45147</v>
          </cell>
          <cell r="B1070" t="str">
            <v>A1</v>
          </cell>
          <cell r="C1070">
            <v>3</v>
          </cell>
          <cell r="D1070">
            <v>3</v>
          </cell>
          <cell r="E1070" t="str">
            <v>ARIS.A1.Aim3.Bin3.LB</v>
          </cell>
          <cell r="F1070">
            <v>4</v>
          </cell>
          <cell r="G1070" t="str">
            <v>SplineDFA</v>
          </cell>
          <cell r="H1070" t="str">
            <v>Y</v>
          </cell>
          <cell r="I1070" t="str">
            <v>N</v>
          </cell>
          <cell r="J1070">
            <v>153</v>
          </cell>
          <cell r="K1070">
            <v>1</v>
          </cell>
          <cell r="L1070">
            <v>4.8599999999999997E-2</v>
          </cell>
          <cell r="M1070">
            <v>23.7</v>
          </cell>
          <cell r="N1070">
            <v>2.7</v>
          </cell>
          <cell r="O1070">
            <v>0.95140000000000002</v>
          </cell>
          <cell r="P1070">
            <v>0.2283</v>
          </cell>
          <cell r="Q1070">
            <v>0.34289999999999998</v>
          </cell>
          <cell r="R1070">
            <v>0.38019999999999998</v>
          </cell>
          <cell r="S1070" t="str">
            <v>NA</v>
          </cell>
          <cell r="T1070">
            <v>59.4</v>
          </cell>
          <cell r="U1070">
            <v>4.8</v>
          </cell>
          <cell r="V1070">
            <v>74.900000000000006</v>
          </cell>
          <cell r="W1070">
            <v>7.6</v>
          </cell>
          <cell r="X1070">
            <v>52.4</v>
          </cell>
          <cell r="Y1070">
            <v>6.8</v>
          </cell>
          <cell r="Z1070" t="str">
            <v>NA</v>
          </cell>
          <cell r="AA1070" t="str">
            <v>NA</v>
          </cell>
        </row>
        <row r="1071">
          <cell r="A1071">
            <v>45147</v>
          </cell>
          <cell r="B1071" t="str">
            <v>A1</v>
          </cell>
          <cell r="C1071">
            <v>4</v>
          </cell>
          <cell r="D1071">
            <v>3</v>
          </cell>
          <cell r="E1071" t="str">
            <v>ARIS.A1.Aim3.Bin4.LB</v>
          </cell>
          <cell r="F1071">
            <v>4</v>
          </cell>
          <cell r="G1071" t="str">
            <v>SplineDFA</v>
          </cell>
          <cell r="H1071" t="str">
            <v>Y</v>
          </cell>
          <cell r="I1071" t="str">
            <v>N</v>
          </cell>
          <cell r="J1071">
            <v>153</v>
          </cell>
          <cell r="K1071">
            <v>1</v>
          </cell>
          <cell r="L1071">
            <v>4.8599999999999997E-2</v>
          </cell>
          <cell r="M1071">
            <v>23.7</v>
          </cell>
          <cell r="N1071">
            <v>2.7</v>
          </cell>
          <cell r="O1071">
            <v>0.95140000000000002</v>
          </cell>
          <cell r="P1071">
            <v>0.2283</v>
          </cell>
          <cell r="Q1071">
            <v>0.34289999999999998</v>
          </cell>
          <cell r="R1071">
            <v>0.38019999999999998</v>
          </cell>
          <cell r="S1071" t="str">
            <v>NA</v>
          </cell>
          <cell r="T1071">
            <v>59.4</v>
          </cell>
          <cell r="U1071">
            <v>4.8</v>
          </cell>
          <cell r="V1071">
            <v>74.900000000000006</v>
          </cell>
          <cell r="W1071">
            <v>7.6</v>
          </cell>
          <cell r="X1071">
            <v>52.4</v>
          </cell>
          <cell r="Y1071">
            <v>6.8</v>
          </cell>
          <cell r="Z1071" t="str">
            <v>NA</v>
          </cell>
          <cell r="AA1071" t="str">
            <v>NA</v>
          </cell>
        </row>
        <row r="1072">
          <cell r="A1072">
            <v>45147</v>
          </cell>
          <cell r="B1072" t="str">
            <v>A2</v>
          </cell>
          <cell r="C1072">
            <v>1</v>
          </cell>
          <cell r="D1072">
            <v>1</v>
          </cell>
          <cell r="E1072" t="str">
            <v>ARIS.A2.Aim1.Bin1.RB</v>
          </cell>
          <cell r="F1072">
            <v>4</v>
          </cell>
          <cell r="G1072" t="str">
            <v>SplineDFA</v>
          </cell>
          <cell r="H1072" t="str">
            <v>Y</v>
          </cell>
          <cell r="I1072" t="str">
            <v>N</v>
          </cell>
          <cell r="J1072">
            <v>180</v>
          </cell>
          <cell r="K1072">
            <v>1</v>
          </cell>
          <cell r="L1072">
            <v>0.8629</v>
          </cell>
          <cell r="M1072">
            <v>23.7</v>
          </cell>
          <cell r="N1072">
            <v>2.7</v>
          </cell>
          <cell r="O1072">
            <v>0.1371</v>
          </cell>
          <cell r="P1072">
            <v>4.6899999999999997E-2</v>
          </cell>
          <cell r="Q1072">
            <v>7.7000000000000002E-3</v>
          </cell>
          <cell r="R1072">
            <v>8.2500000000000004E-2</v>
          </cell>
          <cell r="S1072" t="str">
            <v>NA</v>
          </cell>
          <cell r="T1072">
            <v>59.4</v>
          </cell>
          <cell r="U1072">
            <v>4.8</v>
          </cell>
          <cell r="V1072">
            <v>74.900000000000006</v>
          </cell>
          <cell r="W1072">
            <v>7.6</v>
          </cell>
          <cell r="X1072">
            <v>52.4</v>
          </cell>
          <cell r="Y1072">
            <v>6.8</v>
          </cell>
          <cell r="Z1072" t="str">
            <v>NA</v>
          </cell>
          <cell r="AA1072" t="str">
            <v>NA</v>
          </cell>
        </row>
        <row r="1073">
          <cell r="A1073">
            <v>45147</v>
          </cell>
          <cell r="B1073" t="str">
            <v>A2</v>
          </cell>
          <cell r="C1073">
            <v>2</v>
          </cell>
          <cell r="D1073">
            <v>1</v>
          </cell>
          <cell r="E1073" t="str">
            <v>ARIS.A2.Aim1.Bin2.RB</v>
          </cell>
          <cell r="F1073">
            <v>4</v>
          </cell>
          <cell r="G1073" t="str">
            <v>SplineDFA</v>
          </cell>
          <cell r="H1073" t="str">
            <v>Y</v>
          </cell>
          <cell r="I1073" t="str">
            <v>N</v>
          </cell>
          <cell r="J1073">
            <v>164</v>
          </cell>
          <cell r="K1073">
            <v>0.99990000000000001</v>
          </cell>
          <cell r="L1073">
            <v>0.49230000000000002</v>
          </cell>
          <cell r="M1073">
            <v>23.7</v>
          </cell>
          <cell r="N1073">
            <v>2.7</v>
          </cell>
          <cell r="O1073">
            <v>0.50760000000000005</v>
          </cell>
          <cell r="P1073">
            <v>0.15310000000000001</v>
          </cell>
          <cell r="Q1073">
            <v>0.10630000000000001</v>
          </cell>
          <cell r="R1073">
            <v>0.2482</v>
          </cell>
          <cell r="S1073" t="str">
            <v>NA</v>
          </cell>
          <cell r="T1073">
            <v>59.4</v>
          </cell>
          <cell r="U1073">
            <v>4.8</v>
          </cell>
          <cell r="V1073">
            <v>74.900000000000006</v>
          </cell>
          <cell r="W1073">
            <v>7.6</v>
          </cell>
          <cell r="X1073">
            <v>52.4</v>
          </cell>
          <cell r="Y1073">
            <v>6.8</v>
          </cell>
          <cell r="Z1073" t="str">
            <v>NA</v>
          </cell>
          <cell r="AA1073" t="str">
            <v>NA</v>
          </cell>
        </row>
        <row r="1074">
          <cell r="A1074">
            <v>45147</v>
          </cell>
          <cell r="B1074" t="str">
            <v>A2</v>
          </cell>
          <cell r="C1074">
            <v>3</v>
          </cell>
          <cell r="D1074">
            <v>1</v>
          </cell>
          <cell r="E1074" t="str">
            <v>ARIS.A2.Aim1.Bin3.RB</v>
          </cell>
          <cell r="F1074">
            <v>4</v>
          </cell>
          <cell r="G1074" t="str">
            <v>SplineDFA</v>
          </cell>
          <cell r="H1074" t="str">
            <v>Y</v>
          </cell>
          <cell r="I1074" t="str">
            <v>N</v>
          </cell>
          <cell r="J1074">
            <v>155</v>
          </cell>
          <cell r="K1074">
            <v>1</v>
          </cell>
          <cell r="L1074">
            <v>0.16969999999999999</v>
          </cell>
          <cell r="M1074">
            <v>23.7</v>
          </cell>
          <cell r="N1074">
            <v>2.7</v>
          </cell>
          <cell r="O1074">
            <v>0.83030000000000004</v>
          </cell>
          <cell r="P1074">
            <v>0.1103</v>
          </cell>
          <cell r="Q1074">
            <v>0.26750000000000002</v>
          </cell>
          <cell r="R1074">
            <v>0.45250000000000001</v>
          </cell>
          <cell r="S1074" t="str">
            <v>NA</v>
          </cell>
          <cell r="T1074">
            <v>59.4</v>
          </cell>
          <cell r="U1074">
            <v>4.8</v>
          </cell>
          <cell r="V1074">
            <v>74.900000000000006</v>
          </cell>
          <cell r="W1074">
            <v>7.6</v>
          </cell>
          <cell r="X1074">
            <v>52.4</v>
          </cell>
          <cell r="Y1074">
            <v>6.8</v>
          </cell>
          <cell r="Z1074" t="str">
            <v>NA</v>
          </cell>
          <cell r="AA1074" t="str">
            <v>NA</v>
          </cell>
        </row>
        <row r="1075">
          <cell r="A1075">
            <v>45147</v>
          </cell>
          <cell r="B1075" t="str">
            <v>A2</v>
          </cell>
          <cell r="C1075">
            <v>4</v>
          </cell>
          <cell r="D1075">
            <v>1</v>
          </cell>
          <cell r="E1075" t="str">
            <v>ARIS.A2.Aim1.Bin4.RB</v>
          </cell>
          <cell r="F1075">
            <v>4</v>
          </cell>
          <cell r="G1075" t="str">
            <v>SplineDFA</v>
          </cell>
          <cell r="H1075" t="str">
            <v>Y</v>
          </cell>
          <cell r="I1075" t="str">
            <v>N</v>
          </cell>
          <cell r="J1075">
            <v>155</v>
          </cell>
          <cell r="K1075">
            <v>1</v>
          </cell>
          <cell r="L1075">
            <v>0.16969999999999999</v>
          </cell>
          <cell r="M1075">
            <v>23.7</v>
          </cell>
          <cell r="N1075">
            <v>2.7</v>
          </cell>
          <cell r="O1075">
            <v>0.83030000000000004</v>
          </cell>
          <cell r="P1075">
            <v>0.1103</v>
          </cell>
          <cell r="Q1075">
            <v>0.26750000000000002</v>
          </cell>
          <cell r="R1075">
            <v>0.45250000000000001</v>
          </cell>
          <cell r="S1075" t="str">
            <v>NA</v>
          </cell>
          <cell r="T1075">
            <v>59.4</v>
          </cell>
          <cell r="U1075">
            <v>4.8</v>
          </cell>
          <cell r="V1075">
            <v>74.900000000000006</v>
          </cell>
          <cell r="W1075">
            <v>7.6</v>
          </cell>
          <cell r="X1075">
            <v>52.4</v>
          </cell>
          <cell r="Y1075">
            <v>6.8</v>
          </cell>
          <cell r="Z1075" t="str">
            <v>NA</v>
          </cell>
          <cell r="AA1075" t="str">
            <v>NA</v>
          </cell>
        </row>
        <row r="1076">
          <cell r="A1076">
            <v>45148</v>
          </cell>
          <cell r="B1076" t="str">
            <v>A1</v>
          </cell>
          <cell r="C1076">
            <v>1</v>
          </cell>
          <cell r="D1076">
            <v>1</v>
          </cell>
          <cell r="E1076" t="str">
            <v>ARIS.A1.Aim1.Bin1.LB</v>
          </cell>
          <cell r="F1076">
            <v>4</v>
          </cell>
          <cell r="G1076" t="str">
            <v>Unweighted</v>
          </cell>
          <cell r="H1076" t="str">
            <v>N</v>
          </cell>
          <cell r="I1076" t="str">
            <v>Y</v>
          </cell>
          <cell r="J1076">
            <v>162</v>
          </cell>
          <cell r="K1076">
            <v>1.0001</v>
          </cell>
          <cell r="L1076">
            <v>0.68610000000000004</v>
          </cell>
          <cell r="M1076">
            <v>22</v>
          </cell>
          <cell r="N1076">
            <v>9.3000000000000007</v>
          </cell>
          <cell r="O1076">
            <v>0.314</v>
          </cell>
          <cell r="P1076">
            <v>0.16569999999999999</v>
          </cell>
          <cell r="Q1076">
            <v>6.4000000000000003E-3</v>
          </cell>
          <cell r="R1076">
            <v>0.1419</v>
          </cell>
          <cell r="S1076" t="str">
            <v>NA</v>
          </cell>
          <cell r="T1076">
            <v>59.4</v>
          </cell>
          <cell r="U1076">
            <v>4.8</v>
          </cell>
          <cell r="V1076">
            <v>74.900000000000006</v>
          </cell>
          <cell r="W1076">
            <v>7.6</v>
          </cell>
          <cell r="X1076">
            <v>51.9</v>
          </cell>
          <cell r="Y1076">
            <v>6.7</v>
          </cell>
          <cell r="Z1076" t="str">
            <v>NA</v>
          </cell>
          <cell r="AA1076" t="str">
            <v>NA</v>
          </cell>
        </row>
        <row r="1077">
          <cell r="A1077">
            <v>45148</v>
          </cell>
          <cell r="B1077" t="str">
            <v>A1</v>
          </cell>
          <cell r="C1077">
            <v>1</v>
          </cell>
          <cell r="D1077">
            <v>2</v>
          </cell>
          <cell r="E1077" t="str">
            <v>ARIS.A1.Aim2.Bin1.LB</v>
          </cell>
          <cell r="F1077">
            <v>4</v>
          </cell>
          <cell r="G1077" t="str">
            <v>Unweighted</v>
          </cell>
          <cell r="H1077" t="str">
            <v>N</v>
          </cell>
          <cell r="I1077" t="str">
            <v>Y</v>
          </cell>
          <cell r="J1077">
            <v>171</v>
          </cell>
          <cell r="K1077">
            <v>1</v>
          </cell>
          <cell r="L1077">
            <v>0.44869999999999999</v>
          </cell>
          <cell r="M1077">
            <v>21.2</v>
          </cell>
          <cell r="N1077">
            <v>9.1999999999999993</v>
          </cell>
          <cell r="O1077">
            <v>0.55130000000000001</v>
          </cell>
          <cell r="P1077">
            <v>0.39539999999999997</v>
          </cell>
          <cell r="Q1077">
            <v>2.8E-3</v>
          </cell>
          <cell r="R1077">
            <v>0.15310000000000001</v>
          </cell>
          <cell r="S1077" t="str">
            <v>NA</v>
          </cell>
          <cell r="T1077">
            <v>59.4</v>
          </cell>
          <cell r="U1077">
            <v>4.8</v>
          </cell>
          <cell r="V1077">
            <v>74.900000000000006</v>
          </cell>
          <cell r="W1077">
            <v>7.6</v>
          </cell>
          <cell r="X1077">
            <v>51.9</v>
          </cell>
          <cell r="Y1077">
            <v>6.7</v>
          </cell>
          <cell r="Z1077" t="str">
            <v>NA</v>
          </cell>
          <cell r="AA1077" t="str">
            <v>NA</v>
          </cell>
        </row>
        <row r="1078">
          <cell r="A1078">
            <v>45148</v>
          </cell>
          <cell r="B1078" t="str">
            <v>A1</v>
          </cell>
          <cell r="C1078">
            <v>1</v>
          </cell>
          <cell r="D1078" t="str">
            <v>1&amp;2</v>
          </cell>
          <cell r="E1078" t="str">
            <v>ARIS.A1.Aim1&amp;Aim2.Bin1.LB</v>
          </cell>
          <cell r="F1078">
            <v>4</v>
          </cell>
          <cell r="G1078" t="str">
            <v>Unweighted</v>
          </cell>
          <cell r="H1078" t="str">
            <v>N</v>
          </cell>
          <cell r="I1078" t="str">
            <v>Y</v>
          </cell>
          <cell r="J1078">
            <v>333</v>
          </cell>
          <cell r="K1078">
            <v>1.0001</v>
          </cell>
          <cell r="L1078">
            <v>0.56640000000000001</v>
          </cell>
          <cell r="M1078">
            <v>21.8</v>
          </cell>
          <cell r="N1078">
            <v>9.3000000000000007</v>
          </cell>
          <cell r="O1078">
            <v>0.43369999999999997</v>
          </cell>
          <cell r="P1078">
            <v>0.28770000000000001</v>
          </cell>
          <cell r="Q1078">
            <v>4.4999999999999997E-3</v>
          </cell>
          <cell r="R1078">
            <v>0.14149999999999999</v>
          </cell>
          <cell r="S1078" t="str">
            <v>NA</v>
          </cell>
          <cell r="T1078">
            <v>59.4</v>
          </cell>
          <cell r="U1078">
            <v>4.8</v>
          </cell>
          <cell r="V1078">
            <v>74.900000000000006</v>
          </cell>
          <cell r="W1078">
            <v>7.6</v>
          </cell>
          <cell r="X1078">
            <v>51.9</v>
          </cell>
          <cell r="Y1078">
            <v>6.7</v>
          </cell>
          <cell r="Z1078" t="str">
            <v>NA</v>
          </cell>
          <cell r="AA1078" t="str">
            <v>NA</v>
          </cell>
        </row>
        <row r="1079">
          <cell r="A1079">
            <v>45148</v>
          </cell>
          <cell r="B1079" t="str">
            <v>A1</v>
          </cell>
          <cell r="C1079">
            <v>2</v>
          </cell>
          <cell r="D1079">
            <v>3</v>
          </cell>
          <cell r="E1079" t="str">
            <v>ARIS.A1.Aim3.Bin2.LB</v>
          </cell>
          <cell r="F1079">
            <v>4</v>
          </cell>
          <cell r="G1079" t="str">
            <v>Unweighted</v>
          </cell>
          <cell r="H1079" t="str">
            <v>N</v>
          </cell>
          <cell r="I1079" t="str">
            <v>Y</v>
          </cell>
          <cell r="J1079">
            <v>165</v>
          </cell>
          <cell r="K1079">
            <v>1</v>
          </cell>
          <cell r="L1079">
            <v>0.1714</v>
          </cell>
          <cell r="M1079">
            <v>26.4</v>
          </cell>
          <cell r="N1079">
            <v>7.1</v>
          </cell>
          <cell r="O1079">
            <v>0.8286</v>
          </cell>
          <cell r="P1079">
            <v>0.50470000000000004</v>
          </cell>
          <cell r="Q1079">
            <v>0.21010000000000001</v>
          </cell>
          <cell r="R1079">
            <v>0.1138</v>
          </cell>
          <cell r="S1079" t="str">
            <v>NA</v>
          </cell>
          <cell r="T1079">
            <v>59.4</v>
          </cell>
          <cell r="U1079">
            <v>4.8</v>
          </cell>
          <cell r="V1079">
            <v>74.900000000000006</v>
          </cell>
          <cell r="W1079">
            <v>7.6</v>
          </cell>
          <cell r="X1079">
            <v>51.9</v>
          </cell>
          <cell r="Y1079">
            <v>6.7</v>
          </cell>
          <cell r="Z1079" t="str">
            <v>NA</v>
          </cell>
          <cell r="AA1079" t="str">
            <v>NA</v>
          </cell>
        </row>
        <row r="1080">
          <cell r="A1080">
            <v>45148</v>
          </cell>
          <cell r="B1080" t="str">
            <v>A1</v>
          </cell>
          <cell r="C1080">
            <v>3</v>
          </cell>
          <cell r="D1080">
            <v>3</v>
          </cell>
          <cell r="E1080" t="str">
            <v>ARIS.A1.Aim3.Bin3.LB</v>
          </cell>
          <cell r="F1080">
            <v>4</v>
          </cell>
          <cell r="G1080" t="str">
            <v>Unweighted</v>
          </cell>
          <cell r="H1080" t="str">
            <v>N</v>
          </cell>
          <cell r="I1080" t="str">
            <v>Y</v>
          </cell>
          <cell r="J1080">
            <v>191</v>
          </cell>
          <cell r="K1080">
            <v>1</v>
          </cell>
          <cell r="L1080">
            <v>0.14380000000000001</v>
          </cell>
          <cell r="M1080">
            <v>23.7</v>
          </cell>
          <cell r="N1080">
            <v>12.6</v>
          </cell>
          <cell r="O1080">
            <v>0.85619999999999996</v>
          </cell>
          <cell r="P1080">
            <v>0.13930000000000001</v>
          </cell>
          <cell r="Q1080">
            <v>0.37440000000000001</v>
          </cell>
          <cell r="R1080">
            <v>0.34250000000000003</v>
          </cell>
          <cell r="S1080" t="str">
            <v>NA</v>
          </cell>
          <cell r="T1080">
            <v>59.4</v>
          </cell>
          <cell r="U1080">
            <v>4.8</v>
          </cell>
          <cell r="V1080">
            <v>74.900000000000006</v>
          </cell>
          <cell r="W1080">
            <v>7.6</v>
          </cell>
          <cell r="X1080">
            <v>51.9</v>
          </cell>
          <cell r="Y1080">
            <v>6.7</v>
          </cell>
          <cell r="Z1080" t="str">
            <v>NA</v>
          </cell>
          <cell r="AA1080" t="str">
            <v>NA</v>
          </cell>
        </row>
        <row r="1081">
          <cell r="A1081">
            <v>45148</v>
          </cell>
          <cell r="B1081" t="str">
            <v>A1</v>
          </cell>
          <cell r="C1081">
            <v>4</v>
          </cell>
          <cell r="D1081">
            <v>3</v>
          </cell>
          <cell r="E1081" t="str">
            <v>ARIS.A1.Aim3.Bin4.LB</v>
          </cell>
          <cell r="F1081">
            <v>4</v>
          </cell>
          <cell r="G1081" t="str">
            <v>Unweighted</v>
          </cell>
          <cell r="H1081" t="str">
            <v>N</v>
          </cell>
          <cell r="I1081" t="str">
            <v>Y</v>
          </cell>
          <cell r="J1081">
            <v>191</v>
          </cell>
          <cell r="K1081">
            <v>1</v>
          </cell>
          <cell r="L1081">
            <v>0.14380000000000001</v>
          </cell>
          <cell r="M1081">
            <v>23.7</v>
          </cell>
          <cell r="N1081">
            <v>12.6</v>
          </cell>
          <cell r="O1081">
            <v>0.85619999999999996</v>
          </cell>
          <cell r="P1081">
            <v>0.13930000000000001</v>
          </cell>
          <cell r="Q1081">
            <v>0.37440000000000001</v>
          </cell>
          <cell r="R1081">
            <v>0.34250000000000003</v>
          </cell>
          <cell r="S1081" t="str">
            <v>NA</v>
          </cell>
          <cell r="T1081">
            <v>59.4</v>
          </cell>
          <cell r="U1081">
            <v>4.8</v>
          </cell>
          <cell r="V1081">
            <v>74.900000000000006</v>
          </cell>
          <cell r="W1081">
            <v>7.6</v>
          </cell>
          <cell r="X1081">
            <v>51.9</v>
          </cell>
          <cell r="Y1081">
            <v>6.7</v>
          </cell>
          <cell r="Z1081" t="str">
            <v>NA</v>
          </cell>
          <cell r="AA1081" t="str">
            <v>NA</v>
          </cell>
        </row>
        <row r="1082">
          <cell r="A1082">
            <v>45148</v>
          </cell>
          <cell r="B1082" t="str">
            <v>A2</v>
          </cell>
          <cell r="C1082">
            <v>1</v>
          </cell>
          <cell r="D1082">
            <v>1</v>
          </cell>
          <cell r="E1082" t="str">
            <v>ARIS.A2.Aim1.Bin1.RB</v>
          </cell>
          <cell r="F1082">
            <v>4</v>
          </cell>
          <cell r="G1082" t="str">
            <v>Unweighted</v>
          </cell>
          <cell r="H1082" t="str">
            <v>N</v>
          </cell>
          <cell r="I1082" t="str">
            <v>Y</v>
          </cell>
          <cell r="J1082">
            <v>180</v>
          </cell>
          <cell r="K1082">
            <v>1.0001</v>
          </cell>
          <cell r="L1082">
            <v>0.87870000000000004</v>
          </cell>
          <cell r="M1082">
            <v>20.7</v>
          </cell>
          <cell r="N1082">
            <v>6.7</v>
          </cell>
          <cell r="O1082">
            <v>0.12139999999999999</v>
          </cell>
          <cell r="P1082">
            <v>1.4E-2</v>
          </cell>
          <cell r="Q1082">
            <v>1.72E-2</v>
          </cell>
          <cell r="R1082">
            <v>9.0200000000000002E-2</v>
          </cell>
          <cell r="S1082" t="str">
            <v>NA</v>
          </cell>
          <cell r="T1082">
            <v>59.4</v>
          </cell>
          <cell r="U1082">
            <v>4.8</v>
          </cell>
          <cell r="V1082">
            <v>74.900000000000006</v>
          </cell>
          <cell r="W1082">
            <v>7.6</v>
          </cell>
          <cell r="X1082">
            <v>52.4</v>
          </cell>
          <cell r="Y1082">
            <v>6.8</v>
          </cell>
          <cell r="Z1082" t="str">
            <v>NA</v>
          </cell>
          <cell r="AA1082" t="str">
            <v>NA</v>
          </cell>
        </row>
        <row r="1083">
          <cell r="A1083">
            <v>45148</v>
          </cell>
          <cell r="B1083" t="str">
            <v>A2</v>
          </cell>
          <cell r="C1083">
            <v>2</v>
          </cell>
          <cell r="D1083">
            <v>1</v>
          </cell>
          <cell r="E1083" t="str">
            <v>ARIS.A2.Aim1.Bin2.RB</v>
          </cell>
          <cell r="F1083">
            <v>4</v>
          </cell>
          <cell r="G1083" t="str">
            <v>Unweighted</v>
          </cell>
          <cell r="H1083" t="str">
            <v>N</v>
          </cell>
          <cell r="I1083" t="str">
            <v>Y</v>
          </cell>
          <cell r="J1083">
            <v>164</v>
          </cell>
          <cell r="K1083">
            <v>0.99990000000000001</v>
          </cell>
          <cell r="L1083">
            <v>0.60760000000000003</v>
          </cell>
          <cell r="M1083">
            <v>26.8</v>
          </cell>
          <cell r="N1083">
            <v>6.7</v>
          </cell>
          <cell r="O1083">
            <v>0.39229999999999998</v>
          </cell>
          <cell r="P1083">
            <v>3.4799999999999998E-2</v>
          </cell>
          <cell r="Q1083">
            <v>9.4500000000000001E-2</v>
          </cell>
          <cell r="R1083">
            <v>0.26300000000000001</v>
          </cell>
          <cell r="S1083" t="str">
            <v>NA</v>
          </cell>
          <cell r="T1083">
            <v>59.4</v>
          </cell>
          <cell r="U1083">
            <v>4.8</v>
          </cell>
          <cell r="V1083">
            <v>74.900000000000006</v>
          </cell>
          <cell r="W1083">
            <v>7.6</v>
          </cell>
          <cell r="X1083">
            <v>52.4</v>
          </cell>
          <cell r="Y1083">
            <v>6.8</v>
          </cell>
          <cell r="Z1083" t="str">
            <v>NA</v>
          </cell>
          <cell r="AA1083" t="str">
            <v>NA</v>
          </cell>
        </row>
        <row r="1084">
          <cell r="A1084">
            <v>45148</v>
          </cell>
          <cell r="B1084" t="str">
            <v>A2</v>
          </cell>
          <cell r="C1084">
            <v>3</v>
          </cell>
          <cell r="D1084">
            <v>1</v>
          </cell>
          <cell r="E1084" t="str">
            <v>ARIS.A2.Aim1.Bin3.RB</v>
          </cell>
          <cell r="F1084">
            <v>4</v>
          </cell>
          <cell r="G1084" t="str">
            <v>Unweighted</v>
          </cell>
          <cell r="H1084" t="str">
            <v>N</v>
          </cell>
          <cell r="I1084" t="str">
            <v>Y</v>
          </cell>
          <cell r="J1084">
            <v>155</v>
          </cell>
          <cell r="K1084">
            <v>1</v>
          </cell>
          <cell r="L1084">
            <v>0.2571</v>
          </cell>
          <cell r="M1084">
            <v>29.3</v>
          </cell>
          <cell r="N1084">
            <v>3.6</v>
          </cell>
          <cell r="O1084">
            <v>0.7429</v>
          </cell>
          <cell r="P1084">
            <v>0</v>
          </cell>
          <cell r="Q1084">
            <v>0.29139999999999999</v>
          </cell>
          <cell r="R1084">
            <v>0.45150000000000001</v>
          </cell>
          <cell r="S1084" t="str">
            <v>NA</v>
          </cell>
          <cell r="T1084">
            <v>59.4</v>
          </cell>
          <cell r="U1084">
            <v>4.8</v>
          </cell>
          <cell r="V1084">
            <v>74.900000000000006</v>
          </cell>
          <cell r="W1084">
            <v>7.6</v>
          </cell>
          <cell r="X1084">
            <v>52.4</v>
          </cell>
          <cell r="Y1084">
            <v>6.8</v>
          </cell>
          <cell r="Z1084" t="str">
            <v>NA</v>
          </cell>
          <cell r="AA1084" t="str">
            <v>NA</v>
          </cell>
        </row>
        <row r="1085">
          <cell r="A1085">
            <v>45148</v>
          </cell>
          <cell r="B1085" t="str">
            <v>A2</v>
          </cell>
          <cell r="C1085">
            <v>4</v>
          </cell>
          <cell r="D1085">
            <v>1</v>
          </cell>
          <cell r="E1085" t="str">
            <v>ARIS.A2.Aim1.Bin4.RB</v>
          </cell>
          <cell r="F1085">
            <v>4</v>
          </cell>
          <cell r="G1085" t="str">
            <v>Unweighted</v>
          </cell>
          <cell r="H1085" t="str">
            <v>N</v>
          </cell>
          <cell r="I1085" t="str">
            <v>Y</v>
          </cell>
          <cell r="J1085">
            <v>155</v>
          </cell>
          <cell r="K1085">
            <v>1</v>
          </cell>
          <cell r="L1085">
            <v>0.2571</v>
          </cell>
          <cell r="M1085">
            <v>29.3</v>
          </cell>
          <cell r="N1085">
            <v>3.6</v>
          </cell>
          <cell r="O1085">
            <v>0.7429</v>
          </cell>
          <cell r="P1085">
            <v>0</v>
          </cell>
          <cell r="Q1085">
            <v>0.29139999999999999</v>
          </cell>
          <cell r="R1085">
            <v>0.45150000000000001</v>
          </cell>
          <cell r="S1085" t="str">
            <v>NA</v>
          </cell>
          <cell r="T1085">
            <v>59.4</v>
          </cell>
          <cell r="U1085">
            <v>4.8</v>
          </cell>
          <cell r="V1085">
            <v>74.900000000000006</v>
          </cell>
          <cell r="W1085">
            <v>7.6</v>
          </cell>
          <cell r="X1085">
            <v>52.4</v>
          </cell>
          <cell r="Y1085">
            <v>6.8</v>
          </cell>
          <cell r="Z1085" t="str">
            <v>NA</v>
          </cell>
          <cell r="AA1085" t="str">
            <v>NA</v>
          </cell>
        </row>
        <row r="1086">
          <cell r="A1086">
            <v>45148</v>
          </cell>
          <cell r="B1086" t="str">
            <v>A1</v>
          </cell>
          <cell r="C1086">
            <v>1</v>
          </cell>
          <cell r="D1086">
            <v>1</v>
          </cell>
          <cell r="E1086" t="str">
            <v>ARIS.A1.Aim1.Bin1.LB</v>
          </cell>
          <cell r="F1086">
            <v>4</v>
          </cell>
          <cell r="G1086" t="str">
            <v>SplineDFA</v>
          </cell>
          <cell r="H1086" t="str">
            <v>Y</v>
          </cell>
          <cell r="I1086" t="str">
            <v>N</v>
          </cell>
          <cell r="J1086">
            <v>162</v>
          </cell>
          <cell r="K1086">
            <v>1</v>
          </cell>
          <cell r="L1086">
            <v>0.57679999999999998</v>
          </cell>
          <cell r="M1086">
            <v>23.7</v>
          </cell>
          <cell r="N1086">
            <v>2.7</v>
          </cell>
          <cell r="O1086">
            <v>0.42320000000000002</v>
          </cell>
          <cell r="P1086">
            <v>0.17030000000000001</v>
          </cell>
          <cell r="Q1086">
            <v>3.5299999999999998E-2</v>
          </cell>
          <cell r="R1086">
            <v>0.21759999999999999</v>
          </cell>
          <cell r="S1086" t="str">
            <v>NA</v>
          </cell>
          <cell r="T1086">
            <v>59.4</v>
          </cell>
          <cell r="U1086">
            <v>4.8</v>
          </cell>
          <cell r="V1086">
            <v>74.900000000000006</v>
          </cell>
          <cell r="W1086">
            <v>7.6</v>
          </cell>
          <cell r="X1086">
            <v>51.9</v>
          </cell>
          <cell r="Y1086">
            <v>6.7</v>
          </cell>
          <cell r="Z1086" t="str">
            <v>NA</v>
          </cell>
          <cell r="AA1086" t="str">
            <v>NA</v>
          </cell>
        </row>
        <row r="1087">
          <cell r="A1087">
            <v>45148</v>
          </cell>
          <cell r="B1087" t="str">
            <v>A1</v>
          </cell>
          <cell r="C1087">
            <v>1</v>
          </cell>
          <cell r="D1087">
            <v>2</v>
          </cell>
          <cell r="E1087" t="str">
            <v>ARIS.A1.Aim2.Bin1.LB</v>
          </cell>
          <cell r="F1087">
            <v>4</v>
          </cell>
          <cell r="G1087" t="str">
            <v>SplineDFA</v>
          </cell>
          <cell r="H1087" t="str">
            <v>Y</v>
          </cell>
          <cell r="I1087" t="str">
            <v>N</v>
          </cell>
          <cell r="J1087">
            <v>171</v>
          </cell>
          <cell r="K1087">
            <v>1</v>
          </cell>
          <cell r="L1087">
            <v>0.41660000000000003</v>
          </cell>
          <cell r="M1087">
            <v>23.7</v>
          </cell>
          <cell r="N1087">
            <v>2.7</v>
          </cell>
          <cell r="O1087">
            <v>0.58340000000000003</v>
          </cell>
          <cell r="P1087">
            <v>0.31369999999999998</v>
          </cell>
          <cell r="Q1087">
            <v>4.3900000000000002E-2</v>
          </cell>
          <cell r="R1087">
            <v>0.2258</v>
          </cell>
          <cell r="S1087" t="str">
            <v>NA</v>
          </cell>
          <cell r="T1087">
            <v>59.4</v>
          </cell>
          <cell r="U1087">
            <v>4.8</v>
          </cell>
          <cell r="V1087">
            <v>74.900000000000006</v>
          </cell>
          <cell r="W1087">
            <v>7.6</v>
          </cell>
          <cell r="X1087">
            <v>51.9</v>
          </cell>
          <cell r="Y1087">
            <v>6.7</v>
          </cell>
          <cell r="Z1087" t="str">
            <v>NA</v>
          </cell>
          <cell r="AA1087" t="str">
            <v>NA</v>
          </cell>
        </row>
        <row r="1088">
          <cell r="A1088">
            <v>45148</v>
          </cell>
          <cell r="B1088" t="str">
            <v>A1</v>
          </cell>
          <cell r="C1088">
            <v>2</v>
          </cell>
          <cell r="D1088">
            <v>3</v>
          </cell>
          <cell r="E1088" t="str">
            <v>ARIS.A1.Aim3.Bin2.LB</v>
          </cell>
          <cell r="F1088">
            <v>4</v>
          </cell>
          <cell r="G1088" t="str">
            <v>SplineDFA</v>
          </cell>
          <cell r="H1088" t="str">
            <v>Y</v>
          </cell>
          <cell r="I1088" t="str">
            <v>N</v>
          </cell>
          <cell r="J1088">
            <v>165</v>
          </cell>
          <cell r="K1088">
            <v>1</v>
          </cell>
          <cell r="L1088">
            <v>0.1036</v>
          </cell>
          <cell r="M1088">
            <v>23.7</v>
          </cell>
          <cell r="N1088">
            <v>2.7</v>
          </cell>
          <cell r="O1088">
            <v>0.89639999999999997</v>
          </cell>
          <cell r="P1088">
            <v>0.47739999999999999</v>
          </cell>
          <cell r="Q1088">
            <v>0.2382</v>
          </cell>
          <cell r="R1088">
            <v>0.18079999999999999</v>
          </cell>
          <cell r="S1088" t="str">
            <v>NA</v>
          </cell>
          <cell r="T1088">
            <v>59.4</v>
          </cell>
          <cell r="U1088">
            <v>4.8</v>
          </cell>
          <cell r="V1088">
            <v>74.900000000000006</v>
          </cell>
          <cell r="W1088">
            <v>7.6</v>
          </cell>
          <cell r="X1088">
            <v>51.9</v>
          </cell>
          <cell r="Y1088">
            <v>6.7</v>
          </cell>
          <cell r="Z1088" t="str">
            <v>NA</v>
          </cell>
          <cell r="AA1088" t="str">
            <v>NA</v>
          </cell>
        </row>
        <row r="1089">
          <cell r="A1089">
            <v>45148</v>
          </cell>
          <cell r="B1089" t="str">
            <v>A1</v>
          </cell>
          <cell r="C1089">
            <v>3</v>
          </cell>
          <cell r="D1089">
            <v>3</v>
          </cell>
          <cell r="E1089" t="str">
            <v>ARIS.A1.Aim3.Bin3.LB</v>
          </cell>
          <cell r="F1089">
            <v>4</v>
          </cell>
          <cell r="G1089" t="str">
            <v>SplineDFA</v>
          </cell>
          <cell r="H1089" t="str">
            <v>Y</v>
          </cell>
          <cell r="I1089" t="str">
            <v>N</v>
          </cell>
          <cell r="J1089">
            <v>191</v>
          </cell>
          <cell r="K1089">
            <v>1.0001</v>
          </cell>
          <cell r="L1089">
            <v>5.1400000000000001E-2</v>
          </cell>
          <cell r="M1089">
            <v>23.7</v>
          </cell>
          <cell r="N1089">
            <v>2.7</v>
          </cell>
          <cell r="O1089">
            <v>0.94869999999999999</v>
          </cell>
          <cell r="P1089">
            <v>0.2913</v>
          </cell>
          <cell r="Q1089">
            <v>0.36070000000000002</v>
          </cell>
          <cell r="R1089">
            <v>0.29670000000000002</v>
          </cell>
          <cell r="S1089" t="str">
            <v>NA</v>
          </cell>
          <cell r="T1089">
            <v>59.4</v>
          </cell>
          <cell r="U1089">
            <v>4.8</v>
          </cell>
          <cell r="V1089">
            <v>74.900000000000006</v>
          </cell>
          <cell r="W1089">
            <v>7.6</v>
          </cell>
          <cell r="X1089">
            <v>51.9</v>
          </cell>
          <cell r="Y1089">
            <v>6.7</v>
          </cell>
          <cell r="Z1089" t="str">
            <v>NA</v>
          </cell>
          <cell r="AA1089" t="str">
            <v>NA</v>
          </cell>
        </row>
        <row r="1090">
          <cell r="A1090">
            <v>45148</v>
          </cell>
          <cell r="B1090" t="str">
            <v>A1</v>
          </cell>
          <cell r="C1090">
            <v>4</v>
          </cell>
          <cell r="D1090">
            <v>3</v>
          </cell>
          <cell r="E1090" t="str">
            <v>ARIS.A1.Aim3.Bin4.LB</v>
          </cell>
          <cell r="F1090">
            <v>4</v>
          </cell>
          <cell r="G1090" t="str">
            <v>SplineDFA</v>
          </cell>
          <cell r="H1090" t="str">
            <v>Y</v>
          </cell>
          <cell r="I1090" t="str">
            <v>N</v>
          </cell>
          <cell r="J1090">
            <v>191</v>
          </cell>
          <cell r="K1090">
            <v>1.0001</v>
          </cell>
          <cell r="L1090">
            <v>5.1400000000000001E-2</v>
          </cell>
          <cell r="M1090">
            <v>23.7</v>
          </cell>
          <cell r="N1090">
            <v>2.7</v>
          </cell>
          <cell r="O1090">
            <v>0.94869999999999999</v>
          </cell>
          <cell r="P1090">
            <v>0.2913</v>
          </cell>
          <cell r="Q1090">
            <v>0.36070000000000002</v>
          </cell>
          <cell r="R1090">
            <v>0.29670000000000002</v>
          </cell>
          <cell r="S1090" t="str">
            <v>NA</v>
          </cell>
          <cell r="T1090">
            <v>59.4</v>
          </cell>
          <cell r="U1090">
            <v>4.8</v>
          </cell>
          <cell r="V1090">
            <v>74.900000000000006</v>
          </cell>
          <cell r="W1090">
            <v>7.6</v>
          </cell>
          <cell r="X1090">
            <v>51.9</v>
          </cell>
          <cell r="Y1090">
            <v>6.7</v>
          </cell>
          <cell r="Z1090" t="str">
            <v>NA</v>
          </cell>
          <cell r="AA1090" t="str">
            <v>NA</v>
          </cell>
        </row>
        <row r="1091">
          <cell r="A1091">
            <v>45148</v>
          </cell>
          <cell r="B1091" t="str">
            <v>A2</v>
          </cell>
          <cell r="C1091">
            <v>1</v>
          </cell>
          <cell r="D1091">
            <v>1</v>
          </cell>
          <cell r="E1091" t="str">
            <v>ARIS.A2.Aim1.Bin1.RB</v>
          </cell>
          <cell r="F1091">
            <v>4</v>
          </cell>
          <cell r="G1091" t="str">
            <v>SplineDFA</v>
          </cell>
          <cell r="H1091" t="str">
            <v>Y</v>
          </cell>
          <cell r="I1091" t="str">
            <v>N</v>
          </cell>
          <cell r="J1091">
            <v>180</v>
          </cell>
          <cell r="K1091">
            <v>1</v>
          </cell>
          <cell r="L1091">
            <v>0.8629</v>
          </cell>
          <cell r="M1091">
            <v>23.7</v>
          </cell>
          <cell r="N1091">
            <v>2.7</v>
          </cell>
          <cell r="O1091">
            <v>0.1371</v>
          </cell>
          <cell r="P1091">
            <v>4.6899999999999997E-2</v>
          </cell>
          <cell r="Q1091">
            <v>7.7000000000000002E-3</v>
          </cell>
          <cell r="R1091">
            <v>8.2500000000000004E-2</v>
          </cell>
          <cell r="S1091" t="str">
            <v>NA</v>
          </cell>
          <cell r="T1091">
            <v>59.4</v>
          </cell>
          <cell r="U1091">
            <v>4.8</v>
          </cell>
          <cell r="V1091">
            <v>74.900000000000006</v>
          </cell>
          <cell r="W1091">
            <v>7.6</v>
          </cell>
          <cell r="X1091">
            <v>52.4</v>
          </cell>
          <cell r="Y1091">
            <v>6.8</v>
          </cell>
          <cell r="Z1091" t="str">
            <v>NA</v>
          </cell>
          <cell r="AA1091" t="str">
            <v>NA</v>
          </cell>
        </row>
        <row r="1092">
          <cell r="A1092">
            <v>45148</v>
          </cell>
          <cell r="B1092" t="str">
            <v>A2</v>
          </cell>
          <cell r="C1092">
            <v>2</v>
          </cell>
          <cell r="D1092">
            <v>1</v>
          </cell>
          <cell r="E1092" t="str">
            <v>ARIS.A2.Aim1.Bin2.RB</v>
          </cell>
          <cell r="F1092">
            <v>4</v>
          </cell>
          <cell r="G1092" t="str">
            <v>SplineDFA</v>
          </cell>
          <cell r="H1092" t="str">
            <v>Y</v>
          </cell>
          <cell r="I1092" t="str">
            <v>N</v>
          </cell>
          <cell r="J1092">
            <v>164</v>
          </cell>
          <cell r="K1092">
            <v>0.99990000000000001</v>
          </cell>
          <cell r="L1092">
            <v>0.49230000000000002</v>
          </cell>
          <cell r="M1092">
            <v>23.7</v>
          </cell>
          <cell r="N1092">
            <v>2.7</v>
          </cell>
          <cell r="O1092">
            <v>0.50760000000000005</v>
          </cell>
          <cell r="P1092">
            <v>0.15310000000000001</v>
          </cell>
          <cell r="Q1092">
            <v>0.10630000000000001</v>
          </cell>
          <cell r="R1092">
            <v>0.2482</v>
          </cell>
          <cell r="S1092" t="str">
            <v>NA</v>
          </cell>
          <cell r="T1092">
            <v>59.4</v>
          </cell>
          <cell r="U1092">
            <v>4.8</v>
          </cell>
          <cell r="V1092">
            <v>74.900000000000006</v>
          </cell>
          <cell r="W1092">
            <v>7.6</v>
          </cell>
          <cell r="X1092">
            <v>52.4</v>
          </cell>
          <cell r="Y1092">
            <v>6.8</v>
          </cell>
          <cell r="Z1092" t="str">
            <v>NA</v>
          </cell>
          <cell r="AA1092" t="str">
            <v>NA</v>
          </cell>
        </row>
        <row r="1093">
          <cell r="A1093">
            <v>45148</v>
          </cell>
          <cell r="B1093" t="str">
            <v>A2</v>
          </cell>
          <cell r="C1093">
            <v>3</v>
          </cell>
          <cell r="D1093">
            <v>1</v>
          </cell>
          <cell r="E1093" t="str">
            <v>ARIS.A2.Aim1.Bin3.RB</v>
          </cell>
          <cell r="F1093">
            <v>4</v>
          </cell>
          <cell r="G1093" t="str">
            <v>SplineDFA</v>
          </cell>
          <cell r="H1093" t="str">
            <v>Y</v>
          </cell>
          <cell r="I1093" t="str">
            <v>N</v>
          </cell>
          <cell r="J1093">
            <v>155</v>
          </cell>
          <cell r="K1093">
            <v>1</v>
          </cell>
          <cell r="L1093">
            <v>0.16969999999999999</v>
          </cell>
          <cell r="M1093">
            <v>23.7</v>
          </cell>
          <cell r="N1093">
            <v>2.7</v>
          </cell>
          <cell r="O1093">
            <v>0.83030000000000004</v>
          </cell>
          <cell r="P1093">
            <v>0.1103</v>
          </cell>
          <cell r="Q1093">
            <v>0.26750000000000002</v>
          </cell>
          <cell r="R1093">
            <v>0.45250000000000001</v>
          </cell>
          <cell r="S1093" t="str">
            <v>NA</v>
          </cell>
          <cell r="T1093">
            <v>59.4</v>
          </cell>
          <cell r="U1093">
            <v>4.8</v>
          </cell>
          <cell r="V1093">
            <v>74.900000000000006</v>
          </cell>
          <cell r="W1093">
            <v>7.6</v>
          </cell>
          <cell r="X1093">
            <v>52.4</v>
          </cell>
          <cell r="Y1093">
            <v>6.8</v>
          </cell>
          <cell r="Z1093" t="str">
            <v>NA</v>
          </cell>
          <cell r="AA1093" t="str">
            <v>NA</v>
          </cell>
        </row>
        <row r="1094">
          <cell r="A1094">
            <v>45148</v>
          </cell>
          <cell r="B1094" t="str">
            <v>A2</v>
          </cell>
          <cell r="C1094">
            <v>4</v>
          </cell>
          <cell r="D1094">
            <v>1</v>
          </cell>
          <cell r="E1094" t="str">
            <v>ARIS.A2.Aim1.Bin4.RB</v>
          </cell>
          <cell r="F1094">
            <v>4</v>
          </cell>
          <cell r="G1094" t="str">
            <v>SplineDFA</v>
          </cell>
          <cell r="H1094" t="str">
            <v>Y</v>
          </cell>
          <cell r="I1094" t="str">
            <v>N</v>
          </cell>
          <cell r="J1094">
            <v>155</v>
          </cell>
          <cell r="K1094">
            <v>1</v>
          </cell>
          <cell r="L1094">
            <v>0.16969999999999999</v>
          </cell>
          <cell r="M1094">
            <v>23.7</v>
          </cell>
          <cell r="N1094">
            <v>2.7</v>
          </cell>
          <cell r="O1094">
            <v>0.83030000000000004</v>
          </cell>
          <cell r="P1094">
            <v>0.1103</v>
          </cell>
          <cell r="Q1094">
            <v>0.26750000000000002</v>
          </cell>
          <cell r="R1094">
            <v>0.45250000000000001</v>
          </cell>
          <cell r="S1094" t="str">
            <v>NA</v>
          </cell>
          <cell r="T1094">
            <v>59.4</v>
          </cell>
          <cell r="U1094">
            <v>4.8</v>
          </cell>
          <cell r="V1094">
            <v>74.900000000000006</v>
          </cell>
          <cell r="W1094">
            <v>7.6</v>
          </cell>
          <cell r="X1094">
            <v>52.4</v>
          </cell>
          <cell r="Y1094">
            <v>6.8</v>
          </cell>
          <cell r="Z1094" t="str">
            <v>NA</v>
          </cell>
          <cell r="AA1094" t="str">
            <v>NA</v>
          </cell>
        </row>
        <row r="1095">
          <cell r="A1095">
            <v>45149</v>
          </cell>
          <cell r="B1095" t="str">
            <v>A1</v>
          </cell>
          <cell r="C1095">
            <v>1</v>
          </cell>
          <cell r="D1095">
            <v>1</v>
          </cell>
          <cell r="E1095" t="str">
            <v>ARIS.A1.Aim1.Bin1.LB</v>
          </cell>
          <cell r="F1095">
            <v>4</v>
          </cell>
          <cell r="G1095" t="str">
            <v>Unweighted</v>
          </cell>
          <cell r="H1095" t="str">
            <v>N</v>
          </cell>
          <cell r="I1095" t="str">
            <v>Y</v>
          </cell>
          <cell r="J1095">
            <v>142</v>
          </cell>
          <cell r="K1095">
            <v>1</v>
          </cell>
          <cell r="L1095">
            <v>0.82379999999999998</v>
          </cell>
          <cell r="M1095">
            <v>20.5</v>
          </cell>
          <cell r="N1095">
            <v>6.9</v>
          </cell>
          <cell r="O1095">
            <v>0.1762</v>
          </cell>
          <cell r="P1095">
            <v>0.10290000000000001</v>
          </cell>
          <cell r="Q1095">
            <v>9.7999999999999997E-3</v>
          </cell>
          <cell r="R1095">
            <v>6.3500000000000001E-2</v>
          </cell>
          <cell r="S1095" t="str">
            <v>NA</v>
          </cell>
          <cell r="T1095">
            <v>59.3</v>
          </cell>
          <cell r="U1095">
            <v>4.8</v>
          </cell>
          <cell r="V1095">
            <v>75.3</v>
          </cell>
          <cell r="W1095">
            <v>7.6</v>
          </cell>
          <cell r="X1095">
            <v>51.9</v>
          </cell>
          <cell r="Y1095">
            <v>6.7</v>
          </cell>
          <cell r="Z1095" t="str">
            <v>NA</v>
          </cell>
          <cell r="AA1095" t="str">
            <v>NA</v>
          </cell>
        </row>
        <row r="1096">
          <cell r="A1096">
            <v>45149</v>
          </cell>
          <cell r="B1096" t="str">
            <v>A1</v>
          </cell>
          <cell r="C1096">
            <v>1</v>
          </cell>
          <cell r="D1096">
            <v>2</v>
          </cell>
          <cell r="E1096" t="str">
            <v>ARIS.A1.Aim2.Bin1.LB</v>
          </cell>
          <cell r="F1096">
            <v>4</v>
          </cell>
          <cell r="G1096" t="str">
            <v>Unweighted</v>
          </cell>
          <cell r="H1096" t="str">
            <v>N</v>
          </cell>
          <cell r="I1096" t="str">
            <v>Y</v>
          </cell>
          <cell r="J1096">
            <v>186</v>
          </cell>
          <cell r="K1096">
            <v>1</v>
          </cell>
          <cell r="L1096">
            <v>0.6371</v>
          </cell>
          <cell r="M1096">
            <v>19.8</v>
          </cell>
          <cell r="N1096">
            <v>6.5</v>
          </cell>
          <cell r="O1096">
            <v>0.3629</v>
          </cell>
          <cell r="P1096">
            <v>0.20680000000000001</v>
          </cell>
          <cell r="Q1096">
            <v>4.1599999999999998E-2</v>
          </cell>
          <cell r="R1096">
            <v>0.1145</v>
          </cell>
          <cell r="S1096" t="str">
            <v>NA</v>
          </cell>
          <cell r="T1096">
            <v>59.3</v>
          </cell>
          <cell r="U1096">
            <v>4.8</v>
          </cell>
          <cell r="V1096">
            <v>75.3</v>
          </cell>
          <cell r="W1096">
            <v>7.6</v>
          </cell>
          <cell r="X1096">
            <v>51.9</v>
          </cell>
          <cell r="Y1096">
            <v>6.7</v>
          </cell>
          <cell r="Z1096" t="str">
            <v>NA</v>
          </cell>
          <cell r="AA1096" t="str">
            <v>NA</v>
          </cell>
        </row>
        <row r="1097">
          <cell r="A1097">
            <v>45149</v>
          </cell>
          <cell r="B1097" t="str">
            <v>A1</v>
          </cell>
          <cell r="C1097">
            <v>1</v>
          </cell>
          <cell r="D1097" t="str">
            <v>1&amp;2</v>
          </cell>
          <cell r="E1097" t="str">
            <v>ARIS.A1.Aim1&amp;Aim2.Bin1.LB</v>
          </cell>
          <cell r="F1097">
            <v>4</v>
          </cell>
          <cell r="G1097" t="str">
            <v>Unweighted</v>
          </cell>
          <cell r="H1097" t="str">
            <v>N</v>
          </cell>
          <cell r="I1097" t="str">
            <v>Y</v>
          </cell>
          <cell r="J1097">
            <v>328</v>
          </cell>
          <cell r="K1097">
            <v>1</v>
          </cell>
          <cell r="L1097">
            <v>0.71889999999999998</v>
          </cell>
          <cell r="M1097">
            <v>20.2</v>
          </cell>
          <cell r="N1097">
            <v>6.8</v>
          </cell>
          <cell r="O1097">
            <v>0.28110000000000002</v>
          </cell>
          <cell r="P1097">
            <v>0.16120000000000001</v>
          </cell>
          <cell r="Q1097">
            <v>2.8899999999999999E-2</v>
          </cell>
          <cell r="R1097">
            <v>9.0999999999999998E-2</v>
          </cell>
          <cell r="S1097" t="str">
            <v>NA</v>
          </cell>
          <cell r="T1097">
            <v>59.3</v>
          </cell>
          <cell r="U1097">
            <v>4.8</v>
          </cell>
          <cell r="V1097">
            <v>75.3</v>
          </cell>
          <cell r="W1097">
            <v>7.6</v>
          </cell>
          <cell r="X1097">
            <v>51.9</v>
          </cell>
          <cell r="Y1097">
            <v>6.7</v>
          </cell>
          <cell r="Z1097" t="str">
            <v>NA</v>
          </cell>
          <cell r="AA1097" t="str">
            <v>NA</v>
          </cell>
        </row>
        <row r="1098">
          <cell r="A1098">
            <v>45149</v>
          </cell>
          <cell r="B1098" t="str">
            <v>A1</v>
          </cell>
          <cell r="C1098">
            <v>2</v>
          </cell>
          <cell r="D1098">
            <v>3</v>
          </cell>
          <cell r="E1098" t="str">
            <v>ARIS.A1.Aim3.Bin2.LB</v>
          </cell>
          <cell r="F1098">
            <v>4</v>
          </cell>
          <cell r="G1098" t="str">
            <v>Unweighted</v>
          </cell>
          <cell r="H1098" t="str">
            <v>N</v>
          </cell>
          <cell r="I1098" t="str">
            <v>Y</v>
          </cell>
          <cell r="J1098">
            <v>181</v>
          </cell>
          <cell r="K1098">
            <v>1</v>
          </cell>
          <cell r="L1098">
            <v>0.29370000000000002</v>
          </cell>
          <cell r="M1098">
            <v>31.6</v>
          </cell>
          <cell r="N1098">
            <v>6.7</v>
          </cell>
          <cell r="O1098">
            <v>0.70630000000000004</v>
          </cell>
          <cell r="P1098">
            <v>0.15210000000000001</v>
          </cell>
          <cell r="Q1098">
            <v>0.34250000000000003</v>
          </cell>
          <cell r="R1098">
            <v>0.2117</v>
          </cell>
          <cell r="S1098" t="str">
            <v>NA</v>
          </cell>
          <cell r="T1098">
            <v>59.3</v>
          </cell>
          <cell r="U1098">
            <v>4.8</v>
          </cell>
          <cell r="V1098">
            <v>75.3</v>
          </cell>
          <cell r="W1098">
            <v>7.6</v>
          </cell>
          <cell r="X1098">
            <v>51.9</v>
          </cell>
          <cell r="Y1098">
            <v>6.7</v>
          </cell>
          <cell r="Z1098" t="str">
            <v>NA</v>
          </cell>
          <cell r="AA1098" t="str">
            <v>NA</v>
          </cell>
        </row>
        <row r="1099">
          <cell r="A1099">
            <v>45149</v>
          </cell>
          <cell r="B1099" t="str">
            <v>A1</v>
          </cell>
          <cell r="C1099">
            <v>3</v>
          </cell>
          <cell r="D1099">
            <v>3</v>
          </cell>
          <cell r="E1099" t="str">
            <v>ARIS.A1.Aim3.Bin3.LB</v>
          </cell>
          <cell r="F1099">
            <v>4</v>
          </cell>
          <cell r="G1099" t="str">
            <v>Unweighted</v>
          </cell>
          <cell r="H1099" t="str">
            <v>N</v>
          </cell>
          <cell r="I1099" t="str">
            <v>Y</v>
          </cell>
          <cell r="J1099">
            <v>175</v>
          </cell>
          <cell r="K1099">
            <v>1</v>
          </cell>
          <cell r="L1099">
            <v>5.6899999999999999E-2</v>
          </cell>
          <cell r="M1099">
            <v>31.7</v>
          </cell>
          <cell r="N1099">
            <v>8</v>
          </cell>
          <cell r="O1099">
            <v>0.94310000000000005</v>
          </cell>
          <cell r="P1099">
            <v>0</v>
          </cell>
          <cell r="Q1099">
            <v>0.56969999999999998</v>
          </cell>
          <cell r="R1099">
            <v>0.37340000000000001</v>
          </cell>
          <cell r="S1099" t="str">
            <v>NA</v>
          </cell>
          <cell r="T1099">
            <v>59.3</v>
          </cell>
          <cell r="U1099">
            <v>4.8</v>
          </cell>
          <cell r="V1099">
            <v>75.3</v>
          </cell>
          <cell r="W1099">
            <v>7.6</v>
          </cell>
          <cell r="X1099">
            <v>51.9</v>
          </cell>
          <cell r="Y1099">
            <v>6.7</v>
          </cell>
          <cell r="Z1099" t="str">
            <v>NA</v>
          </cell>
          <cell r="AA1099" t="str">
            <v>NA</v>
          </cell>
        </row>
        <row r="1100">
          <cell r="A1100">
            <v>45149</v>
          </cell>
          <cell r="B1100" t="str">
            <v>A1</v>
          </cell>
          <cell r="C1100">
            <v>4</v>
          </cell>
          <cell r="D1100">
            <v>3</v>
          </cell>
          <cell r="E1100" t="str">
            <v>ARIS.A1.Aim3.Bin4.LB</v>
          </cell>
          <cell r="F1100">
            <v>4</v>
          </cell>
          <cell r="G1100" t="str">
            <v>Unweighted</v>
          </cell>
          <cell r="H1100" t="str">
            <v>N</v>
          </cell>
          <cell r="I1100" t="str">
            <v>Y</v>
          </cell>
          <cell r="J1100">
            <v>175</v>
          </cell>
          <cell r="K1100">
            <v>1</v>
          </cell>
          <cell r="L1100">
            <v>5.6899999999999999E-2</v>
          </cell>
          <cell r="M1100">
            <v>31.7</v>
          </cell>
          <cell r="N1100">
            <v>8</v>
          </cell>
          <cell r="O1100">
            <v>0.94310000000000005</v>
          </cell>
          <cell r="P1100">
            <v>0</v>
          </cell>
          <cell r="Q1100">
            <v>0.56969999999999998</v>
          </cell>
          <cell r="R1100">
            <v>0.37340000000000001</v>
          </cell>
          <cell r="S1100" t="str">
            <v>NA</v>
          </cell>
          <cell r="T1100">
            <v>59.3</v>
          </cell>
          <cell r="U1100">
            <v>4.8</v>
          </cell>
          <cell r="V1100">
            <v>75.3</v>
          </cell>
          <cell r="W1100">
            <v>7.6</v>
          </cell>
          <cell r="X1100">
            <v>51.9</v>
          </cell>
          <cell r="Y1100">
            <v>6.7</v>
          </cell>
          <cell r="Z1100" t="str">
            <v>NA</v>
          </cell>
          <cell r="AA1100" t="str">
            <v>NA</v>
          </cell>
        </row>
        <row r="1101">
          <cell r="A1101">
            <v>45149</v>
          </cell>
          <cell r="B1101" t="str">
            <v>A2</v>
          </cell>
          <cell r="C1101">
            <v>1</v>
          </cell>
          <cell r="D1101">
            <v>1</v>
          </cell>
          <cell r="E1101" t="str">
            <v>ARIS.A2.Aim1.Bin1.RB</v>
          </cell>
          <cell r="F1101">
            <v>4</v>
          </cell>
          <cell r="G1101" t="str">
            <v>Unweighted</v>
          </cell>
          <cell r="H1101" t="str">
            <v>N</v>
          </cell>
          <cell r="I1101" t="str">
            <v>Y</v>
          </cell>
          <cell r="J1101">
            <v>168</v>
          </cell>
          <cell r="K1101">
            <v>1.0001</v>
          </cell>
          <cell r="L1101">
            <v>0.83630000000000004</v>
          </cell>
          <cell r="M1101">
            <v>23.6</v>
          </cell>
          <cell r="N1101">
            <v>9.1</v>
          </cell>
          <cell r="O1101">
            <v>0.1638</v>
          </cell>
          <cell r="P1101">
            <v>9.7500000000000003E-2</v>
          </cell>
          <cell r="Q1101">
            <v>4.9000000000000002E-2</v>
          </cell>
          <cell r="R1101">
            <v>1.7299999999999999E-2</v>
          </cell>
          <cell r="S1101" t="str">
            <v>NA</v>
          </cell>
          <cell r="T1101">
            <v>59.3</v>
          </cell>
          <cell r="U1101">
            <v>4.8</v>
          </cell>
          <cell r="V1101">
            <v>75.3</v>
          </cell>
          <cell r="W1101">
            <v>7.6</v>
          </cell>
          <cell r="X1101">
            <v>51.9</v>
          </cell>
          <cell r="Y1101">
            <v>6.7</v>
          </cell>
          <cell r="Z1101" t="str">
            <v>NA</v>
          </cell>
          <cell r="AA1101" t="str">
            <v>NA</v>
          </cell>
        </row>
        <row r="1102">
          <cell r="A1102">
            <v>45149</v>
          </cell>
          <cell r="B1102" t="str">
            <v>A2</v>
          </cell>
          <cell r="C1102">
            <v>2</v>
          </cell>
          <cell r="D1102">
            <v>1</v>
          </cell>
          <cell r="E1102" t="str">
            <v>ARIS.A2.Aim1.Bin2.RB</v>
          </cell>
          <cell r="F1102">
            <v>4</v>
          </cell>
          <cell r="G1102" t="str">
            <v>Unweighted</v>
          </cell>
          <cell r="H1102" t="str">
            <v>N</v>
          </cell>
          <cell r="I1102" t="str">
            <v>Y</v>
          </cell>
          <cell r="J1102">
            <v>170</v>
          </cell>
          <cell r="K1102">
            <v>0.99990000000000001</v>
          </cell>
          <cell r="L1102">
            <v>0.69979999999999998</v>
          </cell>
          <cell r="M1102">
            <v>29.5</v>
          </cell>
          <cell r="N1102">
            <v>7.6</v>
          </cell>
          <cell r="O1102">
            <v>0.30009999999999998</v>
          </cell>
          <cell r="P1102">
            <v>9.8400000000000001E-2</v>
          </cell>
          <cell r="Q1102">
            <v>0.1037</v>
          </cell>
          <cell r="R1102">
            <v>9.8000000000000004E-2</v>
          </cell>
          <cell r="S1102" t="str">
            <v>NA</v>
          </cell>
          <cell r="T1102">
            <v>59.3</v>
          </cell>
          <cell r="U1102">
            <v>4.8</v>
          </cell>
          <cell r="V1102">
            <v>75.3</v>
          </cell>
          <cell r="W1102">
            <v>7.6</v>
          </cell>
          <cell r="X1102">
            <v>51.9</v>
          </cell>
          <cell r="Y1102">
            <v>6.7</v>
          </cell>
          <cell r="Z1102" t="str">
            <v>NA</v>
          </cell>
          <cell r="AA1102" t="str">
            <v>NA</v>
          </cell>
        </row>
        <row r="1103">
          <cell r="A1103">
            <v>45149</v>
          </cell>
          <cell r="B1103" t="str">
            <v>A2</v>
          </cell>
          <cell r="C1103">
            <v>3</v>
          </cell>
          <cell r="D1103">
            <v>1</v>
          </cell>
          <cell r="E1103" t="str">
            <v>ARIS.A2.Aim1.Bin3.RB</v>
          </cell>
          <cell r="F1103">
            <v>4</v>
          </cell>
          <cell r="G1103" t="str">
            <v>Unweighted</v>
          </cell>
          <cell r="H1103" t="str">
            <v>N</v>
          </cell>
          <cell r="I1103" t="str">
            <v>Y</v>
          </cell>
          <cell r="J1103">
            <v>140</v>
          </cell>
          <cell r="K1103">
            <v>0.99990000000000001</v>
          </cell>
          <cell r="L1103">
            <v>0.38769999999999999</v>
          </cell>
          <cell r="M1103">
            <v>29</v>
          </cell>
          <cell r="N1103">
            <v>4.5</v>
          </cell>
          <cell r="O1103">
            <v>0.61219999999999997</v>
          </cell>
          <cell r="P1103">
            <v>0</v>
          </cell>
          <cell r="Q1103">
            <v>9.1800000000000007E-2</v>
          </cell>
          <cell r="R1103">
            <v>0.52039999999999997</v>
          </cell>
          <cell r="S1103" t="str">
            <v>NA</v>
          </cell>
          <cell r="T1103">
            <v>59.3</v>
          </cell>
          <cell r="U1103">
            <v>4.8</v>
          </cell>
          <cell r="V1103">
            <v>75.3</v>
          </cell>
          <cell r="W1103">
            <v>7.6</v>
          </cell>
          <cell r="X1103">
            <v>51.9</v>
          </cell>
          <cell r="Y1103">
            <v>6.7</v>
          </cell>
          <cell r="Z1103" t="str">
            <v>NA</v>
          </cell>
          <cell r="AA1103" t="str">
            <v>NA</v>
          </cell>
        </row>
        <row r="1104">
          <cell r="A1104">
            <v>45149</v>
          </cell>
          <cell r="B1104" t="str">
            <v>A2</v>
          </cell>
          <cell r="C1104">
            <v>4</v>
          </cell>
          <cell r="D1104">
            <v>1</v>
          </cell>
          <cell r="E1104" t="str">
            <v>ARIS.A2.Aim1.Bin4.RB</v>
          </cell>
          <cell r="F1104">
            <v>4</v>
          </cell>
          <cell r="G1104" t="str">
            <v>Unweighted</v>
          </cell>
          <cell r="H1104" t="str">
            <v>N</v>
          </cell>
          <cell r="I1104" t="str">
            <v>Y</v>
          </cell>
          <cell r="J1104">
            <v>140</v>
          </cell>
          <cell r="K1104">
            <v>0.99990000000000001</v>
          </cell>
          <cell r="L1104">
            <v>0.38769999999999999</v>
          </cell>
          <cell r="M1104">
            <v>29</v>
          </cell>
          <cell r="N1104">
            <v>4.5</v>
          </cell>
          <cell r="O1104">
            <v>0.61219999999999997</v>
          </cell>
          <cell r="P1104">
            <v>0</v>
          </cell>
          <cell r="Q1104">
            <v>9.1800000000000007E-2</v>
          </cell>
          <cell r="R1104">
            <v>0.52039999999999997</v>
          </cell>
          <cell r="S1104" t="str">
            <v>NA</v>
          </cell>
          <cell r="T1104">
            <v>59.3</v>
          </cell>
          <cell r="U1104">
            <v>4.8</v>
          </cell>
          <cell r="V1104">
            <v>75.3</v>
          </cell>
          <cell r="W1104">
            <v>7.6</v>
          </cell>
          <cell r="X1104">
            <v>51.9</v>
          </cell>
          <cell r="Y1104">
            <v>6.7</v>
          </cell>
          <cell r="Z1104" t="str">
            <v>NA</v>
          </cell>
          <cell r="AA1104" t="str">
            <v>NA</v>
          </cell>
        </row>
        <row r="1105">
          <cell r="A1105">
            <v>45149</v>
          </cell>
          <cell r="B1105" t="str">
            <v>A1</v>
          </cell>
          <cell r="C1105">
            <v>1</v>
          </cell>
          <cell r="D1105">
            <v>1</v>
          </cell>
          <cell r="E1105" t="str">
            <v>ARIS.A1.Aim1.Bin1.LB</v>
          </cell>
          <cell r="F1105">
            <v>4</v>
          </cell>
          <cell r="G1105" t="str">
            <v>SplineDFA</v>
          </cell>
          <cell r="H1105" t="str">
            <v>Y</v>
          </cell>
          <cell r="I1105" t="str">
            <v>N</v>
          </cell>
          <cell r="J1105">
            <v>142</v>
          </cell>
          <cell r="K1105">
            <v>1.0001</v>
          </cell>
          <cell r="L1105">
            <v>0.81459999999999999</v>
          </cell>
          <cell r="M1105">
            <v>23.7</v>
          </cell>
          <cell r="N1105">
            <v>2.7</v>
          </cell>
          <cell r="O1105">
            <v>0.1855</v>
          </cell>
          <cell r="P1105">
            <v>6.4899999999999999E-2</v>
          </cell>
          <cell r="Q1105">
            <v>3.4599999999999999E-2</v>
          </cell>
          <cell r="R1105">
            <v>8.5999999999999993E-2</v>
          </cell>
          <cell r="S1105" t="str">
            <v>NA</v>
          </cell>
          <cell r="T1105">
            <v>59.3</v>
          </cell>
          <cell r="U1105">
            <v>4.8</v>
          </cell>
          <cell r="V1105">
            <v>75.3</v>
          </cell>
          <cell r="W1105">
            <v>7.6</v>
          </cell>
          <cell r="X1105">
            <v>51.9</v>
          </cell>
          <cell r="Y1105">
            <v>6.7</v>
          </cell>
          <cell r="Z1105" t="str">
            <v>NA</v>
          </cell>
          <cell r="AA1105" t="str">
            <v>NA</v>
          </cell>
        </row>
        <row r="1106">
          <cell r="A1106">
            <v>45149</v>
          </cell>
          <cell r="B1106" t="str">
            <v>A1</v>
          </cell>
          <cell r="C1106">
            <v>1</v>
          </cell>
          <cell r="D1106">
            <v>2</v>
          </cell>
          <cell r="E1106" t="str">
            <v>ARIS.A1.Aim2.Bin1.LB</v>
          </cell>
          <cell r="F1106">
            <v>4</v>
          </cell>
          <cell r="G1106" t="str">
            <v>SplineDFA</v>
          </cell>
          <cell r="H1106" t="str">
            <v>Y</v>
          </cell>
          <cell r="I1106" t="str">
            <v>N</v>
          </cell>
          <cell r="J1106">
            <v>186</v>
          </cell>
          <cell r="K1106">
            <v>1</v>
          </cell>
          <cell r="L1106">
            <v>0.65</v>
          </cell>
          <cell r="M1106">
            <v>23.7</v>
          </cell>
          <cell r="N1106">
            <v>2.7</v>
          </cell>
          <cell r="O1106">
            <v>0.35</v>
          </cell>
          <cell r="P1106">
            <v>0.15740000000000001</v>
          </cell>
          <cell r="Q1106">
            <v>7.0900000000000005E-2</v>
          </cell>
          <cell r="R1106">
            <v>0.1217</v>
          </cell>
          <cell r="S1106" t="str">
            <v>NA</v>
          </cell>
          <cell r="T1106">
            <v>59.3</v>
          </cell>
          <cell r="U1106">
            <v>4.8</v>
          </cell>
          <cell r="V1106">
            <v>75.3</v>
          </cell>
          <cell r="W1106">
            <v>7.6</v>
          </cell>
          <cell r="X1106">
            <v>51.9</v>
          </cell>
          <cell r="Y1106">
            <v>6.7</v>
          </cell>
          <cell r="Z1106" t="str">
            <v>NA</v>
          </cell>
          <cell r="AA1106" t="str">
            <v>NA</v>
          </cell>
        </row>
        <row r="1107">
          <cell r="A1107">
            <v>45149</v>
          </cell>
          <cell r="B1107" t="str">
            <v>A1</v>
          </cell>
          <cell r="C1107">
            <v>2</v>
          </cell>
          <cell r="D1107">
            <v>3</v>
          </cell>
          <cell r="E1107" t="str">
            <v>ARIS.A1.Aim3.Bin2.LB</v>
          </cell>
          <cell r="F1107">
            <v>4</v>
          </cell>
          <cell r="G1107" t="str">
            <v>SplineDFA</v>
          </cell>
          <cell r="H1107" t="str">
            <v>Y</v>
          </cell>
          <cell r="I1107" t="str">
            <v>N</v>
          </cell>
          <cell r="J1107">
            <v>181</v>
          </cell>
          <cell r="K1107">
            <v>1</v>
          </cell>
          <cell r="L1107">
            <v>0.219</v>
          </cell>
          <cell r="M1107">
            <v>23.7</v>
          </cell>
          <cell r="N1107">
            <v>2.7</v>
          </cell>
          <cell r="O1107">
            <v>0.78100000000000003</v>
          </cell>
          <cell r="P1107">
            <v>0.25419999999999998</v>
          </cell>
          <cell r="Q1107">
            <v>0.2492</v>
          </cell>
          <cell r="R1107">
            <v>0.27760000000000001</v>
          </cell>
          <cell r="S1107" t="str">
            <v>NA</v>
          </cell>
          <cell r="T1107">
            <v>59.3</v>
          </cell>
          <cell r="U1107">
            <v>4.8</v>
          </cell>
          <cell r="V1107">
            <v>75.3</v>
          </cell>
          <cell r="W1107">
            <v>7.6</v>
          </cell>
          <cell r="X1107">
            <v>51.9</v>
          </cell>
          <cell r="Y1107">
            <v>6.7</v>
          </cell>
          <cell r="Z1107" t="str">
            <v>NA</v>
          </cell>
          <cell r="AA1107" t="str">
            <v>NA</v>
          </cell>
        </row>
        <row r="1108">
          <cell r="A1108">
            <v>45149</v>
          </cell>
          <cell r="B1108" t="str">
            <v>A1</v>
          </cell>
          <cell r="C1108">
            <v>3</v>
          </cell>
          <cell r="D1108">
            <v>3</v>
          </cell>
          <cell r="E1108" t="str">
            <v>ARIS.A1.Aim3.Bin3.LB</v>
          </cell>
          <cell r="F1108">
            <v>4</v>
          </cell>
          <cell r="G1108" t="str">
            <v>SplineDFA</v>
          </cell>
          <cell r="H1108" t="str">
            <v>Y</v>
          </cell>
          <cell r="I1108" t="str">
            <v>N</v>
          </cell>
          <cell r="J1108">
            <v>175</v>
          </cell>
          <cell r="K1108">
            <v>1</v>
          </cell>
          <cell r="L1108">
            <v>1.5E-3</v>
          </cell>
          <cell r="M1108">
            <v>23.7</v>
          </cell>
          <cell r="N1108">
            <v>2.7</v>
          </cell>
          <cell r="O1108">
            <v>0.99850000000000005</v>
          </cell>
          <cell r="P1108">
            <v>0.2442</v>
          </cell>
          <cell r="Q1108">
            <v>0.42649999999999999</v>
          </cell>
          <cell r="R1108">
            <v>0.32779999999999998</v>
          </cell>
          <cell r="S1108" t="str">
            <v>NA</v>
          </cell>
          <cell r="T1108">
            <v>59.3</v>
          </cell>
          <cell r="U1108">
            <v>4.8</v>
          </cell>
          <cell r="V1108">
            <v>75.3</v>
          </cell>
          <cell r="W1108">
            <v>7.6</v>
          </cell>
          <cell r="X1108">
            <v>51.9</v>
          </cell>
          <cell r="Y1108">
            <v>6.7</v>
          </cell>
          <cell r="Z1108" t="str">
            <v>NA</v>
          </cell>
          <cell r="AA1108" t="str">
            <v>NA</v>
          </cell>
        </row>
        <row r="1109">
          <cell r="A1109">
            <v>45149</v>
          </cell>
          <cell r="B1109" t="str">
            <v>A1</v>
          </cell>
          <cell r="C1109">
            <v>4</v>
          </cell>
          <cell r="D1109">
            <v>3</v>
          </cell>
          <cell r="E1109" t="str">
            <v>ARIS.A1.Aim3.Bin4.LB</v>
          </cell>
          <cell r="F1109">
            <v>4</v>
          </cell>
          <cell r="G1109" t="str">
            <v>SplineDFA</v>
          </cell>
          <cell r="H1109" t="str">
            <v>Y</v>
          </cell>
          <cell r="I1109" t="str">
            <v>N</v>
          </cell>
          <cell r="J1109">
            <v>175</v>
          </cell>
          <cell r="K1109">
            <v>1</v>
          </cell>
          <cell r="L1109">
            <v>1.5E-3</v>
          </cell>
          <cell r="M1109">
            <v>23.7</v>
          </cell>
          <cell r="N1109">
            <v>2.7</v>
          </cell>
          <cell r="O1109">
            <v>0.99850000000000005</v>
          </cell>
          <cell r="P1109">
            <v>0.2442</v>
          </cell>
          <cell r="Q1109">
            <v>0.42649999999999999</v>
          </cell>
          <cell r="R1109">
            <v>0.32779999999999998</v>
          </cell>
          <cell r="S1109" t="str">
            <v>NA</v>
          </cell>
          <cell r="T1109">
            <v>59.3</v>
          </cell>
          <cell r="U1109">
            <v>4.8</v>
          </cell>
          <cell r="V1109">
            <v>75.3</v>
          </cell>
          <cell r="W1109">
            <v>7.6</v>
          </cell>
          <cell r="X1109">
            <v>51.9</v>
          </cell>
          <cell r="Y1109">
            <v>6.7</v>
          </cell>
          <cell r="Z1109" t="str">
            <v>NA</v>
          </cell>
          <cell r="AA1109" t="str">
            <v>NA</v>
          </cell>
        </row>
        <row r="1110">
          <cell r="A1110">
            <v>45149</v>
          </cell>
          <cell r="B1110" t="str">
            <v>A2</v>
          </cell>
          <cell r="C1110">
            <v>1</v>
          </cell>
          <cell r="D1110">
            <v>1</v>
          </cell>
          <cell r="E1110" t="str">
            <v>ARIS.A2.Aim1.Bin1.RB</v>
          </cell>
          <cell r="F1110">
            <v>4</v>
          </cell>
          <cell r="G1110" t="str">
            <v>SplineDFA</v>
          </cell>
          <cell r="H1110" t="str">
            <v>Y</v>
          </cell>
          <cell r="I1110" t="str">
            <v>N</v>
          </cell>
          <cell r="J1110">
            <v>168</v>
          </cell>
          <cell r="K1110">
            <v>1</v>
          </cell>
          <cell r="L1110">
            <v>0.75580000000000003</v>
          </cell>
          <cell r="M1110">
            <v>23.7</v>
          </cell>
          <cell r="N1110">
            <v>2.7</v>
          </cell>
          <cell r="O1110">
            <v>0.2442</v>
          </cell>
          <cell r="P1110">
            <v>6.8199999999999997E-2</v>
          </cell>
          <cell r="Q1110">
            <v>4.3400000000000001E-2</v>
          </cell>
          <cell r="R1110">
            <v>0.1326</v>
          </cell>
          <cell r="S1110" t="str">
            <v>NA</v>
          </cell>
          <cell r="T1110">
            <v>59.3</v>
          </cell>
          <cell r="U1110">
            <v>4.8</v>
          </cell>
          <cell r="V1110">
            <v>75.3</v>
          </cell>
          <cell r="W1110">
            <v>7.6</v>
          </cell>
          <cell r="X1110">
            <v>51.9</v>
          </cell>
          <cell r="Y1110">
            <v>6.7</v>
          </cell>
          <cell r="Z1110" t="str">
            <v>NA</v>
          </cell>
          <cell r="AA1110" t="str">
            <v>NA</v>
          </cell>
        </row>
        <row r="1111">
          <cell r="A1111">
            <v>45149</v>
          </cell>
          <cell r="B1111" t="str">
            <v>A2</v>
          </cell>
          <cell r="C1111">
            <v>2</v>
          </cell>
          <cell r="D1111">
            <v>1</v>
          </cell>
          <cell r="E1111" t="str">
            <v>ARIS.A2.Aim1.Bin2.RB</v>
          </cell>
          <cell r="F1111">
            <v>4</v>
          </cell>
          <cell r="G1111" t="str">
            <v>SplineDFA</v>
          </cell>
          <cell r="H1111" t="str">
            <v>Y</v>
          </cell>
          <cell r="I1111" t="str">
            <v>N</v>
          </cell>
          <cell r="J1111">
            <v>170</v>
          </cell>
          <cell r="K1111">
            <v>1</v>
          </cell>
          <cell r="L1111">
            <v>0.46660000000000001</v>
          </cell>
          <cell r="M1111">
            <v>23.7</v>
          </cell>
          <cell r="N1111">
            <v>2.7</v>
          </cell>
          <cell r="O1111">
            <v>0.53339999999999999</v>
          </cell>
          <cell r="P1111">
            <v>0.1265</v>
          </cell>
          <cell r="Q1111">
            <v>0.1036</v>
          </cell>
          <cell r="R1111">
            <v>0.30330000000000001</v>
          </cell>
          <cell r="S1111" t="str">
            <v>NA</v>
          </cell>
          <cell r="T1111">
            <v>59.3</v>
          </cell>
          <cell r="U1111">
            <v>4.8</v>
          </cell>
          <cell r="V1111">
            <v>75.3</v>
          </cell>
          <cell r="W1111">
            <v>7.6</v>
          </cell>
          <cell r="X1111">
            <v>51.9</v>
          </cell>
          <cell r="Y1111">
            <v>6.7</v>
          </cell>
          <cell r="Z1111" t="str">
            <v>NA</v>
          </cell>
          <cell r="AA1111" t="str">
            <v>NA</v>
          </cell>
        </row>
        <row r="1112">
          <cell r="A1112">
            <v>45149</v>
          </cell>
          <cell r="B1112" t="str">
            <v>A2</v>
          </cell>
          <cell r="C1112">
            <v>3</v>
          </cell>
          <cell r="D1112">
            <v>1</v>
          </cell>
          <cell r="E1112" t="str">
            <v>ARIS.A2.Aim1.Bin3.RB</v>
          </cell>
          <cell r="F1112">
            <v>4</v>
          </cell>
          <cell r="G1112" t="str">
            <v>SplineDFA</v>
          </cell>
          <cell r="H1112" t="str">
            <v>Y</v>
          </cell>
          <cell r="I1112" t="str">
            <v>N</v>
          </cell>
          <cell r="J1112">
            <v>140</v>
          </cell>
          <cell r="K1112">
            <v>1</v>
          </cell>
          <cell r="L1112">
            <v>9.6799999999999997E-2</v>
          </cell>
          <cell r="M1112">
            <v>23.7</v>
          </cell>
          <cell r="N1112">
            <v>2.7</v>
          </cell>
          <cell r="O1112">
            <v>0.9032</v>
          </cell>
          <cell r="P1112">
            <v>0.16109999999999999</v>
          </cell>
          <cell r="Q1112">
            <v>0.15559999999999999</v>
          </cell>
          <cell r="R1112">
            <v>0.58650000000000002</v>
          </cell>
          <cell r="S1112" t="str">
            <v>NA</v>
          </cell>
          <cell r="T1112">
            <v>59.3</v>
          </cell>
          <cell r="U1112">
            <v>4.8</v>
          </cell>
          <cell r="V1112">
            <v>75.3</v>
          </cell>
          <cell r="W1112">
            <v>7.6</v>
          </cell>
          <cell r="X1112">
            <v>51.9</v>
          </cell>
          <cell r="Y1112">
            <v>6.7</v>
          </cell>
          <cell r="Z1112" t="str">
            <v>NA</v>
          </cell>
          <cell r="AA1112" t="str">
            <v>NA</v>
          </cell>
        </row>
        <row r="1113">
          <cell r="A1113">
            <v>45149</v>
          </cell>
          <cell r="B1113" t="str">
            <v>A2</v>
          </cell>
          <cell r="C1113">
            <v>4</v>
          </cell>
          <cell r="D1113">
            <v>1</v>
          </cell>
          <cell r="E1113" t="str">
            <v>ARIS.A2.Aim1.Bin4.RB</v>
          </cell>
          <cell r="F1113">
            <v>4</v>
          </cell>
          <cell r="G1113" t="str">
            <v>SplineDFA</v>
          </cell>
          <cell r="H1113" t="str">
            <v>Y</v>
          </cell>
          <cell r="I1113" t="str">
            <v>N</v>
          </cell>
          <cell r="J1113">
            <v>140</v>
          </cell>
          <cell r="K1113">
            <v>1</v>
          </cell>
          <cell r="L1113">
            <v>9.6799999999999997E-2</v>
          </cell>
          <cell r="M1113">
            <v>23.7</v>
          </cell>
          <cell r="N1113">
            <v>2.7</v>
          </cell>
          <cell r="O1113">
            <v>0.9032</v>
          </cell>
          <cell r="P1113">
            <v>0.16109999999999999</v>
          </cell>
          <cell r="Q1113">
            <v>0.15559999999999999</v>
          </cell>
          <cell r="R1113">
            <v>0.58650000000000002</v>
          </cell>
          <cell r="S1113" t="str">
            <v>NA</v>
          </cell>
          <cell r="T1113">
            <v>59.3</v>
          </cell>
          <cell r="U1113">
            <v>4.8</v>
          </cell>
          <cell r="V1113">
            <v>75.3</v>
          </cell>
          <cell r="W1113">
            <v>7.6</v>
          </cell>
          <cell r="X1113">
            <v>51.9</v>
          </cell>
          <cell r="Y1113">
            <v>6.7</v>
          </cell>
          <cell r="Z1113" t="str">
            <v>NA</v>
          </cell>
          <cell r="AA1113" t="str">
            <v>NA</v>
          </cell>
        </row>
        <row r="1114">
          <cell r="A1114">
            <v>45150</v>
          </cell>
          <cell r="B1114" t="str">
            <v>A1</v>
          </cell>
          <cell r="C1114">
            <v>1</v>
          </cell>
          <cell r="D1114">
            <v>1</v>
          </cell>
          <cell r="E1114" t="str">
            <v>ARIS.A1.Aim1.Bin1.LB</v>
          </cell>
          <cell r="F1114">
            <v>4</v>
          </cell>
          <cell r="G1114" t="str">
            <v>Unweighted</v>
          </cell>
          <cell r="H1114" t="str">
            <v>N</v>
          </cell>
          <cell r="I1114" t="str">
            <v>Y</v>
          </cell>
          <cell r="J1114">
            <v>147</v>
          </cell>
          <cell r="K1114">
            <v>0.99990000000000001</v>
          </cell>
          <cell r="L1114">
            <v>0.72240000000000004</v>
          </cell>
          <cell r="M1114">
            <v>24.4</v>
          </cell>
          <cell r="N1114">
            <v>7.7</v>
          </cell>
          <cell r="O1114">
            <v>0.27750000000000002</v>
          </cell>
          <cell r="P1114">
            <v>0.14499999999999999</v>
          </cell>
          <cell r="Q1114">
            <v>1.5800000000000002E-2</v>
          </cell>
          <cell r="R1114">
            <v>0.1167</v>
          </cell>
          <cell r="S1114" t="str">
            <v>NA</v>
          </cell>
          <cell r="T1114">
            <v>59.3</v>
          </cell>
          <cell r="U1114">
            <v>4.8</v>
          </cell>
          <cell r="V1114">
            <v>75.3</v>
          </cell>
          <cell r="W1114">
            <v>7.6</v>
          </cell>
          <cell r="X1114">
            <v>51.9</v>
          </cell>
          <cell r="Y1114">
            <v>6.7</v>
          </cell>
          <cell r="Z1114" t="str">
            <v>NA</v>
          </cell>
          <cell r="AA1114" t="str">
            <v>NA</v>
          </cell>
        </row>
        <row r="1115">
          <cell r="A1115">
            <v>45150</v>
          </cell>
          <cell r="B1115" t="str">
            <v>A1</v>
          </cell>
          <cell r="C1115">
            <v>1</v>
          </cell>
          <cell r="D1115">
            <v>2</v>
          </cell>
          <cell r="E1115" t="str">
            <v>ARIS.A1.Aim2.Bin1.LB</v>
          </cell>
          <cell r="F1115">
            <v>4</v>
          </cell>
          <cell r="G1115" t="str">
            <v>Unweighted</v>
          </cell>
          <cell r="H1115" t="str">
            <v>N</v>
          </cell>
          <cell r="I1115" t="str">
            <v>Y</v>
          </cell>
          <cell r="J1115">
            <v>170</v>
          </cell>
          <cell r="K1115">
            <v>1</v>
          </cell>
          <cell r="L1115">
            <v>0.65369999999999995</v>
          </cell>
          <cell r="M1115">
            <v>21.4</v>
          </cell>
          <cell r="N1115">
            <v>7.3</v>
          </cell>
          <cell r="O1115">
            <v>0.3463</v>
          </cell>
          <cell r="P1115">
            <v>0.19589999999999999</v>
          </cell>
          <cell r="Q1115">
            <v>2.4E-2</v>
          </cell>
          <cell r="R1115">
            <v>0.12640000000000001</v>
          </cell>
          <cell r="S1115" t="str">
            <v>NA</v>
          </cell>
          <cell r="T1115">
            <v>59.3</v>
          </cell>
          <cell r="U1115">
            <v>4.8</v>
          </cell>
          <cell r="V1115">
            <v>75.3</v>
          </cell>
          <cell r="W1115">
            <v>7.6</v>
          </cell>
          <cell r="X1115">
            <v>51.9</v>
          </cell>
          <cell r="Y1115">
            <v>6.7</v>
          </cell>
          <cell r="Z1115" t="str">
            <v>NA</v>
          </cell>
          <cell r="AA1115" t="str">
            <v>NA</v>
          </cell>
        </row>
        <row r="1116">
          <cell r="A1116">
            <v>45150</v>
          </cell>
          <cell r="B1116" t="str">
            <v>A1</v>
          </cell>
          <cell r="C1116">
            <v>1</v>
          </cell>
          <cell r="D1116" t="str">
            <v>1&amp;2</v>
          </cell>
          <cell r="E1116" t="str">
            <v>ARIS.A1.Aim1&amp;Aim2.Bin1.LB</v>
          </cell>
          <cell r="F1116">
            <v>4</v>
          </cell>
          <cell r="G1116" t="str">
            <v>Unweighted</v>
          </cell>
          <cell r="H1116" t="str">
            <v>N</v>
          </cell>
          <cell r="I1116" t="str">
            <v>Y</v>
          </cell>
          <cell r="J1116">
            <v>317</v>
          </cell>
          <cell r="K1116">
            <v>1</v>
          </cell>
          <cell r="L1116">
            <v>0.68940000000000001</v>
          </cell>
          <cell r="M1116">
            <v>23</v>
          </cell>
          <cell r="N1116">
            <v>7.8</v>
          </cell>
          <cell r="O1116">
            <v>0.31059999999999999</v>
          </cell>
          <cell r="P1116">
            <v>0.1774</v>
          </cell>
          <cell r="Q1116">
            <v>1.9800000000000002E-2</v>
          </cell>
          <cell r="R1116">
            <v>0.1134</v>
          </cell>
          <cell r="S1116" t="str">
            <v>NA</v>
          </cell>
          <cell r="T1116">
            <v>59.3</v>
          </cell>
          <cell r="U1116">
            <v>4.8</v>
          </cell>
          <cell r="V1116">
            <v>75.3</v>
          </cell>
          <cell r="W1116">
            <v>7.6</v>
          </cell>
          <cell r="X1116">
            <v>51.9</v>
          </cell>
          <cell r="Y1116">
            <v>6.7</v>
          </cell>
          <cell r="Z1116" t="str">
            <v>NA</v>
          </cell>
          <cell r="AA1116" t="str">
            <v>NA</v>
          </cell>
        </row>
        <row r="1117">
          <cell r="A1117">
            <v>45150</v>
          </cell>
          <cell r="B1117" t="str">
            <v>A1</v>
          </cell>
          <cell r="C1117">
            <v>2</v>
          </cell>
          <cell r="D1117">
            <v>3</v>
          </cell>
          <cell r="E1117" t="str">
            <v>ARIS.A1.Aim3.Bin2.LB</v>
          </cell>
          <cell r="F1117">
            <v>4</v>
          </cell>
          <cell r="G1117" t="str">
            <v>Unweighted</v>
          </cell>
          <cell r="H1117" t="str">
            <v>N</v>
          </cell>
          <cell r="I1117" t="str">
            <v>Y</v>
          </cell>
          <cell r="J1117">
            <v>156</v>
          </cell>
          <cell r="K1117">
            <v>1</v>
          </cell>
          <cell r="L1117">
            <v>0.47339999999999999</v>
          </cell>
          <cell r="M1117">
            <v>29.4</v>
          </cell>
          <cell r="N1117">
            <v>7.1</v>
          </cell>
          <cell r="O1117">
            <v>0.52659999999999996</v>
          </cell>
          <cell r="P1117">
            <v>7.5399999999999995E-2</v>
          </cell>
          <cell r="Q1117">
            <v>0.27289999999999998</v>
          </cell>
          <cell r="R1117">
            <v>0.17829999999999999</v>
          </cell>
          <cell r="S1117" t="str">
            <v>NA</v>
          </cell>
          <cell r="T1117">
            <v>59.3</v>
          </cell>
          <cell r="U1117">
            <v>4.8</v>
          </cell>
          <cell r="V1117">
            <v>75.3</v>
          </cell>
          <cell r="W1117">
            <v>7.6</v>
          </cell>
          <cell r="X1117">
            <v>51.9</v>
          </cell>
          <cell r="Y1117">
            <v>6.7</v>
          </cell>
          <cell r="Z1117" t="str">
            <v>NA</v>
          </cell>
          <cell r="AA1117" t="str">
            <v>NA</v>
          </cell>
        </row>
        <row r="1118">
          <cell r="A1118">
            <v>45150</v>
          </cell>
          <cell r="B1118" t="str">
            <v>A1</v>
          </cell>
          <cell r="C1118">
            <v>3</v>
          </cell>
          <cell r="D1118">
            <v>3</v>
          </cell>
          <cell r="E1118" t="str">
            <v>ARIS.A1.Aim3.Bin3.LB</v>
          </cell>
          <cell r="F1118">
            <v>4</v>
          </cell>
          <cell r="G1118" t="str">
            <v>Unweighted</v>
          </cell>
          <cell r="H1118" t="str">
            <v>N</v>
          </cell>
          <cell r="I1118" t="str">
            <v>Y</v>
          </cell>
          <cell r="J1118">
            <v>153</v>
          </cell>
          <cell r="K1118">
            <v>1</v>
          </cell>
          <cell r="L1118">
            <v>0.1671</v>
          </cell>
          <cell r="M1118">
            <v>30.1</v>
          </cell>
          <cell r="N1118">
            <v>3.1</v>
          </cell>
          <cell r="O1118">
            <v>0.83289999999999997</v>
          </cell>
          <cell r="P1118">
            <v>0</v>
          </cell>
          <cell r="Q1118">
            <v>0.4597</v>
          </cell>
          <cell r="R1118">
            <v>0.37319999999999998</v>
          </cell>
          <cell r="S1118" t="str">
            <v>NA</v>
          </cell>
          <cell r="T1118">
            <v>59.3</v>
          </cell>
          <cell r="U1118">
            <v>4.8</v>
          </cell>
          <cell r="V1118">
            <v>75.3</v>
          </cell>
          <cell r="W1118">
            <v>7.6</v>
          </cell>
          <cell r="X1118">
            <v>51.9</v>
          </cell>
          <cell r="Y1118">
            <v>6.7</v>
          </cell>
          <cell r="Z1118" t="str">
            <v>NA</v>
          </cell>
          <cell r="AA1118" t="str">
            <v>NA</v>
          </cell>
        </row>
        <row r="1119">
          <cell r="A1119">
            <v>45150</v>
          </cell>
          <cell r="B1119" t="str">
            <v>A1</v>
          </cell>
          <cell r="C1119">
            <v>4</v>
          </cell>
          <cell r="D1119">
            <v>3</v>
          </cell>
          <cell r="E1119" t="str">
            <v>ARIS.A1.Aim3.Bin4.LB</v>
          </cell>
          <cell r="F1119">
            <v>4</v>
          </cell>
          <cell r="G1119" t="str">
            <v>Unweighted</v>
          </cell>
          <cell r="H1119" t="str">
            <v>N</v>
          </cell>
          <cell r="I1119" t="str">
            <v>Y</v>
          </cell>
          <cell r="J1119">
            <v>153</v>
          </cell>
          <cell r="K1119">
            <v>1</v>
          </cell>
          <cell r="L1119">
            <v>0.1671</v>
          </cell>
          <cell r="M1119">
            <v>30.1</v>
          </cell>
          <cell r="N1119">
            <v>3.1</v>
          </cell>
          <cell r="O1119">
            <v>0.83289999999999997</v>
          </cell>
          <cell r="P1119">
            <v>0</v>
          </cell>
          <cell r="Q1119">
            <v>0.4597</v>
          </cell>
          <cell r="R1119">
            <v>0.37319999999999998</v>
          </cell>
          <cell r="S1119" t="str">
            <v>NA</v>
          </cell>
          <cell r="T1119">
            <v>59.3</v>
          </cell>
          <cell r="U1119">
            <v>4.8</v>
          </cell>
          <cell r="V1119">
            <v>75.3</v>
          </cell>
          <cell r="W1119">
            <v>7.6</v>
          </cell>
          <cell r="X1119">
            <v>51.9</v>
          </cell>
          <cell r="Y1119">
            <v>6.7</v>
          </cell>
          <cell r="Z1119" t="str">
            <v>NA</v>
          </cell>
          <cell r="AA1119" t="str">
            <v>NA</v>
          </cell>
        </row>
        <row r="1120">
          <cell r="A1120">
            <v>45150</v>
          </cell>
          <cell r="B1120" t="str">
            <v>A2</v>
          </cell>
          <cell r="C1120">
            <v>1</v>
          </cell>
          <cell r="D1120">
            <v>1</v>
          </cell>
          <cell r="E1120" t="str">
            <v>ARIS.A2.Aim1.Bin1.RB</v>
          </cell>
          <cell r="F1120">
            <v>4</v>
          </cell>
          <cell r="G1120" t="str">
            <v>Unweighted</v>
          </cell>
          <cell r="H1120" t="str">
            <v>N</v>
          </cell>
          <cell r="I1120" t="str">
            <v>Y</v>
          </cell>
          <cell r="J1120">
            <v>168</v>
          </cell>
          <cell r="K1120">
            <v>1.0001</v>
          </cell>
          <cell r="L1120">
            <v>0.83630000000000004</v>
          </cell>
          <cell r="M1120">
            <v>23.6</v>
          </cell>
          <cell r="N1120">
            <v>9.1</v>
          </cell>
          <cell r="O1120">
            <v>0.1638</v>
          </cell>
          <cell r="P1120">
            <v>9.7500000000000003E-2</v>
          </cell>
          <cell r="Q1120">
            <v>4.9000000000000002E-2</v>
          </cell>
          <cell r="R1120">
            <v>1.7299999999999999E-2</v>
          </cell>
          <cell r="S1120" t="str">
            <v>NA</v>
          </cell>
          <cell r="T1120">
            <v>59.3</v>
          </cell>
          <cell r="U1120">
            <v>4.8</v>
          </cell>
          <cell r="V1120">
            <v>75.3</v>
          </cell>
          <cell r="W1120">
            <v>7.6</v>
          </cell>
          <cell r="X1120">
            <v>51.9</v>
          </cell>
          <cell r="Y1120">
            <v>6.7</v>
          </cell>
          <cell r="Z1120" t="str">
            <v>NA</v>
          </cell>
          <cell r="AA1120" t="str">
            <v>NA</v>
          </cell>
        </row>
        <row r="1121">
          <cell r="A1121">
            <v>45150</v>
          </cell>
          <cell r="B1121" t="str">
            <v>A2</v>
          </cell>
          <cell r="C1121">
            <v>2</v>
          </cell>
          <cell r="D1121">
            <v>1</v>
          </cell>
          <cell r="E1121" t="str">
            <v>ARIS.A2.Aim1.Bin2.RB</v>
          </cell>
          <cell r="F1121">
            <v>4</v>
          </cell>
          <cell r="G1121" t="str">
            <v>Unweighted</v>
          </cell>
          <cell r="H1121" t="str">
            <v>N</v>
          </cell>
          <cell r="I1121" t="str">
            <v>Y</v>
          </cell>
          <cell r="J1121">
            <v>170</v>
          </cell>
          <cell r="K1121">
            <v>0.99990000000000001</v>
          </cell>
          <cell r="L1121">
            <v>0.69979999999999998</v>
          </cell>
          <cell r="M1121">
            <v>29.5</v>
          </cell>
          <cell r="N1121">
            <v>7.6</v>
          </cell>
          <cell r="O1121">
            <v>0.30009999999999998</v>
          </cell>
          <cell r="P1121">
            <v>9.8400000000000001E-2</v>
          </cell>
          <cell r="Q1121">
            <v>0.1037</v>
          </cell>
          <cell r="R1121">
            <v>9.8000000000000004E-2</v>
          </cell>
          <cell r="S1121" t="str">
            <v>NA</v>
          </cell>
          <cell r="T1121">
            <v>59.3</v>
          </cell>
          <cell r="U1121">
            <v>4.8</v>
          </cell>
          <cell r="V1121">
            <v>75.3</v>
          </cell>
          <cell r="W1121">
            <v>7.6</v>
          </cell>
          <cell r="X1121">
            <v>51.9</v>
          </cell>
          <cell r="Y1121">
            <v>6.7</v>
          </cell>
          <cell r="Z1121" t="str">
            <v>NA</v>
          </cell>
          <cell r="AA1121" t="str">
            <v>NA</v>
          </cell>
        </row>
        <row r="1122">
          <cell r="A1122">
            <v>45150</v>
          </cell>
          <cell r="B1122" t="str">
            <v>A2</v>
          </cell>
          <cell r="C1122">
            <v>3</v>
          </cell>
          <cell r="D1122">
            <v>1</v>
          </cell>
          <cell r="E1122" t="str">
            <v>ARIS.A2.Aim1.Bin3.RB</v>
          </cell>
          <cell r="F1122">
            <v>4</v>
          </cell>
          <cell r="G1122" t="str">
            <v>Unweighted</v>
          </cell>
          <cell r="H1122" t="str">
            <v>N</v>
          </cell>
          <cell r="I1122" t="str">
            <v>Y</v>
          </cell>
          <cell r="J1122">
            <v>140</v>
          </cell>
          <cell r="K1122">
            <v>0.99990000000000001</v>
          </cell>
          <cell r="L1122">
            <v>0.38769999999999999</v>
          </cell>
          <cell r="M1122">
            <v>29</v>
          </cell>
          <cell r="N1122">
            <v>4.5</v>
          </cell>
          <cell r="O1122">
            <v>0.61219999999999997</v>
          </cell>
          <cell r="P1122">
            <v>0</v>
          </cell>
          <cell r="Q1122">
            <v>9.1800000000000007E-2</v>
          </cell>
          <cell r="R1122">
            <v>0.52039999999999997</v>
          </cell>
          <cell r="S1122" t="str">
            <v>NA</v>
          </cell>
          <cell r="T1122">
            <v>59.3</v>
          </cell>
          <cell r="U1122">
            <v>4.8</v>
          </cell>
          <cell r="V1122">
            <v>75.3</v>
          </cell>
          <cell r="W1122">
            <v>7.6</v>
          </cell>
          <cell r="X1122">
            <v>51.9</v>
          </cell>
          <cell r="Y1122">
            <v>6.7</v>
          </cell>
          <cell r="Z1122" t="str">
            <v>NA</v>
          </cell>
          <cell r="AA1122" t="str">
            <v>NA</v>
          </cell>
        </row>
        <row r="1123">
          <cell r="A1123">
            <v>45150</v>
          </cell>
          <cell r="B1123" t="str">
            <v>A2</v>
          </cell>
          <cell r="C1123">
            <v>4</v>
          </cell>
          <cell r="D1123">
            <v>1</v>
          </cell>
          <cell r="E1123" t="str">
            <v>ARIS.A2.Aim1.Bin4.RB</v>
          </cell>
          <cell r="F1123">
            <v>4</v>
          </cell>
          <cell r="G1123" t="str">
            <v>Unweighted</v>
          </cell>
          <cell r="H1123" t="str">
            <v>N</v>
          </cell>
          <cell r="I1123" t="str">
            <v>Y</v>
          </cell>
          <cell r="J1123">
            <v>140</v>
          </cell>
          <cell r="K1123">
            <v>0.99990000000000001</v>
          </cell>
          <cell r="L1123">
            <v>0.38769999999999999</v>
          </cell>
          <cell r="M1123">
            <v>29</v>
          </cell>
          <cell r="N1123">
            <v>4.5</v>
          </cell>
          <cell r="O1123">
            <v>0.61219999999999997</v>
          </cell>
          <cell r="P1123">
            <v>0</v>
          </cell>
          <cell r="Q1123">
            <v>9.1800000000000007E-2</v>
          </cell>
          <cell r="R1123">
            <v>0.52039999999999997</v>
          </cell>
          <cell r="S1123" t="str">
            <v>NA</v>
          </cell>
          <cell r="T1123">
            <v>59.3</v>
          </cell>
          <cell r="U1123">
            <v>4.8</v>
          </cell>
          <cell r="V1123">
            <v>75.3</v>
          </cell>
          <cell r="W1123">
            <v>7.6</v>
          </cell>
          <cell r="X1123">
            <v>51.9</v>
          </cell>
          <cell r="Y1123">
            <v>6.7</v>
          </cell>
          <cell r="Z1123" t="str">
            <v>NA</v>
          </cell>
          <cell r="AA1123" t="str">
            <v>NA</v>
          </cell>
        </row>
        <row r="1124">
          <cell r="A1124">
            <v>45150</v>
          </cell>
          <cell r="B1124" t="str">
            <v>A1</v>
          </cell>
          <cell r="C1124">
            <v>1</v>
          </cell>
          <cell r="D1124">
            <v>1</v>
          </cell>
          <cell r="E1124" t="str">
            <v>ARIS.A1.Aim1.Bin1.LB</v>
          </cell>
          <cell r="F1124">
            <v>4</v>
          </cell>
          <cell r="G1124" t="str">
            <v>SplineDFA</v>
          </cell>
          <cell r="H1124" t="str">
            <v>Y</v>
          </cell>
          <cell r="I1124" t="str">
            <v>N</v>
          </cell>
          <cell r="J1124">
            <v>147</v>
          </cell>
          <cell r="K1124">
            <v>1</v>
          </cell>
          <cell r="L1124">
            <v>0.6492</v>
          </cell>
          <cell r="M1124">
            <v>23.7</v>
          </cell>
          <cell r="N1124">
            <v>2.7</v>
          </cell>
          <cell r="O1124">
            <v>0.3508</v>
          </cell>
          <cell r="P1124">
            <v>0.13320000000000001</v>
          </cell>
          <cell r="Q1124">
            <v>1.6899999999999998E-2</v>
          </cell>
          <cell r="R1124">
            <v>0.20069999999999999</v>
          </cell>
          <cell r="S1124" t="str">
            <v>NA</v>
          </cell>
          <cell r="T1124">
            <v>59.3</v>
          </cell>
          <cell r="U1124">
            <v>4.8</v>
          </cell>
          <cell r="V1124">
            <v>75.3</v>
          </cell>
          <cell r="W1124">
            <v>7.6</v>
          </cell>
          <cell r="X1124">
            <v>51.9</v>
          </cell>
          <cell r="Y1124">
            <v>6.7</v>
          </cell>
          <cell r="Z1124" t="str">
            <v>NA</v>
          </cell>
          <cell r="AA1124" t="str">
            <v>NA</v>
          </cell>
        </row>
        <row r="1125">
          <cell r="A1125">
            <v>45150</v>
          </cell>
          <cell r="B1125" t="str">
            <v>A1</v>
          </cell>
          <cell r="C1125">
            <v>1</v>
          </cell>
          <cell r="D1125">
            <v>2</v>
          </cell>
          <cell r="E1125" t="str">
            <v>ARIS.A1.Aim2.Bin1.LB</v>
          </cell>
          <cell r="F1125">
            <v>4</v>
          </cell>
          <cell r="G1125" t="str">
            <v>SplineDFA</v>
          </cell>
          <cell r="H1125" t="str">
            <v>Y</v>
          </cell>
          <cell r="I1125" t="str">
            <v>N</v>
          </cell>
          <cell r="J1125">
            <v>170</v>
          </cell>
          <cell r="K1125">
            <v>1</v>
          </cell>
          <cell r="L1125">
            <v>0.67759999999999998</v>
          </cell>
          <cell r="M1125">
            <v>23.7</v>
          </cell>
          <cell r="N1125">
            <v>2.7</v>
          </cell>
          <cell r="O1125">
            <v>0.32240000000000002</v>
          </cell>
          <cell r="P1125">
            <v>0.1681</v>
          </cell>
          <cell r="Q1125">
            <v>3.6999999999999998E-2</v>
          </cell>
          <cell r="R1125">
            <v>0.1173</v>
          </cell>
          <cell r="S1125" t="str">
            <v>NA</v>
          </cell>
          <cell r="T1125">
            <v>59.3</v>
          </cell>
          <cell r="U1125">
            <v>4.8</v>
          </cell>
          <cell r="V1125">
            <v>75.3</v>
          </cell>
          <cell r="W1125">
            <v>7.6</v>
          </cell>
          <cell r="X1125">
            <v>51.9</v>
          </cell>
          <cell r="Y1125">
            <v>6.7</v>
          </cell>
          <cell r="Z1125" t="str">
            <v>NA</v>
          </cell>
          <cell r="AA1125" t="str">
            <v>NA</v>
          </cell>
        </row>
        <row r="1126">
          <cell r="A1126">
            <v>45150</v>
          </cell>
          <cell r="B1126" t="str">
            <v>A1</v>
          </cell>
          <cell r="C1126">
            <v>2</v>
          </cell>
          <cell r="D1126">
            <v>3</v>
          </cell>
          <cell r="E1126" t="str">
            <v>ARIS.A1.Aim3.Bin2.LB</v>
          </cell>
          <cell r="F1126">
            <v>4</v>
          </cell>
          <cell r="G1126" t="str">
            <v>SplineDFA</v>
          </cell>
          <cell r="H1126" t="str">
            <v>Y</v>
          </cell>
          <cell r="I1126" t="str">
            <v>N</v>
          </cell>
          <cell r="J1126">
            <v>156</v>
          </cell>
          <cell r="K1126">
            <v>1</v>
          </cell>
          <cell r="L1126">
            <v>0.37230000000000002</v>
          </cell>
          <cell r="M1126">
            <v>23.7</v>
          </cell>
          <cell r="N1126">
            <v>2.7</v>
          </cell>
          <cell r="O1126">
            <v>0.62770000000000004</v>
          </cell>
          <cell r="P1126">
            <v>0.13539999999999999</v>
          </cell>
          <cell r="Q1126">
            <v>0.24030000000000001</v>
          </cell>
          <cell r="R1126">
            <v>0.252</v>
          </cell>
          <cell r="S1126" t="str">
            <v>NA</v>
          </cell>
          <cell r="T1126">
            <v>59.3</v>
          </cell>
          <cell r="U1126">
            <v>4.8</v>
          </cell>
          <cell r="V1126">
            <v>75.3</v>
          </cell>
          <cell r="W1126">
            <v>7.6</v>
          </cell>
          <cell r="X1126">
            <v>51.9</v>
          </cell>
          <cell r="Y1126">
            <v>6.7</v>
          </cell>
          <cell r="Z1126" t="str">
            <v>NA</v>
          </cell>
          <cell r="AA1126" t="str">
            <v>NA</v>
          </cell>
        </row>
        <row r="1127">
          <cell r="A1127">
            <v>45150</v>
          </cell>
          <cell r="B1127" t="str">
            <v>A1</v>
          </cell>
          <cell r="C1127">
            <v>3</v>
          </cell>
          <cell r="D1127">
            <v>3</v>
          </cell>
          <cell r="E1127" t="str">
            <v>ARIS.A1.Aim3.Bin3.LB</v>
          </cell>
          <cell r="F1127">
            <v>4</v>
          </cell>
          <cell r="G1127" t="str">
            <v>SplineDFA</v>
          </cell>
          <cell r="H1127" t="str">
            <v>Y</v>
          </cell>
          <cell r="I1127" t="str">
            <v>N</v>
          </cell>
          <cell r="J1127">
            <v>153</v>
          </cell>
          <cell r="K1127">
            <v>1.0001</v>
          </cell>
          <cell r="L1127">
            <v>7.2700000000000001E-2</v>
          </cell>
          <cell r="M1127">
            <v>23.7</v>
          </cell>
          <cell r="N1127">
            <v>2.7</v>
          </cell>
          <cell r="O1127">
            <v>0.9274</v>
          </cell>
          <cell r="P1127">
            <v>0.19170000000000001</v>
          </cell>
          <cell r="Q1127">
            <v>0.39090000000000003</v>
          </cell>
          <cell r="R1127">
            <v>0.3448</v>
          </cell>
          <cell r="S1127" t="str">
            <v>NA</v>
          </cell>
          <cell r="T1127">
            <v>59.3</v>
          </cell>
          <cell r="U1127">
            <v>4.8</v>
          </cell>
          <cell r="V1127">
            <v>75.3</v>
          </cell>
          <cell r="W1127">
            <v>7.6</v>
          </cell>
          <cell r="X1127">
            <v>51.9</v>
          </cell>
          <cell r="Y1127">
            <v>6.7</v>
          </cell>
          <cell r="Z1127" t="str">
            <v>NA</v>
          </cell>
          <cell r="AA1127" t="str">
            <v>NA</v>
          </cell>
        </row>
        <row r="1128">
          <cell r="A1128">
            <v>45150</v>
          </cell>
          <cell r="B1128" t="str">
            <v>A1</v>
          </cell>
          <cell r="C1128">
            <v>4</v>
          </cell>
          <cell r="D1128">
            <v>3</v>
          </cell>
          <cell r="E1128" t="str">
            <v>ARIS.A1.Aim3.Bin4.LB</v>
          </cell>
          <cell r="F1128">
            <v>4</v>
          </cell>
          <cell r="G1128" t="str">
            <v>SplineDFA</v>
          </cell>
          <cell r="H1128" t="str">
            <v>Y</v>
          </cell>
          <cell r="I1128" t="str">
            <v>N</v>
          </cell>
          <cell r="J1128">
            <v>153</v>
          </cell>
          <cell r="K1128">
            <v>1.0001</v>
          </cell>
          <cell r="L1128">
            <v>7.2700000000000001E-2</v>
          </cell>
          <cell r="M1128">
            <v>23.7</v>
          </cell>
          <cell r="N1128">
            <v>2.7</v>
          </cell>
          <cell r="O1128">
            <v>0.9274</v>
          </cell>
          <cell r="P1128">
            <v>0.19170000000000001</v>
          </cell>
          <cell r="Q1128">
            <v>0.39090000000000003</v>
          </cell>
          <cell r="R1128">
            <v>0.3448</v>
          </cell>
          <cell r="S1128" t="str">
            <v>NA</v>
          </cell>
          <cell r="T1128">
            <v>59.3</v>
          </cell>
          <cell r="U1128">
            <v>4.8</v>
          </cell>
          <cell r="V1128">
            <v>75.3</v>
          </cell>
          <cell r="W1128">
            <v>7.6</v>
          </cell>
          <cell r="X1128">
            <v>51.9</v>
          </cell>
          <cell r="Y1128">
            <v>6.7</v>
          </cell>
          <cell r="Z1128" t="str">
            <v>NA</v>
          </cell>
          <cell r="AA1128" t="str">
            <v>NA</v>
          </cell>
        </row>
        <row r="1129">
          <cell r="A1129">
            <v>45150</v>
          </cell>
          <cell r="B1129" t="str">
            <v>A2</v>
          </cell>
          <cell r="C1129">
            <v>1</v>
          </cell>
          <cell r="D1129">
            <v>1</v>
          </cell>
          <cell r="E1129" t="str">
            <v>ARIS.A2.Aim1.Bin1.RB</v>
          </cell>
          <cell r="F1129">
            <v>4</v>
          </cell>
          <cell r="G1129" t="str">
            <v>SplineDFA</v>
          </cell>
          <cell r="H1129" t="str">
            <v>Y</v>
          </cell>
          <cell r="I1129" t="str">
            <v>N</v>
          </cell>
          <cell r="J1129">
            <v>168</v>
          </cell>
          <cell r="K1129">
            <v>1</v>
          </cell>
          <cell r="L1129">
            <v>0.75580000000000003</v>
          </cell>
          <cell r="M1129">
            <v>23.7</v>
          </cell>
          <cell r="N1129">
            <v>2.7</v>
          </cell>
          <cell r="O1129">
            <v>0.2442</v>
          </cell>
          <cell r="P1129">
            <v>6.8199999999999997E-2</v>
          </cell>
          <cell r="Q1129">
            <v>4.3400000000000001E-2</v>
          </cell>
          <cell r="R1129">
            <v>0.1326</v>
          </cell>
          <cell r="S1129" t="str">
            <v>NA</v>
          </cell>
          <cell r="T1129">
            <v>59.3</v>
          </cell>
          <cell r="U1129">
            <v>4.8</v>
          </cell>
          <cell r="V1129">
            <v>75.3</v>
          </cell>
          <cell r="W1129">
            <v>7.6</v>
          </cell>
          <cell r="X1129">
            <v>51.9</v>
          </cell>
          <cell r="Y1129">
            <v>6.7</v>
          </cell>
          <cell r="Z1129" t="str">
            <v>NA</v>
          </cell>
          <cell r="AA1129" t="str">
            <v>NA</v>
          </cell>
        </row>
        <row r="1130">
          <cell r="A1130">
            <v>45150</v>
          </cell>
          <cell r="B1130" t="str">
            <v>A2</v>
          </cell>
          <cell r="C1130">
            <v>2</v>
          </cell>
          <cell r="D1130">
            <v>1</v>
          </cell>
          <cell r="E1130" t="str">
            <v>ARIS.A2.Aim1.Bin2.RB</v>
          </cell>
          <cell r="F1130">
            <v>4</v>
          </cell>
          <cell r="G1130" t="str">
            <v>SplineDFA</v>
          </cell>
          <cell r="H1130" t="str">
            <v>Y</v>
          </cell>
          <cell r="I1130" t="str">
            <v>N</v>
          </cell>
          <cell r="J1130">
            <v>170</v>
          </cell>
          <cell r="K1130">
            <v>1</v>
          </cell>
          <cell r="L1130">
            <v>0.46660000000000001</v>
          </cell>
          <cell r="M1130">
            <v>23.7</v>
          </cell>
          <cell r="N1130">
            <v>2.7</v>
          </cell>
          <cell r="O1130">
            <v>0.53339999999999999</v>
          </cell>
          <cell r="P1130">
            <v>0.1265</v>
          </cell>
          <cell r="Q1130">
            <v>0.1036</v>
          </cell>
          <cell r="R1130">
            <v>0.30330000000000001</v>
          </cell>
          <cell r="S1130" t="str">
            <v>NA</v>
          </cell>
          <cell r="T1130">
            <v>59.3</v>
          </cell>
          <cell r="U1130">
            <v>4.8</v>
          </cell>
          <cell r="V1130">
            <v>75.3</v>
          </cell>
          <cell r="W1130">
            <v>7.6</v>
          </cell>
          <cell r="X1130">
            <v>51.9</v>
          </cell>
          <cell r="Y1130">
            <v>6.7</v>
          </cell>
          <cell r="Z1130" t="str">
            <v>NA</v>
          </cell>
          <cell r="AA1130" t="str">
            <v>NA</v>
          </cell>
        </row>
        <row r="1131">
          <cell r="A1131">
            <v>45150</v>
          </cell>
          <cell r="B1131" t="str">
            <v>A2</v>
          </cell>
          <cell r="C1131">
            <v>3</v>
          </cell>
          <cell r="D1131">
            <v>1</v>
          </cell>
          <cell r="E1131" t="str">
            <v>ARIS.A2.Aim1.Bin3.RB</v>
          </cell>
          <cell r="F1131">
            <v>4</v>
          </cell>
          <cell r="G1131" t="str">
            <v>SplineDFA</v>
          </cell>
          <cell r="H1131" t="str">
            <v>Y</v>
          </cell>
          <cell r="I1131" t="str">
            <v>N</v>
          </cell>
          <cell r="J1131">
            <v>140</v>
          </cell>
          <cell r="K1131">
            <v>1</v>
          </cell>
          <cell r="L1131">
            <v>9.6799999999999997E-2</v>
          </cell>
          <cell r="M1131">
            <v>23.7</v>
          </cell>
          <cell r="N1131">
            <v>2.7</v>
          </cell>
          <cell r="O1131">
            <v>0.9032</v>
          </cell>
          <cell r="P1131">
            <v>0.16109999999999999</v>
          </cell>
          <cell r="Q1131">
            <v>0.15559999999999999</v>
          </cell>
          <cell r="R1131">
            <v>0.58650000000000002</v>
          </cell>
          <cell r="S1131" t="str">
            <v>NA</v>
          </cell>
          <cell r="T1131">
            <v>59.3</v>
          </cell>
          <cell r="U1131">
            <v>4.8</v>
          </cell>
          <cell r="V1131">
            <v>75.3</v>
          </cell>
          <cell r="W1131">
            <v>7.6</v>
          </cell>
          <cell r="X1131">
            <v>51.9</v>
          </cell>
          <cell r="Y1131">
            <v>6.7</v>
          </cell>
          <cell r="Z1131" t="str">
            <v>NA</v>
          </cell>
          <cell r="AA1131" t="str">
            <v>NA</v>
          </cell>
        </row>
        <row r="1132">
          <cell r="A1132">
            <v>45150</v>
          </cell>
          <cell r="B1132" t="str">
            <v>A2</v>
          </cell>
          <cell r="C1132">
            <v>4</v>
          </cell>
          <cell r="D1132">
            <v>1</v>
          </cell>
          <cell r="E1132" t="str">
            <v>ARIS.A2.Aim1.Bin4.RB</v>
          </cell>
          <cell r="F1132">
            <v>4</v>
          </cell>
          <cell r="G1132" t="str">
            <v>SplineDFA</v>
          </cell>
          <cell r="H1132" t="str">
            <v>Y</v>
          </cell>
          <cell r="I1132" t="str">
            <v>N</v>
          </cell>
          <cell r="J1132">
            <v>140</v>
          </cell>
          <cell r="K1132">
            <v>1</v>
          </cell>
          <cell r="L1132">
            <v>9.6799999999999997E-2</v>
          </cell>
          <cell r="M1132">
            <v>23.7</v>
          </cell>
          <cell r="N1132">
            <v>2.7</v>
          </cell>
          <cell r="O1132">
            <v>0.9032</v>
          </cell>
          <cell r="P1132">
            <v>0.16109999999999999</v>
          </cell>
          <cell r="Q1132">
            <v>0.15559999999999999</v>
          </cell>
          <cell r="R1132">
            <v>0.58650000000000002</v>
          </cell>
          <cell r="S1132" t="str">
            <v>NA</v>
          </cell>
          <cell r="T1132">
            <v>59.3</v>
          </cell>
          <cell r="U1132">
            <v>4.8</v>
          </cell>
          <cell r="V1132">
            <v>75.3</v>
          </cell>
          <cell r="W1132">
            <v>7.6</v>
          </cell>
          <cell r="X1132">
            <v>51.9</v>
          </cell>
          <cell r="Y1132">
            <v>6.7</v>
          </cell>
          <cell r="Z1132" t="str">
            <v>NA</v>
          </cell>
          <cell r="AA1132" t="str">
            <v>NA</v>
          </cell>
        </row>
        <row r="1133">
          <cell r="A1133">
            <v>45150</v>
          </cell>
          <cell r="B1133" t="str">
            <v>A1</v>
          </cell>
          <cell r="C1133">
            <v>1</v>
          </cell>
          <cell r="D1133">
            <v>1</v>
          </cell>
          <cell r="E1133" t="str">
            <v>ARIS.A1.Aim1.Bin1.LB</v>
          </cell>
          <cell r="F1133">
            <v>3</v>
          </cell>
          <cell r="G1133" t="str">
            <v>SplineDFA</v>
          </cell>
          <cell r="H1133" t="str">
            <v>N</v>
          </cell>
          <cell r="I1133" t="str">
            <v>N</v>
          </cell>
          <cell r="J1133">
            <v>147</v>
          </cell>
          <cell r="K1133">
            <v>1</v>
          </cell>
          <cell r="L1133">
            <v>0.68559999999999999</v>
          </cell>
          <cell r="M1133">
            <v>23.7</v>
          </cell>
          <cell r="N1133">
            <v>2.7</v>
          </cell>
          <cell r="O1133">
            <v>0.31440000000000001</v>
          </cell>
          <cell r="P1133">
            <v>0.29759999999999998</v>
          </cell>
          <cell r="Q1133">
            <v>1.6799999999999999E-2</v>
          </cell>
          <cell r="R1133" t="str">
            <v>NA</v>
          </cell>
          <cell r="S1133" t="str">
            <v>NA</v>
          </cell>
          <cell r="T1133">
            <v>59.3</v>
          </cell>
          <cell r="U1133">
            <v>4.8</v>
          </cell>
          <cell r="V1133">
            <v>75.3</v>
          </cell>
          <cell r="W1133">
            <v>7.6</v>
          </cell>
          <cell r="X1133" t="str">
            <v>NA</v>
          </cell>
          <cell r="Y1133" t="str">
            <v>NA</v>
          </cell>
          <cell r="Z1133" t="str">
            <v>NA</v>
          </cell>
          <cell r="AA1133" t="str">
            <v>NA</v>
          </cell>
        </row>
        <row r="1134">
          <cell r="A1134">
            <v>45150</v>
          </cell>
          <cell r="B1134" t="str">
            <v>A1</v>
          </cell>
          <cell r="C1134">
            <v>1</v>
          </cell>
          <cell r="D1134">
            <v>2</v>
          </cell>
          <cell r="E1134" t="str">
            <v>ARIS.A1.Aim2.Bin1.LB</v>
          </cell>
          <cell r="F1134">
            <v>3</v>
          </cell>
          <cell r="G1134" t="str">
            <v>SplineDFA</v>
          </cell>
          <cell r="H1134" t="str">
            <v>N</v>
          </cell>
          <cell r="I1134" t="str">
            <v>N</v>
          </cell>
          <cell r="J1134">
            <v>170</v>
          </cell>
          <cell r="K1134">
            <v>1</v>
          </cell>
          <cell r="L1134">
            <v>0.6885</v>
          </cell>
          <cell r="M1134">
            <v>23.7</v>
          </cell>
          <cell r="N1134">
            <v>2.7</v>
          </cell>
          <cell r="O1134">
            <v>0.3115</v>
          </cell>
          <cell r="P1134">
            <v>0.27460000000000001</v>
          </cell>
          <cell r="Q1134">
            <v>3.6900000000000002E-2</v>
          </cell>
          <cell r="R1134" t="str">
            <v>NA</v>
          </cell>
          <cell r="S1134" t="str">
            <v>NA</v>
          </cell>
          <cell r="T1134">
            <v>59.3</v>
          </cell>
          <cell r="U1134">
            <v>4.8</v>
          </cell>
          <cell r="V1134">
            <v>75.3</v>
          </cell>
          <cell r="W1134">
            <v>7.6</v>
          </cell>
          <cell r="X1134" t="str">
            <v>NA</v>
          </cell>
          <cell r="Y1134" t="str">
            <v>NA</v>
          </cell>
          <cell r="Z1134" t="str">
            <v>NA</v>
          </cell>
          <cell r="AA1134" t="str">
            <v>NA</v>
          </cell>
        </row>
        <row r="1135">
          <cell r="A1135">
            <v>45150</v>
          </cell>
          <cell r="B1135" t="str">
            <v>A1</v>
          </cell>
          <cell r="C1135">
            <v>2</v>
          </cell>
          <cell r="D1135">
            <v>3</v>
          </cell>
          <cell r="E1135" t="str">
            <v>ARIS.A1.Aim3.Bin2.LB</v>
          </cell>
          <cell r="F1135">
            <v>3</v>
          </cell>
          <cell r="G1135" t="str">
            <v>SplineDFA</v>
          </cell>
          <cell r="H1135" t="str">
            <v>N</v>
          </cell>
          <cell r="I1135" t="str">
            <v>N</v>
          </cell>
          <cell r="J1135">
            <v>156</v>
          </cell>
          <cell r="K1135">
            <v>1</v>
          </cell>
          <cell r="L1135">
            <v>0.42159999999999997</v>
          </cell>
          <cell r="M1135">
            <v>23.7</v>
          </cell>
          <cell r="N1135">
            <v>2.7</v>
          </cell>
          <cell r="O1135">
            <v>0.57840000000000003</v>
          </cell>
          <cell r="P1135">
            <v>0.33810000000000001</v>
          </cell>
          <cell r="Q1135">
            <v>0.24030000000000001</v>
          </cell>
          <cell r="R1135" t="str">
            <v>NA</v>
          </cell>
          <cell r="S1135" t="str">
            <v>NA</v>
          </cell>
          <cell r="T1135">
            <v>59.3</v>
          </cell>
          <cell r="U1135">
            <v>4.8</v>
          </cell>
          <cell r="V1135">
            <v>75.3</v>
          </cell>
          <cell r="W1135">
            <v>7.6</v>
          </cell>
          <cell r="X1135" t="str">
            <v>NA</v>
          </cell>
          <cell r="Y1135" t="str">
            <v>NA</v>
          </cell>
          <cell r="Z1135" t="str">
            <v>NA</v>
          </cell>
          <cell r="AA1135" t="str">
            <v>NA</v>
          </cell>
        </row>
        <row r="1136">
          <cell r="A1136">
            <v>45150</v>
          </cell>
          <cell r="B1136" t="str">
            <v>A1</v>
          </cell>
          <cell r="C1136">
            <v>3</v>
          </cell>
          <cell r="D1136">
            <v>3</v>
          </cell>
          <cell r="E1136" t="str">
            <v>ARIS.A1.Aim3.Bin3.LB</v>
          </cell>
          <cell r="F1136">
            <v>3</v>
          </cell>
          <cell r="G1136" t="str">
            <v>SplineDFA</v>
          </cell>
          <cell r="H1136" t="str">
            <v>N</v>
          </cell>
          <cell r="I1136" t="str">
            <v>N</v>
          </cell>
          <cell r="J1136">
            <v>153</v>
          </cell>
          <cell r="K1136">
            <v>1</v>
          </cell>
          <cell r="L1136">
            <v>0.13880000000000001</v>
          </cell>
          <cell r="M1136">
            <v>23.7</v>
          </cell>
          <cell r="N1136">
            <v>2.7</v>
          </cell>
          <cell r="O1136">
            <v>0.86119999999999997</v>
          </cell>
          <cell r="P1136">
            <v>0.4698</v>
          </cell>
          <cell r="Q1136">
            <v>0.39140000000000003</v>
          </cell>
          <cell r="R1136" t="str">
            <v>NA</v>
          </cell>
          <cell r="S1136" t="str">
            <v>NA</v>
          </cell>
          <cell r="T1136">
            <v>59.3</v>
          </cell>
          <cell r="U1136">
            <v>4.8</v>
          </cell>
          <cell r="V1136">
            <v>75.3</v>
          </cell>
          <cell r="W1136">
            <v>7.6</v>
          </cell>
          <cell r="X1136" t="str">
            <v>NA</v>
          </cell>
          <cell r="Y1136" t="str">
            <v>NA</v>
          </cell>
          <cell r="Z1136" t="str">
            <v>NA</v>
          </cell>
          <cell r="AA1136" t="str">
            <v>NA</v>
          </cell>
        </row>
        <row r="1137">
          <cell r="A1137">
            <v>45150</v>
          </cell>
          <cell r="B1137" t="str">
            <v>A1</v>
          </cell>
          <cell r="C1137">
            <v>4</v>
          </cell>
          <cell r="D1137">
            <v>3</v>
          </cell>
          <cell r="E1137" t="str">
            <v>ARIS.A1.Aim3.Bin4.LB</v>
          </cell>
          <cell r="F1137">
            <v>3</v>
          </cell>
          <cell r="G1137" t="str">
            <v>SplineDFA</v>
          </cell>
          <cell r="H1137" t="str">
            <v>N</v>
          </cell>
          <cell r="I1137" t="str">
            <v>N</v>
          </cell>
          <cell r="J1137">
            <v>153</v>
          </cell>
          <cell r="K1137">
            <v>1</v>
          </cell>
          <cell r="L1137">
            <v>0.13880000000000001</v>
          </cell>
          <cell r="M1137">
            <v>23.7</v>
          </cell>
          <cell r="N1137">
            <v>2.7</v>
          </cell>
          <cell r="O1137">
            <v>0.86119999999999997</v>
          </cell>
          <cell r="P1137">
            <v>0.4698</v>
          </cell>
          <cell r="Q1137">
            <v>0.39140000000000003</v>
          </cell>
          <cell r="R1137" t="str">
            <v>NA</v>
          </cell>
          <cell r="S1137" t="str">
            <v>NA</v>
          </cell>
          <cell r="T1137">
            <v>59.3</v>
          </cell>
          <cell r="U1137">
            <v>4.8</v>
          </cell>
          <cell r="V1137">
            <v>75.3</v>
          </cell>
          <cell r="W1137">
            <v>7.6</v>
          </cell>
          <cell r="X1137" t="str">
            <v>NA</v>
          </cell>
          <cell r="Y1137" t="str">
            <v>NA</v>
          </cell>
          <cell r="Z1137" t="str">
            <v>NA</v>
          </cell>
          <cell r="AA1137" t="str">
            <v>NA</v>
          </cell>
        </row>
        <row r="1138">
          <cell r="A1138">
            <v>45150</v>
          </cell>
          <cell r="B1138" t="str">
            <v>A2</v>
          </cell>
          <cell r="C1138">
            <v>1</v>
          </cell>
          <cell r="D1138">
            <v>1</v>
          </cell>
          <cell r="E1138" t="str">
            <v>ARIS.A2.Aim1.Bin1.RB</v>
          </cell>
          <cell r="F1138">
            <v>3</v>
          </cell>
          <cell r="G1138" t="str">
            <v>SplineDFA</v>
          </cell>
          <cell r="H1138" t="str">
            <v>N</v>
          </cell>
          <cell r="I1138" t="str">
            <v>N</v>
          </cell>
          <cell r="J1138">
            <v>168</v>
          </cell>
          <cell r="K1138">
            <v>1</v>
          </cell>
          <cell r="L1138">
            <v>0.79510000000000003</v>
          </cell>
          <cell r="M1138">
            <v>23.7</v>
          </cell>
          <cell r="N1138">
            <v>2.7</v>
          </cell>
          <cell r="O1138">
            <v>0.2049</v>
          </cell>
          <cell r="P1138">
            <v>0.1615</v>
          </cell>
          <cell r="Q1138">
            <v>4.3400000000000001E-2</v>
          </cell>
          <cell r="R1138" t="str">
            <v>NA</v>
          </cell>
          <cell r="S1138" t="str">
            <v>NA</v>
          </cell>
          <cell r="T1138">
            <v>59.3</v>
          </cell>
          <cell r="U1138">
            <v>4.8</v>
          </cell>
          <cell r="V1138">
            <v>75.3</v>
          </cell>
          <cell r="W1138">
            <v>7.6</v>
          </cell>
          <cell r="X1138" t="str">
            <v>NA</v>
          </cell>
          <cell r="Y1138" t="str">
            <v>NA</v>
          </cell>
          <cell r="Z1138" t="str">
            <v>NA</v>
          </cell>
          <cell r="AA1138" t="str">
            <v>NA</v>
          </cell>
        </row>
        <row r="1139">
          <cell r="A1139">
            <v>45150</v>
          </cell>
          <cell r="B1139" t="str">
            <v>A2</v>
          </cell>
          <cell r="C1139">
            <v>2</v>
          </cell>
          <cell r="D1139">
            <v>1</v>
          </cell>
          <cell r="E1139" t="str">
            <v>ARIS.A2.Aim1.Bin2.RB</v>
          </cell>
          <cell r="F1139">
            <v>3</v>
          </cell>
          <cell r="G1139" t="str">
            <v>SplineDFA</v>
          </cell>
          <cell r="H1139" t="str">
            <v>N</v>
          </cell>
          <cell r="I1139" t="str">
            <v>N</v>
          </cell>
          <cell r="J1139">
            <v>170</v>
          </cell>
          <cell r="K1139">
            <v>1</v>
          </cell>
          <cell r="L1139">
            <v>0.55810000000000004</v>
          </cell>
          <cell r="M1139">
            <v>23.7</v>
          </cell>
          <cell r="N1139">
            <v>2.7</v>
          </cell>
          <cell r="O1139">
            <v>0.44190000000000002</v>
          </cell>
          <cell r="P1139">
            <v>0.33829999999999999</v>
          </cell>
          <cell r="Q1139">
            <v>0.1036</v>
          </cell>
          <cell r="R1139" t="str">
            <v>NA</v>
          </cell>
          <cell r="S1139" t="str">
            <v>NA</v>
          </cell>
          <cell r="T1139">
            <v>59.3</v>
          </cell>
          <cell r="U1139">
            <v>4.8</v>
          </cell>
          <cell r="V1139">
            <v>75.3</v>
          </cell>
          <cell r="W1139">
            <v>7.6</v>
          </cell>
          <cell r="X1139" t="str">
            <v>NA</v>
          </cell>
          <cell r="Y1139" t="str">
            <v>NA</v>
          </cell>
          <cell r="Z1139" t="str">
            <v>NA</v>
          </cell>
          <cell r="AA1139" t="str">
            <v>NA</v>
          </cell>
        </row>
        <row r="1140">
          <cell r="A1140">
            <v>45150</v>
          </cell>
          <cell r="B1140" t="str">
            <v>A2</v>
          </cell>
          <cell r="C1140">
            <v>3</v>
          </cell>
          <cell r="D1140">
            <v>1</v>
          </cell>
          <cell r="E1140" t="str">
            <v>ARIS.A2.Aim1.Bin3.RB</v>
          </cell>
          <cell r="F1140">
            <v>3</v>
          </cell>
          <cell r="G1140" t="str">
            <v>SplineDFA</v>
          </cell>
          <cell r="H1140" t="str">
            <v>N</v>
          </cell>
          <cell r="I1140" t="str">
            <v>N</v>
          </cell>
          <cell r="J1140">
            <v>140</v>
          </cell>
          <cell r="K1140">
            <v>1</v>
          </cell>
          <cell r="L1140">
            <v>0.26889999999999997</v>
          </cell>
          <cell r="M1140">
            <v>23.7</v>
          </cell>
          <cell r="N1140">
            <v>2.7</v>
          </cell>
          <cell r="O1140">
            <v>0.73109999999999997</v>
          </cell>
          <cell r="P1140">
            <v>0.59430000000000005</v>
          </cell>
          <cell r="Q1140">
            <v>0.1368</v>
          </cell>
          <cell r="R1140" t="str">
            <v>NA</v>
          </cell>
          <cell r="S1140" t="str">
            <v>NA</v>
          </cell>
          <cell r="T1140">
            <v>59.3</v>
          </cell>
          <cell r="U1140">
            <v>4.8</v>
          </cell>
          <cell r="V1140">
            <v>75.3</v>
          </cell>
          <cell r="W1140">
            <v>7.6</v>
          </cell>
          <cell r="X1140" t="str">
            <v>NA</v>
          </cell>
          <cell r="Y1140" t="str">
            <v>NA</v>
          </cell>
          <cell r="Z1140" t="str">
            <v>NA</v>
          </cell>
          <cell r="AA1140" t="str">
            <v>NA</v>
          </cell>
        </row>
        <row r="1141">
          <cell r="A1141">
            <v>45150</v>
          </cell>
          <cell r="B1141" t="str">
            <v>A2</v>
          </cell>
          <cell r="C1141">
            <v>4</v>
          </cell>
          <cell r="D1141">
            <v>1</v>
          </cell>
          <cell r="E1141" t="str">
            <v>ARIS.A2.Aim1.Bin4.RB</v>
          </cell>
          <cell r="F1141">
            <v>3</v>
          </cell>
          <cell r="G1141" t="str">
            <v>SplineDFA</v>
          </cell>
          <cell r="H1141" t="str">
            <v>N</v>
          </cell>
          <cell r="I1141" t="str">
            <v>N</v>
          </cell>
          <cell r="J1141">
            <v>140</v>
          </cell>
          <cell r="K1141">
            <v>1</v>
          </cell>
          <cell r="L1141">
            <v>0.26889999999999997</v>
          </cell>
          <cell r="M1141">
            <v>23.7</v>
          </cell>
          <cell r="N1141">
            <v>2.7</v>
          </cell>
          <cell r="O1141">
            <v>0.73109999999999997</v>
          </cell>
          <cell r="P1141">
            <v>0.59430000000000005</v>
          </cell>
          <cell r="Q1141">
            <v>0.1368</v>
          </cell>
          <cell r="R1141" t="str">
            <v>NA</v>
          </cell>
          <cell r="S1141" t="str">
            <v>NA</v>
          </cell>
          <cell r="T1141">
            <v>59.3</v>
          </cell>
          <cell r="U1141">
            <v>4.8</v>
          </cell>
          <cell r="V1141">
            <v>75.3</v>
          </cell>
          <cell r="W1141">
            <v>7.6</v>
          </cell>
          <cell r="X1141" t="str">
            <v>NA</v>
          </cell>
          <cell r="Y1141" t="str">
            <v>NA</v>
          </cell>
          <cell r="Z1141" t="str">
            <v>NA</v>
          </cell>
          <cell r="AA1141" t="str">
            <v>NA</v>
          </cell>
        </row>
        <row r="1142">
          <cell r="A1142">
            <v>45151</v>
          </cell>
          <cell r="B1142" t="str">
            <v>A1</v>
          </cell>
          <cell r="C1142">
            <v>1</v>
          </cell>
          <cell r="D1142">
            <v>1</v>
          </cell>
          <cell r="E1142" t="str">
            <v>ARIS.A1.Aim1.Bin1.LB</v>
          </cell>
          <cell r="F1142">
            <v>4</v>
          </cell>
          <cell r="G1142" t="str">
            <v>Unweighted</v>
          </cell>
          <cell r="H1142" t="str">
            <v>N</v>
          </cell>
          <cell r="I1142" t="str">
            <v>Y</v>
          </cell>
          <cell r="J1142">
            <v>160</v>
          </cell>
          <cell r="K1142">
            <v>1</v>
          </cell>
          <cell r="L1142">
            <v>0.72350000000000003</v>
          </cell>
          <cell r="M1142">
            <v>25.3</v>
          </cell>
          <cell r="N1142">
            <v>7.9</v>
          </cell>
          <cell r="O1142">
            <v>0.27650000000000002</v>
          </cell>
          <cell r="P1142">
            <v>5.3400000000000003E-2</v>
          </cell>
          <cell r="Q1142">
            <v>4.7100000000000003E-2</v>
          </cell>
          <cell r="R1142">
            <v>0.17599999999999999</v>
          </cell>
          <cell r="S1142" t="str">
            <v>NA</v>
          </cell>
          <cell r="T1142">
            <v>59.3</v>
          </cell>
          <cell r="U1142">
            <v>4.8</v>
          </cell>
          <cell r="V1142">
            <v>75.3</v>
          </cell>
          <cell r="W1142">
            <v>7.6</v>
          </cell>
          <cell r="X1142">
            <v>51.9</v>
          </cell>
          <cell r="Y1142">
            <v>6.7</v>
          </cell>
          <cell r="Z1142" t="str">
            <v>NA</v>
          </cell>
          <cell r="AA1142" t="str">
            <v>NA</v>
          </cell>
        </row>
        <row r="1143">
          <cell r="A1143">
            <v>45151</v>
          </cell>
          <cell r="B1143" t="str">
            <v>A1</v>
          </cell>
          <cell r="C1143">
            <v>1</v>
          </cell>
          <cell r="D1143">
            <v>2</v>
          </cell>
          <cell r="E1143" t="str">
            <v>ARIS.A1.Aim2.Bin1.LB</v>
          </cell>
          <cell r="F1143">
            <v>4</v>
          </cell>
          <cell r="G1143" t="str">
            <v>Unweighted</v>
          </cell>
          <cell r="H1143" t="str">
            <v>N</v>
          </cell>
          <cell r="I1143" t="str">
            <v>Y</v>
          </cell>
          <cell r="J1143">
            <v>177</v>
          </cell>
          <cell r="K1143">
            <v>1</v>
          </cell>
          <cell r="L1143">
            <v>0.66039999999999999</v>
          </cell>
          <cell r="M1143">
            <v>20.8</v>
          </cell>
          <cell r="N1143">
            <v>8.6</v>
          </cell>
          <cell r="O1143">
            <v>0.33960000000000001</v>
          </cell>
          <cell r="P1143">
            <v>0.19969999999999999</v>
          </cell>
          <cell r="Q1143">
            <v>5.3800000000000001E-2</v>
          </cell>
          <cell r="R1143">
            <v>8.6099999999999996E-2</v>
          </cell>
          <cell r="S1143" t="str">
            <v>NA</v>
          </cell>
          <cell r="T1143">
            <v>59.3</v>
          </cell>
          <cell r="U1143">
            <v>4.8</v>
          </cell>
          <cell r="V1143">
            <v>75.3</v>
          </cell>
          <cell r="W1143">
            <v>7.6</v>
          </cell>
          <cell r="X1143">
            <v>51.9</v>
          </cell>
          <cell r="Y1143">
            <v>6.7</v>
          </cell>
          <cell r="Z1143" t="str">
            <v>NA</v>
          </cell>
          <cell r="AA1143" t="str">
            <v>NA</v>
          </cell>
        </row>
        <row r="1144">
          <cell r="A1144">
            <v>45151</v>
          </cell>
          <cell r="B1144" t="str">
            <v>A1</v>
          </cell>
          <cell r="C1144">
            <v>1</v>
          </cell>
          <cell r="D1144" t="str">
            <v>1&amp;2</v>
          </cell>
          <cell r="E1144" t="str">
            <v>ARIS.A1.Aim1&amp;Aim2.Bin1.LB</v>
          </cell>
          <cell r="F1144">
            <v>4</v>
          </cell>
          <cell r="G1144" t="str">
            <v>Unweighted</v>
          </cell>
          <cell r="H1144" t="str">
            <v>N</v>
          </cell>
          <cell r="I1144" t="str">
            <v>Y</v>
          </cell>
          <cell r="J1144">
            <v>337</v>
          </cell>
          <cell r="K1144">
            <v>1</v>
          </cell>
          <cell r="L1144">
            <v>0.69710000000000005</v>
          </cell>
          <cell r="M1144">
            <v>23.2</v>
          </cell>
          <cell r="N1144">
            <v>8.6999999999999993</v>
          </cell>
          <cell r="O1144">
            <v>0.3029</v>
          </cell>
          <cell r="P1144">
            <v>0.1424</v>
          </cell>
          <cell r="Q1144">
            <v>0.05</v>
          </cell>
          <cell r="R1144">
            <v>0.1105</v>
          </cell>
          <cell r="S1144" t="str">
            <v>NA</v>
          </cell>
          <cell r="T1144">
            <v>59.3</v>
          </cell>
          <cell r="U1144">
            <v>4.8</v>
          </cell>
          <cell r="V1144">
            <v>75.3</v>
          </cell>
          <cell r="W1144">
            <v>7.6</v>
          </cell>
          <cell r="X1144">
            <v>51.9</v>
          </cell>
          <cell r="Y1144">
            <v>6.7</v>
          </cell>
          <cell r="Z1144" t="str">
            <v>NA</v>
          </cell>
          <cell r="AA1144" t="str">
            <v>NA</v>
          </cell>
        </row>
        <row r="1145">
          <cell r="A1145">
            <v>45151</v>
          </cell>
          <cell r="B1145" t="str">
            <v>A1</v>
          </cell>
          <cell r="C1145">
            <v>2</v>
          </cell>
          <cell r="D1145">
            <v>3</v>
          </cell>
          <cell r="E1145" t="str">
            <v>ARIS.A1.Aim3.Bin2.LB</v>
          </cell>
          <cell r="F1145">
            <v>4</v>
          </cell>
          <cell r="G1145" t="str">
            <v>Unweighted</v>
          </cell>
          <cell r="H1145" t="str">
            <v>N</v>
          </cell>
          <cell r="I1145" t="str">
            <v>Y</v>
          </cell>
          <cell r="J1145">
            <v>174</v>
          </cell>
          <cell r="K1145">
            <v>1.0001</v>
          </cell>
          <cell r="L1145">
            <v>0.436</v>
          </cell>
          <cell r="M1145">
            <v>30.2</v>
          </cell>
          <cell r="N1145">
            <v>8.6999999999999993</v>
          </cell>
          <cell r="O1145">
            <v>0.56410000000000005</v>
          </cell>
          <cell r="P1145">
            <v>0.32140000000000002</v>
          </cell>
          <cell r="Q1145">
            <v>0.2427</v>
          </cell>
          <cell r="R1145">
            <v>0</v>
          </cell>
          <cell r="S1145" t="str">
            <v>NA</v>
          </cell>
          <cell r="T1145">
            <v>59.3</v>
          </cell>
          <cell r="U1145">
            <v>4.8</v>
          </cell>
          <cell r="V1145">
            <v>75.3</v>
          </cell>
          <cell r="W1145">
            <v>7.6</v>
          </cell>
          <cell r="X1145">
            <v>51.9</v>
          </cell>
          <cell r="Y1145">
            <v>6.7</v>
          </cell>
          <cell r="Z1145" t="str">
            <v>NA</v>
          </cell>
          <cell r="AA1145" t="str">
            <v>NA</v>
          </cell>
        </row>
        <row r="1146">
          <cell r="A1146">
            <v>45151</v>
          </cell>
          <cell r="B1146" t="str">
            <v>A1</v>
          </cell>
          <cell r="C1146">
            <v>3</v>
          </cell>
          <cell r="D1146">
            <v>3</v>
          </cell>
          <cell r="E1146" t="str">
            <v>ARIS.A1.Aim3.Bin3.LB</v>
          </cell>
          <cell r="F1146">
            <v>4</v>
          </cell>
          <cell r="G1146" t="str">
            <v>Unweighted</v>
          </cell>
          <cell r="H1146" t="str">
            <v>N</v>
          </cell>
          <cell r="I1146" t="str">
            <v>Y</v>
          </cell>
          <cell r="J1146">
            <v>159</v>
          </cell>
          <cell r="K1146">
            <v>1</v>
          </cell>
          <cell r="L1146">
            <v>3.7699999999999997E-2</v>
          </cell>
          <cell r="M1146">
            <v>31.1</v>
          </cell>
          <cell r="N1146">
            <v>1.7</v>
          </cell>
          <cell r="O1146">
            <v>0.96230000000000004</v>
          </cell>
          <cell r="P1146">
            <v>0</v>
          </cell>
          <cell r="Q1146">
            <v>0.7238</v>
          </cell>
          <cell r="R1146">
            <v>0.23849999999999999</v>
          </cell>
          <cell r="S1146" t="str">
            <v>NA</v>
          </cell>
          <cell r="T1146">
            <v>59.3</v>
          </cell>
          <cell r="U1146">
            <v>4.8</v>
          </cell>
          <cell r="V1146">
            <v>75.3</v>
          </cell>
          <cell r="W1146">
            <v>7.6</v>
          </cell>
          <cell r="X1146">
            <v>51.9</v>
          </cell>
          <cell r="Y1146">
            <v>6.7</v>
          </cell>
          <cell r="Z1146" t="str">
            <v>NA</v>
          </cell>
          <cell r="AA1146" t="str">
            <v>NA</v>
          </cell>
        </row>
        <row r="1147">
          <cell r="A1147">
            <v>45151</v>
          </cell>
          <cell r="B1147" t="str">
            <v>A1</v>
          </cell>
          <cell r="C1147">
            <v>4</v>
          </cell>
          <cell r="D1147">
            <v>3</v>
          </cell>
          <cell r="E1147" t="str">
            <v>ARIS.A1.Aim3.Bin4.LB</v>
          </cell>
          <cell r="F1147">
            <v>4</v>
          </cell>
          <cell r="G1147" t="str">
            <v>Unweighted</v>
          </cell>
          <cell r="H1147" t="str">
            <v>N</v>
          </cell>
          <cell r="I1147" t="str">
            <v>Y</v>
          </cell>
          <cell r="J1147">
            <v>159</v>
          </cell>
          <cell r="K1147">
            <v>1</v>
          </cell>
          <cell r="L1147">
            <v>3.7699999999999997E-2</v>
          </cell>
          <cell r="M1147">
            <v>31.1</v>
          </cell>
          <cell r="N1147">
            <v>1.7</v>
          </cell>
          <cell r="O1147">
            <v>0.96230000000000004</v>
          </cell>
          <cell r="P1147">
            <v>0</v>
          </cell>
          <cell r="Q1147">
            <v>0.7238</v>
          </cell>
          <cell r="R1147">
            <v>0.23849999999999999</v>
          </cell>
          <cell r="S1147" t="str">
            <v>NA</v>
          </cell>
          <cell r="T1147">
            <v>59.3</v>
          </cell>
          <cell r="U1147">
            <v>4.8</v>
          </cell>
          <cell r="V1147">
            <v>75.3</v>
          </cell>
          <cell r="W1147">
            <v>7.6</v>
          </cell>
          <cell r="X1147">
            <v>51.9</v>
          </cell>
          <cell r="Y1147">
            <v>6.7</v>
          </cell>
          <cell r="Z1147" t="str">
            <v>NA</v>
          </cell>
          <cell r="AA1147" t="str">
            <v>NA</v>
          </cell>
        </row>
        <row r="1148">
          <cell r="A1148">
            <v>45151</v>
          </cell>
          <cell r="B1148" t="str">
            <v>A2</v>
          </cell>
          <cell r="C1148">
            <v>1</v>
          </cell>
          <cell r="D1148">
            <v>1</v>
          </cell>
          <cell r="E1148" t="str">
            <v>ARIS.A2.Aim1.Bin1.RB</v>
          </cell>
          <cell r="F1148">
            <v>4</v>
          </cell>
          <cell r="G1148" t="str">
            <v>Unweighted</v>
          </cell>
          <cell r="H1148" t="str">
            <v>N</v>
          </cell>
          <cell r="I1148" t="str">
            <v>Y</v>
          </cell>
          <cell r="J1148">
            <v>171</v>
          </cell>
          <cell r="K1148">
            <v>1.0001</v>
          </cell>
          <cell r="L1148">
            <v>0.60719999999999996</v>
          </cell>
          <cell r="M1148">
            <v>25.3</v>
          </cell>
          <cell r="N1148">
            <v>7.3</v>
          </cell>
          <cell r="O1148">
            <v>0.39290000000000003</v>
          </cell>
          <cell r="P1148">
            <v>0.18110000000000001</v>
          </cell>
          <cell r="Q1148">
            <v>0.1002</v>
          </cell>
          <cell r="R1148">
            <v>0.1116</v>
          </cell>
          <cell r="S1148" t="str">
            <v>NA</v>
          </cell>
          <cell r="T1148">
            <v>59.3</v>
          </cell>
          <cell r="U1148">
            <v>4.8</v>
          </cell>
          <cell r="V1148">
            <v>75.3</v>
          </cell>
          <cell r="W1148">
            <v>7.6</v>
          </cell>
          <cell r="X1148">
            <v>51.9</v>
          </cell>
          <cell r="Y1148">
            <v>6.7</v>
          </cell>
          <cell r="Z1148" t="str">
            <v>NA</v>
          </cell>
          <cell r="AA1148" t="str">
            <v>NA</v>
          </cell>
        </row>
        <row r="1149">
          <cell r="A1149">
            <v>45151</v>
          </cell>
          <cell r="B1149" t="str">
            <v>A2</v>
          </cell>
          <cell r="C1149">
            <v>2</v>
          </cell>
          <cell r="D1149">
            <v>1</v>
          </cell>
          <cell r="E1149" t="str">
            <v>ARIS.A2.Aim1.Bin2.RB</v>
          </cell>
          <cell r="F1149">
            <v>4</v>
          </cell>
          <cell r="G1149" t="str">
            <v>Unweighted</v>
          </cell>
          <cell r="H1149" t="str">
            <v>N</v>
          </cell>
          <cell r="I1149" t="str">
            <v>Y</v>
          </cell>
          <cell r="J1149">
            <v>163</v>
          </cell>
          <cell r="K1149">
            <v>1</v>
          </cell>
          <cell r="L1149">
            <v>0.53059999999999996</v>
          </cell>
          <cell r="M1149">
            <v>32.200000000000003</v>
          </cell>
          <cell r="N1149">
            <v>7.5</v>
          </cell>
          <cell r="O1149">
            <v>0.46939999999999998</v>
          </cell>
          <cell r="P1149">
            <v>0.11550000000000001</v>
          </cell>
          <cell r="Q1149">
            <v>0.31159999999999999</v>
          </cell>
          <cell r="R1149">
            <v>4.2299999999999997E-2</v>
          </cell>
          <cell r="S1149" t="str">
            <v>NA</v>
          </cell>
          <cell r="T1149">
            <v>59.3</v>
          </cell>
          <cell r="U1149">
            <v>4.8</v>
          </cell>
          <cell r="V1149">
            <v>75.3</v>
          </cell>
          <cell r="W1149">
            <v>7.6</v>
          </cell>
          <cell r="X1149">
            <v>51.9</v>
          </cell>
          <cell r="Y1149">
            <v>6.7</v>
          </cell>
          <cell r="Z1149" t="str">
            <v>NA</v>
          </cell>
          <cell r="AA1149" t="str">
            <v>NA</v>
          </cell>
        </row>
        <row r="1150">
          <cell r="A1150">
            <v>45151</v>
          </cell>
          <cell r="B1150" t="str">
            <v>A2</v>
          </cell>
          <cell r="C1150">
            <v>3</v>
          </cell>
          <cell r="D1150">
            <v>1</v>
          </cell>
          <cell r="E1150" t="str">
            <v>ARIS.A2.Aim1.Bin3.RB</v>
          </cell>
          <cell r="F1150">
            <v>4</v>
          </cell>
          <cell r="G1150" t="str">
            <v>Unweighted</v>
          </cell>
          <cell r="H1150" t="str">
            <v>N</v>
          </cell>
          <cell r="I1150" t="str">
            <v>Y</v>
          </cell>
          <cell r="J1150">
            <v>168</v>
          </cell>
          <cell r="K1150">
            <v>1</v>
          </cell>
          <cell r="L1150">
            <v>0.15090000000000001</v>
          </cell>
          <cell r="M1150">
            <v>28.8</v>
          </cell>
          <cell r="N1150">
            <v>4.7</v>
          </cell>
          <cell r="O1150">
            <v>0.84909999999999997</v>
          </cell>
          <cell r="P1150">
            <v>0</v>
          </cell>
          <cell r="Q1150">
            <v>0.50670000000000004</v>
          </cell>
          <cell r="R1150">
            <v>0.34239999999999998</v>
          </cell>
          <cell r="S1150" t="str">
            <v>NA</v>
          </cell>
          <cell r="T1150">
            <v>59.3</v>
          </cell>
          <cell r="U1150">
            <v>4.8</v>
          </cell>
          <cell r="V1150">
            <v>75.3</v>
          </cell>
          <cell r="W1150">
            <v>7.6</v>
          </cell>
          <cell r="X1150">
            <v>51.9</v>
          </cell>
          <cell r="Y1150">
            <v>6.7</v>
          </cell>
          <cell r="Z1150" t="str">
            <v>NA</v>
          </cell>
          <cell r="AA1150" t="str">
            <v>NA</v>
          </cell>
        </row>
        <row r="1151">
          <cell r="A1151">
            <v>45151</v>
          </cell>
          <cell r="B1151" t="str">
            <v>A2</v>
          </cell>
          <cell r="C1151">
            <v>4</v>
          </cell>
          <cell r="D1151">
            <v>1</v>
          </cell>
          <cell r="E1151" t="str">
            <v>ARIS.A2.Aim1.Bin4.RB</v>
          </cell>
          <cell r="F1151">
            <v>4</v>
          </cell>
          <cell r="G1151" t="str">
            <v>Unweighted</v>
          </cell>
          <cell r="H1151" t="str">
            <v>N</v>
          </cell>
          <cell r="I1151" t="str">
            <v>Y</v>
          </cell>
          <cell r="J1151">
            <v>168</v>
          </cell>
          <cell r="K1151">
            <v>1</v>
          </cell>
          <cell r="L1151">
            <v>0.15090000000000001</v>
          </cell>
          <cell r="M1151">
            <v>28.8</v>
          </cell>
          <cell r="N1151">
            <v>4.7</v>
          </cell>
          <cell r="O1151">
            <v>0.84909999999999997</v>
          </cell>
          <cell r="P1151">
            <v>0</v>
          </cell>
          <cell r="Q1151">
            <v>0.50670000000000004</v>
          </cell>
          <cell r="R1151">
            <v>0.34239999999999998</v>
          </cell>
          <cell r="S1151" t="str">
            <v>NA</v>
          </cell>
          <cell r="T1151">
            <v>59.3</v>
          </cell>
          <cell r="U1151">
            <v>4.8</v>
          </cell>
          <cell r="V1151">
            <v>75.3</v>
          </cell>
          <cell r="W1151">
            <v>7.6</v>
          </cell>
          <cell r="X1151">
            <v>51.9</v>
          </cell>
          <cell r="Y1151">
            <v>6.7</v>
          </cell>
          <cell r="Z1151" t="str">
            <v>NA</v>
          </cell>
          <cell r="AA1151" t="str">
            <v>NA</v>
          </cell>
        </row>
        <row r="1152">
          <cell r="A1152">
            <v>45151</v>
          </cell>
          <cell r="B1152" t="str">
            <v>A1</v>
          </cell>
          <cell r="C1152">
            <v>1</v>
          </cell>
          <cell r="D1152">
            <v>1</v>
          </cell>
          <cell r="E1152" t="str">
            <v>ARIS.A1.Aim1.Bin1.LB</v>
          </cell>
          <cell r="F1152">
            <v>4</v>
          </cell>
          <cell r="G1152" t="str">
            <v>SplineDFA</v>
          </cell>
          <cell r="H1152" t="str">
            <v>Y</v>
          </cell>
          <cell r="I1152" t="str">
            <v>N</v>
          </cell>
          <cell r="J1152">
            <v>160</v>
          </cell>
          <cell r="K1152">
            <v>1</v>
          </cell>
          <cell r="L1152">
            <v>0.64959999999999996</v>
          </cell>
          <cell r="M1152">
            <v>23.7</v>
          </cell>
          <cell r="N1152">
            <v>2.7</v>
          </cell>
          <cell r="O1152">
            <v>0.35039999999999999</v>
          </cell>
          <cell r="P1152">
            <v>8.7499999999999994E-2</v>
          </cell>
          <cell r="Q1152">
            <v>4.9200000000000001E-2</v>
          </cell>
          <cell r="R1152">
            <v>0.2137</v>
          </cell>
          <cell r="S1152" t="str">
            <v>NA</v>
          </cell>
          <cell r="T1152">
            <v>59.3</v>
          </cell>
          <cell r="U1152">
            <v>4.8</v>
          </cell>
          <cell r="V1152">
            <v>75.3</v>
          </cell>
          <cell r="W1152">
            <v>7.6</v>
          </cell>
          <cell r="X1152">
            <v>51.9</v>
          </cell>
          <cell r="Y1152">
            <v>6.7</v>
          </cell>
          <cell r="Z1152" t="str">
            <v>NA</v>
          </cell>
          <cell r="AA1152" t="str">
            <v>NA</v>
          </cell>
        </row>
        <row r="1153">
          <cell r="A1153">
            <v>45151</v>
          </cell>
          <cell r="B1153" t="str">
            <v>A1</v>
          </cell>
          <cell r="C1153">
            <v>1</v>
          </cell>
          <cell r="D1153">
            <v>2</v>
          </cell>
          <cell r="E1153" t="str">
            <v>ARIS.A1.Aim2.Bin1.LB</v>
          </cell>
          <cell r="F1153">
            <v>4</v>
          </cell>
          <cell r="G1153" t="str">
            <v>SplineDFA</v>
          </cell>
          <cell r="H1153" t="str">
            <v>Y</v>
          </cell>
          <cell r="I1153" t="str">
            <v>N</v>
          </cell>
          <cell r="J1153">
            <v>177</v>
          </cell>
          <cell r="K1153">
            <v>1</v>
          </cell>
          <cell r="L1153">
            <v>0.64990000000000003</v>
          </cell>
          <cell r="M1153">
            <v>23.7</v>
          </cell>
          <cell r="N1153">
            <v>2.7</v>
          </cell>
          <cell r="O1153">
            <v>0.35010000000000002</v>
          </cell>
          <cell r="P1153">
            <v>0.152</v>
          </cell>
          <cell r="Q1153">
            <v>4.0099999999999997E-2</v>
          </cell>
          <cell r="R1153">
            <v>0.158</v>
          </cell>
          <cell r="S1153" t="str">
            <v>NA</v>
          </cell>
          <cell r="T1153">
            <v>59.3</v>
          </cell>
          <cell r="U1153">
            <v>4.8</v>
          </cell>
          <cell r="V1153">
            <v>75.3</v>
          </cell>
          <cell r="W1153">
            <v>7.6</v>
          </cell>
          <cell r="X1153">
            <v>51.9</v>
          </cell>
          <cell r="Y1153">
            <v>6.7</v>
          </cell>
          <cell r="Z1153" t="str">
            <v>NA</v>
          </cell>
          <cell r="AA1153" t="str">
            <v>NA</v>
          </cell>
        </row>
        <row r="1154">
          <cell r="A1154">
            <v>45151</v>
          </cell>
          <cell r="B1154" t="str">
            <v>A1</v>
          </cell>
          <cell r="C1154">
            <v>2</v>
          </cell>
          <cell r="D1154">
            <v>3</v>
          </cell>
          <cell r="E1154" t="str">
            <v>ARIS.A1.Aim3.Bin2.LB</v>
          </cell>
          <cell r="F1154">
            <v>4</v>
          </cell>
          <cell r="G1154" t="str">
            <v>SplineDFA</v>
          </cell>
          <cell r="H1154" t="str">
            <v>Y</v>
          </cell>
          <cell r="I1154" t="str">
            <v>N</v>
          </cell>
          <cell r="J1154">
            <v>174</v>
          </cell>
          <cell r="K1154">
            <v>1</v>
          </cell>
          <cell r="L1154">
            <v>0.18590000000000001</v>
          </cell>
          <cell r="M1154">
            <v>23.7</v>
          </cell>
          <cell r="N1154">
            <v>2.7</v>
          </cell>
          <cell r="O1154">
            <v>0.81410000000000005</v>
          </cell>
          <cell r="P1154">
            <v>0.30919999999999997</v>
          </cell>
          <cell r="Q1154">
            <v>0.27229999999999999</v>
          </cell>
          <cell r="R1154">
            <v>0.2326</v>
          </cell>
          <cell r="S1154" t="str">
            <v>NA</v>
          </cell>
          <cell r="T1154">
            <v>59.3</v>
          </cell>
          <cell r="U1154">
            <v>4.8</v>
          </cell>
          <cell r="V1154">
            <v>75.3</v>
          </cell>
          <cell r="W1154">
            <v>7.6</v>
          </cell>
          <cell r="X1154">
            <v>51.9</v>
          </cell>
          <cell r="Y1154">
            <v>6.7</v>
          </cell>
          <cell r="Z1154" t="str">
            <v>NA</v>
          </cell>
          <cell r="AA1154" t="str">
            <v>NA</v>
          </cell>
        </row>
        <row r="1155">
          <cell r="A1155">
            <v>45151</v>
          </cell>
          <cell r="B1155" t="str">
            <v>A1</v>
          </cell>
          <cell r="C1155">
            <v>3</v>
          </cell>
          <cell r="D1155">
            <v>3</v>
          </cell>
          <cell r="E1155" t="str">
            <v>ARIS.A1.Aim3.Bin3.LB</v>
          </cell>
          <cell r="F1155">
            <v>4</v>
          </cell>
          <cell r="G1155" t="str">
            <v>SplineDFA</v>
          </cell>
          <cell r="H1155" t="str">
            <v>Y</v>
          </cell>
          <cell r="I1155" t="str">
            <v>N</v>
          </cell>
          <cell r="J1155">
            <v>159</v>
          </cell>
          <cell r="K1155">
            <v>1</v>
          </cell>
          <cell r="L1155">
            <v>1.9900000000000001E-2</v>
          </cell>
          <cell r="M1155">
            <v>23.7</v>
          </cell>
          <cell r="N1155">
            <v>2.7</v>
          </cell>
          <cell r="O1155">
            <v>0.98009999999999997</v>
          </cell>
          <cell r="P1155">
            <v>0.17269999999999999</v>
          </cell>
          <cell r="Q1155">
            <v>0.64139999999999997</v>
          </cell>
          <cell r="R1155">
            <v>0.16600000000000001</v>
          </cell>
          <cell r="S1155" t="str">
            <v>NA</v>
          </cell>
          <cell r="T1155">
            <v>59.3</v>
          </cell>
          <cell r="U1155">
            <v>4.8</v>
          </cell>
          <cell r="V1155">
            <v>75.3</v>
          </cell>
          <cell r="W1155">
            <v>7.6</v>
          </cell>
          <cell r="X1155">
            <v>51.9</v>
          </cell>
          <cell r="Y1155">
            <v>6.7</v>
          </cell>
          <cell r="Z1155" t="str">
            <v>NA</v>
          </cell>
          <cell r="AA1155" t="str">
            <v>NA</v>
          </cell>
        </row>
        <row r="1156">
          <cell r="A1156">
            <v>45151</v>
          </cell>
          <cell r="B1156" t="str">
            <v>A1</v>
          </cell>
          <cell r="C1156">
            <v>4</v>
          </cell>
          <cell r="D1156">
            <v>3</v>
          </cell>
          <cell r="E1156" t="str">
            <v>ARIS.A1.Aim3.Bin4.LB</v>
          </cell>
          <cell r="F1156">
            <v>4</v>
          </cell>
          <cell r="G1156" t="str">
            <v>SplineDFA</v>
          </cell>
          <cell r="H1156" t="str">
            <v>Y</v>
          </cell>
          <cell r="I1156" t="str">
            <v>N</v>
          </cell>
          <cell r="J1156">
            <v>159</v>
          </cell>
          <cell r="K1156">
            <v>1</v>
          </cell>
          <cell r="L1156">
            <v>1.9900000000000001E-2</v>
          </cell>
          <cell r="M1156">
            <v>23.7</v>
          </cell>
          <cell r="N1156">
            <v>2.7</v>
          </cell>
          <cell r="O1156">
            <v>0.98009999999999997</v>
          </cell>
          <cell r="P1156">
            <v>0.17269999999999999</v>
          </cell>
          <cell r="Q1156">
            <v>0.64139999999999997</v>
          </cell>
          <cell r="R1156">
            <v>0.16600000000000001</v>
          </cell>
          <cell r="S1156" t="str">
            <v>NA</v>
          </cell>
          <cell r="T1156">
            <v>59.3</v>
          </cell>
          <cell r="U1156">
            <v>4.8</v>
          </cell>
          <cell r="V1156">
            <v>75.3</v>
          </cell>
          <cell r="W1156">
            <v>7.6</v>
          </cell>
          <cell r="X1156">
            <v>51.9</v>
          </cell>
          <cell r="Y1156">
            <v>6.7</v>
          </cell>
          <cell r="Z1156" t="str">
            <v>NA</v>
          </cell>
          <cell r="AA1156" t="str">
            <v>NA</v>
          </cell>
        </row>
        <row r="1157">
          <cell r="A1157">
            <v>45151</v>
          </cell>
          <cell r="B1157" t="str">
            <v>A2</v>
          </cell>
          <cell r="C1157">
            <v>1</v>
          </cell>
          <cell r="D1157">
            <v>1</v>
          </cell>
          <cell r="E1157" t="str">
            <v>ARIS.A2.Aim1.Bin1.RB</v>
          </cell>
          <cell r="F1157">
            <v>4</v>
          </cell>
          <cell r="G1157" t="str">
            <v>SplineDFA</v>
          </cell>
          <cell r="H1157" t="str">
            <v>Y</v>
          </cell>
          <cell r="I1157" t="str">
            <v>N</v>
          </cell>
          <cell r="J1157">
            <v>171</v>
          </cell>
          <cell r="K1157">
            <v>1</v>
          </cell>
          <cell r="L1157">
            <v>0.77429999999999999</v>
          </cell>
          <cell r="M1157">
            <v>23.7</v>
          </cell>
          <cell r="N1157">
            <v>2.7</v>
          </cell>
          <cell r="O1157">
            <v>0.22570000000000001</v>
          </cell>
          <cell r="P1157">
            <v>4.8000000000000001E-2</v>
          </cell>
          <cell r="Q1157">
            <v>5.6399999999999999E-2</v>
          </cell>
          <cell r="R1157">
            <v>0.12130000000000001</v>
          </cell>
          <cell r="S1157" t="str">
            <v>NA</v>
          </cell>
          <cell r="T1157">
            <v>59.3</v>
          </cell>
          <cell r="U1157">
            <v>4.8</v>
          </cell>
          <cell r="V1157">
            <v>75.3</v>
          </cell>
          <cell r="W1157">
            <v>7.6</v>
          </cell>
          <cell r="X1157">
            <v>51.9</v>
          </cell>
          <cell r="Y1157">
            <v>6.7</v>
          </cell>
          <cell r="Z1157" t="str">
            <v>NA</v>
          </cell>
          <cell r="AA1157" t="str">
            <v>NA</v>
          </cell>
        </row>
        <row r="1158">
          <cell r="A1158">
            <v>45151</v>
          </cell>
          <cell r="B1158" t="str">
            <v>A2</v>
          </cell>
          <cell r="C1158">
            <v>2</v>
          </cell>
          <cell r="D1158">
            <v>1</v>
          </cell>
          <cell r="E1158" t="str">
            <v>ARIS.A2.Aim1.Bin2.RB</v>
          </cell>
          <cell r="F1158">
            <v>4</v>
          </cell>
          <cell r="G1158" t="str">
            <v>SplineDFA</v>
          </cell>
          <cell r="H1158" t="str">
            <v>Y</v>
          </cell>
          <cell r="I1158" t="str">
            <v>N</v>
          </cell>
          <cell r="J1158">
            <v>163</v>
          </cell>
          <cell r="K1158">
            <v>0.99990000000000001</v>
          </cell>
          <cell r="L1158">
            <v>0.2989</v>
          </cell>
          <cell r="M1158">
            <v>23.7</v>
          </cell>
          <cell r="N1158">
            <v>2.7</v>
          </cell>
          <cell r="O1158">
            <v>0.70099999999999996</v>
          </cell>
          <cell r="P1158">
            <v>0.1205</v>
          </cell>
          <cell r="Q1158">
            <v>0.27979999999999999</v>
          </cell>
          <cell r="R1158">
            <v>0.30070000000000002</v>
          </cell>
          <cell r="S1158" t="str">
            <v>NA</v>
          </cell>
          <cell r="T1158">
            <v>59.3</v>
          </cell>
          <cell r="U1158">
            <v>4.8</v>
          </cell>
          <cell r="V1158">
            <v>75.3</v>
          </cell>
          <cell r="W1158">
            <v>7.6</v>
          </cell>
          <cell r="X1158">
            <v>51.9</v>
          </cell>
          <cell r="Y1158">
            <v>6.7</v>
          </cell>
          <cell r="Z1158" t="str">
            <v>NA</v>
          </cell>
          <cell r="AA1158" t="str">
            <v>NA</v>
          </cell>
        </row>
        <row r="1159">
          <cell r="A1159">
            <v>45151</v>
          </cell>
          <cell r="B1159" t="str">
            <v>A2</v>
          </cell>
          <cell r="C1159">
            <v>3</v>
          </cell>
          <cell r="D1159">
            <v>1</v>
          </cell>
          <cell r="E1159" t="str">
            <v>ARIS.A2.Aim1.Bin3.RB</v>
          </cell>
          <cell r="F1159">
            <v>4</v>
          </cell>
          <cell r="G1159" t="str">
            <v>SplineDFA</v>
          </cell>
          <cell r="H1159" t="str">
            <v>Y</v>
          </cell>
          <cell r="I1159" t="str">
            <v>N</v>
          </cell>
          <cell r="J1159">
            <v>168</v>
          </cell>
          <cell r="K1159">
            <v>1</v>
          </cell>
          <cell r="L1159">
            <v>9.3399999999999997E-2</v>
          </cell>
          <cell r="M1159">
            <v>23.7</v>
          </cell>
          <cell r="N1159">
            <v>2.7</v>
          </cell>
          <cell r="O1159">
            <v>0.90659999999999996</v>
          </cell>
          <cell r="P1159">
            <v>0.14749999999999999</v>
          </cell>
          <cell r="Q1159">
            <v>0.46600000000000003</v>
          </cell>
          <cell r="R1159">
            <v>0.29310000000000003</v>
          </cell>
          <cell r="S1159" t="str">
            <v>NA</v>
          </cell>
          <cell r="T1159">
            <v>59.3</v>
          </cell>
          <cell r="U1159">
            <v>4.8</v>
          </cell>
          <cell r="V1159">
            <v>75.3</v>
          </cell>
          <cell r="W1159">
            <v>7.6</v>
          </cell>
          <cell r="X1159">
            <v>51.9</v>
          </cell>
          <cell r="Y1159">
            <v>6.7</v>
          </cell>
          <cell r="Z1159" t="str">
            <v>NA</v>
          </cell>
          <cell r="AA1159" t="str">
            <v>NA</v>
          </cell>
        </row>
        <row r="1160">
          <cell r="A1160">
            <v>45151</v>
          </cell>
          <cell r="B1160" t="str">
            <v>A2</v>
          </cell>
          <cell r="C1160">
            <v>4</v>
          </cell>
          <cell r="D1160">
            <v>1</v>
          </cell>
          <cell r="E1160" t="str">
            <v>ARIS.A2.Aim1.Bin4.RB</v>
          </cell>
          <cell r="F1160">
            <v>4</v>
          </cell>
          <cell r="G1160" t="str">
            <v>SplineDFA</v>
          </cell>
          <cell r="H1160" t="str">
            <v>Y</v>
          </cell>
          <cell r="I1160" t="str">
            <v>N</v>
          </cell>
          <cell r="J1160">
            <v>168</v>
          </cell>
          <cell r="K1160">
            <v>1</v>
          </cell>
          <cell r="L1160">
            <v>9.3399999999999997E-2</v>
          </cell>
          <cell r="M1160">
            <v>23.7</v>
          </cell>
          <cell r="N1160">
            <v>2.7</v>
          </cell>
          <cell r="O1160">
            <v>0.90659999999999996</v>
          </cell>
          <cell r="P1160">
            <v>0.14749999999999999</v>
          </cell>
          <cell r="Q1160">
            <v>0.46600000000000003</v>
          </cell>
          <cell r="R1160">
            <v>0.29310000000000003</v>
          </cell>
          <cell r="S1160" t="str">
            <v>NA</v>
          </cell>
          <cell r="T1160">
            <v>59.3</v>
          </cell>
          <cell r="U1160">
            <v>4.8</v>
          </cell>
          <cell r="V1160">
            <v>75.3</v>
          </cell>
          <cell r="W1160">
            <v>7.6</v>
          </cell>
          <cell r="X1160">
            <v>51.9</v>
          </cell>
          <cell r="Y1160">
            <v>6.7</v>
          </cell>
          <cell r="Z1160" t="str">
            <v>NA</v>
          </cell>
          <cell r="AA1160" t="str">
            <v>NA</v>
          </cell>
        </row>
        <row r="1161">
          <cell r="A1161">
            <v>45151</v>
          </cell>
          <cell r="B1161" t="str">
            <v>A1</v>
          </cell>
          <cell r="C1161">
            <v>1</v>
          </cell>
          <cell r="D1161">
            <v>1</v>
          </cell>
          <cell r="E1161" t="str">
            <v>ARIS.A1.Aim1.Bin1.LB</v>
          </cell>
          <cell r="F1161">
            <v>3</v>
          </cell>
          <cell r="G1161" t="str">
            <v>SplineDFA</v>
          </cell>
          <cell r="H1161" t="str">
            <v>N</v>
          </cell>
          <cell r="I1161" t="str">
            <v>N</v>
          </cell>
          <cell r="J1161">
            <v>160</v>
          </cell>
          <cell r="K1161">
            <v>1</v>
          </cell>
          <cell r="L1161">
            <v>0.7359</v>
          </cell>
          <cell r="M1161">
            <v>23.7</v>
          </cell>
          <cell r="N1161">
            <v>2.7</v>
          </cell>
          <cell r="O1161">
            <v>0.2641</v>
          </cell>
          <cell r="P1161">
            <v>0.21560000000000001</v>
          </cell>
          <cell r="Q1161">
            <v>4.8500000000000001E-2</v>
          </cell>
          <cell r="R1161" t="str">
            <v>NA</v>
          </cell>
          <cell r="S1161" t="str">
            <v>NA</v>
          </cell>
          <cell r="T1161">
            <v>59.3</v>
          </cell>
          <cell r="U1161">
            <v>4.8</v>
          </cell>
          <cell r="V1161">
            <v>75.3</v>
          </cell>
          <cell r="W1161">
            <v>7.6</v>
          </cell>
          <cell r="X1161" t="str">
            <v>NA</v>
          </cell>
          <cell r="Y1161" t="str">
            <v>NA</v>
          </cell>
          <cell r="Z1161" t="str">
            <v>NA</v>
          </cell>
          <cell r="AA1161" t="str">
            <v>NA</v>
          </cell>
        </row>
        <row r="1162">
          <cell r="A1162">
            <v>45151</v>
          </cell>
          <cell r="B1162" t="str">
            <v>A1</v>
          </cell>
          <cell r="C1162">
            <v>1</v>
          </cell>
          <cell r="D1162">
            <v>2</v>
          </cell>
          <cell r="E1162" t="str">
            <v>ARIS.A1.Aim2.Bin1.LB</v>
          </cell>
          <cell r="F1162">
            <v>3</v>
          </cell>
          <cell r="G1162" t="str">
            <v>SplineDFA</v>
          </cell>
          <cell r="H1162" t="str">
            <v>N</v>
          </cell>
          <cell r="I1162" t="str">
            <v>N</v>
          </cell>
          <cell r="J1162">
            <v>177</v>
          </cell>
          <cell r="K1162">
            <v>0.99990000000000001</v>
          </cell>
          <cell r="L1162">
            <v>0.70850000000000002</v>
          </cell>
          <cell r="M1162">
            <v>23.7</v>
          </cell>
          <cell r="N1162">
            <v>2.7</v>
          </cell>
          <cell r="O1162">
            <v>0.29139999999999999</v>
          </cell>
          <cell r="P1162">
            <v>0.25130000000000002</v>
          </cell>
          <cell r="Q1162">
            <v>4.0099999999999997E-2</v>
          </cell>
          <cell r="R1162" t="str">
            <v>NA</v>
          </cell>
          <cell r="S1162" t="str">
            <v>NA</v>
          </cell>
          <cell r="T1162">
            <v>59.3</v>
          </cell>
          <cell r="U1162">
            <v>4.8</v>
          </cell>
          <cell r="V1162">
            <v>75.3</v>
          </cell>
          <cell r="W1162">
            <v>7.6</v>
          </cell>
          <cell r="X1162" t="str">
            <v>NA</v>
          </cell>
          <cell r="Y1162" t="str">
            <v>NA</v>
          </cell>
          <cell r="Z1162" t="str">
            <v>NA</v>
          </cell>
          <cell r="AA1162" t="str">
            <v>NA</v>
          </cell>
        </row>
        <row r="1163">
          <cell r="A1163">
            <v>45151</v>
          </cell>
          <cell r="B1163" t="str">
            <v>A1</v>
          </cell>
          <cell r="C1163">
            <v>2</v>
          </cell>
          <cell r="D1163">
            <v>3</v>
          </cell>
          <cell r="E1163" t="str">
            <v>ARIS.A1.Aim3.Bin2.LB</v>
          </cell>
          <cell r="F1163">
            <v>3</v>
          </cell>
          <cell r="G1163" t="str">
            <v>SplineDFA</v>
          </cell>
          <cell r="H1163" t="str">
            <v>N</v>
          </cell>
          <cell r="I1163" t="str">
            <v>N</v>
          </cell>
          <cell r="J1163">
            <v>174</v>
          </cell>
          <cell r="K1163">
            <v>1</v>
          </cell>
          <cell r="L1163">
            <v>0.26529999999999998</v>
          </cell>
          <cell r="M1163">
            <v>23.7</v>
          </cell>
          <cell r="N1163">
            <v>2.7</v>
          </cell>
          <cell r="O1163">
            <v>0.73470000000000002</v>
          </cell>
          <cell r="P1163">
            <v>0.46239999999999998</v>
          </cell>
          <cell r="Q1163">
            <v>0.27229999999999999</v>
          </cell>
          <cell r="R1163" t="str">
            <v>NA</v>
          </cell>
          <cell r="S1163" t="str">
            <v>NA</v>
          </cell>
          <cell r="T1163">
            <v>59.3</v>
          </cell>
          <cell r="U1163">
            <v>4.8</v>
          </cell>
          <cell r="V1163">
            <v>75.3</v>
          </cell>
          <cell r="W1163">
            <v>7.6</v>
          </cell>
          <cell r="X1163" t="str">
            <v>NA</v>
          </cell>
          <cell r="Y1163" t="str">
            <v>NA</v>
          </cell>
          <cell r="Z1163" t="str">
            <v>NA</v>
          </cell>
          <cell r="AA1163" t="str">
            <v>NA</v>
          </cell>
        </row>
        <row r="1164">
          <cell r="A1164">
            <v>45151</v>
          </cell>
          <cell r="B1164" t="str">
            <v>A1</v>
          </cell>
          <cell r="C1164">
            <v>3</v>
          </cell>
          <cell r="D1164">
            <v>3</v>
          </cell>
          <cell r="E1164" t="str">
            <v>ARIS.A1.Aim3.Bin3.LB</v>
          </cell>
          <cell r="F1164">
            <v>3</v>
          </cell>
          <cell r="G1164" t="str">
            <v>SplineDFA</v>
          </cell>
          <cell r="H1164" t="str">
            <v>N</v>
          </cell>
          <cell r="I1164" t="str">
            <v>N</v>
          </cell>
          <cell r="J1164">
            <v>159</v>
          </cell>
          <cell r="K1164">
            <v>1</v>
          </cell>
          <cell r="L1164">
            <v>4.41E-2</v>
          </cell>
          <cell r="M1164">
            <v>23.7</v>
          </cell>
          <cell r="N1164">
            <v>2.7</v>
          </cell>
          <cell r="O1164">
            <v>0.95589999999999997</v>
          </cell>
          <cell r="P1164">
            <v>0.31480000000000002</v>
          </cell>
          <cell r="Q1164">
            <v>0.6411</v>
          </cell>
          <cell r="R1164" t="str">
            <v>NA</v>
          </cell>
          <cell r="S1164" t="str">
            <v>NA</v>
          </cell>
          <cell r="T1164">
            <v>59.3</v>
          </cell>
          <cell r="U1164">
            <v>4.8</v>
          </cell>
          <cell r="V1164">
            <v>75.3</v>
          </cell>
          <cell r="W1164">
            <v>7.6</v>
          </cell>
          <cell r="X1164" t="str">
            <v>NA</v>
          </cell>
          <cell r="Y1164" t="str">
            <v>NA</v>
          </cell>
          <cell r="Z1164" t="str">
            <v>NA</v>
          </cell>
          <cell r="AA1164" t="str">
            <v>NA</v>
          </cell>
        </row>
        <row r="1165">
          <cell r="A1165">
            <v>45151</v>
          </cell>
          <cell r="B1165" t="str">
            <v>A1</v>
          </cell>
          <cell r="C1165">
            <v>4</v>
          </cell>
          <cell r="D1165">
            <v>3</v>
          </cell>
          <cell r="E1165" t="str">
            <v>ARIS.A1.Aim3.Bin4.LB</v>
          </cell>
          <cell r="F1165">
            <v>3</v>
          </cell>
          <cell r="G1165" t="str">
            <v>SplineDFA</v>
          </cell>
          <cell r="H1165" t="str">
            <v>N</v>
          </cell>
          <cell r="I1165" t="str">
            <v>N</v>
          </cell>
          <cell r="J1165">
            <v>159</v>
          </cell>
          <cell r="K1165">
            <v>1</v>
          </cell>
          <cell r="L1165">
            <v>4.41E-2</v>
          </cell>
          <cell r="M1165">
            <v>23.7</v>
          </cell>
          <cell r="N1165">
            <v>2.7</v>
          </cell>
          <cell r="O1165">
            <v>0.95589999999999997</v>
          </cell>
          <cell r="P1165">
            <v>0.31480000000000002</v>
          </cell>
          <cell r="Q1165">
            <v>0.6411</v>
          </cell>
          <cell r="R1165" t="str">
            <v>NA</v>
          </cell>
          <cell r="S1165" t="str">
            <v>NA</v>
          </cell>
          <cell r="T1165">
            <v>59.3</v>
          </cell>
          <cell r="U1165">
            <v>4.8</v>
          </cell>
          <cell r="V1165">
            <v>75.3</v>
          </cell>
          <cell r="W1165">
            <v>7.6</v>
          </cell>
          <cell r="X1165" t="str">
            <v>NA</v>
          </cell>
          <cell r="Y1165" t="str">
            <v>NA</v>
          </cell>
          <cell r="Z1165" t="str">
            <v>NA</v>
          </cell>
          <cell r="AA1165" t="str">
            <v>NA</v>
          </cell>
        </row>
        <row r="1166">
          <cell r="A1166">
            <v>45151</v>
          </cell>
          <cell r="B1166" t="str">
            <v>A2</v>
          </cell>
          <cell r="C1166">
            <v>1</v>
          </cell>
          <cell r="D1166">
            <v>1</v>
          </cell>
          <cell r="E1166" t="str">
            <v>ARIS.A2.Aim1.Bin1.RB</v>
          </cell>
          <cell r="F1166">
            <v>3</v>
          </cell>
          <cell r="G1166" t="str">
            <v>SplineDFA</v>
          </cell>
          <cell r="H1166" t="str">
            <v>N</v>
          </cell>
          <cell r="I1166" t="str">
            <v>N</v>
          </cell>
          <cell r="J1166">
            <v>171</v>
          </cell>
          <cell r="K1166">
            <v>1</v>
          </cell>
          <cell r="L1166">
            <v>0.84260000000000002</v>
          </cell>
          <cell r="M1166">
            <v>23.7</v>
          </cell>
          <cell r="N1166">
            <v>2.7</v>
          </cell>
          <cell r="O1166">
            <v>0.15740000000000001</v>
          </cell>
          <cell r="P1166">
            <v>0.10100000000000001</v>
          </cell>
          <cell r="Q1166">
            <v>5.6399999999999999E-2</v>
          </cell>
          <cell r="R1166" t="str">
            <v>NA</v>
          </cell>
          <cell r="S1166" t="str">
            <v>NA</v>
          </cell>
          <cell r="T1166">
            <v>59.3</v>
          </cell>
          <cell r="U1166">
            <v>4.8</v>
          </cell>
          <cell r="V1166">
            <v>75.3</v>
          </cell>
          <cell r="W1166">
            <v>7.6</v>
          </cell>
          <cell r="X1166" t="str">
            <v>NA</v>
          </cell>
          <cell r="Y1166" t="str">
            <v>NA</v>
          </cell>
          <cell r="Z1166" t="str">
            <v>NA</v>
          </cell>
          <cell r="AA1166" t="str">
            <v>NA</v>
          </cell>
        </row>
        <row r="1167">
          <cell r="A1167">
            <v>45151</v>
          </cell>
          <cell r="B1167" t="str">
            <v>A2</v>
          </cell>
          <cell r="C1167">
            <v>2</v>
          </cell>
          <cell r="D1167">
            <v>1</v>
          </cell>
          <cell r="E1167" t="str">
            <v>ARIS.A2.Aim1.Bin2.RB</v>
          </cell>
          <cell r="F1167">
            <v>3</v>
          </cell>
          <cell r="G1167" t="str">
            <v>SplineDFA</v>
          </cell>
          <cell r="H1167" t="str">
            <v>N</v>
          </cell>
          <cell r="I1167" t="str">
            <v>N</v>
          </cell>
          <cell r="J1167">
            <v>163</v>
          </cell>
          <cell r="K1167">
            <v>1</v>
          </cell>
          <cell r="L1167">
            <v>0.40410000000000001</v>
          </cell>
          <cell r="M1167">
            <v>23.7</v>
          </cell>
          <cell r="N1167">
            <v>2.7</v>
          </cell>
          <cell r="O1167">
            <v>0.59589999999999999</v>
          </cell>
          <cell r="P1167">
            <v>0.31609999999999999</v>
          </cell>
          <cell r="Q1167">
            <v>0.27979999999999999</v>
          </cell>
          <cell r="R1167" t="str">
            <v>NA</v>
          </cell>
          <cell r="S1167" t="str">
            <v>NA</v>
          </cell>
          <cell r="T1167">
            <v>59.3</v>
          </cell>
          <cell r="U1167">
            <v>4.8</v>
          </cell>
          <cell r="V1167">
            <v>75.3</v>
          </cell>
          <cell r="W1167">
            <v>7.6</v>
          </cell>
          <cell r="X1167" t="str">
            <v>NA</v>
          </cell>
          <cell r="Y1167" t="str">
            <v>NA</v>
          </cell>
          <cell r="Z1167" t="str">
            <v>NA</v>
          </cell>
          <cell r="AA1167" t="str">
            <v>NA</v>
          </cell>
        </row>
        <row r="1168">
          <cell r="A1168">
            <v>45151</v>
          </cell>
          <cell r="B1168" t="str">
            <v>A2</v>
          </cell>
          <cell r="C1168">
            <v>3</v>
          </cell>
          <cell r="D1168">
            <v>1</v>
          </cell>
          <cell r="E1168" t="str">
            <v>ARIS.A2.Aim1.Bin3.RB</v>
          </cell>
          <cell r="F1168">
            <v>3</v>
          </cell>
          <cell r="G1168" t="str">
            <v>SplineDFA</v>
          </cell>
          <cell r="H1168" t="str">
            <v>N</v>
          </cell>
          <cell r="I1168" t="str">
            <v>N</v>
          </cell>
          <cell r="J1168">
            <v>168</v>
          </cell>
          <cell r="K1168">
            <v>1</v>
          </cell>
          <cell r="L1168">
            <v>0.16109999999999999</v>
          </cell>
          <cell r="M1168">
            <v>23.7</v>
          </cell>
          <cell r="N1168">
            <v>2.7</v>
          </cell>
          <cell r="O1168">
            <v>0.83889999999999998</v>
          </cell>
          <cell r="P1168">
            <v>0.37290000000000001</v>
          </cell>
          <cell r="Q1168">
            <v>0.46600000000000003</v>
          </cell>
          <cell r="R1168" t="str">
            <v>NA</v>
          </cell>
          <cell r="S1168" t="str">
            <v>NA</v>
          </cell>
          <cell r="T1168">
            <v>59.3</v>
          </cell>
          <cell r="U1168">
            <v>4.8</v>
          </cell>
          <cell r="V1168">
            <v>75.3</v>
          </cell>
          <cell r="W1168">
            <v>7.6</v>
          </cell>
          <cell r="X1168" t="str">
            <v>NA</v>
          </cell>
          <cell r="Y1168" t="str">
            <v>NA</v>
          </cell>
          <cell r="Z1168" t="str">
            <v>NA</v>
          </cell>
          <cell r="AA1168" t="str">
            <v>NA</v>
          </cell>
        </row>
        <row r="1169">
          <cell r="A1169">
            <v>45151</v>
          </cell>
          <cell r="B1169" t="str">
            <v>A2</v>
          </cell>
          <cell r="C1169">
            <v>4</v>
          </cell>
          <cell r="D1169">
            <v>1</v>
          </cell>
          <cell r="E1169" t="str">
            <v>ARIS.A2.Aim1.Bin4.RB</v>
          </cell>
          <cell r="F1169">
            <v>3</v>
          </cell>
          <cell r="G1169" t="str">
            <v>SplineDFA</v>
          </cell>
          <cell r="H1169" t="str">
            <v>N</v>
          </cell>
          <cell r="I1169" t="str">
            <v>N</v>
          </cell>
          <cell r="J1169">
            <v>168</v>
          </cell>
          <cell r="K1169">
            <v>1</v>
          </cell>
          <cell r="L1169">
            <v>0.16109999999999999</v>
          </cell>
          <cell r="M1169">
            <v>23.7</v>
          </cell>
          <cell r="N1169">
            <v>2.7</v>
          </cell>
          <cell r="O1169">
            <v>0.83889999999999998</v>
          </cell>
          <cell r="P1169">
            <v>0.37290000000000001</v>
          </cell>
          <cell r="Q1169">
            <v>0.46600000000000003</v>
          </cell>
          <cell r="R1169" t="str">
            <v>NA</v>
          </cell>
          <cell r="S1169" t="str">
            <v>NA</v>
          </cell>
          <cell r="T1169">
            <v>59.3</v>
          </cell>
          <cell r="U1169">
            <v>4.8</v>
          </cell>
          <cell r="V1169">
            <v>75.3</v>
          </cell>
          <cell r="W1169">
            <v>7.6</v>
          </cell>
          <cell r="X1169" t="str">
            <v>NA</v>
          </cell>
          <cell r="Y1169" t="str">
            <v>NA</v>
          </cell>
          <cell r="Z1169" t="str">
            <v>NA</v>
          </cell>
          <cell r="AA1169" t="str">
            <v>NA</v>
          </cell>
        </row>
        <row r="1170">
          <cell r="A1170">
            <v>45152</v>
          </cell>
          <cell r="B1170" t="str">
            <v>A1</v>
          </cell>
          <cell r="C1170">
            <v>1</v>
          </cell>
          <cell r="D1170">
            <v>1</v>
          </cell>
          <cell r="E1170" t="str">
            <v>ARIS.A1.Aim1.Bin1.LB</v>
          </cell>
          <cell r="F1170">
            <v>4</v>
          </cell>
          <cell r="G1170" t="str">
            <v>Unweighted</v>
          </cell>
          <cell r="H1170" t="str">
            <v>N</v>
          </cell>
          <cell r="I1170" t="str">
            <v>Y</v>
          </cell>
          <cell r="J1170">
            <v>164</v>
          </cell>
          <cell r="K1170">
            <v>1.0001</v>
          </cell>
          <cell r="L1170">
            <v>0.64270000000000005</v>
          </cell>
          <cell r="M1170">
            <v>25.1</v>
          </cell>
          <cell r="N1170">
            <v>8.3000000000000007</v>
          </cell>
          <cell r="O1170">
            <v>0.3574</v>
          </cell>
          <cell r="P1170">
            <v>0.23719999999999999</v>
          </cell>
          <cell r="Q1170">
            <v>8.0999999999999996E-3</v>
          </cell>
          <cell r="R1170">
            <v>0.11210000000000001</v>
          </cell>
          <cell r="S1170" t="str">
            <v>NA</v>
          </cell>
          <cell r="T1170">
            <v>59.3</v>
          </cell>
          <cell r="U1170">
            <v>4.8</v>
          </cell>
          <cell r="V1170">
            <v>75.3</v>
          </cell>
          <cell r="W1170">
            <v>7.6</v>
          </cell>
          <cell r="X1170">
            <v>51.9</v>
          </cell>
          <cell r="Y1170">
            <v>6.7</v>
          </cell>
          <cell r="Z1170" t="str">
            <v>NA</v>
          </cell>
          <cell r="AA1170" t="str">
            <v>NA</v>
          </cell>
        </row>
        <row r="1171">
          <cell r="A1171">
            <v>45152</v>
          </cell>
          <cell r="B1171" t="str">
            <v>A1</v>
          </cell>
          <cell r="C1171">
            <v>1</v>
          </cell>
          <cell r="D1171">
            <v>2</v>
          </cell>
          <cell r="E1171" t="str">
            <v>ARIS.A1.Aim2.Bin1.LB</v>
          </cell>
          <cell r="F1171">
            <v>4</v>
          </cell>
          <cell r="G1171" t="str">
            <v>Unweighted</v>
          </cell>
          <cell r="H1171" t="str">
            <v>N</v>
          </cell>
          <cell r="I1171" t="str">
            <v>Y</v>
          </cell>
          <cell r="J1171">
            <v>171</v>
          </cell>
          <cell r="K1171">
            <v>1</v>
          </cell>
          <cell r="L1171">
            <v>0.62949999999999995</v>
          </cell>
          <cell r="M1171">
            <v>20.100000000000001</v>
          </cell>
          <cell r="N1171">
            <v>8.3000000000000007</v>
          </cell>
          <cell r="O1171">
            <v>0.3705</v>
          </cell>
          <cell r="P1171">
            <v>0.28510000000000002</v>
          </cell>
          <cell r="Q1171">
            <v>7.8100000000000003E-2</v>
          </cell>
          <cell r="R1171">
            <v>7.3000000000000001E-3</v>
          </cell>
          <cell r="S1171" t="str">
            <v>NA</v>
          </cell>
          <cell r="T1171">
            <v>59.3</v>
          </cell>
          <cell r="U1171">
            <v>4.8</v>
          </cell>
          <cell r="V1171">
            <v>75.3</v>
          </cell>
          <cell r="W1171">
            <v>7.6</v>
          </cell>
          <cell r="X1171">
            <v>51.9</v>
          </cell>
          <cell r="Y1171">
            <v>6.7</v>
          </cell>
          <cell r="Z1171" t="str">
            <v>NA</v>
          </cell>
          <cell r="AA1171" t="str">
            <v>NA</v>
          </cell>
        </row>
        <row r="1172">
          <cell r="A1172">
            <v>45152</v>
          </cell>
          <cell r="B1172" t="str">
            <v>A1</v>
          </cell>
          <cell r="C1172">
            <v>1</v>
          </cell>
          <cell r="D1172" t="str">
            <v>1&amp;2</v>
          </cell>
          <cell r="E1172" t="str">
            <v>ARIS.A1.Aim1&amp;Aim2.Bin1.LB</v>
          </cell>
          <cell r="F1172">
            <v>4</v>
          </cell>
          <cell r="G1172" t="str">
            <v>Unweighted</v>
          </cell>
          <cell r="H1172" t="str">
            <v>N</v>
          </cell>
          <cell r="I1172" t="str">
            <v>Y</v>
          </cell>
          <cell r="J1172">
            <v>335</v>
          </cell>
          <cell r="K1172">
            <v>1</v>
          </cell>
          <cell r="L1172">
            <v>0.63700000000000001</v>
          </cell>
          <cell r="M1172">
            <v>22.6</v>
          </cell>
          <cell r="N1172">
            <v>8.6999999999999993</v>
          </cell>
          <cell r="O1172">
            <v>0.36299999999999999</v>
          </cell>
          <cell r="P1172">
            <v>0.26540000000000002</v>
          </cell>
          <cell r="Q1172">
            <v>4.3900000000000002E-2</v>
          </cell>
          <cell r="R1172">
            <v>5.3699999999999998E-2</v>
          </cell>
          <cell r="S1172" t="str">
            <v>NA</v>
          </cell>
          <cell r="T1172">
            <v>59.3</v>
          </cell>
          <cell r="U1172">
            <v>4.8</v>
          </cell>
          <cell r="V1172">
            <v>75.3</v>
          </cell>
          <cell r="W1172">
            <v>7.6</v>
          </cell>
          <cell r="X1172">
            <v>51.9</v>
          </cell>
          <cell r="Y1172">
            <v>6.7</v>
          </cell>
          <cell r="Z1172" t="str">
            <v>NA</v>
          </cell>
          <cell r="AA1172" t="str">
            <v>NA</v>
          </cell>
        </row>
        <row r="1173">
          <cell r="A1173">
            <v>45152</v>
          </cell>
          <cell r="B1173" t="str">
            <v>A1</v>
          </cell>
          <cell r="C1173">
            <v>2</v>
          </cell>
          <cell r="D1173">
            <v>3</v>
          </cell>
          <cell r="E1173" t="str">
            <v>ARIS.A1.Aim3.Bin2.LB</v>
          </cell>
          <cell r="F1173">
            <v>4</v>
          </cell>
          <cell r="G1173" t="str">
            <v>Unweighted</v>
          </cell>
          <cell r="H1173" t="str">
            <v>N</v>
          </cell>
          <cell r="I1173" t="str">
            <v>Y</v>
          </cell>
          <cell r="J1173">
            <v>183</v>
          </cell>
          <cell r="K1173">
            <v>1</v>
          </cell>
          <cell r="L1173">
            <v>0.1867</v>
          </cell>
          <cell r="M1173">
            <v>27.4</v>
          </cell>
          <cell r="N1173">
            <v>7.4</v>
          </cell>
          <cell r="O1173">
            <v>0.81330000000000002</v>
          </cell>
          <cell r="P1173">
            <v>0.2364</v>
          </cell>
          <cell r="Q1173">
            <v>0.32919999999999999</v>
          </cell>
          <cell r="R1173">
            <v>0.2477</v>
          </cell>
          <cell r="S1173" t="str">
            <v>NA</v>
          </cell>
          <cell r="T1173">
            <v>59.3</v>
          </cell>
          <cell r="U1173">
            <v>4.8</v>
          </cell>
          <cell r="V1173">
            <v>75.3</v>
          </cell>
          <cell r="W1173">
            <v>7.6</v>
          </cell>
          <cell r="X1173">
            <v>51.9</v>
          </cell>
          <cell r="Y1173">
            <v>6.7</v>
          </cell>
          <cell r="Z1173" t="str">
            <v>NA</v>
          </cell>
          <cell r="AA1173" t="str">
            <v>NA</v>
          </cell>
        </row>
        <row r="1174">
          <cell r="A1174">
            <v>45152</v>
          </cell>
          <cell r="B1174" t="str">
            <v>A1</v>
          </cell>
          <cell r="C1174">
            <v>3</v>
          </cell>
          <cell r="D1174">
            <v>3</v>
          </cell>
          <cell r="E1174" t="str">
            <v>ARIS.A1.Aim3.Bin3.LB</v>
          </cell>
          <cell r="F1174">
            <v>4</v>
          </cell>
          <cell r="G1174" t="str">
            <v>Unweighted</v>
          </cell>
          <cell r="H1174" t="str">
            <v>N</v>
          </cell>
          <cell r="I1174" t="str">
            <v>Y</v>
          </cell>
          <cell r="J1174">
            <v>158</v>
          </cell>
          <cell r="K1174">
            <v>1.0001</v>
          </cell>
          <cell r="L1174">
            <v>4.8099999999999997E-2</v>
          </cell>
          <cell r="M1174">
            <v>23.7</v>
          </cell>
          <cell r="N1174">
            <v>14.4</v>
          </cell>
          <cell r="O1174">
            <v>0.95199999999999996</v>
          </cell>
          <cell r="P1174">
            <v>5.04E-2</v>
          </cell>
          <cell r="Q1174">
            <v>0.64590000000000003</v>
          </cell>
          <cell r="R1174">
            <v>0.25569999999999998</v>
          </cell>
          <cell r="S1174" t="str">
            <v>NA</v>
          </cell>
          <cell r="T1174">
            <v>59.3</v>
          </cell>
          <cell r="U1174">
            <v>4.8</v>
          </cell>
          <cell r="V1174">
            <v>75.3</v>
          </cell>
          <cell r="W1174">
            <v>7.6</v>
          </cell>
          <cell r="X1174">
            <v>51.9</v>
          </cell>
          <cell r="Y1174">
            <v>6.7</v>
          </cell>
          <cell r="Z1174" t="str">
            <v>NA</v>
          </cell>
          <cell r="AA1174" t="str">
            <v>NA</v>
          </cell>
        </row>
        <row r="1175">
          <cell r="A1175">
            <v>45152</v>
          </cell>
          <cell r="B1175" t="str">
            <v>A1</v>
          </cell>
          <cell r="C1175">
            <v>4</v>
          </cell>
          <cell r="D1175">
            <v>3</v>
          </cell>
          <cell r="E1175" t="str">
            <v>ARIS.A1.Aim3.Bin4.LB</v>
          </cell>
          <cell r="F1175">
            <v>4</v>
          </cell>
          <cell r="G1175" t="str">
            <v>Unweighted</v>
          </cell>
          <cell r="H1175" t="str">
            <v>N</v>
          </cell>
          <cell r="I1175" t="str">
            <v>Y</v>
          </cell>
          <cell r="J1175">
            <v>158</v>
          </cell>
          <cell r="K1175">
            <v>1.0001</v>
          </cell>
          <cell r="L1175">
            <v>4.8099999999999997E-2</v>
          </cell>
          <cell r="M1175">
            <v>23.7</v>
          </cell>
          <cell r="N1175">
            <v>14.4</v>
          </cell>
          <cell r="O1175">
            <v>0.95199999999999996</v>
          </cell>
          <cell r="P1175">
            <v>5.04E-2</v>
          </cell>
          <cell r="Q1175">
            <v>0.64590000000000003</v>
          </cell>
          <cell r="R1175">
            <v>0.25569999999999998</v>
          </cell>
          <cell r="S1175" t="str">
            <v>NA</v>
          </cell>
          <cell r="T1175">
            <v>59.3</v>
          </cell>
          <cell r="U1175">
            <v>4.8</v>
          </cell>
          <cell r="V1175">
            <v>75.3</v>
          </cell>
          <cell r="W1175">
            <v>7.6</v>
          </cell>
          <cell r="X1175">
            <v>51.9</v>
          </cell>
          <cell r="Y1175">
            <v>6.7</v>
          </cell>
          <cell r="Z1175" t="str">
            <v>NA</v>
          </cell>
          <cell r="AA1175" t="str">
            <v>NA</v>
          </cell>
        </row>
        <row r="1176">
          <cell r="A1176">
            <v>45152</v>
          </cell>
          <cell r="B1176" t="str">
            <v>A2</v>
          </cell>
          <cell r="C1176">
            <v>1</v>
          </cell>
          <cell r="D1176">
            <v>1</v>
          </cell>
          <cell r="E1176" t="str">
            <v>ARIS.A2.Aim1.Bin1.RB</v>
          </cell>
          <cell r="F1176">
            <v>4</v>
          </cell>
          <cell r="G1176" t="str">
            <v>Unweighted</v>
          </cell>
          <cell r="H1176" t="str">
            <v>N</v>
          </cell>
          <cell r="I1176" t="str">
            <v>Y</v>
          </cell>
          <cell r="J1176">
            <v>171</v>
          </cell>
          <cell r="K1176">
            <v>1.0001</v>
          </cell>
          <cell r="L1176">
            <v>0.60719999999999996</v>
          </cell>
          <cell r="M1176">
            <v>25.3</v>
          </cell>
          <cell r="N1176">
            <v>7.3</v>
          </cell>
          <cell r="O1176">
            <v>0.39290000000000003</v>
          </cell>
          <cell r="P1176">
            <v>0.18110000000000001</v>
          </cell>
          <cell r="Q1176">
            <v>0.1002</v>
          </cell>
          <cell r="R1176">
            <v>0.1116</v>
          </cell>
          <cell r="S1176" t="str">
            <v>NA</v>
          </cell>
          <cell r="T1176">
            <v>59.3</v>
          </cell>
          <cell r="U1176">
            <v>4.8</v>
          </cell>
          <cell r="V1176">
            <v>75.3</v>
          </cell>
          <cell r="W1176">
            <v>7.6</v>
          </cell>
          <cell r="X1176">
            <v>51.9</v>
          </cell>
          <cell r="Y1176">
            <v>6.7</v>
          </cell>
          <cell r="Z1176" t="str">
            <v>NA</v>
          </cell>
          <cell r="AA1176" t="str">
            <v>NA</v>
          </cell>
        </row>
        <row r="1177">
          <cell r="A1177">
            <v>45152</v>
          </cell>
          <cell r="B1177" t="str">
            <v>A2</v>
          </cell>
          <cell r="C1177">
            <v>2</v>
          </cell>
          <cell r="D1177">
            <v>1</v>
          </cell>
          <cell r="E1177" t="str">
            <v>ARIS.A2.Aim1.Bin2.RB</v>
          </cell>
          <cell r="F1177">
            <v>4</v>
          </cell>
          <cell r="G1177" t="str">
            <v>Unweighted</v>
          </cell>
          <cell r="H1177" t="str">
            <v>N</v>
          </cell>
          <cell r="I1177" t="str">
            <v>Y</v>
          </cell>
          <cell r="J1177">
            <v>163</v>
          </cell>
          <cell r="K1177">
            <v>1</v>
          </cell>
          <cell r="L1177">
            <v>0.53059999999999996</v>
          </cell>
          <cell r="M1177">
            <v>32.200000000000003</v>
          </cell>
          <cell r="N1177">
            <v>7.5</v>
          </cell>
          <cell r="O1177">
            <v>0.46939999999999998</v>
          </cell>
          <cell r="P1177">
            <v>0.11550000000000001</v>
          </cell>
          <cell r="Q1177">
            <v>0.31159999999999999</v>
          </cell>
          <cell r="R1177">
            <v>4.2299999999999997E-2</v>
          </cell>
          <cell r="S1177" t="str">
            <v>NA</v>
          </cell>
          <cell r="T1177">
            <v>59.3</v>
          </cell>
          <cell r="U1177">
            <v>4.8</v>
          </cell>
          <cell r="V1177">
            <v>75.3</v>
          </cell>
          <cell r="W1177">
            <v>7.6</v>
          </cell>
          <cell r="X1177">
            <v>51.9</v>
          </cell>
          <cell r="Y1177">
            <v>6.7</v>
          </cell>
          <cell r="Z1177" t="str">
            <v>NA</v>
          </cell>
          <cell r="AA1177" t="str">
            <v>NA</v>
          </cell>
        </row>
        <row r="1178">
          <cell r="A1178">
            <v>45152</v>
          </cell>
          <cell r="B1178" t="str">
            <v>A2</v>
          </cell>
          <cell r="C1178">
            <v>3</v>
          </cell>
          <cell r="D1178">
            <v>1</v>
          </cell>
          <cell r="E1178" t="str">
            <v>ARIS.A2.Aim1.Bin3.RB</v>
          </cell>
          <cell r="F1178">
            <v>4</v>
          </cell>
          <cell r="G1178" t="str">
            <v>Unweighted</v>
          </cell>
          <cell r="H1178" t="str">
            <v>N</v>
          </cell>
          <cell r="I1178" t="str">
            <v>Y</v>
          </cell>
          <cell r="J1178">
            <v>168</v>
          </cell>
          <cell r="K1178">
            <v>1</v>
          </cell>
          <cell r="L1178">
            <v>0.15090000000000001</v>
          </cell>
          <cell r="M1178">
            <v>28.8</v>
          </cell>
          <cell r="N1178">
            <v>4.7</v>
          </cell>
          <cell r="O1178">
            <v>0.84909999999999997</v>
          </cell>
          <cell r="P1178">
            <v>0</v>
          </cell>
          <cell r="Q1178">
            <v>0.50670000000000004</v>
          </cell>
          <cell r="R1178">
            <v>0.34239999999999998</v>
          </cell>
          <cell r="S1178" t="str">
            <v>NA</v>
          </cell>
          <cell r="T1178">
            <v>59.3</v>
          </cell>
          <cell r="U1178">
            <v>4.8</v>
          </cell>
          <cell r="V1178">
            <v>75.3</v>
          </cell>
          <cell r="W1178">
            <v>7.6</v>
          </cell>
          <cell r="X1178">
            <v>51.9</v>
          </cell>
          <cell r="Y1178">
            <v>6.7</v>
          </cell>
          <cell r="Z1178" t="str">
            <v>NA</v>
          </cell>
          <cell r="AA1178" t="str">
            <v>NA</v>
          </cell>
        </row>
        <row r="1179">
          <cell r="A1179">
            <v>45152</v>
          </cell>
          <cell r="B1179" t="str">
            <v>A2</v>
          </cell>
          <cell r="C1179">
            <v>4</v>
          </cell>
          <cell r="D1179">
            <v>1</v>
          </cell>
          <cell r="E1179" t="str">
            <v>ARIS.A2.Aim1.Bin4.RB</v>
          </cell>
          <cell r="F1179">
            <v>4</v>
          </cell>
          <cell r="G1179" t="str">
            <v>Unweighted</v>
          </cell>
          <cell r="H1179" t="str">
            <v>N</v>
          </cell>
          <cell r="I1179" t="str">
            <v>Y</v>
          </cell>
          <cell r="J1179">
            <v>168</v>
          </cell>
          <cell r="K1179">
            <v>1</v>
          </cell>
          <cell r="L1179">
            <v>0.15090000000000001</v>
          </cell>
          <cell r="M1179">
            <v>28.8</v>
          </cell>
          <cell r="N1179">
            <v>4.7</v>
          </cell>
          <cell r="O1179">
            <v>0.84909999999999997</v>
          </cell>
          <cell r="P1179">
            <v>0</v>
          </cell>
          <cell r="Q1179">
            <v>0.50670000000000004</v>
          </cell>
          <cell r="R1179">
            <v>0.34239999999999998</v>
          </cell>
          <cell r="S1179" t="str">
            <v>NA</v>
          </cell>
          <cell r="T1179">
            <v>59.3</v>
          </cell>
          <cell r="U1179">
            <v>4.8</v>
          </cell>
          <cell r="V1179">
            <v>75.3</v>
          </cell>
          <cell r="W1179">
            <v>7.6</v>
          </cell>
          <cell r="X1179">
            <v>51.9</v>
          </cell>
          <cell r="Y1179">
            <v>6.7</v>
          </cell>
          <cell r="Z1179" t="str">
            <v>NA</v>
          </cell>
          <cell r="AA1179" t="str">
            <v>NA</v>
          </cell>
        </row>
        <row r="1180">
          <cell r="A1180">
            <v>45152</v>
          </cell>
          <cell r="B1180" t="str">
            <v>A1</v>
          </cell>
          <cell r="C1180">
            <v>1</v>
          </cell>
          <cell r="D1180">
            <v>1</v>
          </cell>
          <cell r="E1180" t="str">
            <v>ARIS.A1.Aim1.Bin1.LB</v>
          </cell>
          <cell r="F1180">
            <v>4</v>
          </cell>
          <cell r="G1180" t="str">
            <v>SplineDFA</v>
          </cell>
          <cell r="H1180" t="str">
            <v>Y</v>
          </cell>
          <cell r="I1180" t="str">
            <v>N</v>
          </cell>
          <cell r="J1180">
            <v>164</v>
          </cell>
          <cell r="K1180">
            <v>1</v>
          </cell>
          <cell r="L1180">
            <v>0.53180000000000005</v>
          </cell>
          <cell r="M1180">
            <v>23.7</v>
          </cell>
          <cell r="N1180">
            <v>2.7</v>
          </cell>
          <cell r="O1180">
            <v>0.46820000000000001</v>
          </cell>
          <cell r="P1180">
            <v>0.20050000000000001</v>
          </cell>
          <cell r="Q1180">
            <v>2.76E-2</v>
          </cell>
          <cell r="R1180">
            <v>0.24010000000000001</v>
          </cell>
          <cell r="S1180" t="str">
            <v>NA</v>
          </cell>
          <cell r="T1180">
            <v>59.3</v>
          </cell>
          <cell r="U1180">
            <v>4.8</v>
          </cell>
          <cell r="V1180">
            <v>75.3</v>
          </cell>
          <cell r="W1180">
            <v>7.6</v>
          </cell>
          <cell r="X1180">
            <v>51.9</v>
          </cell>
          <cell r="Y1180">
            <v>6.7</v>
          </cell>
          <cell r="Z1180" t="str">
            <v>NA</v>
          </cell>
          <cell r="AA1180" t="str">
            <v>NA</v>
          </cell>
        </row>
        <row r="1181">
          <cell r="A1181">
            <v>45152</v>
          </cell>
          <cell r="B1181" t="str">
            <v>A1</v>
          </cell>
          <cell r="C1181">
            <v>1</v>
          </cell>
          <cell r="D1181">
            <v>2</v>
          </cell>
          <cell r="E1181" t="str">
            <v>ARIS.A1.Aim2.Bin1.LB</v>
          </cell>
          <cell r="F1181">
            <v>4</v>
          </cell>
          <cell r="G1181" t="str">
            <v>SplineDFA</v>
          </cell>
          <cell r="H1181" t="str">
            <v>Y</v>
          </cell>
          <cell r="I1181" t="str">
            <v>N</v>
          </cell>
          <cell r="J1181">
            <v>171</v>
          </cell>
          <cell r="K1181">
            <v>1.0001</v>
          </cell>
          <cell r="L1181">
            <v>0.63390000000000002</v>
          </cell>
          <cell r="M1181">
            <v>23.7</v>
          </cell>
          <cell r="N1181">
            <v>2.7</v>
          </cell>
          <cell r="O1181">
            <v>0.36620000000000003</v>
          </cell>
          <cell r="P1181">
            <v>0.2147</v>
          </cell>
          <cell r="Q1181">
            <v>8.1900000000000001E-2</v>
          </cell>
          <cell r="R1181">
            <v>6.9599999999999995E-2</v>
          </cell>
          <cell r="S1181" t="str">
            <v>NA</v>
          </cell>
          <cell r="T1181">
            <v>59.3</v>
          </cell>
          <cell r="U1181">
            <v>4.8</v>
          </cell>
          <cell r="V1181">
            <v>75.3</v>
          </cell>
          <cell r="W1181">
            <v>7.6</v>
          </cell>
          <cell r="X1181">
            <v>51.9</v>
          </cell>
          <cell r="Y1181">
            <v>6.7</v>
          </cell>
          <cell r="Z1181" t="str">
            <v>NA</v>
          </cell>
          <cell r="AA1181" t="str">
            <v>NA</v>
          </cell>
        </row>
        <row r="1182">
          <cell r="A1182">
            <v>45152</v>
          </cell>
          <cell r="B1182" t="str">
            <v>A1</v>
          </cell>
          <cell r="C1182">
            <v>2</v>
          </cell>
          <cell r="D1182">
            <v>3</v>
          </cell>
          <cell r="E1182" t="str">
            <v>ARIS.A1.Aim3.Bin2.LB</v>
          </cell>
          <cell r="F1182">
            <v>4</v>
          </cell>
          <cell r="G1182" t="str">
            <v>SplineDFA</v>
          </cell>
          <cell r="H1182" t="str">
            <v>Y</v>
          </cell>
          <cell r="I1182" t="str">
            <v>N</v>
          </cell>
          <cell r="J1182">
            <v>183</v>
          </cell>
          <cell r="K1182">
            <v>1</v>
          </cell>
          <cell r="L1182">
            <v>0.1487</v>
          </cell>
          <cell r="M1182">
            <v>23.7</v>
          </cell>
          <cell r="N1182">
            <v>2.7</v>
          </cell>
          <cell r="O1182">
            <v>0.85129999999999995</v>
          </cell>
          <cell r="P1182">
            <v>0.30270000000000002</v>
          </cell>
          <cell r="Q1182">
            <v>0.29670000000000002</v>
          </cell>
          <cell r="R1182">
            <v>0.25190000000000001</v>
          </cell>
          <cell r="S1182" t="str">
            <v>NA</v>
          </cell>
          <cell r="T1182">
            <v>59.3</v>
          </cell>
          <cell r="U1182">
            <v>4.8</v>
          </cell>
          <cell r="V1182">
            <v>75.3</v>
          </cell>
          <cell r="W1182">
            <v>7.6</v>
          </cell>
          <cell r="X1182">
            <v>51.9</v>
          </cell>
          <cell r="Y1182">
            <v>6.7</v>
          </cell>
          <cell r="Z1182" t="str">
            <v>NA</v>
          </cell>
          <cell r="AA1182" t="str">
            <v>NA</v>
          </cell>
        </row>
        <row r="1183">
          <cell r="A1183">
            <v>45152</v>
          </cell>
          <cell r="B1183" t="str">
            <v>A1</v>
          </cell>
          <cell r="C1183">
            <v>3</v>
          </cell>
          <cell r="D1183">
            <v>3</v>
          </cell>
          <cell r="E1183" t="str">
            <v>ARIS.A1.Aim3.Bin3.LB</v>
          </cell>
          <cell r="F1183">
            <v>4</v>
          </cell>
          <cell r="G1183" t="str">
            <v>SplineDFA</v>
          </cell>
          <cell r="H1183" t="str">
            <v>Y</v>
          </cell>
          <cell r="I1183" t="str">
            <v>N</v>
          </cell>
          <cell r="J1183">
            <v>158</v>
          </cell>
          <cell r="K1183">
            <v>1</v>
          </cell>
          <cell r="L1183">
            <v>1.8599999999999998E-2</v>
          </cell>
          <cell r="M1183">
            <v>23.7</v>
          </cell>
          <cell r="N1183">
            <v>2.7</v>
          </cell>
          <cell r="O1183">
            <v>0.98140000000000005</v>
          </cell>
          <cell r="P1183">
            <v>0.215</v>
          </cell>
          <cell r="Q1183">
            <v>0.60440000000000005</v>
          </cell>
          <cell r="R1183">
            <v>0.16200000000000001</v>
          </cell>
          <cell r="S1183" t="str">
            <v>NA</v>
          </cell>
          <cell r="T1183">
            <v>59.3</v>
          </cell>
          <cell r="U1183">
            <v>4.8</v>
          </cell>
          <cell r="V1183">
            <v>75.3</v>
          </cell>
          <cell r="W1183">
            <v>7.6</v>
          </cell>
          <cell r="X1183">
            <v>51.9</v>
          </cell>
          <cell r="Y1183">
            <v>6.7</v>
          </cell>
          <cell r="Z1183" t="str">
            <v>NA</v>
          </cell>
          <cell r="AA1183" t="str">
            <v>NA</v>
          </cell>
        </row>
        <row r="1184">
          <cell r="A1184">
            <v>45152</v>
          </cell>
          <cell r="B1184" t="str">
            <v>A1</v>
          </cell>
          <cell r="C1184">
            <v>4</v>
          </cell>
          <cell r="D1184">
            <v>3</v>
          </cell>
          <cell r="E1184" t="str">
            <v>ARIS.A1.Aim3.Bin4.LB</v>
          </cell>
          <cell r="F1184">
            <v>4</v>
          </cell>
          <cell r="G1184" t="str">
            <v>SplineDFA</v>
          </cell>
          <cell r="H1184" t="str">
            <v>Y</v>
          </cell>
          <cell r="I1184" t="str">
            <v>N</v>
          </cell>
          <cell r="J1184">
            <v>158</v>
          </cell>
          <cell r="K1184">
            <v>1</v>
          </cell>
          <cell r="L1184">
            <v>1.8599999999999998E-2</v>
          </cell>
          <cell r="M1184">
            <v>23.7</v>
          </cell>
          <cell r="N1184">
            <v>2.7</v>
          </cell>
          <cell r="O1184">
            <v>0.98140000000000005</v>
          </cell>
          <cell r="P1184">
            <v>0.215</v>
          </cell>
          <cell r="Q1184">
            <v>0.60440000000000005</v>
          </cell>
          <cell r="R1184">
            <v>0.16200000000000001</v>
          </cell>
          <cell r="S1184" t="str">
            <v>NA</v>
          </cell>
          <cell r="T1184">
            <v>59.3</v>
          </cell>
          <cell r="U1184">
            <v>4.8</v>
          </cell>
          <cell r="V1184">
            <v>75.3</v>
          </cell>
          <cell r="W1184">
            <v>7.6</v>
          </cell>
          <cell r="X1184">
            <v>51.9</v>
          </cell>
          <cell r="Y1184">
            <v>6.7</v>
          </cell>
          <cell r="Z1184" t="str">
            <v>NA</v>
          </cell>
          <cell r="AA1184" t="str">
            <v>NA</v>
          </cell>
        </row>
        <row r="1185">
          <cell r="A1185">
            <v>45152</v>
          </cell>
          <cell r="B1185" t="str">
            <v>A2</v>
          </cell>
          <cell r="C1185">
            <v>1</v>
          </cell>
          <cell r="D1185">
            <v>1</v>
          </cell>
          <cell r="E1185" t="str">
            <v>ARIS.A2.Aim1.Bin1.RB</v>
          </cell>
          <cell r="F1185">
            <v>4</v>
          </cell>
          <cell r="G1185" t="str">
            <v>SplineDFA</v>
          </cell>
          <cell r="H1185" t="str">
            <v>Y</v>
          </cell>
          <cell r="I1185" t="str">
            <v>N</v>
          </cell>
          <cell r="J1185">
            <v>171</v>
          </cell>
          <cell r="K1185">
            <v>1</v>
          </cell>
          <cell r="L1185">
            <v>0.77429999999999999</v>
          </cell>
          <cell r="M1185">
            <v>23.7</v>
          </cell>
          <cell r="N1185">
            <v>2.7</v>
          </cell>
          <cell r="O1185">
            <v>0.22570000000000001</v>
          </cell>
          <cell r="P1185">
            <v>4.8000000000000001E-2</v>
          </cell>
          <cell r="Q1185">
            <v>5.6399999999999999E-2</v>
          </cell>
          <cell r="R1185">
            <v>0.12130000000000001</v>
          </cell>
          <cell r="S1185" t="str">
            <v>NA</v>
          </cell>
          <cell r="T1185">
            <v>59.3</v>
          </cell>
          <cell r="U1185">
            <v>4.8</v>
          </cell>
          <cell r="V1185">
            <v>75.3</v>
          </cell>
          <cell r="W1185">
            <v>7.6</v>
          </cell>
          <cell r="X1185">
            <v>51.9</v>
          </cell>
          <cell r="Y1185">
            <v>6.7</v>
          </cell>
          <cell r="Z1185" t="str">
            <v>NA</v>
          </cell>
          <cell r="AA1185" t="str">
            <v>NA</v>
          </cell>
        </row>
        <row r="1186">
          <cell r="A1186">
            <v>45152</v>
          </cell>
          <cell r="B1186" t="str">
            <v>A2</v>
          </cell>
          <cell r="C1186">
            <v>2</v>
          </cell>
          <cell r="D1186">
            <v>1</v>
          </cell>
          <cell r="E1186" t="str">
            <v>ARIS.A2.Aim1.Bin2.RB</v>
          </cell>
          <cell r="F1186">
            <v>4</v>
          </cell>
          <cell r="G1186" t="str">
            <v>SplineDFA</v>
          </cell>
          <cell r="H1186" t="str">
            <v>Y</v>
          </cell>
          <cell r="I1186" t="str">
            <v>N</v>
          </cell>
          <cell r="J1186">
            <v>163</v>
          </cell>
          <cell r="K1186">
            <v>0.99990000000000001</v>
          </cell>
          <cell r="L1186">
            <v>0.2989</v>
          </cell>
          <cell r="M1186">
            <v>23.7</v>
          </cell>
          <cell r="N1186">
            <v>2.7</v>
          </cell>
          <cell r="O1186">
            <v>0.70099999999999996</v>
          </cell>
          <cell r="P1186">
            <v>0.1205</v>
          </cell>
          <cell r="Q1186">
            <v>0.27979999999999999</v>
          </cell>
          <cell r="R1186">
            <v>0.30070000000000002</v>
          </cell>
          <cell r="S1186" t="str">
            <v>NA</v>
          </cell>
          <cell r="T1186">
            <v>59.3</v>
          </cell>
          <cell r="U1186">
            <v>4.8</v>
          </cell>
          <cell r="V1186">
            <v>75.3</v>
          </cell>
          <cell r="W1186">
            <v>7.6</v>
          </cell>
          <cell r="X1186">
            <v>51.9</v>
          </cell>
          <cell r="Y1186">
            <v>6.7</v>
          </cell>
          <cell r="Z1186" t="str">
            <v>NA</v>
          </cell>
          <cell r="AA1186" t="str">
            <v>NA</v>
          </cell>
        </row>
        <row r="1187">
          <cell r="A1187">
            <v>45152</v>
          </cell>
          <cell r="B1187" t="str">
            <v>A2</v>
          </cell>
          <cell r="C1187">
            <v>3</v>
          </cell>
          <cell r="D1187">
            <v>1</v>
          </cell>
          <cell r="E1187" t="str">
            <v>ARIS.A2.Aim1.Bin3.RB</v>
          </cell>
          <cell r="F1187">
            <v>4</v>
          </cell>
          <cell r="G1187" t="str">
            <v>SplineDFA</v>
          </cell>
          <cell r="H1187" t="str">
            <v>Y</v>
          </cell>
          <cell r="I1187" t="str">
            <v>N</v>
          </cell>
          <cell r="J1187">
            <v>168</v>
          </cell>
          <cell r="K1187">
            <v>1</v>
          </cell>
          <cell r="L1187">
            <v>9.3399999999999997E-2</v>
          </cell>
          <cell r="M1187">
            <v>23.7</v>
          </cell>
          <cell r="N1187">
            <v>2.7</v>
          </cell>
          <cell r="O1187">
            <v>0.90659999999999996</v>
          </cell>
          <cell r="P1187">
            <v>0.14749999999999999</v>
          </cell>
          <cell r="Q1187">
            <v>0.46600000000000003</v>
          </cell>
          <cell r="R1187">
            <v>0.29310000000000003</v>
          </cell>
          <cell r="S1187" t="str">
            <v>NA</v>
          </cell>
          <cell r="T1187">
            <v>59.3</v>
          </cell>
          <cell r="U1187">
            <v>4.8</v>
          </cell>
          <cell r="V1187">
            <v>75.3</v>
          </cell>
          <cell r="W1187">
            <v>7.6</v>
          </cell>
          <cell r="X1187">
            <v>51.9</v>
          </cell>
          <cell r="Y1187">
            <v>6.7</v>
          </cell>
          <cell r="Z1187" t="str">
            <v>NA</v>
          </cell>
          <cell r="AA1187" t="str">
            <v>NA</v>
          </cell>
        </row>
        <row r="1188">
          <cell r="A1188">
            <v>45152</v>
          </cell>
          <cell r="B1188" t="str">
            <v>A2</v>
          </cell>
          <cell r="C1188">
            <v>4</v>
          </cell>
          <cell r="D1188">
            <v>1</v>
          </cell>
          <cell r="E1188" t="str">
            <v>ARIS.A2.Aim1.Bin4.RB</v>
          </cell>
          <cell r="F1188">
            <v>4</v>
          </cell>
          <cell r="G1188" t="str">
            <v>SplineDFA</v>
          </cell>
          <cell r="H1188" t="str">
            <v>Y</v>
          </cell>
          <cell r="I1188" t="str">
            <v>N</v>
          </cell>
          <cell r="J1188">
            <v>168</v>
          </cell>
          <cell r="K1188">
            <v>1</v>
          </cell>
          <cell r="L1188">
            <v>9.3399999999999997E-2</v>
          </cell>
          <cell r="M1188">
            <v>23.7</v>
          </cell>
          <cell r="N1188">
            <v>2.7</v>
          </cell>
          <cell r="O1188">
            <v>0.90659999999999996</v>
          </cell>
          <cell r="P1188">
            <v>0.14749999999999999</v>
          </cell>
          <cell r="Q1188">
            <v>0.46600000000000003</v>
          </cell>
          <cell r="R1188">
            <v>0.29310000000000003</v>
          </cell>
          <cell r="S1188" t="str">
            <v>NA</v>
          </cell>
          <cell r="T1188">
            <v>59.3</v>
          </cell>
          <cell r="U1188">
            <v>4.8</v>
          </cell>
          <cell r="V1188">
            <v>75.3</v>
          </cell>
          <cell r="W1188">
            <v>7.6</v>
          </cell>
          <cell r="X1188">
            <v>51.9</v>
          </cell>
          <cell r="Y1188">
            <v>6.7</v>
          </cell>
          <cell r="Z1188" t="str">
            <v>NA</v>
          </cell>
          <cell r="AA1188" t="str">
            <v>NA</v>
          </cell>
        </row>
        <row r="1189">
          <cell r="A1189">
            <v>45152</v>
          </cell>
          <cell r="B1189" t="str">
            <v>A1</v>
          </cell>
          <cell r="C1189">
            <v>1</v>
          </cell>
          <cell r="D1189">
            <v>1</v>
          </cell>
          <cell r="E1189" t="str">
            <v>ARIS.A1.Aim1.Bin1.LB</v>
          </cell>
          <cell r="F1189">
            <v>3</v>
          </cell>
          <cell r="G1189" t="str">
            <v>SplineDFA</v>
          </cell>
          <cell r="H1189" t="str">
            <v>N</v>
          </cell>
          <cell r="I1189" t="str">
            <v>N</v>
          </cell>
          <cell r="J1189">
            <v>164</v>
          </cell>
          <cell r="K1189">
            <v>1</v>
          </cell>
          <cell r="L1189">
            <v>0.61219999999999997</v>
          </cell>
          <cell r="M1189">
            <v>23.7</v>
          </cell>
          <cell r="N1189">
            <v>2.7</v>
          </cell>
          <cell r="O1189">
            <v>0.38779999999999998</v>
          </cell>
          <cell r="P1189">
            <v>0.36009999999999998</v>
          </cell>
          <cell r="Q1189">
            <v>2.7699999999999999E-2</v>
          </cell>
          <cell r="R1189" t="str">
            <v>NA</v>
          </cell>
          <cell r="S1189" t="str">
            <v>NA</v>
          </cell>
          <cell r="T1189">
            <v>59.3</v>
          </cell>
          <cell r="U1189">
            <v>4.8</v>
          </cell>
          <cell r="V1189">
            <v>75.3</v>
          </cell>
          <cell r="W1189">
            <v>7.6</v>
          </cell>
          <cell r="X1189" t="str">
            <v>NA</v>
          </cell>
          <cell r="Y1189" t="str">
            <v>NA</v>
          </cell>
          <cell r="Z1189" t="str">
            <v>NA</v>
          </cell>
          <cell r="AA1189" t="str">
            <v>NA</v>
          </cell>
        </row>
        <row r="1190">
          <cell r="A1190">
            <v>45152</v>
          </cell>
          <cell r="B1190" t="str">
            <v>A1</v>
          </cell>
          <cell r="C1190">
            <v>1</v>
          </cell>
          <cell r="D1190">
            <v>2</v>
          </cell>
          <cell r="E1190" t="str">
            <v>ARIS.A1.Aim2.Bin1.LB</v>
          </cell>
          <cell r="F1190">
            <v>3</v>
          </cell>
          <cell r="G1190" t="str">
            <v>SplineDFA</v>
          </cell>
          <cell r="H1190" t="str">
            <v>N</v>
          </cell>
          <cell r="I1190" t="str">
            <v>N</v>
          </cell>
          <cell r="J1190">
            <v>171</v>
          </cell>
          <cell r="K1190">
            <v>1</v>
          </cell>
          <cell r="L1190">
            <v>0.64290000000000003</v>
          </cell>
          <cell r="M1190">
            <v>23.7</v>
          </cell>
          <cell r="N1190">
            <v>2.7</v>
          </cell>
          <cell r="O1190">
            <v>0.35709999999999997</v>
          </cell>
          <cell r="P1190">
            <v>0.2752</v>
          </cell>
          <cell r="Q1190">
            <v>8.1900000000000001E-2</v>
          </cell>
          <cell r="R1190" t="str">
            <v>NA</v>
          </cell>
          <cell r="S1190" t="str">
            <v>NA</v>
          </cell>
          <cell r="T1190">
            <v>59.3</v>
          </cell>
          <cell r="U1190">
            <v>4.8</v>
          </cell>
          <cell r="V1190">
            <v>75.3</v>
          </cell>
          <cell r="W1190">
            <v>7.6</v>
          </cell>
          <cell r="X1190" t="str">
            <v>NA</v>
          </cell>
          <cell r="Y1190" t="str">
            <v>NA</v>
          </cell>
          <cell r="Z1190" t="str">
            <v>NA</v>
          </cell>
          <cell r="AA1190" t="str">
            <v>NA</v>
          </cell>
        </row>
        <row r="1191">
          <cell r="A1191">
            <v>45152</v>
          </cell>
          <cell r="B1191" t="str">
            <v>A1</v>
          </cell>
          <cell r="C1191">
            <v>2</v>
          </cell>
          <cell r="D1191">
            <v>3</v>
          </cell>
          <cell r="E1191" t="str">
            <v>ARIS.A1.Aim3.Bin2.LB</v>
          </cell>
          <cell r="F1191">
            <v>3</v>
          </cell>
          <cell r="G1191" t="str">
            <v>SplineDFA</v>
          </cell>
          <cell r="H1191" t="str">
            <v>N</v>
          </cell>
          <cell r="I1191" t="str">
            <v>N</v>
          </cell>
          <cell r="J1191">
            <v>183</v>
          </cell>
          <cell r="K1191">
            <v>1</v>
          </cell>
          <cell r="L1191">
            <v>0.17519999999999999</v>
          </cell>
          <cell r="M1191">
            <v>23.7</v>
          </cell>
          <cell r="N1191">
            <v>2.7</v>
          </cell>
          <cell r="O1191">
            <v>0.82479999999999998</v>
          </cell>
          <cell r="P1191">
            <v>0.52810000000000001</v>
          </cell>
          <cell r="Q1191">
            <v>0.29670000000000002</v>
          </cell>
          <cell r="R1191" t="str">
            <v>NA</v>
          </cell>
          <cell r="S1191" t="str">
            <v>NA</v>
          </cell>
          <cell r="T1191">
            <v>59.3</v>
          </cell>
          <cell r="U1191">
            <v>4.8</v>
          </cell>
          <cell r="V1191">
            <v>75.3</v>
          </cell>
          <cell r="W1191">
            <v>7.6</v>
          </cell>
          <cell r="X1191" t="str">
            <v>NA</v>
          </cell>
          <cell r="Y1191" t="str">
            <v>NA</v>
          </cell>
          <cell r="Z1191" t="str">
            <v>NA</v>
          </cell>
          <cell r="AA1191" t="str">
            <v>NA</v>
          </cell>
        </row>
        <row r="1192">
          <cell r="A1192">
            <v>45152</v>
          </cell>
          <cell r="B1192" t="str">
            <v>A1</v>
          </cell>
          <cell r="C1192">
            <v>3</v>
          </cell>
          <cell r="D1192">
            <v>3</v>
          </cell>
          <cell r="E1192" t="str">
            <v>ARIS.A1.Aim3.Bin3.LB</v>
          </cell>
          <cell r="F1192">
            <v>3</v>
          </cell>
          <cell r="G1192" t="str">
            <v>SplineDFA</v>
          </cell>
          <cell r="H1192" t="str">
            <v>N</v>
          </cell>
          <cell r="I1192" t="str">
            <v>N</v>
          </cell>
          <cell r="J1192">
            <v>158</v>
          </cell>
          <cell r="K1192">
            <v>0.99990000000000001</v>
          </cell>
          <cell r="L1192">
            <v>3.44E-2</v>
          </cell>
          <cell r="M1192">
            <v>23.7</v>
          </cell>
          <cell r="N1192">
            <v>2.7</v>
          </cell>
          <cell r="O1192">
            <v>0.96550000000000002</v>
          </cell>
          <cell r="P1192">
            <v>0.36030000000000001</v>
          </cell>
          <cell r="Q1192">
            <v>0.60519999999999996</v>
          </cell>
          <cell r="R1192" t="str">
            <v>NA</v>
          </cell>
          <cell r="S1192" t="str">
            <v>NA</v>
          </cell>
          <cell r="T1192">
            <v>59.3</v>
          </cell>
          <cell r="U1192">
            <v>4.8</v>
          </cell>
          <cell r="V1192">
            <v>75.3</v>
          </cell>
          <cell r="W1192">
            <v>7.6</v>
          </cell>
          <cell r="X1192" t="str">
            <v>NA</v>
          </cell>
          <cell r="Y1192" t="str">
            <v>NA</v>
          </cell>
          <cell r="Z1192" t="str">
            <v>NA</v>
          </cell>
          <cell r="AA1192" t="str">
            <v>NA</v>
          </cell>
        </row>
        <row r="1193">
          <cell r="A1193">
            <v>45152</v>
          </cell>
          <cell r="B1193" t="str">
            <v>A1</v>
          </cell>
          <cell r="C1193">
            <v>4</v>
          </cell>
          <cell r="D1193">
            <v>3</v>
          </cell>
          <cell r="E1193" t="str">
            <v>ARIS.A1.Aim3.Bin4.LB</v>
          </cell>
          <cell r="F1193">
            <v>3</v>
          </cell>
          <cell r="G1193" t="str">
            <v>SplineDFA</v>
          </cell>
          <cell r="H1193" t="str">
            <v>N</v>
          </cell>
          <cell r="I1193" t="str">
            <v>N</v>
          </cell>
          <cell r="J1193">
            <v>158</v>
          </cell>
          <cell r="K1193">
            <v>0.99990000000000001</v>
          </cell>
          <cell r="L1193">
            <v>3.44E-2</v>
          </cell>
          <cell r="M1193">
            <v>23.7</v>
          </cell>
          <cell r="N1193">
            <v>2.7</v>
          </cell>
          <cell r="O1193">
            <v>0.96550000000000002</v>
          </cell>
          <cell r="P1193">
            <v>0.36030000000000001</v>
          </cell>
          <cell r="Q1193">
            <v>0.60519999999999996</v>
          </cell>
          <cell r="R1193" t="str">
            <v>NA</v>
          </cell>
          <cell r="S1193" t="str">
            <v>NA</v>
          </cell>
          <cell r="T1193">
            <v>59.3</v>
          </cell>
          <cell r="U1193">
            <v>4.8</v>
          </cell>
          <cell r="V1193">
            <v>75.3</v>
          </cell>
          <cell r="W1193">
            <v>7.6</v>
          </cell>
          <cell r="X1193" t="str">
            <v>NA</v>
          </cell>
          <cell r="Y1193" t="str">
            <v>NA</v>
          </cell>
          <cell r="Z1193" t="str">
            <v>NA</v>
          </cell>
          <cell r="AA1193" t="str">
            <v>NA</v>
          </cell>
        </row>
        <row r="1194">
          <cell r="A1194">
            <v>45152</v>
          </cell>
          <cell r="B1194" t="str">
            <v>A2</v>
          </cell>
          <cell r="C1194">
            <v>1</v>
          </cell>
          <cell r="D1194">
            <v>1</v>
          </cell>
          <cell r="E1194" t="str">
            <v>ARIS.A2.Aim1.Bin1.RB</v>
          </cell>
          <cell r="F1194">
            <v>3</v>
          </cell>
          <cell r="G1194" t="str">
            <v>SplineDFA</v>
          </cell>
          <cell r="H1194" t="str">
            <v>N</v>
          </cell>
          <cell r="I1194" t="str">
            <v>N</v>
          </cell>
          <cell r="J1194">
            <v>171</v>
          </cell>
          <cell r="K1194">
            <v>1</v>
          </cell>
          <cell r="L1194">
            <v>0.84260000000000002</v>
          </cell>
          <cell r="M1194">
            <v>23.7</v>
          </cell>
          <cell r="N1194">
            <v>2.7</v>
          </cell>
          <cell r="O1194">
            <v>0.15740000000000001</v>
          </cell>
          <cell r="P1194">
            <v>0.10100000000000001</v>
          </cell>
          <cell r="Q1194">
            <v>5.6399999999999999E-2</v>
          </cell>
          <cell r="R1194" t="str">
            <v>NA</v>
          </cell>
          <cell r="S1194" t="str">
            <v>NA</v>
          </cell>
          <cell r="T1194">
            <v>59.3</v>
          </cell>
          <cell r="U1194">
            <v>4.8</v>
          </cell>
          <cell r="V1194">
            <v>75.3</v>
          </cell>
          <cell r="W1194">
            <v>7.6</v>
          </cell>
          <cell r="X1194" t="str">
            <v>NA</v>
          </cell>
          <cell r="Y1194" t="str">
            <v>NA</v>
          </cell>
          <cell r="Z1194" t="str">
            <v>NA</v>
          </cell>
          <cell r="AA1194" t="str">
            <v>NA</v>
          </cell>
        </row>
        <row r="1195">
          <cell r="A1195">
            <v>45152</v>
          </cell>
          <cell r="B1195" t="str">
            <v>A2</v>
          </cell>
          <cell r="C1195">
            <v>2</v>
          </cell>
          <cell r="D1195">
            <v>1</v>
          </cell>
          <cell r="E1195" t="str">
            <v>ARIS.A2.Aim1.Bin2.RB</v>
          </cell>
          <cell r="F1195">
            <v>3</v>
          </cell>
          <cell r="G1195" t="str">
            <v>SplineDFA</v>
          </cell>
          <cell r="H1195" t="str">
            <v>N</v>
          </cell>
          <cell r="I1195" t="str">
            <v>N</v>
          </cell>
          <cell r="J1195">
            <v>163</v>
          </cell>
          <cell r="K1195">
            <v>1</v>
          </cell>
          <cell r="L1195">
            <v>0.40410000000000001</v>
          </cell>
          <cell r="M1195">
            <v>23.7</v>
          </cell>
          <cell r="N1195">
            <v>2.7</v>
          </cell>
          <cell r="O1195">
            <v>0.59589999999999999</v>
          </cell>
          <cell r="P1195">
            <v>0.31609999999999999</v>
          </cell>
          <cell r="Q1195">
            <v>0.27979999999999999</v>
          </cell>
          <cell r="R1195" t="str">
            <v>NA</v>
          </cell>
          <cell r="S1195" t="str">
            <v>NA</v>
          </cell>
          <cell r="T1195">
            <v>59.3</v>
          </cell>
          <cell r="U1195">
            <v>4.8</v>
          </cell>
          <cell r="V1195">
            <v>75.3</v>
          </cell>
          <cell r="W1195">
            <v>7.6</v>
          </cell>
          <cell r="X1195" t="str">
            <v>NA</v>
          </cell>
          <cell r="Y1195" t="str">
            <v>NA</v>
          </cell>
          <cell r="Z1195" t="str">
            <v>NA</v>
          </cell>
          <cell r="AA1195" t="str">
            <v>NA</v>
          </cell>
        </row>
        <row r="1196">
          <cell r="A1196">
            <v>45152</v>
          </cell>
          <cell r="B1196" t="str">
            <v>A2</v>
          </cell>
          <cell r="C1196">
            <v>3</v>
          </cell>
          <cell r="D1196">
            <v>1</v>
          </cell>
          <cell r="E1196" t="str">
            <v>ARIS.A2.Aim1.Bin3.RB</v>
          </cell>
          <cell r="F1196">
            <v>3</v>
          </cell>
          <cell r="G1196" t="str">
            <v>SplineDFA</v>
          </cell>
          <cell r="H1196" t="str">
            <v>N</v>
          </cell>
          <cell r="I1196" t="str">
            <v>N</v>
          </cell>
          <cell r="J1196">
            <v>168</v>
          </cell>
          <cell r="K1196">
            <v>1</v>
          </cell>
          <cell r="L1196">
            <v>0.16109999999999999</v>
          </cell>
          <cell r="M1196">
            <v>23.7</v>
          </cell>
          <cell r="N1196">
            <v>2.7</v>
          </cell>
          <cell r="O1196">
            <v>0.83889999999999998</v>
          </cell>
          <cell r="P1196">
            <v>0.37290000000000001</v>
          </cell>
          <cell r="Q1196">
            <v>0.46600000000000003</v>
          </cell>
          <cell r="R1196" t="str">
            <v>NA</v>
          </cell>
          <cell r="S1196" t="str">
            <v>NA</v>
          </cell>
          <cell r="T1196">
            <v>59.3</v>
          </cell>
          <cell r="U1196">
            <v>4.8</v>
          </cell>
          <cell r="V1196">
            <v>75.3</v>
          </cell>
          <cell r="W1196">
            <v>7.6</v>
          </cell>
          <cell r="X1196" t="str">
            <v>NA</v>
          </cell>
          <cell r="Y1196" t="str">
            <v>NA</v>
          </cell>
          <cell r="Z1196" t="str">
            <v>NA</v>
          </cell>
          <cell r="AA1196" t="str">
            <v>NA</v>
          </cell>
        </row>
        <row r="1197">
          <cell r="A1197">
            <v>45152</v>
          </cell>
          <cell r="B1197" t="str">
            <v>A2</v>
          </cell>
          <cell r="C1197">
            <v>4</v>
          </cell>
          <cell r="D1197">
            <v>1</v>
          </cell>
          <cell r="E1197" t="str">
            <v>ARIS.A2.Aim1.Bin4.RB</v>
          </cell>
          <cell r="F1197">
            <v>3</v>
          </cell>
          <cell r="G1197" t="str">
            <v>SplineDFA</v>
          </cell>
          <cell r="H1197" t="str">
            <v>N</v>
          </cell>
          <cell r="I1197" t="str">
            <v>N</v>
          </cell>
          <cell r="J1197">
            <v>168</v>
          </cell>
          <cell r="K1197">
            <v>1</v>
          </cell>
          <cell r="L1197">
            <v>0.16109999999999999</v>
          </cell>
          <cell r="M1197">
            <v>23.7</v>
          </cell>
          <cell r="N1197">
            <v>2.7</v>
          </cell>
          <cell r="O1197">
            <v>0.83889999999999998</v>
          </cell>
          <cell r="P1197">
            <v>0.37290000000000001</v>
          </cell>
          <cell r="Q1197">
            <v>0.46600000000000003</v>
          </cell>
          <cell r="R1197" t="str">
            <v>NA</v>
          </cell>
          <cell r="S1197" t="str">
            <v>NA</v>
          </cell>
          <cell r="T1197">
            <v>59.3</v>
          </cell>
          <cell r="U1197">
            <v>4.8</v>
          </cell>
          <cell r="V1197">
            <v>75.3</v>
          </cell>
          <cell r="W1197">
            <v>7.6</v>
          </cell>
          <cell r="X1197" t="str">
            <v>NA</v>
          </cell>
          <cell r="Y1197" t="str">
            <v>NA</v>
          </cell>
          <cell r="Z1197" t="str">
            <v>NA</v>
          </cell>
          <cell r="AA1197" t="str">
            <v>NA</v>
          </cell>
        </row>
        <row r="1198">
          <cell r="A1198">
            <v>45153</v>
          </cell>
          <cell r="B1198" t="str">
            <v>A1</v>
          </cell>
          <cell r="C1198">
            <v>1</v>
          </cell>
          <cell r="D1198">
            <v>1</v>
          </cell>
          <cell r="E1198" t="str">
            <v>ARIS.A1.Aim1.Bin1.LB</v>
          </cell>
          <cell r="F1198">
            <v>4</v>
          </cell>
          <cell r="G1198" t="str">
            <v>Unweighted</v>
          </cell>
          <cell r="H1198" t="str">
            <v>N</v>
          </cell>
          <cell r="I1198" t="str">
            <v>Y</v>
          </cell>
          <cell r="J1198">
            <v>165</v>
          </cell>
          <cell r="K1198">
            <v>1.0001</v>
          </cell>
          <cell r="L1198">
            <v>0.68899999999999995</v>
          </cell>
          <cell r="M1198">
            <v>22.2</v>
          </cell>
          <cell r="N1198">
            <v>9.6999999999999993</v>
          </cell>
          <cell r="O1198">
            <v>0.31109999999999999</v>
          </cell>
          <cell r="P1198">
            <v>0.16689999999999999</v>
          </cell>
          <cell r="Q1198">
            <v>5.9799999999999999E-2</v>
          </cell>
          <cell r="R1198">
            <v>8.4400000000000003E-2</v>
          </cell>
          <cell r="S1198" t="str">
            <v>NA</v>
          </cell>
          <cell r="T1198">
            <v>59</v>
          </cell>
          <cell r="U1198">
            <v>4.8</v>
          </cell>
          <cell r="V1198">
            <v>75.400000000000006</v>
          </cell>
          <cell r="W1198">
            <v>7.6</v>
          </cell>
          <cell r="X1198">
            <v>51.8</v>
          </cell>
          <cell r="Y1198">
            <v>6.7</v>
          </cell>
          <cell r="Z1198" t="str">
            <v>NA</v>
          </cell>
          <cell r="AA1198" t="str">
            <v>NA</v>
          </cell>
        </row>
        <row r="1199">
          <cell r="A1199">
            <v>45153</v>
          </cell>
          <cell r="B1199" t="str">
            <v>A1</v>
          </cell>
          <cell r="C1199">
            <v>1</v>
          </cell>
          <cell r="D1199">
            <v>2</v>
          </cell>
          <cell r="E1199" t="str">
            <v>ARIS.A1.Aim2.Bin1.LB</v>
          </cell>
          <cell r="F1199">
            <v>4</v>
          </cell>
          <cell r="G1199" t="str">
            <v>Unweighted</v>
          </cell>
          <cell r="H1199" t="str">
            <v>N</v>
          </cell>
          <cell r="I1199" t="str">
            <v>Y</v>
          </cell>
          <cell r="J1199">
            <v>170</v>
          </cell>
          <cell r="K1199">
            <v>0.99990000000000001</v>
          </cell>
          <cell r="L1199">
            <v>0.60340000000000005</v>
          </cell>
          <cell r="M1199">
            <v>22.9</v>
          </cell>
          <cell r="N1199">
            <v>10.199999999999999</v>
          </cell>
          <cell r="O1199">
            <v>0.39650000000000002</v>
          </cell>
          <cell r="P1199">
            <v>0.36099999999999999</v>
          </cell>
          <cell r="Q1199">
            <v>3.5499999999999997E-2</v>
          </cell>
          <cell r="R1199">
            <v>0</v>
          </cell>
          <cell r="S1199" t="str">
            <v>NA</v>
          </cell>
          <cell r="T1199">
            <v>59</v>
          </cell>
          <cell r="U1199">
            <v>4.8</v>
          </cell>
          <cell r="V1199">
            <v>75.400000000000006</v>
          </cell>
          <cell r="W1199">
            <v>7.6</v>
          </cell>
          <cell r="X1199">
            <v>51.8</v>
          </cell>
          <cell r="Y1199">
            <v>6.7</v>
          </cell>
          <cell r="Z1199" t="str">
            <v>NA</v>
          </cell>
          <cell r="AA1199" t="str">
            <v>NA</v>
          </cell>
        </row>
        <row r="1200">
          <cell r="A1200">
            <v>45153</v>
          </cell>
          <cell r="B1200" t="str">
            <v>A1</v>
          </cell>
          <cell r="C1200">
            <v>1</v>
          </cell>
          <cell r="D1200" t="str">
            <v>1&amp;2</v>
          </cell>
          <cell r="E1200" t="str">
            <v>ARIS.A1.Aim1&amp;Aim2.Bin1.LB</v>
          </cell>
          <cell r="F1200">
            <v>4</v>
          </cell>
          <cell r="G1200" t="str">
            <v>Unweighted</v>
          </cell>
          <cell r="H1200" t="str">
            <v>N</v>
          </cell>
          <cell r="I1200" t="str">
            <v>Y</v>
          </cell>
          <cell r="J1200">
            <v>335</v>
          </cell>
          <cell r="K1200">
            <v>1</v>
          </cell>
          <cell r="L1200">
            <v>0.64249999999999996</v>
          </cell>
          <cell r="M1200">
            <v>22.9</v>
          </cell>
          <cell r="N1200">
            <v>10</v>
          </cell>
          <cell r="O1200">
            <v>0.35749999999999998</v>
          </cell>
          <cell r="P1200">
            <v>0.26619999999999999</v>
          </cell>
          <cell r="Q1200">
            <v>5.28E-2</v>
          </cell>
          <cell r="R1200">
            <v>3.85E-2</v>
          </cell>
          <cell r="S1200" t="str">
            <v>NA</v>
          </cell>
          <cell r="T1200">
            <v>59</v>
          </cell>
          <cell r="U1200">
            <v>4.8</v>
          </cell>
          <cell r="V1200">
            <v>75.400000000000006</v>
          </cell>
          <cell r="W1200">
            <v>7.6</v>
          </cell>
          <cell r="X1200">
            <v>51.8</v>
          </cell>
          <cell r="Y1200">
            <v>6.7</v>
          </cell>
          <cell r="Z1200" t="str">
            <v>NA</v>
          </cell>
          <cell r="AA1200" t="str">
            <v>NA</v>
          </cell>
        </row>
        <row r="1201">
          <cell r="A1201">
            <v>45153</v>
          </cell>
          <cell r="B1201" t="str">
            <v>A1</v>
          </cell>
          <cell r="C1201">
            <v>2</v>
          </cell>
          <cell r="D1201">
            <v>3</v>
          </cell>
          <cell r="E1201" t="str">
            <v>ARIS.A1.Aim3.Bin2.LB</v>
          </cell>
          <cell r="F1201">
            <v>4</v>
          </cell>
          <cell r="G1201" t="str">
            <v>Unweighted</v>
          </cell>
          <cell r="H1201" t="str">
            <v>N</v>
          </cell>
          <cell r="I1201" t="str">
            <v>Y</v>
          </cell>
          <cell r="J1201">
            <v>191</v>
          </cell>
          <cell r="K1201">
            <v>0.99990000000000001</v>
          </cell>
          <cell r="L1201">
            <v>0.29360000000000003</v>
          </cell>
          <cell r="M1201">
            <v>23.7</v>
          </cell>
          <cell r="N1201">
            <v>7.9</v>
          </cell>
          <cell r="O1201">
            <v>0.70630000000000004</v>
          </cell>
          <cell r="P1201">
            <v>0.24610000000000001</v>
          </cell>
          <cell r="Q1201">
            <v>0.22939999999999999</v>
          </cell>
          <cell r="R1201">
            <v>0.23080000000000001</v>
          </cell>
          <cell r="S1201" t="str">
            <v>NA</v>
          </cell>
          <cell r="T1201">
            <v>59</v>
          </cell>
          <cell r="U1201">
            <v>4.8</v>
          </cell>
          <cell r="V1201">
            <v>75.400000000000006</v>
          </cell>
          <cell r="W1201">
            <v>7.6</v>
          </cell>
          <cell r="X1201">
            <v>51.8</v>
          </cell>
          <cell r="Y1201">
            <v>6.7</v>
          </cell>
          <cell r="Z1201" t="str">
            <v>NA</v>
          </cell>
          <cell r="AA1201" t="str">
            <v>NA</v>
          </cell>
        </row>
        <row r="1202">
          <cell r="A1202">
            <v>45153</v>
          </cell>
          <cell r="B1202" t="str">
            <v>A1</v>
          </cell>
          <cell r="C1202">
            <v>3</v>
          </cell>
          <cell r="D1202">
            <v>3</v>
          </cell>
          <cell r="E1202" t="str">
            <v>ARIS.A1.Aim3.Bin3.LB</v>
          </cell>
          <cell r="F1202">
            <v>4</v>
          </cell>
          <cell r="G1202" t="str">
            <v>Unweighted</v>
          </cell>
          <cell r="H1202" t="str">
            <v>N</v>
          </cell>
          <cell r="I1202" t="str">
            <v>Y</v>
          </cell>
          <cell r="J1202">
            <v>156</v>
          </cell>
          <cell r="K1202">
            <v>1</v>
          </cell>
          <cell r="L1202">
            <v>0.14030000000000001</v>
          </cell>
          <cell r="M1202">
            <v>23.7</v>
          </cell>
          <cell r="N1202">
            <v>16.2</v>
          </cell>
          <cell r="O1202">
            <v>0.85970000000000002</v>
          </cell>
          <cell r="P1202">
            <v>5.6300000000000003E-2</v>
          </cell>
          <cell r="Q1202">
            <v>0.53949999999999998</v>
          </cell>
          <cell r="R1202">
            <v>0.26390000000000002</v>
          </cell>
          <cell r="S1202" t="str">
            <v>NA</v>
          </cell>
          <cell r="T1202">
            <v>59</v>
          </cell>
          <cell r="U1202">
            <v>4.8</v>
          </cell>
          <cell r="V1202">
            <v>75.400000000000006</v>
          </cell>
          <cell r="W1202">
            <v>7.6</v>
          </cell>
          <cell r="X1202">
            <v>51.8</v>
          </cell>
          <cell r="Y1202">
            <v>6.7</v>
          </cell>
          <cell r="Z1202" t="str">
            <v>NA</v>
          </cell>
          <cell r="AA1202" t="str">
            <v>NA</v>
          </cell>
        </row>
        <row r="1203">
          <cell r="A1203">
            <v>45153</v>
          </cell>
          <cell r="B1203" t="str">
            <v>A1</v>
          </cell>
          <cell r="C1203">
            <v>4</v>
          </cell>
          <cell r="D1203">
            <v>3</v>
          </cell>
          <cell r="E1203" t="str">
            <v>ARIS.A1.Aim3.Bin4.LB</v>
          </cell>
          <cell r="F1203">
            <v>4</v>
          </cell>
          <cell r="G1203" t="str">
            <v>Unweighted</v>
          </cell>
          <cell r="H1203" t="str">
            <v>N</v>
          </cell>
          <cell r="I1203" t="str">
            <v>Y</v>
          </cell>
          <cell r="J1203">
            <v>156</v>
          </cell>
          <cell r="K1203">
            <v>1</v>
          </cell>
          <cell r="L1203">
            <v>0.14030000000000001</v>
          </cell>
          <cell r="M1203">
            <v>23.7</v>
          </cell>
          <cell r="N1203">
            <v>16.2</v>
          </cell>
          <cell r="O1203">
            <v>0.85970000000000002</v>
          </cell>
          <cell r="P1203">
            <v>5.6300000000000003E-2</v>
          </cell>
          <cell r="Q1203">
            <v>0.53949999999999998</v>
          </cell>
          <cell r="R1203">
            <v>0.26390000000000002</v>
          </cell>
          <cell r="S1203" t="str">
            <v>NA</v>
          </cell>
          <cell r="T1203">
            <v>59</v>
          </cell>
          <cell r="U1203">
            <v>4.8</v>
          </cell>
          <cell r="V1203">
            <v>75.400000000000006</v>
          </cell>
          <cell r="W1203">
            <v>7.6</v>
          </cell>
          <cell r="X1203">
            <v>51.8</v>
          </cell>
          <cell r="Y1203">
            <v>6.7</v>
          </cell>
          <cell r="Z1203" t="str">
            <v>NA</v>
          </cell>
          <cell r="AA1203" t="str">
            <v>NA</v>
          </cell>
        </row>
        <row r="1204">
          <cell r="A1204">
            <v>45153</v>
          </cell>
          <cell r="B1204" t="str">
            <v>A2</v>
          </cell>
          <cell r="C1204">
            <v>1</v>
          </cell>
          <cell r="D1204">
            <v>1</v>
          </cell>
          <cell r="E1204" t="str">
            <v>ARIS.A2.Aim1.Bin1.RB</v>
          </cell>
          <cell r="F1204">
            <v>4</v>
          </cell>
          <cell r="G1204" t="str">
            <v>Unweighted</v>
          </cell>
          <cell r="H1204" t="str">
            <v>N</v>
          </cell>
          <cell r="I1204" t="str">
            <v>Y</v>
          </cell>
          <cell r="J1204">
            <v>143</v>
          </cell>
          <cell r="K1204">
            <v>1.0001</v>
          </cell>
          <cell r="L1204">
            <v>0.79600000000000004</v>
          </cell>
          <cell r="M1204">
            <v>25.8</v>
          </cell>
          <cell r="N1204">
            <v>8.1999999999999993</v>
          </cell>
          <cell r="O1204">
            <v>0.2041</v>
          </cell>
          <cell r="P1204">
            <v>9.2100000000000001E-2</v>
          </cell>
          <cell r="Q1204">
            <v>5.8299999999999998E-2</v>
          </cell>
          <cell r="R1204">
            <v>5.3699999999999998E-2</v>
          </cell>
          <cell r="S1204" t="str">
            <v>NA</v>
          </cell>
          <cell r="T1204">
            <v>59</v>
          </cell>
          <cell r="U1204">
            <v>4.8</v>
          </cell>
          <cell r="V1204">
            <v>75.400000000000006</v>
          </cell>
          <cell r="W1204">
            <v>7.6</v>
          </cell>
          <cell r="X1204">
            <v>51.8</v>
          </cell>
          <cell r="Y1204">
            <v>6.7</v>
          </cell>
          <cell r="Z1204" t="str">
            <v>NA</v>
          </cell>
          <cell r="AA1204" t="str">
            <v>NA</v>
          </cell>
        </row>
        <row r="1205">
          <cell r="A1205">
            <v>45153</v>
          </cell>
          <cell r="B1205" t="str">
            <v>A2</v>
          </cell>
          <cell r="C1205">
            <v>2</v>
          </cell>
          <cell r="D1205">
            <v>1</v>
          </cell>
          <cell r="E1205" t="str">
            <v>ARIS.A2.Aim1.Bin2.RB</v>
          </cell>
          <cell r="F1205">
            <v>4</v>
          </cell>
          <cell r="G1205" t="str">
            <v>Unweighted</v>
          </cell>
          <cell r="H1205" t="str">
            <v>N</v>
          </cell>
          <cell r="I1205" t="str">
            <v>Y</v>
          </cell>
          <cell r="J1205">
            <v>152</v>
          </cell>
          <cell r="K1205">
            <v>1</v>
          </cell>
          <cell r="L1205">
            <v>0.60389999999999999</v>
          </cell>
          <cell r="M1205">
            <v>28.5</v>
          </cell>
          <cell r="N1205">
            <v>7.9</v>
          </cell>
          <cell r="O1205">
            <v>0.39610000000000001</v>
          </cell>
          <cell r="P1205">
            <v>0.184</v>
          </cell>
          <cell r="Q1205">
            <v>0.1618</v>
          </cell>
          <cell r="R1205">
            <v>5.0299999999999997E-2</v>
          </cell>
          <cell r="S1205" t="str">
            <v>NA</v>
          </cell>
          <cell r="T1205">
            <v>59</v>
          </cell>
          <cell r="U1205">
            <v>4.8</v>
          </cell>
          <cell r="V1205">
            <v>75.400000000000006</v>
          </cell>
          <cell r="W1205">
            <v>7.6</v>
          </cell>
          <cell r="X1205">
            <v>51.8</v>
          </cell>
          <cell r="Y1205">
            <v>6.7</v>
          </cell>
          <cell r="Z1205" t="str">
            <v>NA</v>
          </cell>
          <cell r="AA1205" t="str">
            <v>NA</v>
          </cell>
        </row>
        <row r="1206">
          <cell r="A1206">
            <v>45153</v>
          </cell>
          <cell r="B1206" t="str">
            <v>A2</v>
          </cell>
          <cell r="C1206">
            <v>3</v>
          </cell>
          <cell r="D1206">
            <v>1</v>
          </cell>
          <cell r="E1206" t="str">
            <v>ARIS.A2.Aim1.Bin3.RB</v>
          </cell>
          <cell r="F1206">
            <v>4</v>
          </cell>
          <cell r="G1206" t="str">
            <v>Unweighted</v>
          </cell>
          <cell r="H1206" t="str">
            <v>N</v>
          </cell>
          <cell r="I1206" t="str">
            <v>Y</v>
          </cell>
          <cell r="J1206">
            <v>151</v>
          </cell>
          <cell r="K1206">
            <v>1</v>
          </cell>
          <cell r="L1206">
            <v>0.35039999999999999</v>
          </cell>
          <cell r="M1206">
            <v>32.299999999999997</v>
          </cell>
          <cell r="N1206">
            <v>6.6</v>
          </cell>
          <cell r="O1206">
            <v>0.64959999999999996</v>
          </cell>
          <cell r="P1206">
            <v>3.5999999999999997E-2</v>
          </cell>
          <cell r="Q1206">
            <v>0.3659</v>
          </cell>
          <cell r="R1206">
            <v>0.2477</v>
          </cell>
          <cell r="S1206" t="str">
            <v>NA</v>
          </cell>
          <cell r="T1206">
            <v>59</v>
          </cell>
          <cell r="U1206">
            <v>4.8</v>
          </cell>
          <cell r="V1206">
            <v>75.400000000000006</v>
          </cell>
          <cell r="W1206">
            <v>7.6</v>
          </cell>
          <cell r="X1206">
            <v>51.8</v>
          </cell>
          <cell r="Y1206">
            <v>6.7</v>
          </cell>
          <cell r="Z1206" t="str">
            <v>NA</v>
          </cell>
          <cell r="AA1206" t="str">
            <v>NA</v>
          </cell>
        </row>
        <row r="1207">
          <cell r="A1207">
            <v>45153</v>
          </cell>
          <cell r="B1207" t="str">
            <v>A2</v>
          </cell>
          <cell r="C1207">
            <v>4</v>
          </cell>
          <cell r="D1207">
            <v>1</v>
          </cell>
          <cell r="E1207" t="str">
            <v>ARIS.A2.Aim1.Bin4.RB</v>
          </cell>
          <cell r="F1207">
            <v>4</v>
          </cell>
          <cell r="G1207" t="str">
            <v>Unweighted</v>
          </cell>
          <cell r="H1207" t="str">
            <v>N</v>
          </cell>
          <cell r="I1207" t="str">
            <v>Y</v>
          </cell>
          <cell r="J1207">
            <v>151</v>
          </cell>
          <cell r="K1207">
            <v>1</v>
          </cell>
          <cell r="L1207">
            <v>0.35039999999999999</v>
          </cell>
          <cell r="M1207">
            <v>32.299999999999997</v>
          </cell>
          <cell r="N1207">
            <v>6.6</v>
          </cell>
          <cell r="O1207">
            <v>0.64959999999999996</v>
          </cell>
          <cell r="P1207">
            <v>3.5999999999999997E-2</v>
          </cell>
          <cell r="Q1207">
            <v>0.3659</v>
          </cell>
          <cell r="R1207">
            <v>0.2477</v>
          </cell>
          <cell r="S1207" t="str">
            <v>NA</v>
          </cell>
          <cell r="T1207">
            <v>59</v>
          </cell>
          <cell r="U1207">
            <v>4.8</v>
          </cell>
          <cell r="V1207">
            <v>75.400000000000006</v>
          </cell>
          <cell r="W1207">
            <v>7.6</v>
          </cell>
          <cell r="X1207">
            <v>51.8</v>
          </cell>
          <cell r="Y1207">
            <v>6.7</v>
          </cell>
          <cell r="Z1207" t="str">
            <v>NA</v>
          </cell>
          <cell r="AA1207" t="str">
            <v>NA</v>
          </cell>
        </row>
        <row r="1208">
          <cell r="A1208">
            <v>45153</v>
          </cell>
          <cell r="B1208" t="str">
            <v>A1</v>
          </cell>
          <cell r="C1208">
            <v>1</v>
          </cell>
          <cell r="D1208">
            <v>1</v>
          </cell>
          <cell r="E1208" t="str">
            <v>ARIS.A1.Aim1.Bin1.LB</v>
          </cell>
          <cell r="F1208">
            <v>4</v>
          </cell>
          <cell r="G1208" t="str">
            <v>SplineDFA</v>
          </cell>
          <cell r="H1208" t="str">
            <v>Y</v>
          </cell>
          <cell r="I1208" t="str">
            <v>N</v>
          </cell>
          <cell r="J1208">
            <v>165</v>
          </cell>
          <cell r="K1208">
            <v>1.0001</v>
          </cell>
          <cell r="L1208">
            <v>0.65449999999999997</v>
          </cell>
          <cell r="M1208">
            <v>23.7</v>
          </cell>
          <cell r="N1208">
            <v>2.7</v>
          </cell>
          <cell r="O1208">
            <v>0.34560000000000002</v>
          </cell>
          <cell r="P1208">
            <v>0.112</v>
          </cell>
          <cell r="Q1208">
            <v>4.7500000000000001E-2</v>
          </cell>
          <cell r="R1208">
            <v>0.18609999999999999</v>
          </cell>
          <cell r="S1208" t="str">
            <v>NA</v>
          </cell>
          <cell r="T1208">
            <v>59</v>
          </cell>
          <cell r="U1208">
            <v>4.8</v>
          </cell>
          <cell r="V1208">
            <v>75.400000000000006</v>
          </cell>
          <cell r="W1208">
            <v>7.6</v>
          </cell>
          <cell r="X1208">
            <v>51.8</v>
          </cell>
          <cell r="Y1208">
            <v>6.7</v>
          </cell>
          <cell r="Z1208" t="str">
            <v>NA</v>
          </cell>
          <cell r="AA1208" t="str">
            <v>NA</v>
          </cell>
        </row>
        <row r="1209">
          <cell r="A1209">
            <v>45153</v>
          </cell>
          <cell r="B1209" t="str">
            <v>A1</v>
          </cell>
          <cell r="C1209">
            <v>1</v>
          </cell>
          <cell r="D1209">
            <v>2</v>
          </cell>
          <cell r="E1209" t="str">
            <v>ARIS.A1.Aim2.Bin1.LB</v>
          </cell>
          <cell r="F1209">
            <v>4</v>
          </cell>
          <cell r="G1209" t="str">
            <v>SplineDFA</v>
          </cell>
          <cell r="H1209" t="str">
            <v>Y</v>
          </cell>
          <cell r="I1209" t="str">
            <v>N</v>
          </cell>
          <cell r="J1209">
            <v>170</v>
          </cell>
          <cell r="K1209">
            <v>1</v>
          </cell>
          <cell r="L1209">
            <v>0.55030000000000001</v>
          </cell>
          <cell r="M1209">
            <v>23.7</v>
          </cell>
          <cell r="N1209">
            <v>2.7</v>
          </cell>
          <cell r="O1209">
            <v>0.44969999999999999</v>
          </cell>
          <cell r="P1209">
            <v>0.2414</v>
          </cell>
          <cell r="Q1209">
            <v>6.6799999999999998E-2</v>
          </cell>
          <cell r="R1209">
            <v>0.14149999999999999</v>
          </cell>
          <cell r="S1209" t="str">
            <v>NA</v>
          </cell>
          <cell r="T1209">
            <v>59</v>
          </cell>
          <cell r="U1209">
            <v>4.8</v>
          </cell>
          <cell r="V1209">
            <v>75.400000000000006</v>
          </cell>
          <cell r="W1209">
            <v>7.6</v>
          </cell>
          <cell r="X1209">
            <v>51.8</v>
          </cell>
          <cell r="Y1209">
            <v>6.7</v>
          </cell>
          <cell r="Z1209" t="str">
            <v>NA</v>
          </cell>
          <cell r="AA1209" t="str">
            <v>NA</v>
          </cell>
        </row>
        <row r="1210">
          <cell r="A1210">
            <v>45153</v>
          </cell>
          <cell r="B1210" t="str">
            <v>A1</v>
          </cell>
          <cell r="C1210">
            <v>2</v>
          </cell>
          <cell r="D1210">
            <v>3</v>
          </cell>
          <cell r="E1210" t="str">
            <v>ARIS.A1.Aim3.Bin2.LB</v>
          </cell>
          <cell r="F1210">
            <v>4</v>
          </cell>
          <cell r="G1210" t="str">
            <v>SplineDFA</v>
          </cell>
          <cell r="H1210" t="str">
            <v>Y</v>
          </cell>
          <cell r="I1210" t="str">
            <v>N</v>
          </cell>
          <cell r="J1210">
            <v>191</v>
          </cell>
          <cell r="K1210">
            <v>1</v>
          </cell>
          <cell r="L1210">
            <v>0.24210000000000001</v>
          </cell>
          <cell r="M1210">
            <v>23.7</v>
          </cell>
          <cell r="N1210">
            <v>2.7</v>
          </cell>
          <cell r="O1210">
            <v>0.75790000000000002</v>
          </cell>
          <cell r="P1210">
            <v>0.2928</v>
          </cell>
          <cell r="Q1210">
            <v>0.24010000000000001</v>
          </cell>
          <cell r="R1210">
            <v>0.22500000000000001</v>
          </cell>
          <cell r="S1210" t="str">
            <v>NA</v>
          </cell>
          <cell r="T1210">
            <v>59</v>
          </cell>
          <cell r="U1210">
            <v>4.8</v>
          </cell>
          <cell r="V1210">
            <v>75.400000000000006</v>
          </cell>
          <cell r="W1210">
            <v>7.6</v>
          </cell>
          <cell r="X1210">
            <v>51.8</v>
          </cell>
          <cell r="Y1210">
            <v>6.7</v>
          </cell>
          <cell r="Z1210" t="str">
            <v>NA</v>
          </cell>
          <cell r="AA1210" t="str">
            <v>NA</v>
          </cell>
        </row>
        <row r="1211">
          <cell r="A1211">
            <v>45153</v>
          </cell>
          <cell r="B1211" t="str">
            <v>A1</v>
          </cell>
          <cell r="C1211">
            <v>3</v>
          </cell>
          <cell r="D1211">
            <v>3</v>
          </cell>
          <cell r="E1211" t="str">
            <v>ARIS.A1.Aim3.Bin3.LB</v>
          </cell>
          <cell r="F1211">
            <v>4</v>
          </cell>
          <cell r="G1211" t="str">
            <v>SplineDFA</v>
          </cell>
          <cell r="H1211" t="str">
            <v>Y</v>
          </cell>
          <cell r="I1211" t="str">
            <v>N</v>
          </cell>
          <cell r="J1211">
            <v>156</v>
          </cell>
          <cell r="K1211">
            <v>1.0001</v>
          </cell>
          <cell r="L1211">
            <v>3.39E-2</v>
          </cell>
          <cell r="M1211">
            <v>23.7</v>
          </cell>
          <cell r="N1211">
            <v>2.7</v>
          </cell>
          <cell r="O1211">
            <v>0.96619999999999995</v>
          </cell>
          <cell r="P1211">
            <v>0.23619999999999999</v>
          </cell>
          <cell r="Q1211">
            <v>0.46179999999999999</v>
          </cell>
          <cell r="R1211">
            <v>0.26819999999999999</v>
          </cell>
          <cell r="S1211" t="str">
            <v>NA</v>
          </cell>
          <cell r="T1211">
            <v>59</v>
          </cell>
          <cell r="U1211">
            <v>4.8</v>
          </cell>
          <cell r="V1211">
            <v>75.400000000000006</v>
          </cell>
          <cell r="W1211">
            <v>7.6</v>
          </cell>
          <cell r="X1211">
            <v>51.8</v>
          </cell>
          <cell r="Y1211">
            <v>6.7</v>
          </cell>
          <cell r="Z1211" t="str">
            <v>NA</v>
          </cell>
          <cell r="AA1211" t="str">
            <v>NA</v>
          </cell>
        </row>
        <row r="1212">
          <cell r="A1212">
            <v>45153</v>
          </cell>
          <cell r="B1212" t="str">
            <v>A1</v>
          </cell>
          <cell r="C1212">
            <v>4</v>
          </cell>
          <cell r="D1212">
            <v>3</v>
          </cell>
          <cell r="E1212" t="str">
            <v>ARIS.A1.Aim3.Bin4.LB</v>
          </cell>
          <cell r="F1212">
            <v>4</v>
          </cell>
          <cell r="G1212" t="str">
            <v>SplineDFA</v>
          </cell>
          <cell r="H1212" t="str">
            <v>Y</v>
          </cell>
          <cell r="I1212" t="str">
            <v>N</v>
          </cell>
          <cell r="J1212">
            <v>156</v>
          </cell>
          <cell r="K1212">
            <v>1.0001</v>
          </cell>
          <cell r="L1212">
            <v>3.39E-2</v>
          </cell>
          <cell r="M1212">
            <v>23.7</v>
          </cell>
          <cell r="N1212">
            <v>2.7</v>
          </cell>
          <cell r="O1212">
            <v>0.96619999999999995</v>
          </cell>
          <cell r="P1212">
            <v>0.23619999999999999</v>
          </cell>
          <cell r="Q1212">
            <v>0.46179999999999999</v>
          </cell>
          <cell r="R1212">
            <v>0.26819999999999999</v>
          </cell>
          <cell r="S1212" t="str">
            <v>NA</v>
          </cell>
          <cell r="T1212">
            <v>59</v>
          </cell>
          <cell r="U1212">
            <v>4.8</v>
          </cell>
          <cell r="V1212">
            <v>75.400000000000006</v>
          </cell>
          <cell r="W1212">
            <v>7.6</v>
          </cell>
          <cell r="X1212">
            <v>51.8</v>
          </cell>
          <cell r="Y1212">
            <v>6.7</v>
          </cell>
          <cell r="Z1212" t="str">
            <v>NA</v>
          </cell>
          <cell r="AA1212" t="str">
            <v>NA</v>
          </cell>
        </row>
        <row r="1213">
          <cell r="A1213">
            <v>45153</v>
          </cell>
          <cell r="B1213" t="str">
            <v>A2</v>
          </cell>
          <cell r="C1213">
            <v>1</v>
          </cell>
          <cell r="D1213">
            <v>1</v>
          </cell>
          <cell r="E1213" t="str">
            <v>ARIS.A2.Aim1.Bin1.RB</v>
          </cell>
          <cell r="F1213">
            <v>4</v>
          </cell>
          <cell r="G1213" t="str">
            <v>SplineDFA</v>
          </cell>
          <cell r="H1213" t="str">
            <v>Y</v>
          </cell>
          <cell r="I1213" t="str">
            <v>N</v>
          </cell>
          <cell r="J1213">
            <v>143</v>
          </cell>
          <cell r="K1213">
            <v>1</v>
          </cell>
          <cell r="L1213">
            <v>0.63880000000000003</v>
          </cell>
          <cell r="M1213">
            <v>23.7</v>
          </cell>
          <cell r="N1213">
            <v>2.7</v>
          </cell>
          <cell r="O1213">
            <v>0.36120000000000002</v>
          </cell>
          <cell r="P1213">
            <v>6.9900000000000004E-2</v>
          </cell>
          <cell r="Q1213">
            <v>5.0299999999999997E-2</v>
          </cell>
          <cell r="R1213">
            <v>0.24099999999999999</v>
          </cell>
          <cell r="S1213" t="str">
            <v>NA</v>
          </cell>
          <cell r="T1213">
            <v>59</v>
          </cell>
          <cell r="U1213">
            <v>4.8</v>
          </cell>
          <cell r="V1213">
            <v>75.400000000000006</v>
          </cell>
          <cell r="W1213">
            <v>7.6</v>
          </cell>
          <cell r="X1213">
            <v>51.8</v>
          </cell>
          <cell r="Y1213">
            <v>6.7</v>
          </cell>
          <cell r="Z1213" t="str">
            <v>NA</v>
          </cell>
          <cell r="AA1213" t="str">
            <v>NA</v>
          </cell>
        </row>
        <row r="1214">
          <cell r="A1214">
            <v>45153</v>
          </cell>
          <cell r="B1214" t="str">
            <v>A2</v>
          </cell>
          <cell r="C1214">
            <v>2</v>
          </cell>
          <cell r="D1214">
            <v>1</v>
          </cell>
          <cell r="E1214" t="str">
            <v>ARIS.A2.Aim1.Bin2.RB</v>
          </cell>
          <cell r="F1214">
            <v>4</v>
          </cell>
          <cell r="G1214" t="str">
            <v>SplineDFA</v>
          </cell>
          <cell r="H1214" t="str">
            <v>Y</v>
          </cell>
          <cell r="I1214" t="str">
            <v>N</v>
          </cell>
          <cell r="J1214">
            <v>152</v>
          </cell>
          <cell r="K1214">
            <v>1.0001</v>
          </cell>
          <cell r="L1214">
            <v>0.39510000000000001</v>
          </cell>
          <cell r="M1214">
            <v>23.7</v>
          </cell>
          <cell r="N1214">
            <v>2.7</v>
          </cell>
          <cell r="O1214">
            <v>0.60499999999999998</v>
          </cell>
          <cell r="P1214">
            <v>0.16750000000000001</v>
          </cell>
          <cell r="Q1214">
            <v>0.159</v>
          </cell>
          <cell r="R1214">
            <v>0.27850000000000003</v>
          </cell>
          <cell r="S1214" t="str">
            <v>NA</v>
          </cell>
          <cell r="T1214">
            <v>59</v>
          </cell>
          <cell r="U1214">
            <v>4.8</v>
          </cell>
          <cell r="V1214">
            <v>75.400000000000006</v>
          </cell>
          <cell r="W1214">
            <v>7.6</v>
          </cell>
          <cell r="X1214">
            <v>51.8</v>
          </cell>
          <cell r="Y1214">
            <v>6.7</v>
          </cell>
          <cell r="Z1214" t="str">
            <v>NA</v>
          </cell>
          <cell r="AA1214" t="str">
            <v>NA</v>
          </cell>
        </row>
        <row r="1215">
          <cell r="A1215">
            <v>45153</v>
          </cell>
          <cell r="B1215" t="str">
            <v>A2</v>
          </cell>
          <cell r="C1215">
            <v>3</v>
          </cell>
          <cell r="D1215">
            <v>1</v>
          </cell>
          <cell r="E1215" t="str">
            <v>ARIS.A2.Aim1.Bin3.RB</v>
          </cell>
          <cell r="F1215">
            <v>4</v>
          </cell>
          <cell r="G1215" t="str">
            <v>SplineDFA</v>
          </cell>
          <cell r="H1215" t="str">
            <v>Y</v>
          </cell>
          <cell r="I1215" t="str">
            <v>N</v>
          </cell>
          <cell r="J1215">
            <v>151</v>
          </cell>
          <cell r="K1215">
            <v>1</v>
          </cell>
          <cell r="L1215">
            <v>0.1656</v>
          </cell>
          <cell r="M1215">
            <v>23.7</v>
          </cell>
          <cell r="N1215">
            <v>2.7</v>
          </cell>
          <cell r="O1215">
            <v>0.83440000000000003</v>
          </cell>
          <cell r="P1215">
            <v>0.1401</v>
          </cell>
          <cell r="Q1215">
            <v>0.3488</v>
          </cell>
          <cell r="R1215">
            <v>0.34549999999999997</v>
          </cell>
          <cell r="S1215" t="str">
            <v>NA</v>
          </cell>
          <cell r="T1215">
            <v>59</v>
          </cell>
          <cell r="U1215">
            <v>4.8</v>
          </cell>
          <cell r="V1215">
            <v>75.400000000000006</v>
          </cell>
          <cell r="W1215">
            <v>7.6</v>
          </cell>
          <cell r="X1215">
            <v>51.8</v>
          </cell>
          <cell r="Y1215">
            <v>6.7</v>
          </cell>
          <cell r="Z1215" t="str">
            <v>NA</v>
          </cell>
          <cell r="AA1215" t="str">
            <v>NA</v>
          </cell>
        </row>
        <row r="1216">
          <cell r="A1216">
            <v>45153</v>
          </cell>
          <cell r="B1216" t="str">
            <v>A2</v>
          </cell>
          <cell r="C1216">
            <v>4</v>
          </cell>
          <cell r="D1216">
            <v>1</v>
          </cell>
          <cell r="E1216" t="str">
            <v>ARIS.A2.Aim1.Bin4.RB</v>
          </cell>
          <cell r="F1216">
            <v>4</v>
          </cell>
          <cell r="G1216" t="str">
            <v>SplineDFA</v>
          </cell>
          <cell r="H1216" t="str">
            <v>Y</v>
          </cell>
          <cell r="I1216" t="str">
            <v>N</v>
          </cell>
          <cell r="J1216">
            <v>151</v>
          </cell>
          <cell r="K1216">
            <v>1</v>
          </cell>
          <cell r="L1216">
            <v>0.1656</v>
          </cell>
          <cell r="M1216">
            <v>23.7</v>
          </cell>
          <cell r="N1216">
            <v>2.7</v>
          </cell>
          <cell r="O1216">
            <v>0.83440000000000003</v>
          </cell>
          <cell r="P1216">
            <v>0.1401</v>
          </cell>
          <cell r="Q1216">
            <v>0.3488</v>
          </cell>
          <cell r="R1216">
            <v>0.34549999999999997</v>
          </cell>
          <cell r="S1216" t="str">
            <v>NA</v>
          </cell>
          <cell r="T1216">
            <v>59</v>
          </cell>
          <cell r="U1216">
            <v>4.8</v>
          </cell>
          <cell r="V1216">
            <v>75.400000000000006</v>
          </cell>
          <cell r="W1216">
            <v>7.6</v>
          </cell>
          <cell r="X1216">
            <v>51.8</v>
          </cell>
          <cell r="Y1216">
            <v>6.7</v>
          </cell>
          <cell r="Z1216" t="str">
            <v>NA</v>
          </cell>
          <cell r="AA1216" t="str">
            <v>NA</v>
          </cell>
        </row>
        <row r="1217">
          <cell r="A1217">
            <v>45153</v>
          </cell>
          <cell r="B1217" t="str">
            <v>A1</v>
          </cell>
          <cell r="C1217">
            <v>1</v>
          </cell>
          <cell r="D1217">
            <v>1</v>
          </cell>
          <cell r="E1217" t="str">
            <v>ARIS.A1.Aim1.Bin1.LB</v>
          </cell>
          <cell r="F1217">
            <v>3</v>
          </cell>
          <cell r="G1217" t="str">
            <v>SplineDFA</v>
          </cell>
          <cell r="H1217" t="str">
            <v>N</v>
          </cell>
          <cell r="I1217" t="str">
            <v>N</v>
          </cell>
          <cell r="J1217">
            <v>165</v>
          </cell>
          <cell r="K1217">
            <v>1</v>
          </cell>
          <cell r="L1217">
            <v>0.70979999999999999</v>
          </cell>
          <cell r="M1217">
            <v>23.7</v>
          </cell>
          <cell r="N1217">
            <v>2.7</v>
          </cell>
          <cell r="O1217">
            <v>0.29020000000000001</v>
          </cell>
          <cell r="P1217">
            <v>0.2427</v>
          </cell>
          <cell r="Q1217">
            <v>4.7500000000000001E-2</v>
          </cell>
          <cell r="R1217" t="str">
            <v>NA</v>
          </cell>
          <cell r="S1217" t="str">
            <v>NA</v>
          </cell>
          <cell r="T1217">
            <v>59</v>
          </cell>
          <cell r="U1217">
            <v>4.8</v>
          </cell>
          <cell r="V1217">
            <v>75.400000000000006</v>
          </cell>
          <cell r="W1217">
            <v>7.6</v>
          </cell>
          <cell r="X1217" t="str">
            <v>NA</v>
          </cell>
          <cell r="Y1217" t="str">
            <v>NA</v>
          </cell>
          <cell r="Z1217" t="str">
            <v>NA</v>
          </cell>
          <cell r="AA1217" t="str">
            <v>NA</v>
          </cell>
        </row>
        <row r="1218">
          <cell r="A1218">
            <v>45153</v>
          </cell>
          <cell r="B1218" t="str">
            <v>A1</v>
          </cell>
          <cell r="C1218">
            <v>1</v>
          </cell>
          <cell r="D1218">
            <v>2</v>
          </cell>
          <cell r="E1218" t="str">
            <v>ARIS.A1.Aim2.Bin1.LB</v>
          </cell>
          <cell r="F1218">
            <v>3</v>
          </cell>
          <cell r="G1218" t="str">
            <v>SplineDFA</v>
          </cell>
          <cell r="H1218" t="str">
            <v>N</v>
          </cell>
          <cell r="I1218" t="str">
            <v>N</v>
          </cell>
          <cell r="J1218">
            <v>170</v>
          </cell>
          <cell r="K1218">
            <v>1</v>
          </cell>
          <cell r="L1218">
            <v>0.58819999999999995</v>
          </cell>
          <cell r="M1218">
            <v>23.7</v>
          </cell>
          <cell r="N1218">
            <v>2.7</v>
          </cell>
          <cell r="O1218">
            <v>0.4118</v>
          </cell>
          <cell r="P1218">
            <v>0.34499999999999997</v>
          </cell>
          <cell r="Q1218">
            <v>6.6799999999999998E-2</v>
          </cell>
          <cell r="R1218" t="str">
            <v>NA</v>
          </cell>
          <cell r="S1218" t="str">
            <v>NA</v>
          </cell>
          <cell r="T1218">
            <v>59</v>
          </cell>
          <cell r="U1218">
            <v>4.8</v>
          </cell>
          <cell r="V1218">
            <v>75.400000000000006</v>
          </cell>
          <cell r="W1218">
            <v>7.6</v>
          </cell>
          <cell r="X1218" t="str">
            <v>NA</v>
          </cell>
          <cell r="Y1218" t="str">
            <v>NA</v>
          </cell>
          <cell r="Z1218" t="str">
            <v>NA</v>
          </cell>
          <cell r="AA1218" t="str">
            <v>NA</v>
          </cell>
        </row>
        <row r="1219">
          <cell r="A1219">
            <v>45153</v>
          </cell>
          <cell r="B1219" t="str">
            <v>A1</v>
          </cell>
          <cell r="C1219">
            <v>2</v>
          </cell>
          <cell r="D1219">
            <v>3</v>
          </cell>
          <cell r="E1219" t="str">
            <v>ARIS.A1.Aim3.Bin2.LB</v>
          </cell>
          <cell r="F1219">
            <v>3</v>
          </cell>
          <cell r="G1219" t="str">
            <v>SplineDFA</v>
          </cell>
          <cell r="H1219" t="str">
            <v>N</v>
          </cell>
          <cell r="I1219" t="str">
            <v>N</v>
          </cell>
          <cell r="J1219">
            <v>191</v>
          </cell>
          <cell r="K1219">
            <v>1</v>
          </cell>
          <cell r="L1219">
            <v>0.25790000000000002</v>
          </cell>
          <cell r="M1219">
            <v>23.7</v>
          </cell>
          <cell r="N1219">
            <v>2.7</v>
          </cell>
          <cell r="O1219">
            <v>0.74209999999999998</v>
          </cell>
          <cell r="P1219">
            <v>0.502</v>
          </cell>
          <cell r="Q1219">
            <v>0.24010000000000001</v>
          </cell>
          <cell r="R1219" t="str">
            <v>NA</v>
          </cell>
          <cell r="S1219" t="str">
            <v>NA</v>
          </cell>
          <cell r="T1219">
            <v>59</v>
          </cell>
          <cell r="U1219">
            <v>4.8</v>
          </cell>
          <cell r="V1219">
            <v>75.400000000000006</v>
          </cell>
          <cell r="W1219">
            <v>7.6</v>
          </cell>
          <cell r="X1219" t="str">
            <v>NA</v>
          </cell>
          <cell r="Y1219" t="str">
            <v>NA</v>
          </cell>
          <cell r="Z1219" t="str">
            <v>NA</v>
          </cell>
          <cell r="AA1219" t="str">
            <v>NA</v>
          </cell>
        </row>
        <row r="1220">
          <cell r="A1220">
            <v>45153</v>
          </cell>
          <cell r="B1220" t="str">
            <v>A1</v>
          </cell>
          <cell r="C1220">
            <v>3</v>
          </cell>
          <cell r="D1220">
            <v>3</v>
          </cell>
          <cell r="E1220" t="str">
            <v>ARIS.A1.Aim3.Bin3.LB</v>
          </cell>
          <cell r="F1220">
            <v>3</v>
          </cell>
          <cell r="G1220" t="str">
            <v>SplineDFA</v>
          </cell>
          <cell r="H1220" t="str">
            <v>N</v>
          </cell>
          <cell r="I1220" t="str">
            <v>N</v>
          </cell>
          <cell r="J1220">
            <v>156</v>
          </cell>
          <cell r="K1220">
            <v>1</v>
          </cell>
          <cell r="L1220">
            <v>9.7299999999999998E-2</v>
          </cell>
          <cell r="M1220">
            <v>23.7</v>
          </cell>
          <cell r="N1220">
            <v>2.7</v>
          </cell>
          <cell r="O1220">
            <v>0.90269999999999995</v>
          </cell>
          <cell r="P1220">
            <v>0.44240000000000002</v>
          </cell>
          <cell r="Q1220">
            <v>0.46029999999999999</v>
          </cell>
          <cell r="R1220" t="str">
            <v>NA</v>
          </cell>
          <cell r="S1220" t="str">
            <v>NA</v>
          </cell>
          <cell r="T1220">
            <v>59</v>
          </cell>
          <cell r="U1220">
            <v>4.8</v>
          </cell>
          <cell r="V1220">
            <v>75.400000000000006</v>
          </cell>
          <cell r="W1220">
            <v>7.6</v>
          </cell>
          <cell r="X1220" t="str">
            <v>NA</v>
          </cell>
          <cell r="Y1220" t="str">
            <v>NA</v>
          </cell>
          <cell r="Z1220" t="str">
            <v>NA</v>
          </cell>
          <cell r="AA1220" t="str">
            <v>NA</v>
          </cell>
        </row>
        <row r="1221">
          <cell r="A1221">
            <v>45153</v>
          </cell>
          <cell r="B1221" t="str">
            <v>A1</v>
          </cell>
          <cell r="C1221">
            <v>4</v>
          </cell>
          <cell r="D1221">
            <v>3</v>
          </cell>
          <cell r="E1221" t="str">
            <v>ARIS.A1.Aim3.Bin4.LB</v>
          </cell>
          <cell r="F1221">
            <v>3</v>
          </cell>
          <cell r="G1221" t="str">
            <v>SplineDFA</v>
          </cell>
          <cell r="H1221" t="str">
            <v>N</v>
          </cell>
          <cell r="I1221" t="str">
            <v>N</v>
          </cell>
          <cell r="J1221">
            <v>156</v>
          </cell>
          <cell r="K1221">
            <v>1</v>
          </cell>
          <cell r="L1221">
            <v>9.7299999999999998E-2</v>
          </cell>
          <cell r="M1221">
            <v>23.7</v>
          </cell>
          <cell r="N1221">
            <v>2.7</v>
          </cell>
          <cell r="O1221">
            <v>0.90269999999999995</v>
          </cell>
          <cell r="P1221">
            <v>0.44240000000000002</v>
          </cell>
          <cell r="Q1221">
            <v>0.46029999999999999</v>
          </cell>
          <cell r="R1221" t="str">
            <v>NA</v>
          </cell>
          <cell r="S1221" t="str">
            <v>NA</v>
          </cell>
          <cell r="T1221">
            <v>59</v>
          </cell>
          <cell r="U1221">
            <v>4.8</v>
          </cell>
          <cell r="V1221">
            <v>75.400000000000006</v>
          </cell>
          <cell r="W1221">
            <v>7.6</v>
          </cell>
          <cell r="X1221" t="str">
            <v>NA</v>
          </cell>
          <cell r="Y1221" t="str">
            <v>NA</v>
          </cell>
          <cell r="Z1221" t="str">
            <v>NA</v>
          </cell>
          <cell r="AA1221" t="str">
            <v>NA</v>
          </cell>
        </row>
        <row r="1222">
          <cell r="A1222">
            <v>45153</v>
          </cell>
          <cell r="B1222" t="str">
            <v>A2</v>
          </cell>
          <cell r="C1222">
            <v>1</v>
          </cell>
          <cell r="D1222">
            <v>1</v>
          </cell>
          <cell r="E1222" t="str">
            <v>ARIS.A2.Aim1.Bin1.RB</v>
          </cell>
          <cell r="F1222">
            <v>3</v>
          </cell>
          <cell r="G1222" t="str">
            <v>SplineDFA</v>
          </cell>
          <cell r="H1222" t="str">
            <v>N</v>
          </cell>
          <cell r="I1222" t="str">
            <v>N</v>
          </cell>
          <cell r="J1222">
            <v>143</v>
          </cell>
          <cell r="K1222">
            <v>1.0001</v>
          </cell>
          <cell r="L1222">
            <v>0.79600000000000004</v>
          </cell>
          <cell r="M1222">
            <v>25.8</v>
          </cell>
          <cell r="N1222">
            <v>8.1999999999999993</v>
          </cell>
          <cell r="O1222">
            <v>0.2041</v>
          </cell>
          <cell r="P1222">
            <v>9.2100000000000001E-2</v>
          </cell>
          <cell r="Q1222">
            <v>5.8299999999999998E-2</v>
          </cell>
          <cell r="R1222">
            <v>5.3699999999999998E-2</v>
          </cell>
          <cell r="S1222" t="str">
            <v>NA</v>
          </cell>
          <cell r="T1222">
            <v>59</v>
          </cell>
          <cell r="U1222">
            <v>4.8</v>
          </cell>
          <cell r="V1222">
            <v>75.400000000000006</v>
          </cell>
          <cell r="W1222">
            <v>7.6</v>
          </cell>
          <cell r="X1222">
            <v>51.8</v>
          </cell>
          <cell r="Y1222">
            <v>6.7</v>
          </cell>
          <cell r="Z1222" t="str">
            <v>NA</v>
          </cell>
          <cell r="AA1222" t="str">
            <v>NA</v>
          </cell>
        </row>
        <row r="1223">
          <cell r="A1223">
            <v>45153</v>
          </cell>
          <cell r="B1223" t="str">
            <v>A2</v>
          </cell>
          <cell r="C1223">
            <v>2</v>
          </cell>
          <cell r="D1223">
            <v>1</v>
          </cell>
          <cell r="E1223" t="str">
            <v>ARIS.A2.Aim1.Bin2.RB</v>
          </cell>
          <cell r="F1223">
            <v>3</v>
          </cell>
          <cell r="G1223" t="str">
            <v>SplineDFA</v>
          </cell>
          <cell r="H1223" t="str">
            <v>N</v>
          </cell>
          <cell r="I1223" t="str">
            <v>N</v>
          </cell>
          <cell r="J1223">
            <v>152</v>
          </cell>
          <cell r="K1223">
            <v>1</v>
          </cell>
          <cell r="L1223">
            <v>0.60389999999999999</v>
          </cell>
          <cell r="M1223">
            <v>28.5</v>
          </cell>
          <cell r="N1223">
            <v>7.9</v>
          </cell>
          <cell r="O1223">
            <v>0.39610000000000001</v>
          </cell>
          <cell r="P1223">
            <v>0.184</v>
          </cell>
          <cell r="Q1223">
            <v>0.1618</v>
          </cell>
          <cell r="R1223">
            <v>5.0299999999999997E-2</v>
          </cell>
          <cell r="S1223" t="str">
            <v>NA</v>
          </cell>
          <cell r="T1223">
            <v>59</v>
          </cell>
          <cell r="U1223">
            <v>4.8</v>
          </cell>
          <cell r="V1223">
            <v>75.400000000000006</v>
          </cell>
          <cell r="W1223">
            <v>7.6</v>
          </cell>
          <cell r="X1223">
            <v>51.8</v>
          </cell>
          <cell r="Y1223">
            <v>6.7</v>
          </cell>
          <cell r="Z1223" t="str">
            <v>NA</v>
          </cell>
          <cell r="AA1223" t="str">
            <v>NA</v>
          </cell>
        </row>
        <row r="1224">
          <cell r="A1224">
            <v>45153</v>
          </cell>
          <cell r="B1224" t="str">
            <v>A2</v>
          </cell>
          <cell r="C1224">
            <v>3</v>
          </cell>
          <cell r="D1224">
            <v>1</v>
          </cell>
          <cell r="E1224" t="str">
            <v>ARIS.A2.Aim1.Bin3.RB</v>
          </cell>
          <cell r="F1224">
            <v>3</v>
          </cell>
          <cell r="G1224" t="str">
            <v>SplineDFA</v>
          </cell>
          <cell r="H1224" t="str">
            <v>N</v>
          </cell>
          <cell r="I1224" t="str">
            <v>N</v>
          </cell>
          <cell r="J1224">
            <v>151</v>
          </cell>
          <cell r="K1224">
            <v>1</v>
          </cell>
          <cell r="L1224">
            <v>0.35039999999999999</v>
          </cell>
          <cell r="M1224">
            <v>32.299999999999997</v>
          </cell>
          <cell r="N1224">
            <v>6.6</v>
          </cell>
          <cell r="O1224">
            <v>0.64959999999999996</v>
          </cell>
          <cell r="P1224">
            <v>3.5999999999999997E-2</v>
          </cell>
          <cell r="Q1224">
            <v>0.3659</v>
          </cell>
          <cell r="R1224">
            <v>0.2477</v>
          </cell>
          <cell r="S1224" t="str">
            <v>NA</v>
          </cell>
          <cell r="T1224">
            <v>59</v>
          </cell>
          <cell r="U1224">
            <v>4.8</v>
          </cell>
          <cell r="V1224">
            <v>75.400000000000006</v>
          </cell>
          <cell r="W1224">
            <v>7.6</v>
          </cell>
          <cell r="X1224">
            <v>51.8</v>
          </cell>
          <cell r="Y1224">
            <v>6.7</v>
          </cell>
          <cell r="Z1224" t="str">
            <v>NA</v>
          </cell>
          <cell r="AA1224" t="str">
            <v>NA</v>
          </cell>
        </row>
        <row r="1225">
          <cell r="A1225">
            <v>45153</v>
          </cell>
          <cell r="B1225" t="str">
            <v>A2</v>
          </cell>
          <cell r="C1225">
            <v>4</v>
          </cell>
          <cell r="D1225">
            <v>1</v>
          </cell>
          <cell r="E1225" t="str">
            <v>ARIS.A2.Aim1.Bin4.RB</v>
          </cell>
          <cell r="F1225">
            <v>3</v>
          </cell>
          <cell r="G1225" t="str">
            <v>SplineDFA</v>
          </cell>
          <cell r="H1225" t="str">
            <v>N</v>
          </cell>
          <cell r="I1225" t="str">
            <v>N</v>
          </cell>
          <cell r="J1225">
            <v>151</v>
          </cell>
          <cell r="K1225">
            <v>1</v>
          </cell>
          <cell r="L1225">
            <v>0.35039999999999999</v>
          </cell>
          <cell r="M1225">
            <v>32.299999999999997</v>
          </cell>
          <cell r="N1225">
            <v>6.6</v>
          </cell>
          <cell r="O1225">
            <v>0.64959999999999996</v>
          </cell>
          <cell r="P1225">
            <v>3.5999999999999997E-2</v>
          </cell>
          <cell r="Q1225">
            <v>0.3659</v>
          </cell>
          <cell r="R1225">
            <v>0.2477</v>
          </cell>
          <cell r="S1225" t="str">
            <v>NA</v>
          </cell>
          <cell r="T1225">
            <v>59</v>
          </cell>
          <cell r="U1225">
            <v>4.8</v>
          </cell>
          <cell r="V1225">
            <v>75.400000000000006</v>
          </cell>
          <cell r="W1225">
            <v>7.6</v>
          </cell>
          <cell r="X1225">
            <v>51.8</v>
          </cell>
          <cell r="Y1225">
            <v>6.7</v>
          </cell>
          <cell r="Z1225" t="str">
            <v>NA</v>
          </cell>
          <cell r="AA1225" t="str">
            <v>NA</v>
          </cell>
        </row>
        <row r="1226">
          <cell r="A1226">
            <v>45154</v>
          </cell>
          <cell r="B1226" t="str">
            <v>A1</v>
          </cell>
          <cell r="C1226">
            <v>1</v>
          </cell>
          <cell r="D1226">
            <v>1</v>
          </cell>
          <cell r="E1226" t="str">
            <v>ARIS.A1.Aim1.Bin1.LB</v>
          </cell>
          <cell r="F1226">
            <v>4</v>
          </cell>
          <cell r="G1226" t="str">
            <v>Unweighted</v>
          </cell>
          <cell r="H1226" t="str">
            <v>N</v>
          </cell>
          <cell r="I1226" t="str">
            <v>Y</v>
          </cell>
          <cell r="J1226">
            <v>161</v>
          </cell>
          <cell r="K1226">
            <v>1</v>
          </cell>
          <cell r="L1226">
            <v>0.7742</v>
          </cell>
          <cell r="M1226">
            <v>24</v>
          </cell>
          <cell r="N1226">
            <v>10.6</v>
          </cell>
          <cell r="O1226">
            <v>0.2258</v>
          </cell>
          <cell r="P1226">
            <v>0.1825</v>
          </cell>
          <cell r="Q1226">
            <v>4.3299999999999998E-2</v>
          </cell>
          <cell r="R1226">
            <v>0</v>
          </cell>
          <cell r="S1226" t="str">
            <v>NA</v>
          </cell>
          <cell r="T1226">
            <v>59</v>
          </cell>
          <cell r="U1226">
            <v>4.8</v>
          </cell>
          <cell r="V1226">
            <v>75.400000000000006</v>
          </cell>
          <cell r="W1226">
            <v>7.6</v>
          </cell>
          <cell r="X1226">
            <v>51.8</v>
          </cell>
          <cell r="Y1226">
            <v>6.7</v>
          </cell>
          <cell r="Z1226" t="str">
            <v>NA</v>
          </cell>
          <cell r="AA1226" t="str">
            <v>NA</v>
          </cell>
        </row>
        <row r="1227">
          <cell r="A1227">
            <v>45154</v>
          </cell>
          <cell r="B1227" t="str">
            <v>A1</v>
          </cell>
          <cell r="C1227">
            <v>1</v>
          </cell>
          <cell r="D1227">
            <v>2</v>
          </cell>
          <cell r="E1227" t="str">
            <v>ARIS.A1.Aim2.Bin1.LB</v>
          </cell>
          <cell r="F1227">
            <v>4</v>
          </cell>
          <cell r="G1227" t="str">
            <v>Unweighted</v>
          </cell>
          <cell r="H1227" t="str">
            <v>N</v>
          </cell>
          <cell r="I1227" t="str">
            <v>Y</v>
          </cell>
          <cell r="J1227">
            <v>192</v>
          </cell>
          <cell r="K1227">
            <v>1</v>
          </cell>
          <cell r="L1227">
            <v>0.57869999999999999</v>
          </cell>
          <cell r="M1227">
            <v>21.3</v>
          </cell>
          <cell r="N1227">
            <v>7.3</v>
          </cell>
          <cell r="O1227">
            <v>0.42130000000000001</v>
          </cell>
          <cell r="P1227">
            <v>0.27</v>
          </cell>
          <cell r="Q1227">
            <v>4.58E-2</v>
          </cell>
          <cell r="R1227">
            <v>0.1055</v>
          </cell>
          <cell r="S1227" t="str">
            <v>NA</v>
          </cell>
          <cell r="T1227">
            <v>59</v>
          </cell>
          <cell r="U1227">
            <v>4.8</v>
          </cell>
          <cell r="V1227">
            <v>75.400000000000006</v>
          </cell>
          <cell r="W1227">
            <v>7.6</v>
          </cell>
          <cell r="X1227">
            <v>51.8</v>
          </cell>
          <cell r="Y1227">
            <v>6.7</v>
          </cell>
          <cell r="Z1227" t="str">
            <v>NA</v>
          </cell>
          <cell r="AA1227" t="str">
            <v>NA</v>
          </cell>
        </row>
        <row r="1228">
          <cell r="A1228">
            <v>45154</v>
          </cell>
          <cell r="B1228" t="str">
            <v>A1</v>
          </cell>
          <cell r="C1228">
            <v>1</v>
          </cell>
          <cell r="D1228" t="str">
            <v>1&amp;2</v>
          </cell>
          <cell r="E1228" t="str">
            <v>ARIS.A1.Aim1&amp;Aim2.Bin1.LB</v>
          </cell>
          <cell r="F1228">
            <v>4</v>
          </cell>
          <cell r="G1228" t="str">
            <v>Unweighted</v>
          </cell>
          <cell r="H1228" t="str">
            <v>N</v>
          </cell>
          <cell r="I1228" t="str">
            <v>Y</v>
          </cell>
          <cell r="J1228">
            <v>353</v>
          </cell>
          <cell r="K1228">
            <v>1.0001</v>
          </cell>
          <cell r="L1228">
            <v>0.68069999999999997</v>
          </cell>
          <cell r="M1228">
            <v>23.3</v>
          </cell>
          <cell r="N1228">
            <v>9.9</v>
          </cell>
          <cell r="O1228">
            <v>0.31940000000000002</v>
          </cell>
          <cell r="P1228">
            <v>0.2445</v>
          </cell>
          <cell r="Q1228">
            <v>4.6899999999999997E-2</v>
          </cell>
          <cell r="R1228">
            <v>2.8000000000000001E-2</v>
          </cell>
          <cell r="S1228" t="str">
            <v>NA</v>
          </cell>
          <cell r="T1228">
            <v>59</v>
          </cell>
          <cell r="U1228">
            <v>4.8</v>
          </cell>
          <cell r="V1228">
            <v>75.400000000000006</v>
          </cell>
          <cell r="W1228">
            <v>7.6</v>
          </cell>
          <cell r="X1228">
            <v>51.8</v>
          </cell>
          <cell r="Y1228">
            <v>6.7</v>
          </cell>
          <cell r="Z1228" t="str">
            <v>NA</v>
          </cell>
          <cell r="AA1228" t="str">
            <v>NA</v>
          </cell>
        </row>
        <row r="1229">
          <cell r="A1229">
            <v>45154</v>
          </cell>
          <cell r="B1229" t="str">
            <v>A1</v>
          </cell>
          <cell r="C1229">
            <v>2</v>
          </cell>
          <cell r="D1229">
            <v>3</v>
          </cell>
          <cell r="E1229" t="str">
            <v>ARIS.A1.Aim3.Bin2.LB</v>
          </cell>
          <cell r="F1229">
            <v>4</v>
          </cell>
          <cell r="G1229" t="str">
            <v>Unweighted</v>
          </cell>
          <cell r="H1229" t="str">
            <v>N</v>
          </cell>
          <cell r="I1229" t="str">
            <v>Y</v>
          </cell>
          <cell r="J1229">
            <v>178</v>
          </cell>
          <cell r="K1229">
            <v>1</v>
          </cell>
          <cell r="L1229">
            <v>0.26140000000000002</v>
          </cell>
          <cell r="M1229">
            <v>23.7</v>
          </cell>
          <cell r="N1229">
            <v>9.1</v>
          </cell>
          <cell r="O1229">
            <v>0.73860000000000003</v>
          </cell>
          <cell r="P1229">
            <v>0.1933</v>
          </cell>
          <cell r="Q1229">
            <v>0.2437</v>
          </cell>
          <cell r="R1229">
            <v>0.30159999999999998</v>
          </cell>
          <cell r="S1229" t="str">
            <v>NA</v>
          </cell>
          <cell r="T1229">
            <v>59</v>
          </cell>
          <cell r="U1229">
            <v>4.8</v>
          </cell>
          <cell r="V1229">
            <v>75.400000000000006</v>
          </cell>
          <cell r="W1229">
            <v>7.6</v>
          </cell>
          <cell r="X1229">
            <v>51.8</v>
          </cell>
          <cell r="Y1229">
            <v>6.7</v>
          </cell>
          <cell r="Z1229" t="str">
            <v>NA</v>
          </cell>
          <cell r="AA1229" t="str">
            <v>NA</v>
          </cell>
        </row>
        <row r="1230">
          <cell r="A1230">
            <v>45154</v>
          </cell>
          <cell r="B1230" t="str">
            <v>A1</v>
          </cell>
          <cell r="C1230">
            <v>3</v>
          </cell>
          <cell r="D1230">
            <v>3</v>
          </cell>
          <cell r="E1230" t="str">
            <v>ARIS.A1.Aim3.Bin3.LB</v>
          </cell>
          <cell r="F1230">
            <v>4</v>
          </cell>
          <cell r="G1230" t="str">
            <v>Unweighted</v>
          </cell>
          <cell r="H1230" t="str">
            <v>N</v>
          </cell>
          <cell r="I1230" t="str">
            <v>Y</v>
          </cell>
          <cell r="J1230">
            <v>174</v>
          </cell>
          <cell r="K1230">
            <v>1</v>
          </cell>
          <cell r="L1230">
            <v>0.1191</v>
          </cell>
          <cell r="M1230">
            <v>23.7</v>
          </cell>
          <cell r="N1230">
            <v>11.5</v>
          </cell>
          <cell r="O1230">
            <v>0.88090000000000002</v>
          </cell>
          <cell r="P1230">
            <v>0.14649999999999999</v>
          </cell>
          <cell r="Q1230">
            <v>0.44679999999999997</v>
          </cell>
          <cell r="R1230">
            <v>0.28760000000000002</v>
          </cell>
          <cell r="S1230" t="str">
            <v>NA</v>
          </cell>
          <cell r="T1230">
            <v>59</v>
          </cell>
          <cell r="U1230">
            <v>4.8</v>
          </cell>
          <cell r="V1230">
            <v>75.400000000000006</v>
          </cell>
          <cell r="W1230">
            <v>7.6</v>
          </cell>
          <cell r="X1230">
            <v>51.8</v>
          </cell>
          <cell r="Y1230">
            <v>6.7</v>
          </cell>
          <cell r="Z1230" t="str">
            <v>NA</v>
          </cell>
          <cell r="AA1230" t="str">
            <v>NA</v>
          </cell>
        </row>
        <row r="1231">
          <cell r="A1231">
            <v>45154</v>
          </cell>
          <cell r="B1231" t="str">
            <v>A1</v>
          </cell>
          <cell r="C1231">
            <v>4</v>
          </cell>
          <cell r="D1231">
            <v>3</v>
          </cell>
          <cell r="E1231" t="str">
            <v>ARIS.A1.Aim3.Bin4.LB</v>
          </cell>
          <cell r="F1231">
            <v>4</v>
          </cell>
          <cell r="G1231" t="str">
            <v>Unweighted</v>
          </cell>
          <cell r="H1231" t="str">
            <v>N</v>
          </cell>
          <cell r="I1231" t="str">
            <v>Y</v>
          </cell>
          <cell r="J1231">
            <v>174</v>
          </cell>
          <cell r="K1231">
            <v>1</v>
          </cell>
          <cell r="L1231">
            <v>0.1191</v>
          </cell>
          <cell r="M1231">
            <v>23.7</v>
          </cell>
          <cell r="N1231">
            <v>11.5</v>
          </cell>
          <cell r="O1231">
            <v>0.88090000000000002</v>
          </cell>
          <cell r="P1231">
            <v>0.14649999999999999</v>
          </cell>
          <cell r="Q1231">
            <v>0.44679999999999997</v>
          </cell>
          <cell r="R1231">
            <v>0.28760000000000002</v>
          </cell>
          <cell r="S1231" t="str">
            <v>NA</v>
          </cell>
          <cell r="T1231">
            <v>59</v>
          </cell>
          <cell r="U1231">
            <v>4.8</v>
          </cell>
          <cell r="V1231">
            <v>75.400000000000006</v>
          </cell>
          <cell r="W1231">
            <v>7.6</v>
          </cell>
          <cell r="X1231">
            <v>51.8</v>
          </cell>
          <cell r="Y1231">
            <v>6.7</v>
          </cell>
          <cell r="Z1231" t="str">
            <v>NA</v>
          </cell>
          <cell r="AA1231" t="str">
            <v>NA</v>
          </cell>
        </row>
        <row r="1232">
          <cell r="A1232">
            <v>45154</v>
          </cell>
          <cell r="B1232" t="str">
            <v>A2</v>
          </cell>
          <cell r="C1232">
            <v>1</v>
          </cell>
          <cell r="D1232">
            <v>1</v>
          </cell>
          <cell r="E1232" t="str">
            <v>ARIS.A2.Aim1.Bin1.RB</v>
          </cell>
          <cell r="F1232">
            <v>4</v>
          </cell>
          <cell r="G1232" t="str">
            <v>Unweighted</v>
          </cell>
          <cell r="H1232" t="str">
            <v>N</v>
          </cell>
          <cell r="I1232" t="str">
            <v>Y</v>
          </cell>
          <cell r="J1232">
            <v>143</v>
          </cell>
          <cell r="K1232">
            <v>1.0001</v>
          </cell>
          <cell r="L1232">
            <v>0.79600000000000004</v>
          </cell>
          <cell r="M1232">
            <v>25.8</v>
          </cell>
          <cell r="N1232">
            <v>8.1999999999999993</v>
          </cell>
          <cell r="O1232">
            <v>0.2041</v>
          </cell>
          <cell r="P1232">
            <v>9.2100000000000001E-2</v>
          </cell>
          <cell r="Q1232">
            <v>5.8299999999999998E-2</v>
          </cell>
          <cell r="R1232">
            <v>5.3699999999999998E-2</v>
          </cell>
          <cell r="S1232" t="str">
            <v>NA</v>
          </cell>
          <cell r="T1232">
            <v>59</v>
          </cell>
          <cell r="U1232">
            <v>4.8</v>
          </cell>
          <cell r="V1232">
            <v>75.400000000000006</v>
          </cell>
          <cell r="W1232">
            <v>7.6</v>
          </cell>
          <cell r="X1232">
            <v>51.8</v>
          </cell>
          <cell r="Y1232">
            <v>6.7</v>
          </cell>
          <cell r="Z1232" t="str">
            <v>NA</v>
          </cell>
          <cell r="AA1232" t="str">
            <v>NA</v>
          </cell>
        </row>
        <row r="1233">
          <cell r="A1233">
            <v>45154</v>
          </cell>
          <cell r="B1233" t="str">
            <v>A2</v>
          </cell>
          <cell r="C1233">
            <v>2</v>
          </cell>
          <cell r="D1233">
            <v>1</v>
          </cell>
          <cell r="E1233" t="str">
            <v>ARIS.A2.Aim1.Bin2.RB</v>
          </cell>
          <cell r="F1233">
            <v>4</v>
          </cell>
          <cell r="G1233" t="str">
            <v>Unweighted</v>
          </cell>
          <cell r="H1233" t="str">
            <v>N</v>
          </cell>
          <cell r="I1233" t="str">
            <v>Y</v>
          </cell>
          <cell r="J1233">
            <v>152</v>
          </cell>
          <cell r="K1233">
            <v>1</v>
          </cell>
          <cell r="L1233">
            <v>0.60389999999999999</v>
          </cell>
          <cell r="M1233">
            <v>28.5</v>
          </cell>
          <cell r="N1233">
            <v>7.9</v>
          </cell>
          <cell r="O1233">
            <v>0.39610000000000001</v>
          </cell>
          <cell r="P1233">
            <v>0.184</v>
          </cell>
          <cell r="Q1233">
            <v>0.1618</v>
          </cell>
          <cell r="R1233">
            <v>5.0299999999999997E-2</v>
          </cell>
          <cell r="S1233" t="str">
            <v>NA</v>
          </cell>
          <cell r="T1233">
            <v>59</v>
          </cell>
          <cell r="U1233">
            <v>4.8</v>
          </cell>
          <cell r="V1233">
            <v>75.400000000000006</v>
          </cell>
          <cell r="W1233">
            <v>7.6</v>
          </cell>
          <cell r="X1233">
            <v>51.8</v>
          </cell>
          <cell r="Y1233">
            <v>6.7</v>
          </cell>
          <cell r="Z1233" t="str">
            <v>NA</v>
          </cell>
          <cell r="AA1233" t="str">
            <v>NA</v>
          </cell>
        </row>
        <row r="1234">
          <cell r="A1234">
            <v>45154</v>
          </cell>
          <cell r="B1234" t="str">
            <v>A2</v>
          </cell>
          <cell r="C1234">
            <v>3</v>
          </cell>
          <cell r="D1234">
            <v>1</v>
          </cell>
          <cell r="E1234" t="str">
            <v>ARIS.A2.Aim1.Bin3.RB</v>
          </cell>
          <cell r="F1234">
            <v>4</v>
          </cell>
          <cell r="G1234" t="str">
            <v>Unweighted</v>
          </cell>
          <cell r="H1234" t="str">
            <v>N</v>
          </cell>
          <cell r="I1234" t="str">
            <v>Y</v>
          </cell>
          <cell r="J1234">
            <v>151</v>
          </cell>
          <cell r="K1234">
            <v>1</v>
          </cell>
          <cell r="L1234">
            <v>0.35039999999999999</v>
          </cell>
          <cell r="M1234">
            <v>32.299999999999997</v>
          </cell>
          <cell r="N1234">
            <v>6.6</v>
          </cell>
          <cell r="O1234">
            <v>0.64959999999999996</v>
          </cell>
          <cell r="P1234">
            <v>3.5999999999999997E-2</v>
          </cell>
          <cell r="Q1234">
            <v>0.3659</v>
          </cell>
          <cell r="R1234">
            <v>0.2477</v>
          </cell>
          <cell r="S1234" t="str">
            <v>NA</v>
          </cell>
          <cell r="T1234">
            <v>59</v>
          </cell>
          <cell r="U1234">
            <v>4.8</v>
          </cell>
          <cell r="V1234">
            <v>75.400000000000006</v>
          </cell>
          <cell r="W1234">
            <v>7.6</v>
          </cell>
          <cell r="X1234">
            <v>51.8</v>
          </cell>
          <cell r="Y1234">
            <v>6.7</v>
          </cell>
          <cell r="Z1234" t="str">
            <v>NA</v>
          </cell>
          <cell r="AA1234" t="str">
            <v>NA</v>
          </cell>
        </row>
        <row r="1235">
          <cell r="A1235">
            <v>45154</v>
          </cell>
          <cell r="B1235" t="str">
            <v>A2</v>
          </cell>
          <cell r="C1235">
            <v>4</v>
          </cell>
          <cell r="D1235">
            <v>1</v>
          </cell>
          <cell r="E1235" t="str">
            <v>ARIS.A2.Aim1.Bin4.RB</v>
          </cell>
          <cell r="F1235">
            <v>4</v>
          </cell>
          <cell r="G1235" t="str">
            <v>Unweighted</v>
          </cell>
          <cell r="H1235" t="str">
            <v>N</v>
          </cell>
          <cell r="I1235" t="str">
            <v>Y</v>
          </cell>
          <cell r="J1235">
            <v>151</v>
          </cell>
          <cell r="K1235">
            <v>1</v>
          </cell>
          <cell r="L1235">
            <v>0.35039999999999999</v>
          </cell>
          <cell r="M1235">
            <v>32.299999999999997</v>
          </cell>
          <cell r="N1235">
            <v>6.6</v>
          </cell>
          <cell r="O1235">
            <v>0.64959999999999996</v>
          </cell>
          <cell r="P1235">
            <v>3.5999999999999997E-2</v>
          </cell>
          <cell r="Q1235">
            <v>0.3659</v>
          </cell>
          <cell r="R1235">
            <v>0.2477</v>
          </cell>
          <cell r="S1235" t="str">
            <v>NA</v>
          </cell>
          <cell r="T1235">
            <v>59</v>
          </cell>
          <cell r="U1235">
            <v>4.8</v>
          </cell>
          <cell r="V1235">
            <v>75.400000000000006</v>
          </cell>
          <cell r="W1235">
            <v>7.6</v>
          </cell>
          <cell r="X1235">
            <v>51.8</v>
          </cell>
          <cell r="Y1235">
            <v>6.7</v>
          </cell>
          <cell r="Z1235" t="str">
            <v>NA</v>
          </cell>
          <cell r="AA1235" t="str">
            <v>NA</v>
          </cell>
        </row>
        <row r="1236">
          <cell r="A1236">
            <v>45154</v>
          </cell>
          <cell r="B1236" t="str">
            <v>A1</v>
          </cell>
          <cell r="C1236">
            <v>1</v>
          </cell>
          <cell r="D1236">
            <v>1</v>
          </cell>
          <cell r="E1236" t="str">
            <v>ARIS.A1.Aim1.Bin1.LB</v>
          </cell>
          <cell r="F1236">
            <v>4</v>
          </cell>
          <cell r="G1236" t="str">
            <v>SplineDFA</v>
          </cell>
          <cell r="H1236" t="str">
            <v>Y</v>
          </cell>
          <cell r="I1236" t="str">
            <v>N</v>
          </cell>
          <cell r="J1236">
            <v>161</v>
          </cell>
          <cell r="K1236">
            <v>1.0001</v>
          </cell>
          <cell r="L1236">
            <v>0.61680000000000001</v>
          </cell>
          <cell r="M1236">
            <v>23.7</v>
          </cell>
          <cell r="N1236">
            <v>2.7</v>
          </cell>
          <cell r="O1236">
            <v>0.38329999999999997</v>
          </cell>
          <cell r="P1236">
            <v>0.14380000000000001</v>
          </cell>
          <cell r="Q1236">
            <v>5.0500000000000003E-2</v>
          </cell>
          <cell r="R1236">
            <v>0.189</v>
          </cell>
          <cell r="S1236" t="str">
            <v>NA</v>
          </cell>
          <cell r="T1236">
            <v>59</v>
          </cell>
          <cell r="U1236">
            <v>4.8</v>
          </cell>
          <cell r="V1236">
            <v>75.400000000000006</v>
          </cell>
          <cell r="W1236">
            <v>7.6</v>
          </cell>
          <cell r="X1236">
            <v>51.8</v>
          </cell>
          <cell r="Y1236">
            <v>6.7</v>
          </cell>
          <cell r="Z1236" t="str">
            <v>NA</v>
          </cell>
          <cell r="AA1236" t="str">
            <v>NA</v>
          </cell>
        </row>
        <row r="1237">
          <cell r="A1237">
            <v>45154</v>
          </cell>
          <cell r="B1237" t="str">
            <v>A1</v>
          </cell>
          <cell r="C1237">
            <v>1</v>
          </cell>
          <cell r="D1237">
            <v>2</v>
          </cell>
          <cell r="E1237" t="str">
            <v>ARIS.A1.Aim2.Bin1.LB</v>
          </cell>
          <cell r="F1237">
            <v>4</v>
          </cell>
          <cell r="G1237" t="str">
            <v>SplineDFA</v>
          </cell>
          <cell r="H1237" t="str">
            <v>Y</v>
          </cell>
          <cell r="I1237" t="str">
            <v>N</v>
          </cell>
          <cell r="J1237">
            <v>192</v>
          </cell>
          <cell r="K1237">
            <v>1</v>
          </cell>
          <cell r="L1237">
            <v>0.45479999999999998</v>
          </cell>
          <cell r="M1237">
            <v>23.7</v>
          </cell>
          <cell r="N1237">
            <v>2.7</v>
          </cell>
          <cell r="O1237">
            <v>0.54520000000000002</v>
          </cell>
          <cell r="P1237">
            <v>0.3196</v>
          </cell>
          <cell r="Q1237">
            <v>0.1062</v>
          </cell>
          <cell r="R1237">
            <v>0.11940000000000001</v>
          </cell>
          <cell r="S1237" t="str">
            <v>NA</v>
          </cell>
          <cell r="T1237">
            <v>59</v>
          </cell>
          <cell r="U1237">
            <v>4.8</v>
          </cell>
          <cell r="V1237">
            <v>75.400000000000006</v>
          </cell>
          <cell r="W1237">
            <v>7.6</v>
          </cell>
          <cell r="X1237">
            <v>51.8</v>
          </cell>
          <cell r="Y1237">
            <v>6.7</v>
          </cell>
          <cell r="Z1237" t="str">
            <v>NA</v>
          </cell>
          <cell r="AA1237" t="str">
            <v>NA</v>
          </cell>
        </row>
        <row r="1238">
          <cell r="A1238">
            <v>45154</v>
          </cell>
          <cell r="B1238" t="str">
            <v>A1</v>
          </cell>
          <cell r="C1238">
            <v>2</v>
          </cell>
          <cell r="D1238">
            <v>3</v>
          </cell>
          <cell r="E1238" t="str">
            <v>ARIS.A1.Aim3.Bin2.LB</v>
          </cell>
          <cell r="F1238">
            <v>4</v>
          </cell>
          <cell r="G1238" t="str">
            <v>SplineDFA</v>
          </cell>
          <cell r="H1238" t="str">
            <v>Y</v>
          </cell>
          <cell r="I1238" t="str">
            <v>N</v>
          </cell>
          <cell r="J1238">
            <v>178</v>
          </cell>
          <cell r="K1238">
            <v>1</v>
          </cell>
          <cell r="L1238">
            <v>0.12759999999999999</v>
          </cell>
          <cell r="M1238">
            <v>23.7</v>
          </cell>
          <cell r="N1238">
            <v>2.7</v>
          </cell>
          <cell r="O1238">
            <v>0.87239999999999995</v>
          </cell>
          <cell r="P1238">
            <v>0.3246</v>
          </cell>
          <cell r="Q1238">
            <v>0.2999</v>
          </cell>
          <cell r="R1238">
            <v>0.24790000000000001</v>
          </cell>
          <cell r="S1238" t="str">
            <v>NA</v>
          </cell>
          <cell r="T1238">
            <v>59</v>
          </cell>
          <cell r="U1238">
            <v>4.8</v>
          </cell>
          <cell r="V1238">
            <v>75.400000000000006</v>
          </cell>
          <cell r="W1238">
            <v>7.6</v>
          </cell>
          <cell r="X1238">
            <v>51.8</v>
          </cell>
          <cell r="Y1238">
            <v>6.7</v>
          </cell>
          <cell r="Z1238" t="str">
            <v>NA</v>
          </cell>
          <cell r="AA1238" t="str">
            <v>NA</v>
          </cell>
        </row>
        <row r="1239">
          <cell r="A1239">
            <v>45154</v>
          </cell>
          <cell r="B1239" t="str">
            <v>A1</v>
          </cell>
          <cell r="C1239">
            <v>3</v>
          </cell>
          <cell r="D1239">
            <v>3</v>
          </cell>
          <cell r="E1239" t="str">
            <v>ARIS.A1.Aim3.Bin3.LB</v>
          </cell>
          <cell r="F1239">
            <v>4</v>
          </cell>
          <cell r="G1239" t="str">
            <v>SplineDFA</v>
          </cell>
          <cell r="H1239" t="str">
            <v>Y</v>
          </cell>
          <cell r="I1239" t="str">
            <v>N</v>
          </cell>
          <cell r="J1239">
            <v>174</v>
          </cell>
          <cell r="K1239">
            <v>1</v>
          </cell>
          <cell r="L1239">
            <v>3.7600000000000001E-2</v>
          </cell>
          <cell r="M1239">
            <v>23.7</v>
          </cell>
          <cell r="N1239">
            <v>2.7</v>
          </cell>
          <cell r="O1239">
            <v>0.96240000000000003</v>
          </cell>
          <cell r="P1239">
            <v>0.29299999999999998</v>
          </cell>
          <cell r="Q1239">
            <v>0.3876</v>
          </cell>
          <cell r="R1239">
            <v>0.28179999999999999</v>
          </cell>
          <cell r="S1239" t="str">
            <v>NA</v>
          </cell>
          <cell r="T1239">
            <v>59</v>
          </cell>
          <cell r="U1239">
            <v>4.8</v>
          </cell>
          <cell r="V1239">
            <v>75.400000000000006</v>
          </cell>
          <cell r="W1239">
            <v>7.6</v>
          </cell>
          <cell r="X1239">
            <v>51.8</v>
          </cell>
          <cell r="Y1239">
            <v>6.7</v>
          </cell>
          <cell r="Z1239" t="str">
            <v>NA</v>
          </cell>
          <cell r="AA1239" t="str">
            <v>NA</v>
          </cell>
        </row>
        <row r="1240">
          <cell r="A1240">
            <v>45154</v>
          </cell>
          <cell r="B1240" t="str">
            <v>A1</v>
          </cell>
          <cell r="C1240">
            <v>4</v>
          </cell>
          <cell r="D1240">
            <v>3</v>
          </cell>
          <cell r="E1240" t="str">
            <v>ARIS.A1.Aim3.Bin4.LB</v>
          </cell>
          <cell r="F1240">
            <v>4</v>
          </cell>
          <cell r="G1240" t="str">
            <v>SplineDFA</v>
          </cell>
          <cell r="H1240" t="str">
            <v>Y</v>
          </cell>
          <cell r="I1240" t="str">
            <v>N</v>
          </cell>
          <cell r="J1240">
            <v>174</v>
          </cell>
          <cell r="K1240">
            <v>1</v>
          </cell>
          <cell r="L1240">
            <v>3.7600000000000001E-2</v>
          </cell>
          <cell r="M1240">
            <v>23.7</v>
          </cell>
          <cell r="N1240">
            <v>2.7</v>
          </cell>
          <cell r="O1240">
            <v>0.96240000000000003</v>
          </cell>
          <cell r="P1240">
            <v>0.29299999999999998</v>
          </cell>
          <cell r="Q1240">
            <v>0.3876</v>
          </cell>
          <cell r="R1240">
            <v>0.28179999999999999</v>
          </cell>
          <cell r="S1240" t="str">
            <v>NA</v>
          </cell>
          <cell r="T1240">
            <v>59</v>
          </cell>
          <cell r="U1240">
            <v>4.8</v>
          </cell>
          <cell r="V1240">
            <v>75.400000000000006</v>
          </cell>
          <cell r="W1240">
            <v>7.6</v>
          </cell>
          <cell r="X1240">
            <v>51.8</v>
          </cell>
          <cell r="Y1240">
            <v>6.7</v>
          </cell>
          <cell r="Z1240" t="str">
            <v>NA</v>
          </cell>
          <cell r="AA1240" t="str">
            <v>NA</v>
          </cell>
        </row>
        <row r="1241">
          <cell r="A1241">
            <v>45154</v>
          </cell>
          <cell r="B1241" t="str">
            <v>A2</v>
          </cell>
          <cell r="C1241">
            <v>1</v>
          </cell>
          <cell r="D1241">
            <v>1</v>
          </cell>
          <cell r="E1241" t="str">
            <v>ARIS.A2.Aim1.Bin1.RB</v>
          </cell>
          <cell r="F1241">
            <v>4</v>
          </cell>
          <cell r="G1241" t="str">
            <v>SplineDFA</v>
          </cell>
          <cell r="H1241" t="str">
            <v>Y</v>
          </cell>
          <cell r="I1241" t="str">
            <v>N</v>
          </cell>
          <cell r="J1241">
            <v>143</v>
          </cell>
          <cell r="K1241">
            <v>1</v>
          </cell>
          <cell r="L1241">
            <v>0.63880000000000003</v>
          </cell>
          <cell r="M1241">
            <v>23.7</v>
          </cell>
          <cell r="N1241">
            <v>2.7</v>
          </cell>
          <cell r="O1241">
            <v>0.36120000000000002</v>
          </cell>
          <cell r="P1241">
            <v>6.9900000000000004E-2</v>
          </cell>
          <cell r="Q1241">
            <v>5.0299999999999997E-2</v>
          </cell>
          <cell r="R1241">
            <v>0.24099999999999999</v>
          </cell>
          <cell r="S1241" t="str">
            <v>NA</v>
          </cell>
          <cell r="T1241">
            <v>59</v>
          </cell>
          <cell r="U1241">
            <v>4.8</v>
          </cell>
          <cell r="V1241">
            <v>75.400000000000006</v>
          </cell>
          <cell r="W1241">
            <v>7.6</v>
          </cell>
          <cell r="X1241">
            <v>51.8</v>
          </cell>
          <cell r="Y1241">
            <v>6.7</v>
          </cell>
          <cell r="Z1241" t="str">
            <v>NA</v>
          </cell>
          <cell r="AA1241" t="str">
            <v>NA</v>
          </cell>
        </row>
        <row r="1242">
          <cell r="A1242">
            <v>45154</v>
          </cell>
          <cell r="B1242" t="str">
            <v>A2</v>
          </cell>
          <cell r="C1242">
            <v>2</v>
          </cell>
          <cell r="D1242">
            <v>1</v>
          </cell>
          <cell r="E1242" t="str">
            <v>ARIS.A2.Aim1.Bin2.RB</v>
          </cell>
          <cell r="F1242">
            <v>4</v>
          </cell>
          <cell r="G1242" t="str">
            <v>SplineDFA</v>
          </cell>
          <cell r="H1242" t="str">
            <v>Y</v>
          </cell>
          <cell r="I1242" t="str">
            <v>N</v>
          </cell>
          <cell r="J1242">
            <v>152</v>
          </cell>
          <cell r="K1242">
            <v>1.0001</v>
          </cell>
          <cell r="L1242">
            <v>0.39510000000000001</v>
          </cell>
          <cell r="M1242">
            <v>23.7</v>
          </cell>
          <cell r="N1242">
            <v>2.7</v>
          </cell>
          <cell r="O1242">
            <v>0.60499999999999998</v>
          </cell>
          <cell r="P1242">
            <v>0.16750000000000001</v>
          </cell>
          <cell r="Q1242">
            <v>0.159</v>
          </cell>
          <cell r="R1242">
            <v>0.27850000000000003</v>
          </cell>
          <cell r="S1242" t="str">
            <v>NA</v>
          </cell>
          <cell r="T1242">
            <v>59</v>
          </cell>
          <cell r="U1242">
            <v>4.8</v>
          </cell>
          <cell r="V1242">
            <v>75.400000000000006</v>
          </cell>
          <cell r="W1242">
            <v>7.6</v>
          </cell>
          <cell r="X1242">
            <v>51.8</v>
          </cell>
          <cell r="Y1242">
            <v>6.7</v>
          </cell>
          <cell r="Z1242" t="str">
            <v>NA</v>
          </cell>
          <cell r="AA1242" t="str">
            <v>NA</v>
          </cell>
        </row>
        <row r="1243">
          <cell r="A1243">
            <v>45154</v>
          </cell>
          <cell r="B1243" t="str">
            <v>A2</v>
          </cell>
          <cell r="C1243">
            <v>3</v>
          </cell>
          <cell r="D1243">
            <v>1</v>
          </cell>
          <cell r="E1243" t="str">
            <v>ARIS.A2.Aim1.Bin3.RB</v>
          </cell>
          <cell r="F1243">
            <v>4</v>
          </cell>
          <cell r="G1243" t="str">
            <v>SplineDFA</v>
          </cell>
          <cell r="H1243" t="str">
            <v>Y</v>
          </cell>
          <cell r="I1243" t="str">
            <v>N</v>
          </cell>
          <cell r="J1243">
            <v>151</v>
          </cell>
          <cell r="K1243">
            <v>1</v>
          </cell>
          <cell r="L1243">
            <v>0.1656</v>
          </cell>
          <cell r="M1243">
            <v>23.7</v>
          </cell>
          <cell r="N1243">
            <v>2.7</v>
          </cell>
          <cell r="O1243">
            <v>0.83440000000000003</v>
          </cell>
          <cell r="P1243">
            <v>0.1401</v>
          </cell>
          <cell r="Q1243">
            <v>0.3488</v>
          </cell>
          <cell r="R1243">
            <v>0.34549999999999997</v>
          </cell>
          <cell r="S1243" t="str">
            <v>NA</v>
          </cell>
          <cell r="T1243">
            <v>59</v>
          </cell>
          <cell r="U1243">
            <v>4.8</v>
          </cell>
          <cell r="V1243">
            <v>75.400000000000006</v>
          </cell>
          <cell r="W1243">
            <v>7.6</v>
          </cell>
          <cell r="X1243">
            <v>51.8</v>
          </cell>
          <cell r="Y1243">
            <v>6.7</v>
          </cell>
          <cell r="Z1243" t="str">
            <v>NA</v>
          </cell>
          <cell r="AA1243" t="str">
            <v>NA</v>
          </cell>
        </row>
        <row r="1244">
          <cell r="A1244">
            <v>45154</v>
          </cell>
          <cell r="B1244" t="str">
            <v>A2</v>
          </cell>
          <cell r="C1244">
            <v>4</v>
          </cell>
          <cell r="D1244">
            <v>1</v>
          </cell>
          <cell r="E1244" t="str">
            <v>ARIS.A2.Aim1.Bin4.RB</v>
          </cell>
          <cell r="F1244">
            <v>4</v>
          </cell>
          <cell r="G1244" t="str">
            <v>SplineDFA</v>
          </cell>
          <cell r="H1244" t="str">
            <v>Y</v>
          </cell>
          <cell r="I1244" t="str">
            <v>N</v>
          </cell>
          <cell r="J1244">
            <v>151</v>
          </cell>
          <cell r="K1244">
            <v>1</v>
          </cell>
          <cell r="L1244">
            <v>0.1656</v>
          </cell>
          <cell r="M1244">
            <v>23.7</v>
          </cell>
          <cell r="N1244">
            <v>2.7</v>
          </cell>
          <cell r="O1244">
            <v>0.83440000000000003</v>
          </cell>
          <cell r="P1244">
            <v>0.1401</v>
          </cell>
          <cell r="Q1244">
            <v>0.3488</v>
          </cell>
          <cell r="R1244">
            <v>0.34549999999999997</v>
          </cell>
          <cell r="S1244" t="str">
            <v>NA</v>
          </cell>
          <cell r="T1244">
            <v>59</v>
          </cell>
          <cell r="U1244">
            <v>4.8</v>
          </cell>
          <cell r="V1244">
            <v>75.400000000000006</v>
          </cell>
          <cell r="W1244">
            <v>7.6</v>
          </cell>
          <cell r="X1244">
            <v>51.8</v>
          </cell>
          <cell r="Y1244">
            <v>6.7</v>
          </cell>
          <cell r="Z1244" t="str">
            <v>NA</v>
          </cell>
          <cell r="AA1244" t="str">
            <v>NA</v>
          </cell>
        </row>
        <row r="1245">
          <cell r="A1245">
            <v>45154</v>
          </cell>
          <cell r="B1245" t="str">
            <v>A1</v>
          </cell>
          <cell r="C1245">
            <v>1</v>
          </cell>
          <cell r="D1245">
            <v>1</v>
          </cell>
          <cell r="E1245" t="str">
            <v>ARIS.A1.Aim1.Bin1.LB</v>
          </cell>
          <cell r="F1245">
            <v>3</v>
          </cell>
          <cell r="G1245" t="str">
            <v>Unweighted</v>
          </cell>
          <cell r="H1245" t="str">
            <v>N</v>
          </cell>
          <cell r="I1245" t="str">
            <v>N</v>
          </cell>
          <cell r="J1245">
            <v>161</v>
          </cell>
          <cell r="K1245">
            <v>1</v>
          </cell>
          <cell r="L1245">
            <v>0.77139999999999997</v>
          </cell>
          <cell r="M1245">
            <v>24.4</v>
          </cell>
          <cell r="N1245">
            <v>11.3</v>
          </cell>
          <cell r="O1245">
            <v>0.2286</v>
          </cell>
          <cell r="P1245">
            <v>0.18029999999999999</v>
          </cell>
          <cell r="Q1245">
            <v>4.8300000000000003E-2</v>
          </cell>
          <cell r="R1245" t="str">
            <v>NA</v>
          </cell>
          <cell r="S1245" t="str">
            <v>NA</v>
          </cell>
          <cell r="T1245">
            <v>59</v>
          </cell>
          <cell r="U1245">
            <v>4.8</v>
          </cell>
          <cell r="V1245">
            <v>75.400000000000006</v>
          </cell>
          <cell r="W1245">
            <v>7.6</v>
          </cell>
          <cell r="X1245" t="str">
            <v>NA</v>
          </cell>
          <cell r="Y1245" t="str">
            <v>NA</v>
          </cell>
          <cell r="Z1245" t="str">
            <v>NA</v>
          </cell>
          <cell r="AA1245" t="str">
            <v>NA</v>
          </cell>
        </row>
        <row r="1246">
          <cell r="A1246">
            <v>45154</v>
          </cell>
          <cell r="B1246" t="str">
            <v>A1</v>
          </cell>
          <cell r="C1246">
            <v>1</v>
          </cell>
          <cell r="D1246">
            <v>2</v>
          </cell>
          <cell r="E1246" t="str">
            <v>ARIS.A1.Aim2.Bin1.LB</v>
          </cell>
          <cell r="F1246">
            <v>3</v>
          </cell>
          <cell r="G1246" t="str">
            <v>Unweighted</v>
          </cell>
          <cell r="H1246" t="str">
            <v>N</v>
          </cell>
          <cell r="I1246" t="str">
            <v>N</v>
          </cell>
          <cell r="J1246">
            <v>192</v>
          </cell>
          <cell r="K1246">
            <v>0.99990000000000001</v>
          </cell>
          <cell r="L1246">
            <v>0.62609999999999999</v>
          </cell>
          <cell r="M1246">
            <v>22.9</v>
          </cell>
          <cell r="N1246">
            <v>9.1</v>
          </cell>
          <cell r="O1246">
            <v>0.37380000000000002</v>
          </cell>
          <cell r="P1246">
            <v>0.33079999999999998</v>
          </cell>
          <cell r="Q1246">
            <v>4.2999999999999997E-2</v>
          </cell>
          <cell r="R1246" t="str">
            <v>NA</v>
          </cell>
          <cell r="S1246" t="str">
            <v>NA</v>
          </cell>
          <cell r="T1246">
            <v>59</v>
          </cell>
          <cell r="U1246">
            <v>4.8</v>
          </cell>
          <cell r="V1246">
            <v>75.400000000000006</v>
          </cell>
          <cell r="W1246">
            <v>7.6</v>
          </cell>
          <cell r="X1246" t="str">
            <v>NA</v>
          </cell>
          <cell r="Y1246" t="str">
            <v>NA</v>
          </cell>
          <cell r="Z1246" t="str">
            <v>NA</v>
          </cell>
          <cell r="AA1246" t="str">
            <v>NA</v>
          </cell>
        </row>
        <row r="1247">
          <cell r="A1247">
            <v>45154</v>
          </cell>
          <cell r="B1247" t="str">
            <v>A1</v>
          </cell>
          <cell r="C1247">
            <v>1</v>
          </cell>
          <cell r="D1247" t="str">
            <v>1&amp;2</v>
          </cell>
          <cell r="E1247" t="str">
            <v>ARIS.A1.Aim1&amp;Aim2.Bin1.LB</v>
          </cell>
          <cell r="F1247">
            <v>3</v>
          </cell>
          <cell r="G1247" t="str">
            <v>Unweighted</v>
          </cell>
          <cell r="H1247" t="str">
            <v>N</v>
          </cell>
          <cell r="I1247" t="str">
            <v>N</v>
          </cell>
          <cell r="J1247">
            <v>353</v>
          </cell>
          <cell r="K1247">
            <v>1</v>
          </cell>
          <cell r="L1247">
            <v>0.69440000000000002</v>
          </cell>
          <cell r="M1247">
            <v>23.7</v>
          </cell>
          <cell r="N1247">
            <v>10.3</v>
          </cell>
          <cell r="O1247">
            <v>0.30559999999999998</v>
          </cell>
          <cell r="P1247">
            <v>0.25940000000000002</v>
          </cell>
          <cell r="Q1247">
            <v>4.6199999999999998E-2</v>
          </cell>
          <cell r="R1247" t="str">
            <v>NA</v>
          </cell>
          <cell r="S1247" t="str">
            <v>NA</v>
          </cell>
          <cell r="T1247">
            <v>59</v>
          </cell>
          <cell r="U1247">
            <v>4.8</v>
          </cell>
          <cell r="V1247">
            <v>75.400000000000006</v>
          </cell>
          <cell r="W1247">
            <v>7.6</v>
          </cell>
          <cell r="X1247" t="str">
            <v>NA</v>
          </cell>
          <cell r="Y1247" t="str">
            <v>NA</v>
          </cell>
          <cell r="Z1247" t="str">
            <v>NA</v>
          </cell>
          <cell r="AA1247" t="str">
            <v>NA</v>
          </cell>
        </row>
        <row r="1248">
          <cell r="A1248">
            <v>45154</v>
          </cell>
          <cell r="B1248" t="str">
            <v>A1</v>
          </cell>
          <cell r="C1248">
            <v>2</v>
          </cell>
          <cell r="D1248">
            <v>3</v>
          </cell>
          <cell r="E1248" t="str">
            <v>ARIS.A1.Aim3.Bin2.LB</v>
          </cell>
          <cell r="F1248">
            <v>3</v>
          </cell>
          <cell r="G1248" t="str">
            <v>Unweighted</v>
          </cell>
          <cell r="H1248" t="str">
            <v>N</v>
          </cell>
          <cell r="I1248" t="str">
            <v>N</v>
          </cell>
          <cell r="J1248">
            <v>178</v>
          </cell>
          <cell r="K1248">
            <v>1</v>
          </cell>
          <cell r="L1248">
            <v>0.3992</v>
          </cell>
          <cell r="M1248">
            <v>23.7</v>
          </cell>
          <cell r="N1248">
            <v>14.9</v>
          </cell>
          <cell r="O1248">
            <v>0.6008</v>
          </cell>
          <cell r="P1248">
            <v>0.3765</v>
          </cell>
          <cell r="Q1248">
            <v>0.2243</v>
          </cell>
          <cell r="R1248" t="str">
            <v>NA</v>
          </cell>
          <cell r="S1248" t="str">
            <v>NA</v>
          </cell>
          <cell r="T1248">
            <v>59</v>
          </cell>
          <cell r="U1248">
            <v>4.8</v>
          </cell>
          <cell r="V1248">
            <v>75.400000000000006</v>
          </cell>
          <cell r="W1248">
            <v>7.6</v>
          </cell>
          <cell r="X1248" t="str">
            <v>NA</v>
          </cell>
          <cell r="Y1248" t="str">
            <v>NA</v>
          </cell>
          <cell r="Z1248" t="str">
            <v>NA</v>
          </cell>
          <cell r="AA1248" t="str">
            <v>NA</v>
          </cell>
        </row>
        <row r="1249">
          <cell r="A1249">
            <v>45154</v>
          </cell>
          <cell r="B1249" t="str">
            <v>A1</v>
          </cell>
          <cell r="C1249">
            <v>3</v>
          </cell>
          <cell r="D1249">
            <v>3</v>
          </cell>
          <cell r="E1249" t="str">
            <v>ARIS.A1.Aim3.Bin3.LB</v>
          </cell>
          <cell r="F1249">
            <v>3</v>
          </cell>
          <cell r="G1249" t="str">
            <v>Unweighted</v>
          </cell>
          <cell r="H1249" t="str">
            <v>N</v>
          </cell>
          <cell r="I1249" t="str">
            <v>N</v>
          </cell>
          <cell r="J1249">
            <v>174</v>
          </cell>
          <cell r="K1249">
            <v>1</v>
          </cell>
          <cell r="L1249">
            <v>0.26369999999999999</v>
          </cell>
          <cell r="M1249">
            <v>23.7</v>
          </cell>
          <cell r="N1249">
            <v>17.8</v>
          </cell>
          <cell r="O1249">
            <v>0.73629999999999995</v>
          </cell>
          <cell r="P1249">
            <v>0.31890000000000002</v>
          </cell>
          <cell r="Q1249">
            <v>0.41739999999999999</v>
          </cell>
          <cell r="R1249" t="str">
            <v>NA</v>
          </cell>
          <cell r="S1249" t="str">
            <v>NA</v>
          </cell>
          <cell r="T1249">
            <v>59</v>
          </cell>
          <cell r="U1249">
            <v>4.8</v>
          </cell>
          <cell r="V1249">
            <v>75.400000000000006</v>
          </cell>
          <cell r="W1249">
            <v>7.6</v>
          </cell>
          <cell r="X1249" t="str">
            <v>NA</v>
          </cell>
          <cell r="Y1249" t="str">
            <v>NA</v>
          </cell>
          <cell r="Z1249" t="str">
            <v>NA</v>
          </cell>
          <cell r="AA1249" t="str">
            <v>NA</v>
          </cell>
        </row>
        <row r="1250">
          <cell r="A1250">
            <v>45154</v>
          </cell>
          <cell r="B1250" t="str">
            <v>A1</v>
          </cell>
          <cell r="C1250">
            <v>4</v>
          </cell>
          <cell r="D1250">
            <v>3</v>
          </cell>
          <cell r="E1250" t="str">
            <v>ARIS.A1.Aim3.Bin4.LB</v>
          </cell>
          <cell r="F1250">
            <v>3</v>
          </cell>
          <cell r="G1250" t="str">
            <v>Unweighted</v>
          </cell>
          <cell r="H1250" t="str">
            <v>N</v>
          </cell>
          <cell r="I1250" t="str">
            <v>N</v>
          </cell>
          <cell r="J1250">
            <v>174</v>
          </cell>
          <cell r="K1250">
            <v>1</v>
          </cell>
          <cell r="L1250">
            <v>0.26369999999999999</v>
          </cell>
          <cell r="M1250">
            <v>23.7</v>
          </cell>
          <cell r="N1250">
            <v>17.8</v>
          </cell>
          <cell r="O1250">
            <v>0.73629999999999995</v>
          </cell>
          <cell r="P1250">
            <v>0.31890000000000002</v>
          </cell>
          <cell r="Q1250">
            <v>0.41739999999999999</v>
          </cell>
          <cell r="R1250" t="str">
            <v>NA</v>
          </cell>
          <cell r="S1250" t="str">
            <v>NA</v>
          </cell>
          <cell r="T1250">
            <v>59</v>
          </cell>
          <cell r="U1250">
            <v>4.8</v>
          </cell>
          <cell r="V1250">
            <v>75.400000000000006</v>
          </cell>
          <cell r="W1250">
            <v>7.6</v>
          </cell>
          <cell r="X1250" t="str">
            <v>NA</v>
          </cell>
          <cell r="Y1250" t="str">
            <v>NA</v>
          </cell>
          <cell r="Z1250" t="str">
            <v>NA</v>
          </cell>
          <cell r="AA1250" t="str">
            <v>NA</v>
          </cell>
        </row>
        <row r="1251">
          <cell r="A1251">
            <v>45154</v>
          </cell>
          <cell r="B1251" t="str">
            <v>A2</v>
          </cell>
          <cell r="C1251">
            <v>1</v>
          </cell>
          <cell r="D1251">
            <v>1</v>
          </cell>
          <cell r="E1251" t="str">
            <v>ARIS.A2.Aim1.Bin1.RB</v>
          </cell>
          <cell r="F1251">
            <v>3</v>
          </cell>
          <cell r="G1251" t="str">
            <v>Unweighted</v>
          </cell>
          <cell r="H1251" t="str">
            <v>N</v>
          </cell>
          <cell r="I1251" t="str">
            <v>N</v>
          </cell>
          <cell r="J1251">
            <v>143</v>
          </cell>
          <cell r="K1251">
            <v>0.99990000000000001</v>
          </cell>
          <cell r="L1251">
            <v>0.81259999999999999</v>
          </cell>
          <cell r="M1251">
            <v>26.1</v>
          </cell>
          <cell r="N1251">
            <v>8.6</v>
          </cell>
          <cell r="O1251">
            <v>0.18729999999999999</v>
          </cell>
          <cell r="P1251">
            <v>0.1323</v>
          </cell>
          <cell r="Q1251">
            <v>5.5E-2</v>
          </cell>
          <cell r="R1251" t="str">
            <v>NA</v>
          </cell>
          <cell r="S1251" t="str">
            <v>NA</v>
          </cell>
          <cell r="T1251">
            <v>59</v>
          </cell>
          <cell r="U1251">
            <v>4.8</v>
          </cell>
          <cell r="V1251">
            <v>75.400000000000006</v>
          </cell>
          <cell r="W1251">
            <v>7.6</v>
          </cell>
          <cell r="X1251" t="str">
            <v>NA</v>
          </cell>
          <cell r="Y1251" t="str">
            <v>NA</v>
          </cell>
          <cell r="Z1251" t="str">
            <v>NA</v>
          </cell>
          <cell r="AA1251" t="str">
            <v>NA</v>
          </cell>
        </row>
        <row r="1252">
          <cell r="A1252">
            <v>45154</v>
          </cell>
          <cell r="B1252" t="str">
            <v>A2</v>
          </cell>
          <cell r="C1252">
            <v>2</v>
          </cell>
          <cell r="D1252">
            <v>1</v>
          </cell>
          <cell r="E1252" t="str">
            <v>ARIS.A2.Aim1.Bin2.RB</v>
          </cell>
          <cell r="F1252">
            <v>3</v>
          </cell>
          <cell r="G1252" t="str">
            <v>Unweighted</v>
          </cell>
          <cell r="H1252" t="str">
            <v>N</v>
          </cell>
          <cell r="I1252" t="str">
            <v>N</v>
          </cell>
          <cell r="J1252">
            <v>152</v>
          </cell>
          <cell r="K1252">
            <v>1</v>
          </cell>
          <cell r="L1252">
            <v>0.623</v>
          </cell>
          <cell r="M1252">
            <v>29</v>
          </cell>
          <cell r="N1252">
            <v>8.3000000000000007</v>
          </cell>
          <cell r="O1252">
            <v>0.377</v>
          </cell>
          <cell r="P1252">
            <v>0.21859999999999999</v>
          </cell>
          <cell r="Q1252">
            <v>0.15840000000000001</v>
          </cell>
          <cell r="R1252" t="str">
            <v>NA</v>
          </cell>
          <cell r="S1252" t="str">
            <v>NA</v>
          </cell>
          <cell r="T1252">
            <v>59</v>
          </cell>
          <cell r="U1252">
            <v>4.8</v>
          </cell>
          <cell r="V1252">
            <v>75.400000000000006</v>
          </cell>
          <cell r="W1252">
            <v>7.6</v>
          </cell>
          <cell r="X1252" t="str">
            <v>NA</v>
          </cell>
          <cell r="Y1252" t="str">
            <v>NA</v>
          </cell>
          <cell r="Z1252" t="str">
            <v>NA</v>
          </cell>
          <cell r="AA1252" t="str">
            <v>NA</v>
          </cell>
        </row>
        <row r="1253">
          <cell r="A1253">
            <v>45154</v>
          </cell>
          <cell r="B1253" t="str">
            <v>A2</v>
          </cell>
          <cell r="C1253">
            <v>3</v>
          </cell>
          <cell r="D1253">
            <v>1</v>
          </cell>
          <cell r="E1253" t="str">
            <v>ARIS.A2.Aim1.Bin3.RB</v>
          </cell>
          <cell r="F1253">
            <v>3</v>
          </cell>
          <cell r="G1253" t="str">
            <v>Unweighted</v>
          </cell>
          <cell r="H1253" t="str">
            <v>N</v>
          </cell>
          <cell r="I1253" t="str">
            <v>N</v>
          </cell>
          <cell r="J1253">
            <v>151</v>
          </cell>
          <cell r="K1253">
            <v>1</v>
          </cell>
          <cell r="L1253">
            <v>0.45329999999999998</v>
          </cell>
          <cell r="M1253">
            <v>23.7</v>
          </cell>
          <cell r="N1253">
            <v>15</v>
          </cell>
          <cell r="O1253">
            <v>0.54669999999999996</v>
          </cell>
          <cell r="P1253">
            <v>0.19869999999999999</v>
          </cell>
          <cell r="Q1253">
            <v>0.34799999999999998</v>
          </cell>
          <cell r="R1253" t="str">
            <v>NA</v>
          </cell>
          <cell r="S1253" t="str">
            <v>NA</v>
          </cell>
          <cell r="T1253">
            <v>59</v>
          </cell>
          <cell r="U1253">
            <v>4.8</v>
          </cell>
          <cell r="V1253">
            <v>75.400000000000006</v>
          </cell>
          <cell r="W1253">
            <v>7.6</v>
          </cell>
          <cell r="X1253" t="str">
            <v>NA</v>
          </cell>
          <cell r="Y1253" t="str">
            <v>NA</v>
          </cell>
          <cell r="Z1253" t="str">
            <v>NA</v>
          </cell>
          <cell r="AA1253" t="str">
            <v>NA</v>
          </cell>
        </row>
        <row r="1254">
          <cell r="A1254">
            <v>45154</v>
          </cell>
          <cell r="B1254" t="str">
            <v>A2</v>
          </cell>
          <cell r="C1254">
            <v>4</v>
          </cell>
          <cell r="D1254">
            <v>1</v>
          </cell>
          <cell r="E1254" t="str">
            <v>ARIS.A2.Aim1.Bin4.RB</v>
          </cell>
          <cell r="F1254">
            <v>3</v>
          </cell>
          <cell r="G1254" t="str">
            <v>Unweighted</v>
          </cell>
          <cell r="H1254" t="str">
            <v>N</v>
          </cell>
          <cell r="I1254" t="str">
            <v>N</v>
          </cell>
          <cell r="J1254">
            <v>151</v>
          </cell>
          <cell r="K1254">
            <v>1</v>
          </cell>
          <cell r="L1254">
            <v>0.45329999999999998</v>
          </cell>
          <cell r="M1254">
            <v>23.7</v>
          </cell>
          <cell r="N1254">
            <v>15</v>
          </cell>
          <cell r="O1254">
            <v>0.54669999999999996</v>
          </cell>
          <cell r="P1254">
            <v>0.19869999999999999</v>
          </cell>
          <cell r="Q1254">
            <v>0.34799999999999998</v>
          </cell>
          <cell r="R1254" t="str">
            <v>NA</v>
          </cell>
          <cell r="S1254" t="str">
            <v>NA</v>
          </cell>
          <cell r="T1254">
            <v>59</v>
          </cell>
          <cell r="U1254">
            <v>4.8</v>
          </cell>
          <cell r="V1254">
            <v>75.400000000000006</v>
          </cell>
          <cell r="W1254">
            <v>7.6</v>
          </cell>
          <cell r="X1254" t="str">
            <v>NA</v>
          </cell>
          <cell r="Y1254" t="str">
            <v>NA</v>
          </cell>
          <cell r="Z1254" t="str">
            <v>NA</v>
          </cell>
          <cell r="AA1254" t="str">
            <v>NA</v>
          </cell>
        </row>
        <row r="1255">
          <cell r="A1255">
            <v>45154</v>
          </cell>
          <cell r="B1255" t="str">
            <v>A1</v>
          </cell>
          <cell r="C1255">
            <v>1</v>
          </cell>
          <cell r="D1255">
            <v>1</v>
          </cell>
          <cell r="E1255" t="str">
            <v>ARIS.A1.Aim1.Bin1.LB</v>
          </cell>
          <cell r="F1255">
            <v>3</v>
          </cell>
          <cell r="G1255" t="str">
            <v>SplineDFA</v>
          </cell>
          <cell r="H1255" t="str">
            <v>N</v>
          </cell>
          <cell r="I1255" t="str">
            <v>N</v>
          </cell>
          <cell r="J1255">
            <v>161</v>
          </cell>
          <cell r="K1255">
            <v>1.0001</v>
          </cell>
          <cell r="L1255">
            <v>0.69059999999999999</v>
          </cell>
          <cell r="M1255">
            <v>23.7</v>
          </cell>
          <cell r="N1255">
            <v>2.7</v>
          </cell>
          <cell r="O1255">
            <v>0.3095</v>
          </cell>
          <cell r="P1255">
            <v>0.25900000000000001</v>
          </cell>
          <cell r="Q1255">
            <v>5.0500000000000003E-2</v>
          </cell>
          <cell r="R1255" t="str">
            <v>NA</v>
          </cell>
          <cell r="S1255" t="str">
            <v>NA</v>
          </cell>
          <cell r="T1255">
            <v>59</v>
          </cell>
          <cell r="U1255">
            <v>4.8</v>
          </cell>
          <cell r="V1255">
            <v>75.400000000000006</v>
          </cell>
          <cell r="W1255">
            <v>7.6</v>
          </cell>
          <cell r="X1255" t="str">
            <v>NA</v>
          </cell>
          <cell r="Y1255" t="str">
            <v>NA</v>
          </cell>
          <cell r="Z1255" t="str">
            <v>NA</v>
          </cell>
          <cell r="AA1255" t="str">
            <v>NA</v>
          </cell>
        </row>
        <row r="1256">
          <cell r="A1256">
            <v>45154</v>
          </cell>
          <cell r="B1256" t="str">
            <v>A1</v>
          </cell>
          <cell r="C1256">
            <v>1</v>
          </cell>
          <cell r="D1256">
            <v>2</v>
          </cell>
          <cell r="E1256" t="str">
            <v>ARIS.A1.Aim2.Bin1.LB</v>
          </cell>
          <cell r="F1256">
            <v>3</v>
          </cell>
          <cell r="G1256" t="str">
            <v>SplineDFA</v>
          </cell>
          <cell r="H1256" t="str">
            <v>N</v>
          </cell>
          <cell r="I1256" t="str">
            <v>N</v>
          </cell>
          <cell r="J1256">
            <v>192</v>
          </cell>
          <cell r="K1256">
            <v>1</v>
          </cell>
          <cell r="L1256">
            <v>0.47720000000000001</v>
          </cell>
          <cell r="M1256">
            <v>23.7</v>
          </cell>
          <cell r="N1256">
            <v>2.7</v>
          </cell>
          <cell r="O1256">
            <v>0.52280000000000004</v>
          </cell>
          <cell r="P1256">
            <v>0.41660000000000003</v>
          </cell>
          <cell r="Q1256">
            <v>0.1062</v>
          </cell>
          <cell r="R1256" t="str">
            <v>NA</v>
          </cell>
          <cell r="S1256" t="str">
            <v>NA</v>
          </cell>
          <cell r="T1256">
            <v>59</v>
          </cell>
          <cell r="U1256">
            <v>4.8</v>
          </cell>
          <cell r="V1256">
            <v>75.400000000000006</v>
          </cell>
          <cell r="W1256">
            <v>7.6</v>
          </cell>
          <cell r="X1256" t="str">
            <v>NA</v>
          </cell>
          <cell r="Y1256" t="str">
            <v>NA</v>
          </cell>
          <cell r="Z1256" t="str">
            <v>NA</v>
          </cell>
          <cell r="AA1256" t="str">
            <v>NA</v>
          </cell>
        </row>
        <row r="1257">
          <cell r="A1257">
            <v>45154</v>
          </cell>
          <cell r="B1257" t="str">
            <v>A1</v>
          </cell>
          <cell r="C1257">
            <v>2</v>
          </cell>
          <cell r="D1257">
            <v>3</v>
          </cell>
          <cell r="E1257" t="str">
            <v>ARIS.A1.Aim3.Bin2.LB</v>
          </cell>
          <cell r="F1257">
            <v>3</v>
          </cell>
          <cell r="G1257" t="str">
            <v>SplineDFA</v>
          </cell>
          <cell r="H1257" t="str">
            <v>N</v>
          </cell>
          <cell r="I1257" t="str">
            <v>N</v>
          </cell>
          <cell r="J1257">
            <v>178</v>
          </cell>
          <cell r="K1257">
            <v>1</v>
          </cell>
          <cell r="L1257">
            <v>0.16489999999999999</v>
          </cell>
          <cell r="M1257">
            <v>23.7</v>
          </cell>
          <cell r="N1257">
            <v>2.7</v>
          </cell>
          <cell r="O1257">
            <v>0.83509999999999995</v>
          </cell>
          <cell r="P1257">
            <v>0.53510000000000002</v>
          </cell>
          <cell r="Q1257">
            <v>0.3</v>
          </cell>
          <cell r="R1257" t="str">
            <v>NA</v>
          </cell>
          <cell r="S1257" t="str">
            <v>NA</v>
          </cell>
          <cell r="T1257">
            <v>59</v>
          </cell>
          <cell r="U1257">
            <v>4.8</v>
          </cell>
          <cell r="V1257">
            <v>75.400000000000006</v>
          </cell>
          <cell r="W1257">
            <v>7.6</v>
          </cell>
          <cell r="X1257" t="str">
            <v>NA</v>
          </cell>
          <cell r="Y1257" t="str">
            <v>NA</v>
          </cell>
          <cell r="Z1257" t="str">
            <v>NA</v>
          </cell>
          <cell r="AA1257" t="str">
            <v>NA</v>
          </cell>
        </row>
        <row r="1258">
          <cell r="A1258">
            <v>45154</v>
          </cell>
          <cell r="B1258" t="str">
            <v>A1</v>
          </cell>
          <cell r="C1258">
            <v>3</v>
          </cell>
          <cell r="D1258">
            <v>3</v>
          </cell>
          <cell r="E1258" t="str">
            <v>ARIS.A1.Aim3.Bin3.LB</v>
          </cell>
          <cell r="F1258">
            <v>3</v>
          </cell>
          <cell r="G1258" t="str">
            <v>SplineDFA</v>
          </cell>
          <cell r="H1258" t="str">
            <v>N</v>
          </cell>
          <cell r="I1258" t="str">
            <v>N</v>
          </cell>
          <cell r="J1258">
            <v>174</v>
          </cell>
          <cell r="K1258">
            <v>1</v>
          </cell>
          <cell r="L1258">
            <v>9.7699999999999995E-2</v>
          </cell>
          <cell r="M1258">
            <v>23.7</v>
          </cell>
          <cell r="N1258">
            <v>2.7</v>
          </cell>
          <cell r="O1258">
            <v>0.90229999999999999</v>
          </cell>
          <cell r="P1258">
            <v>0.51470000000000005</v>
          </cell>
          <cell r="Q1258">
            <v>0.3876</v>
          </cell>
          <cell r="R1258" t="str">
            <v>NA</v>
          </cell>
          <cell r="S1258" t="str">
            <v>NA</v>
          </cell>
          <cell r="T1258">
            <v>59</v>
          </cell>
          <cell r="U1258">
            <v>4.8</v>
          </cell>
          <cell r="V1258">
            <v>75.400000000000006</v>
          </cell>
          <cell r="W1258">
            <v>7.6</v>
          </cell>
          <cell r="X1258" t="str">
            <v>NA</v>
          </cell>
          <cell r="Y1258" t="str">
            <v>NA</v>
          </cell>
          <cell r="Z1258" t="str">
            <v>NA</v>
          </cell>
          <cell r="AA1258" t="str">
            <v>NA</v>
          </cell>
        </row>
        <row r="1259">
          <cell r="A1259">
            <v>45154</v>
          </cell>
          <cell r="B1259" t="str">
            <v>A1</v>
          </cell>
          <cell r="C1259">
            <v>4</v>
          </cell>
          <cell r="D1259">
            <v>3</v>
          </cell>
          <cell r="E1259" t="str">
            <v>ARIS.A1.Aim3.Bin4.LB</v>
          </cell>
          <cell r="F1259">
            <v>3</v>
          </cell>
          <cell r="G1259" t="str">
            <v>SplineDFA</v>
          </cell>
          <cell r="H1259" t="str">
            <v>N</v>
          </cell>
          <cell r="I1259" t="str">
            <v>N</v>
          </cell>
          <cell r="J1259">
            <v>174</v>
          </cell>
          <cell r="K1259">
            <v>1</v>
          </cell>
          <cell r="L1259">
            <v>9.7699999999999995E-2</v>
          </cell>
          <cell r="M1259">
            <v>23.7</v>
          </cell>
          <cell r="N1259">
            <v>2.7</v>
          </cell>
          <cell r="O1259">
            <v>0.90229999999999999</v>
          </cell>
          <cell r="P1259">
            <v>0.51470000000000005</v>
          </cell>
          <cell r="Q1259">
            <v>0.3876</v>
          </cell>
          <cell r="R1259" t="str">
            <v>NA</v>
          </cell>
          <cell r="S1259" t="str">
            <v>NA</v>
          </cell>
          <cell r="T1259">
            <v>59</v>
          </cell>
          <cell r="U1259">
            <v>4.8</v>
          </cell>
          <cell r="V1259">
            <v>75.400000000000006</v>
          </cell>
          <cell r="W1259">
            <v>7.6</v>
          </cell>
          <cell r="X1259" t="str">
            <v>NA</v>
          </cell>
          <cell r="Y1259" t="str">
            <v>NA</v>
          </cell>
          <cell r="Z1259" t="str">
            <v>NA</v>
          </cell>
          <cell r="AA1259" t="str">
            <v>NA</v>
          </cell>
        </row>
        <row r="1260">
          <cell r="A1260">
            <v>45154</v>
          </cell>
          <cell r="B1260" t="str">
            <v>A2</v>
          </cell>
          <cell r="C1260">
            <v>1</v>
          </cell>
          <cell r="D1260">
            <v>1</v>
          </cell>
          <cell r="E1260" t="str">
            <v>ARIS.A2.Aim1.Bin1.RB</v>
          </cell>
          <cell r="F1260">
            <v>3</v>
          </cell>
          <cell r="G1260" t="str">
            <v>SplineDFA</v>
          </cell>
          <cell r="H1260" t="str">
            <v>N</v>
          </cell>
          <cell r="I1260" t="str">
            <v>N</v>
          </cell>
          <cell r="J1260">
            <v>143</v>
          </cell>
          <cell r="K1260">
            <v>1</v>
          </cell>
          <cell r="L1260">
            <v>0.75319999999999998</v>
          </cell>
          <cell r="M1260">
            <v>23.7</v>
          </cell>
          <cell r="N1260">
            <v>2.7</v>
          </cell>
          <cell r="O1260">
            <v>0.24679999999999999</v>
          </cell>
          <cell r="P1260">
            <v>0.19650000000000001</v>
          </cell>
          <cell r="Q1260">
            <v>5.0299999999999997E-2</v>
          </cell>
          <cell r="R1260" t="str">
            <v>NA</v>
          </cell>
          <cell r="S1260" t="str">
            <v>NA</v>
          </cell>
          <cell r="T1260">
            <v>59</v>
          </cell>
          <cell r="U1260">
            <v>4.8</v>
          </cell>
          <cell r="V1260">
            <v>75.400000000000006</v>
          </cell>
          <cell r="W1260">
            <v>7.6</v>
          </cell>
          <cell r="X1260" t="str">
            <v>NA</v>
          </cell>
          <cell r="Y1260" t="str">
            <v>NA</v>
          </cell>
          <cell r="Z1260" t="str">
            <v>NA</v>
          </cell>
          <cell r="AA1260" t="str">
            <v>NA</v>
          </cell>
        </row>
        <row r="1261">
          <cell r="A1261">
            <v>45154</v>
          </cell>
          <cell r="B1261" t="str">
            <v>A2</v>
          </cell>
          <cell r="C1261">
            <v>2</v>
          </cell>
          <cell r="D1261">
            <v>1</v>
          </cell>
          <cell r="E1261" t="str">
            <v>ARIS.A2.Aim1.Bin2.RB</v>
          </cell>
          <cell r="F1261">
            <v>3</v>
          </cell>
          <cell r="G1261" t="str">
            <v>SplineDFA</v>
          </cell>
          <cell r="H1261" t="str">
            <v>N</v>
          </cell>
          <cell r="I1261" t="str">
            <v>N</v>
          </cell>
          <cell r="J1261">
            <v>152</v>
          </cell>
          <cell r="K1261">
            <v>1</v>
          </cell>
          <cell r="L1261">
            <v>0.51639999999999997</v>
          </cell>
          <cell r="M1261">
            <v>23.7</v>
          </cell>
          <cell r="N1261">
            <v>2.7</v>
          </cell>
          <cell r="O1261">
            <v>0.48359999999999997</v>
          </cell>
          <cell r="P1261">
            <v>0.32200000000000001</v>
          </cell>
          <cell r="Q1261">
            <v>0.16159999999999999</v>
          </cell>
          <cell r="R1261" t="str">
            <v>NA</v>
          </cell>
          <cell r="S1261" t="str">
            <v>NA</v>
          </cell>
          <cell r="T1261">
            <v>59</v>
          </cell>
          <cell r="U1261">
            <v>4.8</v>
          </cell>
          <cell r="V1261">
            <v>75.400000000000006</v>
          </cell>
          <cell r="W1261">
            <v>7.6</v>
          </cell>
          <cell r="X1261" t="str">
            <v>NA</v>
          </cell>
          <cell r="Y1261" t="str">
            <v>NA</v>
          </cell>
          <cell r="Z1261" t="str">
            <v>NA</v>
          </cell>
          <cell r="AA1261" t="str">
            <v>NA</v>
          </cell>
        </row>
        <row r="1262">
          <cell r="A1262">
            <v>45154</v>
          </cell>
          <cell r="B1262" t="str">
            <v>A2</v>
          </cell>
          <cell r="C1262">
            <v>3</v>
          </cell>
          <cell r="D1262">
            <v>1</v>
          </cell>
          <cell r="E1262" t="str">
            <v>ARIS.A2.Aim1.Bin3.RB</v>
          </cell>
          <cell r="F1262">
            <v>3</v>
          </cell>
          <cell r="G1262" t="str">
            <v>SplineDFA</v>
          </cell>
          <cell r="H1262" t="str">
            <v>N</v>
          </cell>
          <cell r="I1262" t="str">
            <v>N</v>
          </cell>
          <cell r="J1262">
            <v>151</v>
          </cell>
          <cell r="K1262">
            <v>1</v>
          </cell>
          <cell r="L1262">
            <v>0.2586</v>
          </cell>
          <cell r="M1262">
            <v>23.7</v>
          </cell>
          <cell r="N1262">
            <v>2.7</v>
          </cell>
          <cell r="O1262">
            <v>0.74139999999999995</v>
          </cell>
          <cell r="P1262">
            <v>0.3926</v>
          </cell>
          <cell r="Q1262">
            <v>0.3488</v>
          </cell>
          <cell r="R1262" t="str">
            <v>NA</v>
          </cell>
          <cell r="S1262" t="str">
            <v>NA</v>
          </cell>
          <cell r="T1262">
            <v>59</v>
          </cell>
          <cell r="U1262">
            <v>4.8</v>
          </cell>
          <cell r="V1262">
            <v>75.400000000000006</v>
          </cell>
          <cell r="W1262">
            <v>7.6</v>
          </cell>
          <cell r="X1262" t="str">
            <v>NA</v>
          </cell>
          <cell r="Y1262" t="str">
            <v>NA</v>
          </cell>
          <cell r="Z1262" t="str">
            <v>NA</v>
          </cell>
          <cell r="AA1262" t="str">
            <v>NA</v>
          </cell>
        </row>
        <row r="1263">
          <cell r="A1263">
            <v>45154</v>
          </cell>
          <cell r="B1263" t="str">
            <v>A2</v>
          </cell>
          <cell r="C1263">
            <v>4</v>
          </cell>
          <cell r="D1263">
            <v>1</v>
          </cell>
          <cell r="E1263" t="str">
            <v>ARIS.A2.Aim1.Bin4.RB</v>
          </cell>
          <cell r="F1263">
            <v>3</v>
          </cell>
          <cell r="G1263" t="str">
            <v>SplineDFA</v>
          </cell>
          <cell r="H1263" t="str">
            <v>N</v>
          </cell>
          <cell r="I1263" t="str">
            <v>N</v>
          </cell>
          <cell r="J1263">
            <v>151</v>
          </cell>
          <cell r="K1263">
            <v>1</v>
          </cell>
          <cell r="L1263">
            <v>0.2586</v>
          </cell>
          <cell r="M1263">
            <v>23.7</v>
          </cell>
          <cell r="N1263">
            <v>2.7</v>
          </cell>
          <cell r="O1263">
            <v>0.74139999999999995</v>
          </cell>
          <cell r="P1263">
            <v>0.3926</v>
          </cell>
          <cell r="Q1263">
            <v>0.3488</v>
          </cell>
          <cell r="R1263" t="str">
            <v>NA</v>
          </cell>
          <cell r="S1263" t="str">
            <v>NA</v>
          </cell>
          <cell r="T1263">
            <v>59</v>
          </cell>
          <cell r="U1263">
            <v>4.8</v>
          </cell>
          <cell r="V1263">
            <v>75.400000000000006</v>
          </cell>
          <cell r="W1263">
            <v>7.6</v>
          </cell>
          <cell r="X1263" t="str">
            <v>NA</v>
          </cell>
          <cell r="Y1263" t="str">
            <v>NA</v>
          </cell>
          <cell r="Z1263" t="str">
            <v>NA</v>
          </cell>
          <cell r="AA1263" t="str">
            <v>NA</v>
          </cell>
        </row>
        <row r="1264">
          <cell r="A1264">
            <v>45155</v>
          </cell>
          <cell r="B1264" t="str">
            <v>A1</v>
          </cell>
          <cell r="C1264">
            <v>1</v>
          </cell>
          <cell r="D1264">
            <v>1</v>
          </cell>
          <cell r="E1264" t="str">
            <v>ARIS.A1.Aim1.Bin1.LB</v>
          </cell>
          <cell r="F1264">
            <v>4</v>
          </cell>
          <cell r="G1264" t="str">
            <v>Unweighted</v>
          </cell>
          <cell r="H1264" t="str">
            <v>N</v>
          </cell>
          <cell r="I1264" t="str">
            <v>Y</v>
          </cell>
          <cell r="J1264">
            <v>176</v>
          </cell>
          <cell r="K1264">
            <v>1</v>
          </cell>
          <cell r="L1264">
            <v>0.68789999999999996</v>
          </cell>
          <cell r="M1264">
            <v>21.3</v>
          </cell>
          <cell r="N1264">
            <v>8.1</v>
          </cell>
          <cell r="O1264">
            <v>0.31209999999999999</v>
          </cell>
          <cell r="P1264">
            <v>0.2162</v>
          </cell>
          <cell r="Q1264">
            <v>2.2200000000000001E-2</v>
          </cell>
          <cell r="R1264">
            <v>7.3700000000000002E-2</v>
          </cell>
          <cell r="S1264" t="str">
            <v>NA</v>
          </cell>
          <cell r="T1264">
            <v>59</v>
          </cell>
          <cell r="U1264">
            <v>4.8</v>
          </cell>
          <cell r="V1264">
            <v>75.400000000000006</v>
          </cell>
          <cell r="W1264">
            <v>7.6</v>
          </cell>
          <cell r="X1264">
            <v>51.6</v>
          </cell>
          <cell r="Y1264">
            <v>6.7</v>
          </cell>
          <cell r="Z1264" t="str">
            <v>NA</v>
          </cell>
          <cell r="AA1264" t="str">
            <v>NA</v>
          </cell>
        </row>
        <row r="1265">
          <cell r="A1265">
            <v>45155</v>
          </cell>
          <cell r="B1265" t="str">
            <v>A1</v>
          </cell>
          <cell r="C1265">
            <v>1</v>
          </cell>
          <cell r="D1265">
            <v>2</v>
          </cell>
          <cell r="E1265" t="str">
            <v>ARIS.A1.Aim2.Bin1.LB</v>
          </cell>
          <cell r="F1265">
            <v>4</v>
          </cell>
          <cell r="G1265" t="str">
            <v>Unweighted</v>
          </cell>
          <cell r="H1265" t="str">
            <v>N</v>
          </cell>
          <cell r="I1265" t="str">
            <v>Y</v>
          </cell>
          <cell r="J1265">
            <v>219</v>
          </cell>
          <cell r="K1265">
            <v>1.0001</v>
          </cell>
          <cell r="L1265">
            <v>0.54079999999999995</v>
          </cell>
          <cell r="M1265">
            <v>22.5</v>
          </cell>
          <cell r="N1265">
            <v>11.4</v>
          </cell>
          <cell r="O1265">
            <v>0.45929999999999999</v>
          </cell>
          <cell r="P1265">
            <v>0.2888</v>
          </cell>
          <cell r="Q1265">
            <v>3.7199999999999997E-2</v>
          </cell>
          <cell r="R1265">
            <v>0.1333</v>
          </cell>
          <cell r="S1265" t="str">
            <v>NA</v>
          </cell>
          <cell r="T1265">
            <v>59</v>
          </cell>
          <cell r="U1265">
            <v>4.8</v>
          </cell>
          <cell r="V1265">
            <v>75.400000000000006</v>
          </cell>
          <cell r="W1265">
            <v>7.6</v>
          </cell>
          <cell r="X1265">
            <v>51.6</v>
          </cell>
          <cell r="Y1265">
            <v>6.7</v>
          </cell>
          <cell r="Z1265" t="str">
            <v>NA</v>
          </cell>
          <cell r="AA1265" t="str">
            <v>NA</v>
          </cell>
        </row>
        <row r="1266">
          <cell r="A1266">
            <v>45155</v>
          </cell>
          <cell r="B1266" t="str">
            <v>A1</v>
          </cell>
          <cell r="C1266">
            <v>1</v>
          </cell>
          <cell r="D1266" t="str">
            <v>1&amp;2</v>
          </cell>
          <cell r="E1266" t="str">
            <v>ARIS.A1.Aim1&amp;Aim2.Bin1.LB</v>
          </cell>
          <cell r="F1266">
            <v>4</v>
          </cell>
          <cell r="G1266" t="str">
            <v>Unweighted</v>
          </cell>
          <cell r="H1266" t="str">
            <v>N</v>
          </cell>
          <cell r="I1266" t="str">
            <v>Y</v>
          </cell>
          <cell r="J1266">
            <v>395</v>
          </cell>
          <cell r="K1266">
            <v>1</v>
          </cell>
          <cell r="L1266">
            <v>0.6</v>
          </cell>
          <cell r="M1266">
            <v>21.7</v>
          </cell>
          <cell r="N1266">
            <v>9.5</v>
          </cell>
          <cell r="O1266">
            <v>0.4</v>
          </cell>
          <cell r="P1266">
            <v>0.25259999999999999</v>
          </cell>
          <cell r="Q1266">
            <v>3.0800000000000001E-2</v>
          </cell>
          <cell r="R1266">
            <v>0.1166</v>
          </cell>
          <cell r="S1266" t="str">
            <v>NA</v>
          </cell>
          <cell r="T1266">
            <v>59</v>
          </cell>
          <cell r="U1266">
            <v>4.8</v>
          </cell>
          <cell r="V1266">
            <v>75.400000000000006</v>
          </cell>
          <cell r="W1266">
            <v>7.6</v>
          </cell>
          <cell r="X1266">
            <v>51.6</v>
          </cell>
          <cell r="Y1266">
            <v>6.7</v>
          </cell>
          <cell r="Z1266" t="str">
            <v>NA</v>
          </cell>
          <cell r="AA1266" t="str">
            <v>NA</v>
          </cell>
        </row>
        <row r="1267">
          <cell r="A1267">
            <v>45155</v>
          </cell>
          <cell r="B1267" t="str">
            <v>A1</v>
          </cell>
          <cell r="C1267">
            <v>2</v>
          </cell>
          <cell r="D1267">
            <v>3</v>
          </cell>
          <cell r="E1267" t="str">
            <v>ARIS.A1.Aim3.Bin2.LB</v>
          </cell>
          <cell r="F1267">
            <v>4</v>
          </cell>
          <cell r="G1267" t="str">
            <v>Unweighted</v>
          </cell>
          <cell r="H1267" t="str">
            <v>N</v>
          </cell>
          <cell r="I1267" t="str">
            <v>Y</v>
          </cell>
          <cell r="J1267">
            <v>213</v>
          </cell>
          <cell r="K1267">
            <v>1</v>
          </cell>
          <cell r="L1267">
            <v>0.2291</v>
          </cell>
          <cell r="M1267">
            <v>23.7</v>
          </cell>
          <cell r="N1267">
            <v>7.5</v>
          </cell>
          <cell r="O1267">
            <v>0.77090000000000003</v>
          </cell>
          <cell r="P1267">
            <v>0.2036</v>
          </cell>
          <cell r="Q1267">
            <v>0.2059</v>
          </cell>
          <cell r="R1267">
            <v>0.3614</v>
          </cell>
          <cell r="S1267" t="str">
            <v>NA</v>
          </cell>
          <cell r="T1267">
            <v>59</v>
          </cell>
          <cell r="U1267">
            <v>4.8</v>
          </cell>
          <cell r="V1267">
            <v>75.400000000000006</v>
          </cell>
          <cell r="W1267">
            <v>7.6</v>
          </cell>
          <cell r="X1267">
            <v>51.6</v>
          </cell>
          <cell r="Y1267">
            <v>6.7</v>
          </cell>
          <cell r="Z1267" t="str">
            <v>NA</v>
          </cell>
          <cell r="AA1267" t="str">
            <v>NA</v>
          </cell>
        </row>
        <row r="1268">
          <cell r="A1268">
            <v>45155</v>
          </cell>
          <cell r="B1268" t="str">
            <v>A1</v>
          </cell>
          <cell r="C1268">
            <v>3</v>
          </cell>
          <cell r="D1268">
            <v>3</v>
          </cell>
          <cell r="E1268" t="str">
            <v>ARIS.A1.Aim3.Bin3.LB</v>
          </cell>
          <cell r="F1268">
            <v>4</v>
          </cell>
          <cell r="G1268" t="str">
            <v>Unweighted</v>
          </cell>
          <cell r="H1268" t="str">
            <v>N</v>
          </cell>
          <cell r="I1268" t="str">
            <v>Y</v>
          </cell>
          <cell r="J1268">
            <v>245</v>
          </cell>
          <cell r="K1268">
            <v>1</v>
          </cell>
          <cell r="L1268">
            <v>4.5100000000000001E-2</v>
          </cell>
          <cell r="M1268">
            <v>23.7</v>
          </cell>
          <cell r="N1268">
            <v>10.9</v>
          </cell>
          <cell r="O1268">
            <v>0.95489999999999997</v>
          </cell>
          <cell r="P1268">
            <v>0.13600000000000001</v>
          </cell>
          <cell r="Q1268">
            <v>0.4</v>
          </cell>
          <cell r="R1268">
            <v>0.41889999999999999</v>
          </cell>
          <cell r="S1268" t="str">
            <v>NA</v>
          </cell>
          <cell r="T1268">
            <v>59</v>
          </cell>
          <cell r="U1268">
            <v>4.8</v>
          </cell>
          <cell r="V1268">
            <v>75.400000000000006</v>
          </cell>
          <cell r="W1268">
            <v>7.6</v>
          </cell>
          <cell r="X1268">
            <v>51.6</v>
          </cell>
          <cell r="Y1268">
            <v>6.7</v>
          </cell>
          <cell r="Z1268" t="str">
            <v>NA</v>
          </cell>
          <cell r="AA1268" t="str">
            <v>NA</v>
          </cell>
        </row>
        <row r="1269">
          <cell r="A1269">
            <v>45155</v>
          </cell>
          <cell r="B1269" t="str">
            <v>A1</v>
          </cell>
          <cell r="C1269">
            <v>4</v>
          </cell>
          <cell r="D1269">
            <v>3</v>
          </cell>
          <cell r="E1269" t="str">
            <v>ARIS.A1.Aim3.Bin4.LB</v>
          </cell>
          <cell r="F1269">
            <v>4</v>
          </cell>
          <cell r="G1269" t="str">
            <v>Unweighted</v>
          </cell>
          <cell r="H1269" t="str">
            <v>N</v>
          </cell>
          <cell r="I1269" t="str">
            <v>Y</v>
          </cell>
          <cell r="J1269">
            <v>245</v>
          </cell>
          <cell r="K1269">
            <v>1</v>
          </cell>
          <cell r="L1269">
            <v>4.5100000000000001E-2</v>
          </cell>
          <cell r="M1269">
            <v>23.7</v>
          </cell>
          <cell r="N1269">
            <v>10.9</v>
          </cell>
          <cell r="O1269">
            <v>0.95489999999999997</v>
          </cell>
          <cell r="P1269">
            <v>0.13600000000000001</v>
          </cell>
          <cell r="Q1269">
            <v>0.4</v>
          </cell>
          <cell r="R1269">
            <v>0.41889999999999999</v>
          </cell>
          <cell r="S1269" t="str">
            <v>NA</v>
          </cell>
          <cell r="T1269">
            <v>59</v>
          </cell>
          <cell r="U1269">
            <v>4.8</v>
          </cell>
          <cell r="V1269">
            <v>75.400000000000006</v>
          </cell>
          <cell r="W1269">
            <v>7.6</v>
          </cell>
          <cell r="X1269">
            <v>51.6</v>
          </cell>
          <cell r="Y1269">
            <v>6.7</v>
          </cell>
          <cell r="Z1269" t="str">
            <v>NA</v>
          </cell>
          <cell r="AA1269" t="str">
            <v>NA</v>
          </cell>
        </row>
        <row r="1270">
          <cell r="A1270">
            <v>45155</v>
          </cell>
          <cell r="B1270" t="str">
            <v>A2</v>
          </cell>
          <cell r="C1270">
            <v>1</v>
          </cell>
          <cell r="D1270">
            <v>1</v>
          </cell>
          <cell r="E1270" t="str">
            <v>ARIS.A2.Aim1.Bin1.RB</v>
          </cell>
          <cell r="F1270">
            <v>4</v>
          </cell>
          <cell r="G1270" t="str">
            <v>Unweighted</v>
          </cell>
          <cell r="H1270" t="str">
            <v>N</v>
          </cell>
          <cell r="I1270" t="str">
            <v>Y</v>
          </cell>
          <cell r="J1270">
            <v>169</v>
          </cell>
          <cell r="K1270">
            <v>1</v>
          </cell>
          <cell r="L1270">
            <v>0.57679999999999998</v>
          </cell>
          <cell r="M1270">
            <v>22.1</v>
          </cell>
          <cell r="N1270">
            <v>7.1</v>
          </cell>
          <cell r="O1270">
            <v>0.42320000000000002</v>
          </cell>
          <cell r="P1270">
            <v>7.8399999999999997E-2</v>
          </cell>
          <cell r="Q1270">
            <v>5.4100000000000002E-2</v>
          </cell>
          <cell r="R1270">
            <v>0.29070000000000001</v>
          </cell>
          <cell r="S1270" t="str">
            <v>NA</v>
          </cell>
          <cell r="T1270">
            <v>59</v>
          </cell>
          <cell r="U1270">
            <v>4.8</v>
          </cell>
          <cell r="V1270">
            <v>75.400000000000006</v>
          </cell>
          <cell r="W1270">
            <v>7.6</v>
          </cell>
          <cell r="X1270">
            <v>51.6</v>
          </cell>
          <cell r="Y1270">
            <v>6.7</v>
          </cell>
          <cell r="Z1270" t="str">
            <v>NA</v>
          </cell>
          <cell r="AA1270" t="str">
            <v>NA</v>
          </cell>
        </row>
        <row r="1271">
          <cell r="A1271">
            <v>45155</v>
          </cell>
          <cell r="B1271" t="str">
            <v>A2</v>
          </cell>
          <cell r="C1271">
            <v>2</v>
          </cell>
          <cell r="D1271">
            <v>1</v>
          </cell>
          <cell r="E1271" t="str">
            <v>ARIS.A2.Aim1.Bin2.RB</v>
          </cell>
          <cell r="F1271">
            <v>4</v>
          </cell>
          <cell r="G1271" t="str">
            <v>Unweighted</v>
          </cell>
          <cell r="H1271" t="str">
            <v>N</v>
          </cell>
          <cell r="I1271" t="str">
            <v>Y</v>
          </cell>
          <cell r="J1271">
            <v>157</v>
          </cell>
          <cell r="K1271">
            <v>1</v>
          </cell>
          <cell r="L1271">
            <v>0.33529999999999999</v>
          </cell>
          <cell r="M1271">
            <v>23.7</v>
          </cell>
          <cell r="N1271">
            <v>8.6999999999999993</v>
          </cell>
          <cell r="O1271">
            <v>0.66469999999999996</v>
          </cell>
          <cell r="P1271">
            <v>0.1537</v>
          </cell>
          <cell r="Q1271">
            <v>0.1203</v>
          </cell>
          <cell r="R1271">
            <v>0.39069999999999999</v>
          </cell>
          <cell r="S1271" t="str">
            <v>NA</v>
          </cell>
          <cell r="T1271">
            <v>59</v>
          </cell>
          <cell r="U1271">
            <v>4.8</v>
          </cell>
          <cell r="V1271">
            <v>75.400000000000006</v>
          </cell>
          <cell r="W1271">
            <v>7.6</v>
          </cell>
          <cell r="X1271">
            <v>51.6</v>
          </cell>
          <cell r="Y1271">
            <v>6.7</v>
          </cell>
          <cell r="Z1271" t="str">
            <v>NA</v>
          </cell>
          <cell r="AA1271" t="str">
            <v>NA</v>
          </cell>
        </row>
        <row r="1272">
          <cell r="A1272">
            <v>45155</v>
          </cell>
          <cell r="B1272" t="str">
            <v>A2</v>
          </cell>
          <cell r="C1272">
            <v>3</v>
          </cell>
          <cell r="D1272">
            <v>1</v>
          </cell>
          <cell r="E1272" t="str">
            <v>ARIS.A2.Aim1.Bin3.RB</v>
          </cell>
          <cell r="F1272">
            <v>4</v>
          </cell>
          <cell r="G1272" t="str">
            <v>Unweighted</v>
          </cell>
          <cell r="H1272" t="str">
            <v>N</v>
          </cell>
          <cell r="I1272" t="str">
            <v>Y</v>
          </cell>
          <cell r="J1272">
            <v>134</v>
          </cell>
          <cell r="K1272">
            <v>1</v>
          </cell>
          <cell r="L1272">
            <v>0.13969999999999999</v>
          </cell>
          <cell r="M1272">
            <v>23.7</v>
          </cell>
          <cell r="N1272">
            <v>9.6</v>
          </cell>
          <cell r="O1272">
            <v>0.86029999999999995</v>
          </cell>
          <cell r="P1272">
            <v>2.81E-2</v>
          </cell>
          <cell r="Q1272">
            <v>0.30320000000000003</v>
          </cell>
          <cell r="R1272">
            <v>0.52900000000000003</v>
          </cell>
          <cell r="S1272" t="str">
            <v>NA</v>
          </cell>
          <cell r="T1272">
            <v>59</v>
          </cell>
          <cell r="U1272">
            <v>4.8</v>
          </cell>
          <cell r="V1272">
            <v>75.400000000000006</v>
          </cell>
          <cell r="W1272">
            <v>7.6</v>
          </cell>
          <cell r="X1272">
            <v>51.6</v>
          </cell>
          <cell r="Y1272">
            <v>6.7</v>
          </cell>
          <cell r="Z1272" t="str">
            <v>NA</v>
          </cell>
          <cell r="AA1272" t="str">
            <v>NA</v>
          </cell>
        </row>
        <row r="1273">
          <cell r="A1273">
            <v>45155</v>
          </cell>
          <cell r="B1273" t="str">
            <v>A2</v>
          </cell>
          <cell r="C1273">
            <v>4</v>
          </cell>
          <cell r="D1273">
            <v>1</v>
          </cell>
          <cell r="E1273" t="str">
            <v>ARIS.A2.Aim1.Bin4.RB</v>
          </cell>
          <cell r="F1273">
            <v>4</v>
          </cell>
          <cell r="G1273" t="str">
            <v>Unweighted</v>
          </cell>
          <cell r="H1273" t="str">
            <v>N</v>
          </cell>
          <cell r="I1273" t="str">
            <v>Y</v>
          </cell>
          <cell r="J1273">
            <v>134</v>
          </cell>
          <cell r="K1273">
            <v>1</v>
          </cell>
          <cell r="L1273">
            <v>0.13969999999999999</v>
          </cell>
          <cell r="M1273">
            <v>23.7</v>
          </cell>
          <cell r="N1273">
            <v>9.6</v>
          </cell>
          <cell r="O1273">
            <v>0.86029999999999995</v>
          </cell>
          <cell r="P1273">
            <v>2.81E-2</v>
          </cell>
          <cell r="Q1273">
            <v>0.30320000000000003</v>
          </cell>
          <cell r="R1273">
            <v>0.52900000000000003</v>
          </cell>
          <cell r="S1273" t="str">
            <v>NA</v>
          </cell>
          <cell r="T1273">
            <v>59</v>
          </cell>
          <cell r="U1273">
            <v>4.8</v>
          </cell>
          <cell r="V1273">
            <v>75.400000000000006</v>
          </cell>
          <cell r="W1273">
            <v>7.6</v>
          </cell>
          <cell r="X1273">
            <v>51.6</v>
          </cell>
          <cell r="Y1273">
            <v>6.7</v>
          </cell>
          <cell r="Z1273" t="str">
            <v>NA</v>
          </cell>
          <cell r="AA1273" t="str">
            <v>NA</v>
          </cell>
        </row>
        <row r="1274">
          <cell r="A1274">
            <v>45155</v>
          </cell>
          <cell r="B1274" t="str">
            <v>A1</v>
          </cell>
          <cell r="C1274">
            <v>1</v>
          </cell>
          <cell r="D1274">
            <v>1</v>
          </cell>
          <cell r="E1274" t="str">
            <v>ARIS.A1.Aim1.Bin1.LB</v>
          </cell>
          <cell r="F1274">
            <v>4</v>
          </cell>
          <cell r="G1274" t="str">
            <v>SplineDFA</v>
          </cell>
          <cell r="H1274" t="str">
            <v>Y</v>
          </cell>
          <cell r="I1274" t="str">
            <v>N</v>
          </cell>
          <cell r="J1274">
            <v>176</v>
          </cell>
          <cell r="K1274">
            <v>1</v>
          </cell>
          <cell r="L1274">
            <v>0.62760000000000005</v>
          </cell>
          <cell r="M1274">
            <v>23.7</v>
          </cell>
          <cell r="N1274">
            <v>2.7</v>
          </cell>
          <cell r="O1274">
            <v>0.37240000000000001</v>
          </cell>
          <cell r="P1274">
            <v>0.16750000000000001</v>
          </cell>
          <cell r="Q1274">
            <v>4.5900000000000003E-2</v>
          </cell>
          <cell r="R1274">
            <v>0.159</v>
          </cell>
          <cell r="S1274" t="str">
            <v>NA</v>
          </cell>
          <cell r="T1274">
            <v>59</v>
          </cell>
          <cell r="U1274">
            <v>4.8</v>
          </cell>
          <cell r="V1274">
            <v>75.400000000000006</v>
          </cell>
          <cell r="W1274">
            <v>7.6</v>
          </cell>
          <cell r="X1274">
            <v>51.6</v>
          </cell>
          <cell r="Y1274">
            <v>6.7</v>
          </cell>
          <cell r="Z1274" t="str">
            <v>NA</v>
          </cell>
          <cell r="AA1274" t="str">
            <v>NA</v>
          </cell>
        </row>
        <row r="1275">
          <cell r="A1275">
            <v>45155</v>
          </cell>
          <cell r="B1275" t="str">
            <v>A1</v>
          </cell>
          <cell r="C1275">
            <v>1</v>
          </cell>
          <cell r="D1275">
            <v>2</v>
          </cell>
          <cell r="E1275" t="str">
            <v>ARIS.A1.Aim2.Bin1.LB</v>
          </cell>
          <cell r="F1275">
            <v>4</v>
          </cell>
          <cell r="G1275" t="str">
            <v>SplineDFA</v>
          </cell>
          <cell r="H1275" t="str">
            <v>Y</v>
          </cell>
          <cell r="I1275" t="str">
            <v>N</v>
          </cell>
          <cell r="J1275">
            <v>219</v>
          </cell>
          <cell r="K1275">
            <v>1</v>
          </cell>
          <cell r="L1275">
            <v>0.46899999999999997</v>
          </cell>
          <cell r="M1275">
            <v>23.7</v>
          </cell>
          <cell r="N1275">
            <v>2.7</v>
          </cell>
          <cell r="O1275">
            <v>0.53100000000000003</v>
          </cell>
          <cell r="P1275">
            <v>0.24540000000000001</v>
          </cell>
          <cell r="Q1275">
            <v>5.6000000000000001E-2</v>
          </cell>
          <cell r="R1275">
            <v>0.2296</v>
          </cell>
          <cell r="S1275" t="str">
            <v>NA</v>
          </cell>
          <cell r="T1275">
            <v>59</v>
          </cell>
          <cell r="U1275">
            <v>4.8</v>
          </cell>
          <cell r="V1275">
            <v>75.400000000000006</v>
          </cell>
          <cell r="W1275">
            <v>7.6</v>
          </cell>
          <cell r="X1275">
            <v>51.6</v>
          </cell>
          <cell r="Y1275">
            <v>6.7</v>
          </cell>
          <cell r="Z1275" t="str">
            <v>NA</v>
          </cell>
          <cell r="AA1275" t="str">
            <v>NA</v>
          </cell>
        </row>
        <row r="1276">
          <cell r="A1276">
            <v>45155</v>
          </cell>
          <cell r="B1276" t="str">
            <v>A1</v>
          </cell>
          <cell r="C1276">
            <v>2</v>
          </cell>
          <cell r="D1276">
            <v>3</v>
          </cell>
          <cell r="E1276" t="str">
            <v>ARIS.A1.Aim3.Bin2.LB</v>
          </cell>
          <cell r="F1276">
            <v>4</v>
          </cell>
          <cell r="G1276" t="str">
            <v>SplineDFA</v>
          </cell>
          <cell r="H1276" t="str">
            <v>Y</v>
          </cell>
          <cell r="I1276" t="str">
            <v>N</v>
          </cell>
          <cell r="J1276">
            <v>213</v>
          </cell>
          <cell r="K1276">
            <v>1</v>
          </cell>
          <cell r="L1276">
            <v>0.14430000000000001</v>
          </cell>
          <cell r="M1276">
            <v>23.7</v>
          </cell>
          <cell r="N1276">
            <v>2.7</v>
          </cell>
          <cell r="O1276">
            <v>0.85570000000000002</v>
          </cell>
          <cell r="P1276">
            <v>0.35070000000000001</v>
          </cell>
          <cell r="Q1276">
            <v>0.2387</v>
          </cell>
          <cell r="R1276">
            <v>0.26629999999999998</v>
          </cell>
          <cell r="S1276" t="str">
            <v>NA</v>
          </cell>
          <cell r="T1276">
            <v>59</v>
          </cell>
          <cell r="U1276">
            <v>4.8</v>
          </cell>
          <cell r="V1276">
            <v>75.400000000000006</v>
          </cell>
          <cell r="W1276">
            <v>7.6</v>
          </cell>
          <cell r="X1276">
            <v>51.6</v>
          </cell>
          <cell r="Y1276">
            <v>6.7</v>
          </cell>
          <cell r="Z1276" t="str">
            <v>NA</v>
          </cell>
          <cell r="AA1276" t="str">
            <v>NA</v>
          </cell>
        </row>
        <row r="1277">
          <cell r="A1277">
            <v>45155</v>
          </cell>
          <cell r="B1277" t="str">
            <v>A1</v>
          </cell>
          <cell r="C1277">
            <v>3</v>
          </cell>
          <cell r="D1277">
            <v>3</v>
          </cell>
          <cell r="E1277" t="str">
            <v>ARIS.A1.Aim3.Bin3.LB</v>
          </cell>
          <cell r="F1277">
            <v>4</v>
          </cell>
          <cell r="G1277" t="str">
            <v>SplineDFA</v>
          </cell>
          <cell r="H1277" t="str">
            <v>Y</v>
          </cell>
          <cell r="I1277" t="str">
            <v>N</v>
          </cell>
          <cell r="J1277">
            <v>245</v>
          </cell>
          <cell r="K1277">
            <v>1</v>
          </cell>
          <cell r="L1277">
            <v>3.6999999999999998E-2</v>
          </cell>
          <cell r="M1277">
            <v>23.7</v>
          </cell>
          <cell r="N1277">
            <v>2.7</v>
          </cell>
          <cell r="O1277">
            <v>0.96299999999999997</v>
          </cell>
          <cell r="P1277">
            <v>0.27360000000000001</v>
          </cell>
          <cell r="Q1277">
            <v>0.3543</v>
          </cell>
          <cell r="R1277">
            <v>0.33510000000000001</v>
          </cell>
          <cell r="S1277" t="str">
            <v>NA</v>
          </cell>
          <cell r="T1277">
            <v>59</v>
          </cell>
          <cell r="U1277">
            <v>4.8</v>
          </cell>
          <cell r="V1277">
            <v>75.400000000000006</v>
          </cell>
          <cell r="W1277">
            <v>7.6</v>
          </cell>
          <cell r="X1277">
            <v>51.6</v>
          </cell>
          <cell r="Y1277">
            <v>6.7</v>
          </cell>
          <cell r="Z1277" t="str">
            <v>NA</v>
          </cell>
          <cell r="AA1277" t="str">
            <v>NA</v>
          </cell>
        </row>
        <row r="1278">
          <cell r="A1278">
            <v>45155</v>
          </cell>
          <cell r="B1278" t="str">
            <v>A1</v>
          </cell>
          <cell r="C1278">
            <v>4</v>
          </cell>
          <cell r="D1278">
            <v>3</v>
          </cell>
          <cell r="E1278" t="str">
            <v>ARIS.A1.Aim3.Bin4.LB</v>
          </cell>
          <cell r="F1278">
            <v>4</v>
          </cell>
          <cell r="G1278" t="str">
            <v>SplineDFA</v>
          </cell>
          <cell r="H1278" t="str">
            <v>Y</v>
          </cell>
          <cell r="I1278" t="str">
            <v>N</v>
          </cell>
          <cell r="J1278">
            <v>245</v>
          </cell>
          <cell r="K1278">
            <v>1</v>
          </cell>
          <cell r="L1278">
            <v>3.6999999999999998E-2</v>
          </cell>
          <cell r="M1278">
            <v>23.7</v>
          </cell>
          <cell r="N1278">
            <v>2.7</v>
          </cell>
          <cell r="O1278">
            <v>0.96299999999999997</v>
          </cell>
          <cell r="P1278">
            <v>0.27360000000000001</v>
          </cell>
          <cell r="Q1278">
            <v>0.3543</v>
          </cell>
          <cell r="R1278">
            <v>0.33510000000000001</v>
          </cell>
          <cell r="S1278" t="str">
            <v>NA</v>
          </cell>
          <cell r="T1278">
            <v>59</v>
          </cell>
          <cell r="U1278">
            <v>4.8</v>
          </cell>
          <cell r="V1278">
            <v>75.400000000000006</v>
          </cell>
          <cell r="W1278">
            <v>7.6</v>
          </cell>
          <cell r="X1278">
            <v>51.6</v>
          </cell>
          <cell r="Y1278">
            <v>6.7</v>
          </cell>
          <cell r="Z1278" t="str">
            <v>NA</v>
          </cell>
          <cell r="AA1278" t="str">
            <v>NA</v>
          </cell>
        </row>
        <row r="1279">
          <cell r="A1279">
            <v>45155</v>
          </cell>
          <cell r="B1279" t="str">
            <v>A2</v>
          </cell>
          <cell r="C1279">
            <v>1</v>
          </cell>
          <cell r="D1279">
            <v>1</v>
          </cell>
          <cell r="E1279" t="str">
            <v>ARIS.A2.Aim1.Bin1.RB</v>
          </cell>
          <cell r="F1279">
            <v>4</v>
          </cell>
          <cell r="G1279" t="str">
            <v>SplineDFA</v>
          </cell>
          <cell r="H1279" t="str">
            <v>Y</v>
          </cell>
          <cell r="I1279" t="str">
            <v>N</v>
          </cell>
          <cell r="J1279">
            <v>169</v>
          </cell>
          <cell r="K1279">
            <v>1</v>
          </cell>
          <cell r="L1279">
            <v>0.57779999999999998</v>
          </cell>
          <cell r="M1279">
            <v>23.7</v>
          </cell>
          <cell r="N1279">
            <v>2.7</v>
          </cell>
          <cell r="O1279">
            <v>0.42220000000000002</v>
          </cell>
          <cell r="P1279">
            <v>0.1464</v>
          </cell>
          <cell r="Q1279">
            <v>4.5900000000000003E-2</v>
          </cell>
          <cell r="R1279">
            <v>0.22989999999999999</v>
          </cell>
          <cell r="S1279" t="str">
            <v>NA</v>
          </cell>
          <cell r="T1279">
            <v>59</v>
          </cell>
          <cell r="U1279">
            <v>4.8</v>
          </cell>
          <cell r="V1279">
            <v>75.400000000000006</v>
          </cell>
          <cell r="W1279">
            <v>7.6</v>
          </cell>
          <cell r="X1279">
            <v>51.6</v>
          </cell>
          <cell r="Y1279">
            <v>6.7</v>
          </cell>
          <cell r="Z1279" t="str">
            <v>NA</v>
          </cell>
          <cell r="AA1279" t="str">
            <v>NA</v>
          </cell>
        </row>
        <row r="1280">
          <cell r="A1280">
            <v>45155</v>
          </cell>
          <cell r="B1280" t="str">
            <v>A2</v>
          </cell>
          <cell r="C1280">
            <v>2</v>
          </cell>
          <cell r="D1280">
            <v>1</v>
          </cell>
          <cell r="E1280" t="str">
            <v>ARIS.A2.Aim1.Bin2.RB</v>
          </cell>
          <cell r="F1280">
            <v>4</v>
          </cell>
          <cell r="G1280" t="str">
            <v>SplineDFA</v>
          </cell>
          <cell r="H1280" t="str">
            <v>Y</v>
          </cell>
          <cell r="I1280" t="str">
            <v>N</v>
          </cell>
          <cell r="J1280">
            <v>157</v>
          </cell>
          <cell r="K1280">
            <v>1</v>
          </cell>
          <cell r="L1280">
            <v>0.21659999999999999</v>
          </cell>
          <cell r="M1280">
            <v>23.7</v>
          </cell>
          <cell r="N1280">
            <v>2.7</v>
          </cell>
          <cell r="O1280">
            <v>0.78339999999999999</v>
          </cell>
          <cell r="P1280">
            <v>0.2366</v>
          </cell>
          <cell r="Q1280">
            <v>0.15110000000000001</v>
          </cell>
          <cell r="R1280">
            <v>0.3957</v>
          </cell>
          <cell r="S1280" t="str">
            <v>NA</v>
          </cell>
          <cell r="T1280">
            <v>59</v>
          </cell>
          <cell r="U1280">
            <v>4.8</v>
          </cell>
          <cell r="V1280">
            <v>75.400000000000006</v>
          </cell>
          <cell r="W1280">
            <v>7.6</v>
          </cell>
          <cell r="X1280">
            <v>51.6</v>
          </cell>
          <cell r="Y1280">
            <v>6.7</v>
          </cell>
          <cell r="Z1280" t="str">
            <v>NA</v>
          </cell>
          <cell r="AA1280" t="str">
            <v>NA</v>
          </cell>
        </row>
        <row r="1281">
          <cell r="A1281">
            <v>45155</v>
          </cell>
          <cell r="B1281" t="str">
            <v>A2</v>
          </cell>
          <cell r="C1281">
            <v>3</v>
          </cell>
          <cell r="D1281">
            <v>1</v>
          </cell>
          <cell r="E1281" t="str">
            <v>ARIS.A2.Aim1.Bin3.RB</v>
          </cell>
          <cell r="F1281">
            <v>4</v>
          </cell>
          <cell r="G1281" t="str">
            <v>SplineDFA</v>
          </cell>
          <cell r="H1281" t="str">
            <v>Y</v>
          </cell>
          <cell r="I1281" t="str">
            <v>N</v>
          </cell>
          <cell r="J1281">
            <v>134</v>
          </cell>
          <cell r="K1281">
            <v>0.99990000000000001</v>
          </cell>
          <cell r="L1281">
            <v>6.9599999999999995E-2</v>
          </cell>
          <cell r="M1281">
            <v>23.7</v>
          </cell>
          <cell r="N1281">
            <v>2.7</v>
          </cell>
          <cell r="O1281">
            <v>0.93030000000000002</v>
          </cell>
          <cell r="P1281">
            <v>0.2535</v>
          </cell>
          <cell r="Q1281">
            <v>0.26569999999999999</v>
          </cell>
          <cell r="R1281">
            <v>0.41110000000000002</v>
          </cell>
          <cell r="S1281" t="str">
            <v>NA</v>
          </cell>
          <cell r="T1281">
            <v>59</v>
          </cell>
          <cell r="U1281">
            <v>4.8</v>
          </cell>
          <cell r="V1281">
            <v>75.400000000000006</v>
          </cell>
          <cell r="W1281">
            <v>7.6</v>
          </cell>
          <cell r="X1281">
            <v>51.6</v>
          </cell>
          <cell r="Y1281">
            <v>6.7</v>
          </cell>
          <cell r="Z1281" t="str">
            <v>NA</v>
          </cell>
          <cell r="AA1281" t="str">
            <v>NA</v>
          </cell>
        </row>
        <row r="1282">
          <cell r="A1282">
            <v>45155</v>
          </cell>
          <cell r="B1282" t="str">
            <v>A2</v>
          </cell>
          <cell r="C1282">
            <v>4</v>
          </cell>
          <cell r="D1282">
            <v>1</v>
          </cell>
          <cell r="E1282" t="str">
            <v>ARIS.A2.Aim1.Bin4.RB</v>
          </cell>
          <cell r="F1282">
            <v>4</v>
          </cell>
          <cell r="G1282" t="str">
            <v>SplineDFA</v>
          </cell>
          <cell r="H1282" t="str">
            <v>Y</v>
          </cell>
          <cell r="I1282" t="str">
            <v>N</v>
          </cell>
          <cell r="J1282">
            <v>134</v>
          </cell>
          <cell r="K1282">
            <v>0.99990000000000001</v>
          </cell>
          <cell r="L1282">
            <v>6.9599999999999995E-2</v>
          </cell>
          <cell r="M1282">
            <v>23.7</v>
          </cell>
          <cell r="N1282">
            <v>2.7</v>
          </cell>
          <cell r="O1282">
            <v>0.93030000000000002</v>
          </cell>
          <cell r="P1282">
            <v>0.2535</v>
          </cell>
          <cell r="Q1282">
            <v>0.26569999999999999</v>
          </cell>
          <cell r="R1282">
            <v>0.41110000000000002</v>
          </cell>
          <cell r="S1282" t="str">
            <v>NA</v>
          </cell>
          <cell r="T1282">
            <v>59</v>
          </cell>
          <cell r="U1282">
            <v>4.8</v>
          </cell>
          <cell r="V1282">
            <v>75.400000000000006</v>
          </cell>
          <cell r="W1282">
            <v>7.6</v>
          </cell>
          <cell r="X1282">
            <v>51.6</v>
          </cell>
          <cell r="Y1282">
            <v>6.7</v>
          </cell>
          <cell r="Z1282" t="str">
            <v>NA</v>
          </cell>
          <cell r="AA1282" t="str">
            <v>NA</v>
          </cell>
        </row>
        <row r="1283">
          <cell r="A1283">
            <v>45156</v>
          </cell>
          <cell r="B1283" t="str">
            <v>A1</v>
          </cell>
          <cell r="C1283">
            <v>1</v>
          </cell>
          <cell r="D1283">
            <v>1</v>
          </cell>
          <cell r="E1283" t="str">
            <v>ARIS.A1.Aim1.Bin1.LB</v>
          </cell>
          <cell r="F1283">
            <v>4</v>
          </cell>
          <cell r="G1283" t="str">
            <v>Unweighted</v>
          </cell>
          <cell r="H1283" t="str">
            <v>N</v>
          </cell>
          <cell r="I1283" t="str">
            <v>Y</v>
          </cell>
          <cell r="J1283">
            <v>166</v>
          </cell>
          <cell r="K1283">
            <v>0.99990000000000001</v>
          </cell>
          <cell r="L1283">
            <v>0.60189999999999999</v>
          </cell>
          <cell r="M1283">
            <v>21.3</v>
          </cell>
          <cell r="N1283">
            <v>7.4</v>
          </cell>
          <cell r="O1283">
            <v>0.39800000000000002</v>
          </cell>
          <cell r="P1283">
            <v>0.188</v>
          </cell>
          <cell r="Q1283">
            <v>5.74E-2</v>
          </cell>
          <cell r="R1283">
            <v>0.15260000000000001</v>
          </cell>
          <cell r="S1283" t="str">
            <v>NA</v>
          </cell>
          <cell r="T1283">
            <v>59</v>
          </cell>
          <cell r="U1283">
            <v>4.8</v>
          </cell>
          <cell r="V1283">
            <v>75.400000000000006</v>
          </cell>
          <cell r="W1283">
            <v>7.6</v>
          </cell>
          <cell r="X1283">
            <v>51.6</v>
          </cell>
          <cell r="Y1283">
            <v>6.7</v>
          </cell>
          <cell r="Z1283" t="str">
            <v>NA</v>
          </cell>
          <cell r="AA1283" t="str">
            <v>NA</v>
          </cell>
        </row>
        <row r="1284">
          <cell r="A1284">
            <v>45156</v>
          </cell>
          <cell r="B1284" t="str">
            <v>A1</v>
          </cell>
          <cell r="C1284">
            <v>1</v>
          </cell>
          <cell r="D1284">
            <v>2</v>
          </cell>
          <cell r="E1284" t="str">
            <v>ARIS.A1.Aim2.Bin1.LB</v>
          </cell>
          <cell r="F1284">
            <v>4</v>
          </cell>
          <cell r="G1284" t="str">
            <v>Unweighted</v>
          </cell>
          <cell r="H1284" t="str">
            <v>N</v>
          </cell>
          <cell r="I1284" t="str">
            <v>Y</v>
          </cell>
          <cell r="J1284">
            <v>255</v>
          </cell>
          <cell r="K1284">
            <v>1.0001</v>
          </cell>
          <cell r="L1284">
            <v>0.58360000000000001</v>
          </cell>
          <cell r="M1284">
            <v>18.100000000000001</v>
          </cell>
          <cell r="N1284">
            <v>6.7</v>
          </cell>
          <cell r="O1284">
            <v>0.41649999999999998</v>
          </cell>
          <cell r="P1284">
            <v>0.24729999999999999</v>
          </cell>
          <cell r="Q1284">
            <v>3.5099999999999999E-2</v>
          </cell>
          <cell r="R1284">
            <v>0.1341</v>
          </cell>
          <cell r="S1284" t="str">
            <v>NA</v>
          </cell>
          <cell r="T1284">
            <v>59</v>
          </cell>
          <cell r="U1284">
            <v>4.8</v>
          </cell>
          <cell r="V1284">
            <v>75.400000000000006</v>
          </cell>
          <cell r="W1284">
            <v>7.6</v>
          </cell>
          <cell r="X1284">
            <v>51.6</v>
          </cell>
          <cell r="Y1284">
            <v>6.7</v>
          </cell>
          <cell r="Z1284" t="str">
            <v>NA</v>
          </cell>
          <cell r="AA1284" t="str">
            <v>NA</v>
          </cell>
        </row>
        <row r="1285">
          <cell r="A1285">
            <v>45156</v>
          </cell>
          <cell r="B1285" t="str">
            <v>A1</v>
          </cell>
          <cell r="C1285">
            <v>1</v>
          </cell>
          <cell r="D1285" t="str">
            <v>1&amp;2</v>
          </cell>
          <cell r="E1285" t="str">
            <v>ARIS.A1.Aim1&amp;Aim2.Bin1.LB</v>
          </cell>
          <cell r="F1285">
            <v>4</v>
          </cell>
          <cell r="G1285" t="str">
            <v>Unweighted</v>
          </cell>
          <cell r="H1285" t="str">
            <v>N</v>
          </cell>
          <cell r="I1285" t="str">
            <v>Y</v>
          </cell>
          <cell r="J1285">
            <v>421</v>
          </cell>
          <cell r="K1285">
            <v>1</v>
          </cell>
          <cell r="L1285">
            <v>0.59140000000000004</v>
          </cell>
          <cell r="M1285">
            <v>19.399999999999999</v>
          </cell>
          <cell r="N1285">
            <v>7.2</v>
          </cell>
          <cell r="O1285">
            <v>0.40860000000000002</v>
          </cell>
          <cell r="P1285">
            <v>0.22520000000000001</v>
          </cell>
          <cell r="Q1285">
            <v>4.2900000000000001E-2</v>
          </cell>
          <cell r="R1285">
            <v>0.14050000000000001</v>
          </cell>
          <cell r="S1285" t="str">
            <v>NA</v>
          </cell>
          <cell r="T1285">
            <v>59</v>
          </cell>
          <cell r="U1285">
            <v>4.8</v>
          </cell>
          <cell r="V1285">
            <v>75.400000000000006</v>
          </cell>
          <cell r="W1285">
            <v>7.6</v>
          </cell>
          <cell r="X1285">
            <v>51.6</v>
          </cell>
          <cell r="Y1285">
            <v>6.7</v>
          </cell>
          <cell r="Z1285" t="str">
            <v>NA</v>
          </cell>
          <cell r="AA1285" t="str">
            <v>NA</v>
          </cell>
        </row>
        <row r="1286">
          <cell r="A1286">
            <v>45156</v>
          </cell>
          <cell r="B1286" t="str">
            <v>A1</v>
          </cell>
          <cell r="C1286">
            <v>2</v>
          </cell>
          <cell r="D1286">
            <v>3</v>
          </cell>
          <cell r="E1286" t="str">
            <v>ARIS.A1.Aim3.Bin2.LB</v>
          </cell>
          <cell r="F1286">
            <v>4</v>
          </cell>
          <cell r="G1286" t="str">
            <v>Unweighted</v>
          </cell>
          <cell r="H1286" t="str">
            <v>N</v>
          </cell>
          <cell r="I1286" t="str">
            <v>Y</v>
          </cell>
          <cell r="J1286">
            <v>199</v>
          </cell>
          <cell r="K1286">
            <v>1</v>
          </cell>
          <cell r="L1286">
            <v>0.22209999999999999</v>
          </cell>
          <cell r="M1286">
            <v>33.200000000000003</v>
          </cell>
          <cell r="N1286">
            <v>7.8</v>
          </cell>
          <cell r="O1286">
            <v>0.77790000000000004</v>
          </cell>
          <cell r="P1286">
            <v>0.35310000000000002</v>
          </cell>
          <cell r="Q1286">
            <v>0.2661</v>
          </cell>
          <cell r="R1286">
            <v>0.15870000000000001</v>
          </cell>
          <cell r="S1286" t="str">
            <v>NA</v>
          </cell>
          <cell r="T1286">
            <v>59</v>
          </cell>
          <cell r="U1286">
            <v>4.8</v>
          </cell>
          <cell r="V1286">
            <v>75.400000000000006</v>
          </cell>
          <cell r="W1286">
            <v>7.6</v>
          </cell>
          <cell r="X1286">
            <v>51.6</v>
          </cell>
          <cell r="Y1286">
            <v>6.7</v>
          </cell>
          <cell r="Z1286" t="str">
            <v>NA</v>
          </cell>
          <cell r="AA1286" t="str">
            <v>NA</v>
          </cell>
        </row>
        <row r="1287">
          <cell r="A1287">
            <v>45156</v>
          </cell>
          <cell r="B1287" t="str">
            <v>A1</v>
          </cell>
          <cell r="C1287">
            <v>3</v>
          </cell>
          <cell r="D1287">
            <v>3</v>
          </cell>
          <cell r="E1287" t="str">
            <v>ARIS.A1.Aim3.Bin3.LB</v>
          </cell>
          <cell r="F1287">
            <v>4</v>
          </cell>
          <cell r="G1287" t="str">
            <v>Unweighted</v>
          </cell>
          <cell r="H1287" t="str">
            <v>N</v>
          </cell>
          <cell r="I1287" t="str">
            <v>Y</v>
          </cell>
          <cell r="J1287">
            <v>192</v>
          </cell>
          <cell r="K1287">
            <v>1</v>
          </cell>
          <cell r="L1287">
            <v>0.19969999999999999</v>
          </cell>
          <cell r="M1287">
            <v>43.6</v>
          </cell>
          <cell r="N1287">
            <v>7.3</v>
          </cell>
          <cell r="O1287">
            <v>0.80030000000000001</v>
          </cell>
          <cell r="P1287">
            <v>0.31850000000000001</v>
          </cell>
          <cell r="Q1287">
            <v>0.48180000000000001</v>
          </cell>
          <cell r="R1287">
            <v>0</v>
          </cell>
          <cell r="S1287" t="str">
            <v>NA</v>
          </cell>
          <cell r="T1287">
            <v>59</v>
          </cell>
          <cell r="U1287">
            <v>4.8</v>
          </cell>
          <cell r="V1287">
            <v>75.400000000000006</v>
          </cell>
          <cell r="W1287">
            <v>7.6</v>
          </cell>
          <cell r="X1287">
            <v>51.6</v>
          </cell>
          <cell r="Y1287">
            <v>6.7</v>
          </cell>
          <cell r="Z1287" t="str">
            <v>NA</v>
          </cell>
          <cell r="AA1287" t="str">
            <v>NA</v>
          </cell>
        </row>
        <row r="1288">
          <cell r="A1288">
            <v>45156</v>
          </cell>
          <cell r="B1288" t="str">
            <v>A1</v>
          </cell>
          <cell r="C1288">
            <v>4</v>
          </cell>
          <cell r="D1288">
            <v>3</v>
          </cell>
          <cell r="E1288" t="str">
            <v>ARIS.A1.Aim3.Bin4.LB</v>
          </cell>
          <cell r="F1288">
            <v>4</v>
          </cell>
          <cell r="G1288" t="str">
            <v>Unweighted</v>
          </cell>
          <cell r="H1288" t="str">
            <v>N</v>
          </cell>
          <cell r="I1288" t="str">
            <v>Y</v>
          </cell>
          <cell r="J1288">
            <v>192</v>
          </cell>
          <cell r="K1288">
            <v>1</v>
          </cell>
          <cell r="L1288">
            <v>0.19969999999999999</v>
          </cell>
          <cell r="M1288">
            <v>43.6</v>
          </cell>
          <cell r="N1288">
            <v>7.3</v>
          </cell>
          <cell r="O1288">
            <v>0.80030000000000001</v>
          </cell>
          <cell r="P1288">
            <v>0.31850000000000001</v>
          </cell>
          <cell r="Q1288">
            <v>0.48180000000000001</v>
          </cell>
          <cell r="R1288">
            <v>0</v>
          </cell>
          <cell r="S1288" t="str">
            <v>NA</v>
          </cell>
          <cell r="T1288">
            <v>59</v>
          </cell>
          <cell r="U1288">
            <v>4.8</v>
          </cell>
          <cell r="V1288">
            <v>75.400000000000006</v>
          </cell>
          <cell r="W1288">
            <v>7.6</v>
          </cell>
          <cell r="X1288">
            <v>51.6</v>
          </cell>
          <cell r="Y1288">
            <v>6.7</v>
          </cell>
          <cell r="Z1288" t="str">
            <v>NA</v>
          </cell>
          <cell r="AA1288" t="str">
            <v>NA</v>
          </cell>
        </row>
        <row r="1289">
          <cell r="A1289">
            <v>45156</v>
          </cell>
          <cell r="B1289" t="str">
            <v>A2</v>
          </cell>
          <cell r="C1289">
            <v>1</v>
          </cell>
          <cell r="D1289">
            <v>1</v>
          </cell>
          <cell r="E1289" t="str">
            <v>ARIS.A2.Aim1.Bin1.RB</v>
          </cell>
          <cell r="F1289">
            <v>4</v>
          </cell>
          <cell r="G1289" t="str">
            <v>Unweighted</v>
          </cell>
          <cell r="H1289" t="str">
            <v>N</v>
          </cell>
          <cell r="I1289" t="str">
            <v>Y</v>
          </cell>
          <cell r="J1289">
            <v>169</v>
          </cell>
          <cell r="K1289">
            <v>1</v>
          </cell>
          <cell r="L1289">
            <v>0.57679999999999998</v>
          </cell>
          <cell r="M1289">
            <v>22.1</v>
          </cell>
          <cell r="N1289">
            <v>7.1</v>
          </cell>
          <cell r="O1289">
            <v>0.42320000000000002</v>
          </cell>
          <cell r="P1289">
            <v>7.8399999999999997E-2</v>
          </cell>
          <cell r="Q1289">
            <v>5.4100000000000002E-2</v>
          </cell>
          <cell r="R1289">
            <v>0.29070000000000001</v>
          </cell>
          <cell r="S1289" t="str">
            <v>NA</v>
          </cell>
          <cell r="T1289">
            <v>59</v>
          </cell>
          <cell r="U1289">
            <v>4.8</v>
          </cell>
          <cell r="V1289">
            <v>75.400000000000006</v>
          </cell>
          <cell r="W1289">
            <v>7.6</v>
          </cell>
          <cell r="X1289">
            <v>51.6</v>
          </cell>
          <cell r="Y1289">
            <v>6.7</v>
          </cell>
          <cell r="Z1289" t="str">
            <v>NA</v>
          </cell>
          <cell r="AA1289" t="str">
            <v>NA</v>
          </cell>
        </row>
        <row r="1290">
          <cell r="A1290">
            <v>45156</v>
          </cell>
          <cell r="B1290" t="str">
            <v>A2</v>
          </cell>
          <cell r="C1290">
            <v>2</v>
          </cell>
          <cell r="D1290">
            <v>1</v>
          </cell>
          <cell r="E1290" t="str">
            <v>ARIS.A2.Aim1.Bin2.RB</v>
          </cell>
          <cell r="F1290">
            <v>4</v>
          </cell>
          <cell r="G1290" t="str">
            <v>Unweighted</v>
          </cell>
          <cell r="H1290" t="str">
            <v>N</v>
          </cell>
          <cell r="I1290" t="str">
            <v>Y</v>
          </cell>
          <cell r="J1290">
            <v>157</v>
          </cell>
          <cell r="K1290">
            <v>1</v>
          </cell>
          <cell r="L1290">
            <v>0.33529999999999999</v>
          </cell>
          <cell r="M1290">
            <v>23.7</v>
          </cell>
          <cell r="N1290">
            <v>8.6999999999999993</v>
          </cell>
          <cell r="O1290">
            <v>0.66469999999999996</v>
          </cell>
          <cell r="P1290">
            <v>0.1537</v>
          </cell>
          <cell r="Q1290">
            <v>0.1203</v>
          </cell>
          <cell r="R1290">
            <v>0.39069999999999999</v>
          </cell>
          <cell r="S1290" t="str">
            <v>NA</v>
          </cell>
          <cell r="T1290">
            <v>59</v>
          </cell>
          <cell r="U1290">
            <v>4.8</v>
          </cell>
          <cell r="V1290">
            <v>75.400000000000006</v>
          </cell>
          <cell r="W1290">
            <v>7.6</v>
          </cell>
          <cell r="X1290">
            <v>51.6</v>
          </cell>
          <cell r="Y1290">
            <v>6.7</v>
          </cell>
          <cell r="Z1290" t="str">
            <v>NA</v>
          </cell>
          <cell r="AA1290" t="str">
            <v>NA</v>
          </cell>
        </row>
        <row r="1291">
          <cell r="A1291">
            <v>45156</v>
          </cell>
          <cell r="B1291" t="str">
            <v>A2</v>
          </cell>
          <cell r="C1291">
            <v>3</v>
          </cell>
          <cell r="D1291">
            <v>1</v>
          </cell>
          <cell r="E1291" t="str">
            <v>ARIS.A2.Aim1.Bin3.RB</v>
          </cell>
          <cell r="F1291">
            <v>4</v>
          </cell>
          <cell r="G1291" t="str">
            <v>Unweighted</v>
          </cell>
          <cell r="H1291" t="str">
            <v>N</v>
          </cell>
          <cell r="I1291" t="str">
            <v>Y</v>
          </cell>
          <cell r="J1291">
            <v>134</v>
          </cell>
          <cell r="K1291">
            <v>1</v>
          </cell>
          <cell r="L1291">
            <v>0.13969999999999999</v>
          </cell>
          <cell r="M1291">
            <v>23.7</v>
          </cell>
          <cell r="N1291">
            <v>9.6</v>
          </cell>
          <cell r="O1291">
            <v>0.86029999999999995</v>
          </cell>
          <cell r="P1291">
            <v>2.81E-2</v>
          </cell>
          <cell r="Q1291">
            <v>0.30320000000000003</v>
          </cell>
          <cell r="R1291">
            <v>0.52900000000000003</v>
          </cell>
          <cell r="S1291" t="str">
            <v>NA</v>
          </cell>
          <cell r="T1291">
            <v>59</v>
          </cell>
          <cell r="U1291">
            <v>4.8</v>
          </cell>
          <cell r="V1291">
            <v>75.400000000000006</v>
          </cell>
          <cell r="W1291">
            <v>7.6</v>
          </cell>
          <cell r="X1291">
            <v>51.6</v>
          </cell>
          <cell r="Y1291">
            <v>6.7</v>
          </cell>
          <cell r="Z1291" t="str">
            <v>NA</v>
          </cell>
          <cell r="AA1291" t="str">
            <v>NA</v>
          </cell>
        </row>
        <row r="1292">
          <cell r="A1292">
            <v>45156</v>
          </cell>
          <cell r="B1292" t="str">
            <v>A2</v>
          </cell>
          <cell r="C1292">
            <v>4</v>
          </cell>
          <cell r="D1292">
            <v>1</v>
          </cell>
          <cell r="E1292" t="str">
            <v>ARIS.A2.Aim1.Bin4.RB</v>
          </cell>
          <cell r="F1292">
            <v>4</v>
          </cell>
          <cell r="G1292" t="str">
            <v>Unweighted</v>
          </cell>
          <cell r="H1292" t="str">
            <v>N</v>
          </cell>
          <cell r="I1292" t="str">
            <v>Y</v>
          </cell>
          <cell r="J1292">
            <v>134</v>
          </cell>
          <cell r="K1292">
            <v>1</v>
          </cell>
          <cell r="L1292">
            <v>0.13969999999999999</v>
          </cell>
          <cell r="M1292">
            <v>23.7</v>
          </cell>
          <cell r="N1292">
            <v>9.6</v>
          </cell>
          <cell r="O1292">
            <v>0.86029999999999995</v>
          </cell>
          <cell r="P1292">
            <v>2.81E-2</v>
          </cell>
          <cell r="Q1292">
            <v>0.30320000000000003</v>
          </cell>
          <cell r="R1292">
            <v>0.52900000000000003</v>
          </cell>
          <cell r="S1292" t="str">
            <v>NA</v>
          </cell>
          <cell r="T1292">
            <v>59</v>
          </cell>
          <cell r="U1292">
            <v>4.8</v>
          </cell>
          <cell r="V1292">
            <v>75.400000000000006</v>
          </cell>
          <cell r="W1292">
            <v>7.6</v>
          </cell>
          <cell r="X1292">
            <v>51.6</v>
          </cell>
          <cell r="Y1292">
            <v>6.7</v>
          </cell>
          <cell r="Z1292" t="str">
            <v>NA</v>
          </cell>
          <cell r="AA1292" t="str">
            <v>NA</v>
          </cell>
        </row>
        <row r="1293">
          <cell r="A1293">
            <v>45156</v>
          </cell>
          <cell r="B1293" t="str">
            <v>A1</v>
          </cell>
          <cell r="C1293">
            <v>1</v>
          </cell>
          <cell r="D1293">
            <v>1</v>
          </cell>
          <cell r="E1293" t="str">
            <v>ARIS.A1.Aim1.Bin1.LB</v>
          </cell>
          <cell r="F1293">
            <v>4</v>
          </cell>
          <cell r="G1293" t="str">
            <v>SplineDFA</v>
          </cell>
          <cell r="H1293" t="str">
            <v>Y</v>
          </cell>
          <cell r="I1293" t="str">
            <v>N</v>
          </cell>
          <cell r="J1293">
            <v>166</v>
          </cell>
          <cell r="K1293">
            <v>1</v>
          </cell>
          <cell r="L1293">
            <v>0.56000000000000005</v>
          </cell>
          <cell r="M1293">
            <v>23.7</v>
          </cell>
          <cell r="N1293">
            <v>2.7</v>
          </cell>
          <cell r="O1293">
            <v>0.44</v>
          </cell>
          <cell r="P1293">
            <v>0.1671</v>
          </cell>
          <cell r="Q1293">
            <v>7.9000000000000001E-2</v>
          </cell>
          <cell r="R1293">
            <v>0.19389999999999999</v>
          </cell>
          <cell r="S1293" t="str">
            <v>NA</v>
          </cell>
          <cell r="T1293">
            <v>59</v>
          </cell>
          <cell r="U1293">
            <v>4.8</v>
          </cell>
          <cell r="V1293">
            <v>75.400000000000006</v>
          </cell>
          <cell r="W1293">
            <v>7.6</v>
          </cell>
          <cell r="X1293">
            <v>51.6</v>
          </cell>
          <cell r="Y1293">
            <v>6.7</v>
          </cell>
          <cell r="Z1293" t="str">
            <v>NA</v>
          </cell>
          <cell r="AA1293" t="str">
            <v>NA</v>
          </cell>
        </row>
        <row r="1294">
          <cell r="A1294">
            <v>45156</v>
          </cell>
          <cell r="B1294" t="str">
            <v>A1</v>
          </cell>
          <cell r="C1294">
            <v>1</v>
          </cell>
          <cell r="D1294">
            <v>2</v>
          </cell>
          <cell r="E1294" t="str">
            <v>ARIS.A1.Aim2.Bin1.LB</v>
          </cell>
          <cell r="F1294">
            <v>4</v>
          </cell>
          <cell r="G1294" t="str">
            <v>SplineDFA</v>
          </cell>
          <cell r="H1294" t="str">
            <v>Y</v>
          </cell>
          <cell r="I1294" t="str">
            <v>N</v>
          </cell>
          <cell r="J1294">
            <v>255</v>
          </cell>
          <cell r="K1294">
            <v>1</v>
          </cell>
          <cell r="L1294">
            <v>0.40649999999999997</v>
          </cell>
          <cell r="M1294">
            <v>23.7</v>
          </cell>
          <cell r="N1294">
            <v>2.7</v>
          </cell>
          <cell r="O1294">
            <v>0.59350000000000003</v>
          </cell>
          <cell r="P1294">
            <v>0.2792</v>
          </cell>
          <cell r="Q1294">
            <v>0.10920000000000001</v>
          </cell>
          <cell r="R1294">
            <v>0.2051</v>
          </cell>
          <cell r="S1294" t="str">
            <v>NA</v>
          </cell>
          <cell r="T1294">
            <v>59</v>
          </cell>
          <cell r="U1294">
            <v>4.8</v>
          </cell>
          <cell r="V1294">
            <v>75.400000000000006</v>
          </cell>
          <cell r="W1294">
            <v>7.6</v>
          </cell>
          <cell r="X1294">
            <v>51.6</v>
          </cell>
          <cell r="Y1294">
            <v>6.7</v>
          </cell>
          <cell r="Z1294" t="str">
            <v>NA</v>
          </cell>
          <cell r="AA1294" t="str">
            <v>NA</v>
          </cell>
        </row>
        <row r="1295">
          <cell r="A1295">
            <v>45156</v>
          </cell>
          <cell r="B1295" t="str">
            <v>A1</v>
          </cell>
          <cell r="C1295">
            <v>2</v>
          </cell>
          <cell r="D1295">
            <v>3</v>
          </cell>
          <cell r="E1295" t="str">
            <v>ARIS.A1.Aim3.Bin2.LB</v>
          </cell>
          <cell r="F1295">
            <v>4</v>
          </cell>
          <cell r="G1295" t="str">
            <v>SplineDFA</v>
          </cell>
          <cell r="H1295" t="str">
            <v>Y</v>
          </cell>
          <cell r="I1295" t="str">
            <v>N</v>
          </cell>
          <cell r="J1295">
            <v>199</v>
          </cell>
          <cell r="K1295">
            <v>1</v>
          </cell>
          <cell r="L1295">
            <v>6.4399999999999999E-2</v>
          </cell>
          <cell r="M1295">
            <v>23.7</v>
          </cell>
          <cell r="N1295">
            <v>2.7</v>
          </cell>
          <cell r="O1295">
            <v>0.93559999999999999</v>
          </cell>
          <cell r="P1295">
            <v>0.3453</v>
          </cell>
          <cell r="Q1295">
            <v>0.31890000000000002</v>
          </cell>
          <cell r="R1295">
            <v>0.27139999999999997</v>
          </cell>
          <cell r="S1295" t="str">
            <v>NA</v>
          </cell>
          <cell r="T1295">
            <v>59</v>
          </cell>
          <cell r="U1295">
            <v>4.8</v>
          </cell>
          <cell r="V1295">
            <v>75.400000000000006</v>
          </cell>
          <cell r="W1295">
            <v>7.6</v>
          </cell>
          <cell r="X1295">
            <v>51.6</v>
          </cell>
          <cell r="Y1295">
            <v>6.7</v>
          </cell>
          <cell r="Z1295" t="str">
            <v>NA</v>
          </cell>
          <cell r="AA1295" t="str">
            <v>NA</v>
          </cell>
        </row>
        <row r="1296">
          <cell r="A1296">
            <v>45156</v>
          </cell>
          <cell r="B1296" t="str">
            <v>A1</v>
          </cell>
          <cell r="C1296">
            <v>3</v>
          </cell>
          <cell r="D1296">
            <v>3</v>
          </cell>
          <cell r="E1296" t="str">
            <v>ARIS.A1.Aim3.Bin3.LB</v>
          </cell>
          <cell r="F1296">
            <v>4</v>
          </cell>
          <cell r="G1296" t="str">
            <v>SplineDFA</v>
          </cell>
          <cell r="H1296" t="str">
            <v>Y</v>
          </cell>
          <cell r="I1296" t="str">
            <v>N</v>
          </cell>
          <cell r="J1296">
            <v>192</v>
          </cell>
          <cell r="K1296">
            <v>1</v>
          </cell>
          <cell r="L1296">
            <v>0</v>
          </cell>
          <cell r="M1296">
            <v>23.7</v>
          </cell>
          <cell r="N1296">
            <v>2.7</v>
          </cell>
          <cell r="O1296">
            <v>1</v>
          </cell>
          <cell r="P1296">
            <v>0.29459999999999997</v>
          </cell>
          <cell r="Q1296">
            <v>0.43259999999999998</v>
          </cell>
          <cell r="R1296">
            <v>0.27279999999999999</v>
          </cell>
          <cell r="S1296" t="str">
            <v>NA</v>
          </cell>
          <cell r="T1296">
            <v>59</v>
          </cell>
          <cell r="U1296">
            <v>4.8</v>
          </cell>
          <cell r="V1296">
            <v>75.400000000000006</v>
          </cell>
          <cell r="W1296">
            <v>7.6</v>
          </cell>
          <cell r="X1296">
            <v>51.6</v>
          </cell>
          <cell r="Y1296">
            <v>6.7</v>
          </cell>
          <cell r="Z1296" t="str">
            <v>NA</v>
          </cell>
          <cell r="AA1296" t="str">
            <v>NA</v>
          </cell>
        </row>
        <row r="1297">
          <cell r="A1297">
            <v>45156</v>
          </cell>
          <cell r="B1297" t="str">
            <v>A1</v>
          </cell>
          <cell r="C1297">
            <v>4</v>
          </cell>
          <cell r="D1297">
            <v>3</v>
          </cell>
          <cell r="E1297" t="str">
            <v>ARIS.A1.Aim3.Bin4.LB</v>
          </cell>
          <cell r="F1297">
            <v>4</v>
          </cell>
          <cell r="G1297" t="str">
            <v>SplineDFA</v>
          </cell>
          <cell r="H1297" t="str">
            <v>Y</v>
          </cell>
          <cell r="I1297" t="str">
            <v>N</v>
          </cell>
          <cell r="J1297">
            <v>192</v>
          </cell>
          <cell r="K1297">
            <v>1</v>
          </cell>
          <cell r="L1297">
            <v>0</v>
          </cell>
          <cell r="M1297">
            <v>23.7</v>
          </cell>
          <cell r="N1297">
            <v>2.7</v>
          </cell>
          <cell r="O1297">
            <v>1</v>
          </cell>
          <cell r="P1297">
            <v>0.29459999999999997</v>
          </cell>
          <cell r="Q1297">
            <v>0.43259999999999998</v>
          </cell>
          <cell r="R1297">
            <v>0.27279999999999999</v>
          </cell>
          <cell r="S1297" t="str">
            <v>NA</v>
          </cell>
          <cell r="T1297">
            <v>59</v>
          </cell>
          <cell r="U1297">
            <v>4.8</v>
          </cell>
          <cell r="V1297">
            <v>75.400000000000006</v>
          </cell>
          <cell r="W1297">
            <v>7.6</v>
          </cell>
          <cell r="X1297">
            <v>51.6</v>
          </cell>
          <cell r="Y1297">
            <v>6.7</v>
          </cell>
          <cell r="Z1297" t="str">
            <v>NA</v>
          </cell>
          <cell r="AA1297" t="str">
            <v>NA</v>
          </cell>
        </row>
        <row r="1298">
          <cell r="A1298">
            <v>45156</v>
          </cell>
          <cell r="B1298" t="str">
            <v>A2</v>
          </cell>
          <cell r="C1298">
            <v>1</v>
          </cell>
          <cell r="D1298">
            <v>1</v>
          </cell>
          <cell r="E1298" t="str">
            <v>ARIS.A2.Aim1.Bin1.RB</v>
          </cell>
          <cell r="F1298">
            <v>4</v>
          </cell>
          <cell r="G1298" t="str">
            <v>SplineDFA</v>
          </cell>
          <cell r="H1298" t="str">
            <v>Y</v>
          </cell>
          <cell r="I1298" t="str">
            <v>N</v>
          </cell>
          <cell r="J1298">
            <v>169</v>
          </cell>
          <cell r="K1298">
            <v>1</v>
          </cell>
          <cell r="L1298">
            <v>0.57679999999999998</v>
          </cell>
          <cell r="M1298">
            <v>22.1</v>
          </cell>
          <cell r="N1298">
            <v>7.1</v>
          </cell>
          <cell r="O1298">
            <v>0.42320000000000002</v>
          </cell>
          <cell r="P1298">
            <v>7.8399999999999997E-2</v>
          </cell>
          <cell r="Q1298">
            <v>5.4100000000000002E-2</v>
          </cell>
          <cell r="R1298">
            <v>0.29070000000000001</v>
          </cell>
          <cell r="S1298" t="str">
            <v>NA</v>
          </cell>
          <cell r="T1298">
            <v>59</v>
          </cell>
          <cell r="U1298">
            <v>4.8</v>
          </cell>
          <cell r="V1298">
            <v>75.400000000000006</v>
          </cell>
          <cell r="W1298">
            <v>7.6</v>
          </cell>
          <cell r="X1298">
            <v>51.6</v>
          </cell>
          <cell r="Y1298">
            <v>6.7</v>
          </cell>
          <cell r="Z1298" t="str">
            <v>NA</v>
          </cell>
          <cell r="AA1298" t="str">
            <v>NA</v>
          </cell>
        </row>
        <row r="1299">
          <cell r="A1299">
            <v>45156</v>
          </cell>
          <cell r="B1299" t="str">
            <v>A2</v>
          </cell>
          <cell r="C1299">
            <v>2</v>
          </cell>
          <cell r="D1299">
            <v>1</v>
          </cell>
          <cell r="E1299" t="str">
            <v>ARIS.A2.Aim1.Bin2.RB</v>
          </cell>
          <cell r="F1299">
            <v>4</v>
          </cell>
          <cell r="G1299" t="str">
            <v>SplineDFA</v>
          </cell>
          <cell r="H1299" t="str">
            <v>Y</v>
          </cell>
          <cell r="I1299" t="str">
            <v>N</v>
          </cell>
          <cell r="J1299">
            <v>157</v>
          </cell>
          <cell r="K1299">
            <v>1</v>
          </cell>
          <cell r="L1299">
            <v>0.33529999999999999</v>
          </cell>
          <cell r="M1299">
            <v>23.7</v>
          </cell>
          <cell r="N1299">
            <v>8.6999999999999993</v>
          </cell>
          <cell r="O1299">
            <v>0.66469999999999996</v>
          </cell>
          <cell r="P1299">
            <v>0.1537</v>
          </cell>
          <cell r="Q1299">
            <v>0.1203</v>
          </cell>
          <cell r="R1299">
            <v>0.39069999999999999</v>
          </cell>
          <cell r="S1299" t="str">
            <v>NA</v>
          </cell>
          <cell r="T1299">
            <v>59</v>
          </cell>
          <cell r="U1299">
            <v>4.8</v>
          </cell>
          <cell r="V1299">
            <v>75.400000000000006</v>
          </cell>
          <cell r="W1299">
            <v>7.6</v>
          </cell>
          <cell r="X1299">
            <v>51.6</v>
          </cell>
          <cell r="Y1299">
            <v>6.7</v>
          </cell>
          <cell r="Z1299" t="str">
            <v>NA</v>
          </cell>
          <cell r="AA1299" t="str">
            <v>NA</v>
          </cell>
        </row>
        <row r="1300">
          <cell r="A1300">
            <v>45156</v>
          </cell>
          <cell r="B1300" t="str">
            <v>A2</v>
          </cell>
          <cell r="C1300">
            <v>3</v>
          </cell>
          <cell r="D1300">
            <v>1</v>
          </cell>
          <cell r="E1300" t="str">
            <v>ARIS.A2.Aim1.Bin3.RB</v>
          </cell>
          <cell r="F1300">
            <v>4</v>
          </cell>
          <cell r="G1300" t="str">
            <v>SplineDFA</v>
          </cell>
          <cell r="H1300" t="str">
            <v>Y</v>
          </cell>
          <cell r="I1300" t="str">
            <v>N</v>
          </cell>
          <cell r="J1300">
            <v>134</v>
          </cell>
          <cell r="K1300">
            <v>1</v>
          </cell>
          <cell r="L1300">
            <v>0.13969999999999999</v>
          </cell>
          <cell r="M1300">
            <v>23.7</v>
          </cell>
          <cell r="N1300">
            <v>9.6</v>
          </cell>
          <cell r="O1300">
            <v>0.86029999999999995</v>
          </cell>
          <cell r="P1300">
            <v>2.81E-2</v>
          </cell>
          <cell r="Q1300">
            <v>0.30320000000000003</v>
          </cell>
          <cell r="R1300">
            <v>0.52900000000000003</v>
          </cell>
          <cell r="S1300" t="str">
            <v>NA</v>
          </cell>
          <cell r="T1300">
            <v>59</v>
          </cell>
          <cell r="U1300">
            <v>4.8</v>
          </cell>
          <cell r="V1300">
            <v>75.400000000000006</v>
          </cell>
          <cell r="W1300">
            <v>7.6</v>
          </cell>
          <cell r="X1300">
            <v>51.6</v>
          </cell>
          <cell r="Y1300">
            <v>6.7</v>
          </cell>
          <cell r="Z1300" t="str">
            <v>NA</v>
          </cell>
          <cell r="AA1300" t="str">
            <v>NA</v>
          </cell>
        </row>
        <row r="1301">
          <cell r="A1301">
            <v>45156</v>
          </cell>
          <cell r="B1301" t="str">
            <v>A2</v>
          </cell>
          <cell r="C1301">
            <v>4</v>
          </cell>
          <cell r="D1301">
            <v>1</v>
          </cell>
          <cell r="E1301" t="str">
            <v>ARIS.A2.Aim1.Bin4.RB</v>
          </cell>
          <cell r="F1301">
            <v>4</v>
          </cell>
          <cell r="G1301" t="str">
            <v>SplineDFA</v>
          </cell>
          <cell r="H1301" t="str">
            <v>Y</v>
          </cell>
          <cell r="I1301" t="str">
            <v>N</v>
          </cell>
          <cell r="J1301">
            <v>134</v>
          </cell>
          <cell r="K1301">
            <v>1</v>
          </cell>
          <cell r="L1301">
            <v>0.13969999999999999</v>
          </cell>
          <cell r="M1301">
            <v>23.7</v>
          </cell>
          <cell r="N1301">
            <v>9.6</v>
          </cell>
          <cell r="O1301">
            <v>0.86029999999999995</v>
          </cell>
          <cell r="P1301">
            <v>2.81E-2</v>
          </cell>
          <cell r="Q1301">
            <v>0.30320000000000003</v>
          </cell>
          <cell r="R1301">
            <v>0.52900000000000003</v>
          </cell>
          <cell r="S1301" t="str">
            <v>NA</v>
          </cell>
          <cell r="T1301">
            <v>59</v>
          </cell>
          <cell r="U1301">
            <v>4.8</v>
          </cell>
          <cell r="V1301">
            <v>75.400000000000006</v>
          </cell>
          <cell r="W1301">
            <v>7.6</v>
          </cell>
          <cell r="X1301">
            <v>51.6</v>
          </cell>
          <cell r="Y1301">
            <v>6.7</v>
          </cell>
          <cell r="Z1301" t="str">
            <v>NA</v>
          </cell>
          <cell r="AA1301" t="str">
            <v>NA</v>
          </cell>
        </row>
        <row r="1302">
          <cell r="A1302">
            <v>45157</v>
          </cell>
          <cell r="B1302" t="str">
            <v>A1</v>
          </cell>
          <cell r="C1302">
            <v>1</v>
          </cell>
          <cell r="D1302">
            <v>1</v>
          </cell>
          <cell r="E1302" t="str">
            <v>ARIS.A1.Aim1.Bin1.LB</v>
          </cell>
          <cell r="F1302">
            <v>4</v>
          </cell>
          <cell r="G1302" t="str">
            <v>Unweighted</v>
          </cell>
          <cell r="H1302" t="str">
            <v>N</v>
          </cell>
          <cell r="I1302" t="str">
            <v>Y</v>
          </cell>
          <cell r="J1302">
            <v>242</v>
          </cell>
          <cell r="K1302">
            <v>1</v>
          </cell>
          <cell r="L1302">
            <v>0.71389999999999998</v>
          </cell>
          <cell r="M1302">
            <v>21.7</v>
          </cell>
          <cell r="N1302">
            <v>6.5</v>
          </cell>
          <cell r="O1302">
            <v>0.28610000000000002</v>
          </cell>
          <cell r="P1302">
            <v>0.1174</v>
          </cell>
          <cell r="Q1302">
            <v>4.8999999999999998E-3</v>
          </cell>
          <cell r="R1302">
            <v>0.1638</v>
          </cell>
          <cell r="S1302" t="str">
            <v>NA</v>
          </cell>
          <cell r="T1302">
            <v>59</v>
          </cell>
          <cell r="U1302">
            <v>4.8</v>
          </cell>
          <cell r="V1302">
            <v>75.400000000000006</v>
          </cell>
          <cell r="W1302">
            <v>7.6</v>
          </cell>
          <cell r="X1302">
            <v>52</v>
          </cell>
          <cell r="Y1302">
            <v>6.8</v>
          </cell>
          <cell r="Z1302" t="str">
            <v>NA</v>
          </cell>
          <cell r="AA1302" t="str">
            <v>NA</v>
          </cell>
        </row>
        <row r="1303">
          <cell r="A1303">
            <v>45157</v>
          </cell>
          <cell r="B1303" t="str">
            <v>A1</v>
          </cell>
          <cell r="C1303">
            <v>1</v>
          </cell>
          <cell r="D1303">
            <v>2</v>
          </cell>
          <cell r="E1303" t="str">
            <v>ARIS.A1.Aim2.Bin1.LB</v>
          </cell>
          <cell r="F1303">
            <v>4</v>
          </cell>
          <cell r="G1303" t="str">
            <v>Unweighted</v>
          </cell>
          <cell r="H1303" t="str">
            <v>N</v>
          </cell>
          <cell r="I1303" t="str">
            <v>Y</v>
          </cell>
          <cell r="J1303">
            <v>228</v>
          </cell>
          <cell r="K1303">
            <v>1</v>
          </cell>
          <cell r="L1303">
            <v>0.61539999999999995</v>
          </cell>
          <cell r="M1303">
            <v>20.5</v>
          </cell>
          <cell r="N1303">
            <v>8.8000000000000007</v>
          </cell>
          <cell r="O1303">
            <v>0.3846</v>
          </cell>
          <cell r="P1303">
            <v>0.1593</v>
          </cell>
          <cell r="Q1303">
            <v>5.0500000000000003E-2</v>
          </cell>
          <cell r="R1303">
            <v>0.17480000000000001</v>
          </cell>
          <cell r="S1303" t="str">
            <v>NA</v>
          </cell>
          <cell r="T1303">
            <v>59</v>
          </cell>
          <cell r="U1303">
            <v>4.8</v>
          </cell>
          <cell r="V1303">
            <v>75.400000000000006</v>
          </cell>
          <cell r="W1303">
            <v>7.6</v>
          </cell>
          <cell r="X1303">
            <v>52</v>
          </cell>
          <cell r="Y1303">
            <v>6.8</v>
          </cell>
          <cell r="Z1303" t="str">
            <v>NA</v>
          </cell>
          <cell r="AA1303" t="str">
            <v>NA</v>
          </cell>
        </row>
        <row r="1304">
          <cell r="A1304">
            <v>45157</v>
          </cell>
          <cell r="B1304" t="str">
            <v>A1</v>
          </cell>
          <cell r="C1304">
            <v>1</v>
          </cell>
          <cell r="D1304" t="str">
            <v>1&amp;2</v>
          </cell>
          <cell r="E1304" t="str">
            <v>ARIS.A1.Aim1&amp;Aim2.Bin1.LB</v>
          </cell>
          <cell r="F1304">
            <v>4</v>
          </cell>
          <cell r="G1304" t="str">
            <v>Unweighted</v>
          </cell>
          <cell r="H1304" t="str">
            <v>N</v>
          </cell>
          <cell r="I1304" t="str">
            <v>Y</v>
          </cell>
          <cell r="J1304">
            <v>470</v>
          </cell>
          <cell r="K1304">
            <v>1</v>
          </cell>
          <cell r="L1304">
            <v>0.66639999999999999</v>
          </cell>
          <cell r="M1304">
            <v>21.2</v>
          </cell>
          <cell r="N1304">
            <v>7.6</v>
          </cell>
          <cell r="O1304">
            <v>0.33360000000000001</v>
          </cell>
          <cell r="P1304">
            <v>0.13539999999999999</v>
          </cell>
          <cell r="Q1304">
            <v>2.8500000000000001E-2</v>
          </cell>
          <cell r="R1304">
            <v>0.16969999999999999</v>
          </cell>
          <cell r="S1304" t="str">
            <v>NA</v>
          </cell>
          <cell r="T1304">
            <v>59</v>
          </cell>
          <cell r="U1304">
            <v>4.8</v>
          </cell>
          <cell r="V1304">
            <v>75.400000000000006</v>
          </cell>
          <cell r="W1304">
            <v>7.6</v>
          </cell>
          <cell r="X1304">
            <v>52</v>
          </cell>
          <cell r="Y1304">
            <v>6.8</v>
          </cell>
          <cell r="Z1304" t="str">
            <v>NA</v>
          </cell>
          <cell r="AA1304" t="str">
            <v>NA</v>
          </cell>
        </row>
        <row r="1305">
          <cell r="A1305">
            <v>45157</v>
          </cell>
          <cell r="B1305" t="str">
            <v>A1</v>
          </cell>
          <cell r="C1305">
            <v>2</v>
          </cell>
          <cell r="D1305">
            <v>3</v>
          </cell>
          <cell r="E1305" t="str">
            <v>ARIS.A1.Aim3.Bin2.LB</v>
          </cell>
          <cell r="F1305">
            <v>4</v>
          </cell>
          <cell r="G1305" t="str">
            <v>Unweighted</v>
          </cell>
          <cell r="H1305" t="str">
            <v>N</v>
          </cell>
          <cell r="I1305" t="str">
            <v>Y</v>
          </cell>
          <cell r="J1305">
            <v>334</v>
          </cell>
          <cell r="K1305">
            <v>1</v>
          </cell>
          <cell r="L1305">
            <v>0.17510000000000001</v>
          </cell>
          <cell r="M1305">
            <v>36.299999999999997</v>
          </cell>
          <cell r="N1305">
            <v>8.6</v>
          </cell>
          <cell r="O1305">
            <v>0.82489999999999997</v>
          </cell>
          <cell r="P1305">
            <v>0.53280000000000005</v>
          </cell>
          <cell r="Q1305">
            <v>0.15939999999999999</v>
          </cell>
          <cell r="R1305">
            <v>0.13270000000000001</v>
          </cell>
          <cell r="S1305" t="str">
            <v>NA</v>
          </cell>
          <cell r="T1305">
            <v>59</v>
          </cell>
          <cell r="U1305">
            <v>4.8</v>
          </cell>
          <cell r="V1305">
            <v>75.400000000000006</v>
          </cell>
          <cell r="W1305">
            <v>7.6</v>
          </cell>
          <cell r="X1305">
            <v>52</v>
          </cell>
          <cell r="Y1305">
            <v>6.8</v>
          </cell>
          <cell r="Z1305" t="str">
            <v>NA</v>
          </cell>
          <cell r="AA1305" t="str">
            <v>NA</v>
          </cell>
        </row>
        <row r="1306">
          <cell r="A1306">
            <v>45157</v>
          </cell>
          <cell r="B1306" t="str">
            <v>A1</v>
          </cell>
          <cell r="C1306">
            <v>3</v>
          </cell>
          <cell r="D1306">
            <v>3</v>
          </cell>
          <cell r="E1306" t="str">
            <v>ARIS.A1.Aim3.Bin3.LB</v>
          </cell>
          <cell r="F1306">
            <v>4</v>
          </cell>
          <cell r="G1306" t="str">
            <v>Unweighted</v>
          </cell>
          <cell r="H1306" t="str">
            <v>N</v>
          </cell>
          <cell r="I1306" t="str">
            <v>Y</v>
          </cell>
          <cell r="J1306">
            <v>240</v>
          </cell>
          <cell r="K1306">
            <v>0.99990000000000001</v>
          </cell>
          <cell r="L1306">
            <v>0.32829999999999998</v>
          </cell>
          <cell r="M1306">
            <v>52</v>
          </cell>
          <cell r="N1306">
            <v>12.5</v>
          </cell>
          <cell r="O1306">
            <v>0.67159999999999997</v>
          </cell>
          <cell r="P1306">
            <v>0.14380000000000001</v>
          </cell>
          <cell r="Q1306">
            <v>0.42949999999999999</v>
          </cell>
          <cell r="R1306">
            <v>9.8299999999999998E-2</v>
          </cell>
          <cell r="S1306" t="str">
            <v>NA</v>
          </cell>
          <cell r="T1306">
            <v>59</v>
          </cell>
          <cell r="U1306">
            <v>4.8</v>
          </cell>
          <cell r="V1306">
            <v>75.400000000000006</v>
          </cell>
          <cell r="W1306">
            <v>7.6</v>
          </cell>
          <cell r="X1306">
            <v>52</v>
          </cell>
          <cell r="Y1306">
            <v>6.8</v>
          </cell>
          <cell r="Z1306" t="str">
            <v>NA</v>
          </cell>
          <cell r="AA1306" t="str">
            <v>NA</v>
          </cell>
        </row>
        <row r="1307">
          <cell r="A1307">
            <v>45157</v>
          </cell>
          <cell r="B1307" t="str">
            <v>A1</v>
          </cell>
          <cell r="C1307">
            <v>4</v>
          </cell>
          <cell r="D1307">
            <v>3</v>
          </cell>
          <cell r="E1307" t="str">
            <v>ARIS.A1.Aim3.Bin4.LB</v>
          </cell>
          <cell r="F1307">
            <v>4</v>
          </cell>
          <cell r="G1307" t="str">
            <v>Unweighted</v>
          </cell>
          <cell r="H1307" t="str">
            <v>N</v>
          </cell>
          <cell r="I1307" t="str">
            <v>Y</v>
          </cell>
          <cell r="J1307">
            <v>240</v>
          </cell>
          <cell r="K1307">
            <v>0.99990000000000001</v>
          </cell>
          <cell r="L1307">
            <v>0.32829999999999998</v>
          </cell>
          <cell r="M1307">
            <v>52</v>
          </cell>
          <cell r="N1307">
            <v>12.5</v>
          </cell>
          <cell r="O1307">
            <v>0.67159999999999997</v>
          </cell>
          <cell r="P1307">
            <v>0.14380000000000001</v>
          </cell>
          <cell r="Q1307">
            <v>0.42949999999999999</v>
          </cell>
          <cell r="R1307">
            <v>9.8299999999999998E-2</v>
          </cell>
          <cell r="S1307" t="str">
            <v>NA</v>
          </cell>
          <cell r="T1307">
            <v>59</v>
          </cell>
          <cell r="U1307">
            <v>4.8</v>
          </cell>
          <cell r="V1307">
            <v>75.400000000000006</v>
          </cell>
          <cell r="W1307">
            <v>7.6</v>
          </cell>
          <cell r="X1307">
            <v>52</v>
          </cell>
          <cell r="Y1307">
            <v>6.8</v>
          </cell>
          <cell r="Z1307" t="str">
            <v>NA</v>
          </cell>
          <cell r="AA1307" t="str">
            <v>NA</v>
          </cell>
        </row>
        <row r="1308">
          <cell r="A1308">
            <v>45157</v>
          </cell>
          <cell r="B1308" t="str">
            <v>A2</v>
          </cell>
          <cell r="C1308">
            <v>1</v>
          </cell>
          <cell r="D1308">
            <v>1</v>
          </cell>
          <cell r="E1308" t="str">
            <v>ARIS.A2.Aim1.Bin1.RB</v>
          </cell>
          <cell r="F1308">
            <v>4</v>
          </cell>
          <cell r="G1308" t="str">
            <v>Unweighted</v>
          </cell>
          <cell r="H1308" t="str">
            <v>N</v>
          </cell>
          <cell r="I1308" t="str">
            <v>Y</v>
          </cell>
          <cell r="J1308">
            <v>200</v>
          </cell>
          <cell r="K1308">
            <v>1</v>
          </cell>
          <cell r="L1308">
            <v>0.46989999999999998</v>
          </cell>
          <cell r="M1308">
            <v>30.2</v>
          </cell>
          <cell r="N1308">
            <v>11.2</v>
          </cell>
          <cell r="O1308">
            <v>0.53010000000000002</v>
          </cell>
          <cell r="P1308">
            <v>0.25850000000000001</v>
          </cell>
          <cell r="Q1308">
            <v>8.7800000000000003E-2</v>
          </cell>
          <cell r="R1308">
            <v>0.18379999999999999</v>
          </cell>
          <cell r="S1308" t="str">
            <v>NA</v>
          </cell>
          <cell r="T1308">
            <v>59</v>
          </cell>
          <cell r="U1308">
            <v>4.8</v>
          </cell>
          <cell r="V1308">
            <v>75.400000000000006</v>
          </cell>
          <cell r="W1308">
            <v>7.6</v>
          </cell>
          <cell r="X1308">
            <v>52</v>
          </cell>
          <cell r="Y1308">
            <v>6.8</v>
          </cell>
          <cell r="Z1308" t="str">
            <v>NA</v>
          </cell>
          <cell r="AA1308" t="str">
            <v>NA</v>
          </cell>
        </row>
        <row r="1309">
          <cell r="A1309">
            <v>45157</v>
          </cell>
          <cell r="B1309" t="str">
            <v>A2</v>
          </cell>
          <cell r="C1309">
            <v>2</v>
          </cell>
          <cell r="D1309">
            <v>1</v>
          </cell>
          <cell r="E1309" t="str">
            <v>ARIS.A2.Aim1.Bin2.RB</v>
          </cell>
          <cell r="F1309">
            <v>4</v>
          </cell>
          <cell r="G1309" t="str">
            <v>Unweighted</v>
          </cell>
          <cell r="H1309" t="str">
            <v>N</v>
          </cell>
          <cell r="I1309" t="str">
            <v>Y</v>
          </cell>
          <cell r="J1309">
            <v>184</v>
          </cell>
          <cell r="K1309">
            <v>1</v>
          </cell>
          <cell r="L1309">
            <v>0.25419999999999998</v>
          </cell>
          <cell r="M1309">
            <v>34.700000000000003</v>
          </cell>
          <cell r="N1309">
            <v>10.8</v>
          </cell>
          <cell r="O1309">
            <v>0.74580000000000002</v>
          </cell>
          <cell r="P1309">
            <v>0.2427</v>
          </cell>
          <cell r="Q1309">
            <v>0.29139999999999999</v>
          </cell>
          <cell r="R1309">
            <v>0.2117</v>
          </cell>
          <cell r="S1309" t="str">
            <v>NA</v>
          </cell>
          <cell r="T1309">
            <v>59</v>
          </cell>
          <cell r="U1309">
            <v>4.8</v>
          </cell>
          <cell r="V1309">
            <v>75.400000000000006</v>
          </cell>
          <cell r="W1309">
            <v>7.6</v>
          </cell>
          <cell r="X1309">
            <v>52</v>
          </cell>
          <cell r="Y1309">
            <v>6.8</v>
          </cell>
          <cell r="Z1309" t="str">
            <v>NA</v>
          </cell>
          <cell r="AA1309" t="str">
            <v>NA</v>
          </cell>
        </row>
        <row r="1310">
          <cell r="A1310">
            <v>45157</v>
          </cell>
          <cell r="B1310" t="str">
            <v>A2</v>
          </cell>
          <cell r="C1310">
            <v>3</v>
          </cell>
          <cell r="D1310">
            <v>1</v>
          </cell>
          <cell r="E1310" t="str">
            <v>ARIS.A2.Aim1.Bin3.RB</v>
          </cell>
          <cell r="F1310">
            <v>4</v>
          </cell>
          <cell r="G1310" t="str">
            <v>Unweighted</v>
          </cell>
          <cell r="H1310" t="str">
            <v>N</v>
          </cell>
          <cell r="I1310" t="str">
            <v>Y</v>
          </cell>
          <cell r="J1310">
            <v>205</v>
          </cell>
          <cell r="K1310">
            <v>0.99990000000000001</v>
          </cell>
          <cell r="L1310">
            <v>5.6000000000000001E-2</v>
          </cell>
          <cell r="M1310">
            <v>28.7</v>
          </cell>
          <cell r="N1310">
            <v>4.9000000000000004</v>
          </cell>
          <cell r="O1310">
            <v>0.94389999999999996</v>
          </cell>
          <cell r="P1310">
            <v>0</v>
          </cell>
          <cell r="Q1310">
            <v>0.52480000000000004</v>
          </cell>
          <cell r="R1310">
            <v>0.41909999999999997</v>
          </cell>
          <cell r="S1310" t="str">
            <v>NA</v>
          </cell>
          <cell r="T1310">
            <v>59</v>
          </cell>
          <cell r="U1310">
            <v>4.8</v>
          </cell>
          <cell r="V1310">
            <v>75.400000000000006</v>
          </cell>
          <cell r="W1310">
            <v>7.6</v>
          </cell>
          <cell r="X1310">
            <v>52</v>
          </cell>
          <cell r="Y1310">
            <v>6.8</v>
          </cell>
          <cell r="Z1310" t="str">
            <v>NA</v>
          </cell>
          <cell r="AA1310" t="str">
            <v>NA</v>
          </cell>
        </row>
        <row r="1311">
          <cell r="A1311">
            <v>45157</v>
          </cell>
          <cell r="B1311" t="str">
            <v>A2</v>
          </cell>
          <cell r="C1311">
            <v>4</v>
          </cell>
          <cell r="D1311">
            <v>1</v>
          </cell>
          <cell r="E1311" t="str">
            <v>ARIS.A2.Aim1.Bin4.RB</v>
          </cell>
          <cell r="F1311">
            <v>4</v>
          </cell>
          <cell r="G1311" t="str">
            <v>Unweighted</v>
          </cell>
          <cell r="H1311" t="str">
            <v>N</v>
          </cell>
          <cell r="I1311" t="str">
            <v>Y</v>
          </cell>
          <cell r="J1311">
            <v>205</v>
          </cell>
          <cell r="K1311">
            <v>0.99990000000000001</v>
          </cell>
          <cell r="L1311">
            <v>5.6000000000000001E-2</v>
          </cell>
          <cell r="M1311">
            <v>28.7</v>
          </cell>
          <cell r="N1311">
            <v>4.9000000000000004</v>
          </cell>
          <cell r="O1311">
            <v>0.94389999999999996</v>
          </cell>
          <cell r="P1311">
            <v>0</v>
          </cell>
          <cell r="Q1311">
            <v>0.52480000000000004</v>
          </cell>
          <cell r="R1311">
            <v>0.41909999999999997</v>
          </cell>
          <cell r="S1311" t="str">
            <v>NA</v>
          </cell>
          <cell r="T1311">
            <v>59</v>
          </cell>
          <cell r="U1311">
            <v>4.8</v>
          </cell>
          <cell r="V1311">
            <v>75.400000000000006</v>
          </cell>
          <cell r="W1311">
            <v>7.6</v>
          </cell>
          <cell r="X1311">
            <v>52</v>
          </cell>
          <cell r="Y1311">
            <v>6.8</v>
          </cell>
          <cell r="Z1311" t="str">
            <v>NA</v>
          </cell>
          <cell r="AA1311" t="str">
            <v>NA</v>
          </cell>
        </row>
        <row r="1312">
          <cell r="A1312">
            <v>45157</v>
          </cell>
          <cell r="B1312" t="str">
            <v>A1</v>
          </cell>
          <cell r="C1312">
            <v>1</v>
          </cell>
          <cell r="D1312">
            <v>1</v>
          </cell>
          <cell r="E1312" t="str">
            <v>ARIS.A1.Aim1.Bin1.LB</v>
          </cell>
          <cell r="F1312">
            <v>4</v>
          </cell>
          <cell r="G1312" t="str">
            <v>SplineDFA</v>
          </cell>
          <cell r="H1312" t="str">
            <v>Y</v>
          </cell>
          <cell r="I1312" t="str">
            <v>N</v>
          </cell>
          <cell r="J1312">
            <v>242</v>
          </cell>
          <cell r="K1312">
            <v>1</v>
          </cell>
          <cell r="L1312">
            <v>0.68289999999999995</v>
          </cell>
          <cell r="M1312">
            <v>23.7</v>
          </cell>
          <cell r="N1312">
            <v>2.7</v>
          </cell>
          <cell r="O1312">
            <v>0.31709999999999999</v>
          </cell>
          <cell r="P1312">
            <v>0.1188</v>
          </cell>
          <cell r="Q1312">
            <v>3.44E-2</v>
          </cell>
          <cell r="R1312">
            <v>0.16389999999999999</v>
          </cell>
          <cell r="S1312" t="str">
            <v>NA</v>
          </cell>
          <cell r="T1312">
            <v>59</v>
          </cell>
          <cell r="U1312">
            <v>4.8</v>
          </cell>
          <cell r="V1312">
            <v>75.400000000000006</v>
          </cell>
          <cell r="W1312">
            <v>7.6</v>
          </cell>
          <cell r="X1312">
            <v>52</v>
          </cell>
          <cell r="Y1312">
            <v>6.8</v>
          </cell>
          <cell r="Z1312" t="str">
            <v>NA</v>
          </cell>
          <cell r="AA1312" t="str">
            <v>NA</v>
          </cell>
        </row>
        <row r="1313">
          <cell r="A1313">
            <v>45157</v>
          </cell>
          <cell r="B1313" t="str">
            <v>A1</v>
          </cell>
          <cell r="C1313">
            <v>1</v>
          </cell>
          <cell r="D1313">
            <v>2</v>
          </cell>
          <cell r="E1313" t="str">
            <v>ARIS.A1.Aim2.Bin1.LB</v>
          </cell>
          <cell r="F1313">
            <v>4</v>
          </cell>
          <cell r="G1313" t="str">
            <v>SplineDFA</v>
          </cell>
          <cell r="H1313" t="str">
            <v>Y</v>
          </cell>
          <cell r="I1313" t="str">
            <v>N</v>
          </cell>
          <cell r="J1313">
            <v>228</v>
          </cell>
          <cell r="K1313">
            <v>1.0001</v>
          </cell>
          <cell r="L1313">
            <v>0.52390000000000003</v>
          </cell>
          <cell r="M1313">
            <v>23.7</v>
          </cell>
          <cell r="N1313">
            <v>2.7</v>
          </cell>
          <cell r="O1313">
            <v>0.47620000000000001</v>
          </cell>
          <cell r="P1313">
            <v>0.1346</v>
          </cell>
          <cell r="Q1313">
            <v>8.4500000000000006E-2</v>
          </cell>
          <cell r="R1313">
            <v>0.2571</v>
          </cell>
          <cell r="S1313" t="str">
            <v>NA</v>
          </cell>
          <cell r="T1313">
            <v>59</v>
          </cell>
          <cell r="U1313">
            <v>4.8</v>
          </cell>
          <cell r="V1313">
            <v>75.400000000000006</v>
          </cell>
          <cell r="W1313">
            <v>7.6</v>
          </cell>
          <cell r="X1313">
            <v>52</v>
          </cell>
          <cell r="Y1313">
            <v>6.8</v>
          </cell>
          <cell r="Z1313" t="str">
            <v>NA</v>
          </cell>
          <cell r="AA1313" t="str">
            <v>NA</v>
          </cell>
        </row>
        <row r="1314">
          <cell r="A1314">
            <v>45157</v>
          </cell>
          <cell r="B1314" t="str">
            <v>A1</v>
          </cell>
          <cell r="C1314">
            <v>2</v>
          </cell>
          <cell r="D1314">
            <v>3</v>
          </cell>
          <cell r="E1314" t="str">
            <v>ARIS.A1.Aim3.Bin2.LB</v>
          </cell>
          <cell r="F1314">
            <v>4</v>
          </cell>
          <cell r="G1314" t="str">
            <v>SplineDFA</v>
          </cell>
          <cell r="H1314" t="str">
            <v>Y</v>
          </cell>
          <cell r="I1314" t="str">
            <v>N</v>
          </cell>
          <cell r="J1314">
            <v>334</v>
          </cell>
          <cell r="K1314">
            <v>0.99990000000000001</v>
          </cell>
          <cell r="L1314">
            <v>5.5300000000000002E-2</v>
          </cell>
          <cell r="M1314">
            <v>23.7</v>
          </cell>
          <cell r="N1314">
            <v>2.7</v>
          </cell>
          <cell r="O1314">
            <v>0.9446</v>
          </cell>
          <cell r="P1314">
            <v>0.41370000000000001</v>
          </cell>
          <cell r="Q1314">
            <v>0.22070000000000001</v>
          </cell>
          <cell r="R1314">
            <v>0.31019999999999998</v>
          </cell>
          <cell r="S1314" t="str">
            <v>NA</v>
          </cell>
          <cell r="T1314">
            <v>59</v>
          </cell>
          <cell r="U1314">
            <v>4.8</v>
          </cell>
          <cell r="V1314">
            <v>75.400000000000006</v>
          </cell>
          <cell r="W1314">
            <v>7.6</v>
          </cell>
          <cell r="X1314">
            <v>52</v>
          </cell>
          <cell r="Y1314">
            <v>6.8</v>
          </cell>
          <cell r="Z1314" t="str">
            <v>NA</v>
          </cell>
          <cell r="AA1314" t="str">
            <v>NA</v>
          </cell>
        </row>
        <row r="1315">
          <cell r="A1315">
            <v>45157</v>
          </cell>
          <cell r="B1315" t="str">
            <v>A1</v>
          </cell>
          <cell r="C1315">
            <v>3</v>
          </cell>
          <cell r="D1315">
            <v>3</v>
          </cell>
          <cell r="E1315" t="str">
            <v>ARIS.A1.Aim3.Bin3.LB</v>
          </cell>
          <cell r="F1315">
            <v>4</v>
          </cell>
          <cell r="G1315" t="str">
            <v>SplineDFA</v>
          </cell>
          <cell r="H1315" t="str">
            <v>Y</v>
          </cell>
          <cell r="I1315" t="str">
            <v>N</v>
          </cell>
          <cell r="J1315">
            <v>240</v>
          </cell>
          <cell r="K1315">
            <v>1</v>
          </cell>
          <cell r="L1315">
            <v>2.2100000000000002E-2</v>
          </cell>
          <cell r="M1315">
            <v>23.7</v>
          </cell>
          <cell r="N1315">
            <v>2.7</v>
          </cell>
          <cell r="O1315">
            <v>0.97789999999999999</v>
          </cell>
          <cell r="P1315">
            <v>0.27300000000000002</v>
          </cell>
          <cell r="Q1315">
            <v>0.45329999999999998</v>
          </cell>
          <cell r="R1315">
            <v>0.25159999999999999</v>
          </cell>
          <cell r="S1315" t="str">
            <v>NA</v>
          </cell>
          <cell r="T1315">
            <v>59</v>
          </cell>
          <cell r="U1315">
            <v>4.8</v>
          </cell>
          <cell r="V1315">
            <v>75.400000000000006</v>
          </cell>
          <cell r="W1315">
            <v>7.6</v>
          </cell>
          <cell r="X1315">
            <v>52</v>
          </cell>
          <cell r="Y1315">
            <v>6.8</v>
          </cell>
          <cell r="Z1315" t="str">
            <v>NA</v>
          </cell>
          <cell r="AA1315" t="str">
            <v>NA</v>
          </cell>
        </row>
        <row r="1316">
          <cell r="A1316">
            <v>45157</v>
          </cell>
          <cell r="B1316" t="str">
            <v>A1</v>
          </cell>
          <cell r="C1316">
            <v>4</v>
          </cell>
          <cell r="D1316">
            <v>3</v>
          </cell>
          <cell r="E1316" t="str">
            <v>ARIS.A1.Aim3.Bin4.LB</v>
          </cell>
          <cell r="F1316">
            <v>4</v>
          </cell>
          <cell r="G1316" t="str">
            <v>SplineDFA</v>
          </cell>
          <cell r="H1316" t="str">
            <v>Y</v>
          </cell>
          <cell r="I1316" t="str">
            <v>N</v>
          </cell>
          <cell r="J1316">
            <v>240</v>
          </cell>
          <cell r="K1316">
            <v>1</v>
          </cell>
          <cell r="L1316">
            <v>2.2100000000000002E-2</v>
          </cell>
          <cell r="M1316">
            <v>23.7</v>
          </cell>
          <cell r="N1316">
            <v>2.7</v>
          </cell>
          <cell r="O1316">
            <v>0.97789999999999999</v>
          </cell>
          <cell r="P1316">
            <v>0.27300000000000002</v>
          </cell>
          <cell r="Q1316">
            <v>0.45329999999999998</v>
          </cell>
          <cell r="R1316">
            <v>0.25159999999999999</v>
          </cell>
          <cell r="S1316" t="str">
            <v>NA</v>
          </cell>
          <cell r="T1316">
            <v>59</v>
          </cell>
          <cell r="U1316">
            <v>4.8</v>
          </cell>
          <cell r="V1316">
            <v>75.400000000000006</v>
          </cell>
          <cell r="W1316">
            <v>7.6</v>
          </cell>
          <cell r="X1316">
            <v>52</v>
          </cell>
          <cell r="Y1316">
            <v>6.8</v>
          </cell>
          <cell r="Z1316" t="str">
            <v>NA</v>
          </cell>
          <cell r="AA1316" t="str">
            <v>NA</v>
          </cell>
        </row>
        <row r="1317">
          <cell r="A1317">
            <v>45157</v>
          </cell>
          <cell r="B1317" t="str">
            <v>A2</v>
          </cell>
          <cell r="C1317">
            <v>1</v>
          </cell>
          <cell r="D1317">
            <v>1</v>
          </cell>
          <cell r="E1317" t="str">
            <v>ARIS.A2.Aim1.Bin1.RB</v>
          </cell>
          <cell r="F1317">
            <v>4</v>
          </cell>
          <cell r="G1317" t="str">
            <v>SplineDFA</v>
          </cell>
          <cell r="H1317" t="str">
            <v>Y</v>
          </cell>
          <cell r="I1317" t="str">
            <v>N</v>
          </cell>
          <cell r="J1317">
            <v>200</v>
          </cell>
          <cell r="K1317">
            <v>1.0001</v>
          </cell>
          <cell r="L1317">
            <v>0.2031</v>
          </cell>
          <cell r="M1317">
            <v>23.7</v>
          </cell>
          <cell r="N1317">
            <v>2.7</v>
          </cell>
          <cell r="O1317">
            <v>0.79700000000000004</v>
          </cell>
          <cell r="P1317">
            <v>0.33090000000000003</v>
          </cell>
          <cell r="Q1317">
            <v>9.64E-2</v>
          </cell>
          <cell r="R1317">
            <v>0.36969999999999997</v>
          </cell>
          <cell r="S1317" t="str">
            <v>NA</v>
          </cell>
          <cell r="T1317">
            <v>59</v>
          </cell>
          <cell r="U1317">
            <v>4.8</v>
          </cell>
          <cell r="V1317">
            <v>75.400000000000006</v>
          </cell>
          <cell r="W1317">
            <v>7.6</v>
          </cell>
          <cell r="X1317">
            <v>52</v>
          </cell>
          <cell r="Y1317">
            <v>6.8</v>
          </cell>
          <cell r="Z1317" t="str">
            <v>NA</v>
          </cell>
          <cell r="AA1317" t="str">
            <v>NA</v>
          </cell>
        </row>
        <row r="1318">
          <cell r="A1318">
            <v>45157</v>
          </cell>
          <cell r="B1318" t="str">
            <v>A2</v>
          </cell>
          <cell r="C1318">
            <v>2</v>
          </cell>
          <cell r="D1318">
            <v>1</v>
          </cell>
          <cell r="E1318" t="str">
            <v>ARIS.A2.Aim1.Bin2.RB</v>
          </cell>
          <cell r="F1318">
            <v>4</v>
          </cell>
          <cell r="G1318" t="str">
            <v>SplineDFA</v>
          </cell>
          <cell r="H1318" t="str">
            <v>Y</v>
          </cell>
          <cell r="I1318" t="str">
            <v>N</v>
          </cell>
          <cell r="J1318">
            <v>184</v>
          </cell>
          <cell r="K1318">
            <v>1</v>
          </cell>
          <cell r="L1318">
            <v>9.9299999999999999E-2</v>
          </cell>
          <cell r="M1318">
            <v>23.7</v>
          </cell>
          <cell r="N1318">
            <v>2.7</v>
          </cell>
          <cell r="O1318">
            <v>0.90069999999999995</v>
          </cell>
          <cell r="P1318">
            <v>0.29289999999999999</v>
          </cell>
          <cell r="Q1318">
            <v>0.28129999999999999</v>
          </cell>
          <cell r="R1318">
            <v>0.32650000000000001</v>
          </cell>
          <cell r="S1318" t="str">
            <v>NA</v>
          </cell>
          <cell r="T1318">
            <v>59</v>
          </cell>
          <cell r="U1318">
            <v>4.8</v>
          </cell>
          <cell r="V1318">
            <v>75.400000000000006</v>
          </cell>
          <cell r="W1318">
            <v>7.6</v>
          </cell>
          <cell r="X1318">
            <v>52</v>
          </cell>
          <cell r="Y1318">
            <v>6.8</v>
          </cell>
          <cell r="Z1318" t="str">
            <v>NA</v>
          </cell>
          <cell r="AA1318" t="str">
            <v>NA</v>
          </cell>
        </row>
        <row r="1319">
          <cell r="A1319">
            <v>45157</v>
          </cell>
          <cell r="B1319" t="str">
            <v>A2</v>
          </cell>
          <cell r="C1319">
            <v>3</v>
          </cell>
          <cell r="D1319">
            <v>1</v>
          </cell>
          <cell r="E1319" t="str">
            <v>ARIS.A2.Aim1.Bin3.RB</v>
          </cell>
          <cell r="F1319">
            <v>4</v>
          </cell>
          <cell r="G1319" t="str">
            <v>SplineDFA</v>
          </cell>
          <cell r="H1319" t="str">
            <v>Y</v>
          </cell>
          <cell r="I1319" t="str">
            <v>N</v>
          </cell>
          <cell r="J1319">
            <v>205</v>
          </cell>
          <cell r="K1319">
            <v>0.99990000000000001</v>
          </cell>
          <cell r="L1319">
            <v>2.1399999999999999E-2</v>
          </cell>
          <cell r="M1319">
            <v>23.7</v>
          </cell>
          <cell r="N1319">
            <v>2.7</v>
          </cell>
          <cell r="O1319">
            <v>0.97850000000000004</v>
          </cell>
          <cell r="P1319">
            <v>0.19839999999999999</v>
          </cell>
          <cell r="Q1319">
            <v>0.48170000000000002</v>
          </cell>
          <cell r="R1319">
            <v>0.2984</v>
          </cell>
          <cell r="S1319" t="str">
            <v>NA</v>
          </cell>
          <cell r="T1319">
            <v>59</v>
          </cell>
          <cell r="U1319">
            <v>4.8</v>
          </cell>
          <cell r="V1319">
            <v>75.400000000000006</v>
          </cell>
          <cell r="W1319">
            <v>7.6</v>
          </cell>
          <cell r="X1319">
            <v>52</v>
          </cell>
          <cell r="Y1319">
            <v>6.8</v>
          </cell>
          <cell r="Z1319" t="str">
            <v>NA</v>
          </cell>
          <cell r="AA1319" t="str">
            <v>NA</v>
          </cell>
        </row>
        <row r="1320">
          <cell r="A1320">
            <v>45157</v>
          </cell>
          <cell r="B1320" t="str">
            <v>A2</v>
          </cell>
          <cell r="C1320">
            <v>4</v>
          </cell>
          <cell r="D1320">
            <v>1</v>
          </cell>
          <cell r="E1320" t="str">
            <v>ARIS.A2.Aim1.Bin4.RB</v>
          </cell>
          <cell r="F1320">
            <v>4</v>
          </cell>
          <cell r="G1320" t="str">
            <v>SplineDFA</v>
          </cell>
          <cell r="H1320" t="str">
            <v>Y</v>
          </cell>
          <cell r="I1320" t="str">
            <v>N</v>
          </cell>
          <cell r="J1320">
            <v>205</v>
          </cell>
          <cell r="K1320">
            <v>0.99990000000000001</v>
          </cell>
          <cell r="L1320">
            <v>2.1399999999999999E-2</v>
          </cell>
          <cell r="M1320">
            <v>23.7</v>
          </cell>
          <cell r="N1320">
            <v>2.7</v>
          </cell>
          <cell r="O1320">
            <v>0.97850000000000004</v>
          </cell>
          <cell r="P1320">
            <v>0.19839999999999999</v>
          </cell>
          <cell r="Q1320">
            <v>0.48170000000000002</v>
          </cell>
          <cell r="R1320">
            <v>0.2984</v>
          </cell>
          <cell r="S1320" t="str">
            <v>NA</v>
          </cell>
          <cell r="T1320">
            <v>59</v>
          </cell>
          <cell r="U1320">
            <v>4.8</v>
          </cell>
          <cell r="V1320">
            <v>75.400000000000006</v>
          </cell>
          <cell r="W1320">
            <v>7.6</v>
          </cell>
          <cell r="X1320">
            <v>52</v>
          </cell>
          <cell r="Y1320">
            <v>6.8</v>
          </cell>
          <cell r="Z1320" t="str">
            <v>NA</v>
          </cell>
          <cell r="AA1320" t="str">
            <v>NA</v>
          </cell>
        </row>
        <row r="1321">
          <cell r="A1321">
            <v>45158</v>
          </cell>
          <cell r="B1321" t="str">
            <v>A1</v>
          </cell>
          <cell r="C1321">
            <v>1</v>
          </cell>
          <cell r="D1321">
            <v>1</v>
          </cell>
          <cell r="E1321" t="str">
            <v>ARIS.A1.Aim1.Bin1.LB</v>
          </cell>
          <cell r="F1321">
            <v>4</v>
          </cell>
          <cell r="G1321" t="str">
            <v>Unweighted</v>
          </cell>
          <cell r="H1321" t="str">
            <v>N</v>
          </cell>
          <cell r="I1321" t="str">
            <v>Y</v>
          </cell>
          <cell r="J1321">
            <v>159</v>
          </cell>
          <cell r="K1321">
            <v>1</v>
          </cell>
          <cell r="L1321">
            <v>0.58640000000000003</v>
          </cell>
          <cell r="M1321">
            <v>23.8</v>
          </cell>
          <cell r="N1321">
            <v>8.1999999999999993</v>
          </cell>
          <cell r="O1321">
            <v>0.41360000000000002</v>
          </cell>
          <cell r="P1321">
            <v>0.16489999999999999</v>
          </cell>
          <cell r="Q1321">
            <v>9.5500000000000002E-2</v>
          </cell>
          <cell r="R1321">
            <v>0.1532</v>
          </cell>
          <cell r="S1321" t="str">
            <v>NA</v>
          </cell>
          <cell r="T1321">
            <v>59</v>
          </cell>
          <cell r="U1321">
            <v>4.8</v>
          </cell>
          <cell r="V1321">
            <v>75.400000000000006</v>
          </cell>
          <cell r="W1321">
            <v>7.6</v>
          </cell>
          <cell r="X1321">
            <v>52</v>
          </cell>
          <cell r="Y1321">
            <v>6.8</v>
          </cell>
          <cell r="Z1321" t="str">
            <v>NA</v>
          </cell>
          <cell r="AA1321" t="str">
            <v>NA</v>
          </cell>
        </row>
        <row r="1322">
          <cell r="A1322">
            <v>45158</v>
          </cell>
          <cell r="B1322" t="str">
            <v>A1</v>
          </cell>
          <cell r="C1322">
            <v>1</v>
          </cell>
          <cell r="D1322">
            <v>2</v>
          </cell>
          <cell r="E1322" t="str">
            <v>ARIS.A1.Aim2.Bin1.LB</v>
          </cell>
          <cell r="F1322">
            <v>4</v>
          </cell>
          <cell r="G1322" t="str">
            <v>Unweighted</v>
          </cell>
          <cell r="H1322" t="str">
            <v>N</v>
          </cell>
          <cell r="I1322" t="str">
            <v>Y</v>
          </cell>
          <cell r="J1322">
            <v>178</v>
          </cell>
          <cell r="K1322">
            <v>1</v>
          </cell>
          <cell r="L1322">
            <v>0.52729999999999999</v>
          </cell>
          <cell r="M1322">
            <v>22.3</v>
          </cell>
          <cell r="N1322">
            <v>7.9</v>
          </cell>
          <cell r="O1322">
            <v>0.47270000000000001</v>
          </cell>
          <cell r="P1322">
            <v>0.2457</v>
          </cell>
          <cell r="Q1322">
            <v>5.9499999999999997E-2</v>
          </cell>
          <cell r="R1322">
            <v>0.16750000000000001</v>
          </cell>
          <cell r="S1322" t="str">
            <v>NA</v>
          </cell>
          <cell r="T1322">
            <v>59</v>
          </cell>
          <cell r="U1322">
            <v>4.8</v>
          </cell>
          <cell r="V1322">
            <v>75.400000000000006</v>
          </cell>
          <cell r="W1322">
            <v>7.6</v>
          </cell>
          <cell r="X1322">
            <v>52</v>
          </cell>
          <cell r="Y1322">
            <v>6.8</v>
          </cell>
          <cell r="Z1322" t="str">
            <v>NA</v>
          </cell>
          <cell r="AA1322" t="str">
            <v>NA</v>
          </cell>
        </row>
        <row r="1323">
          <cell r="A1323">
            <v>45158</v>
          </cell>
          <cell r="B1323" t="str">
            <v>A1</v>
          </cell>
          <cell r="C1323">
            <v>1</v>
          </cell>
          <cell r="D1323" t="str">
            <v>1&amp;2</v>
          </cell>
          <cell r="E1323" t="str">
            <v>ARIS.A1.Aim1&amp;Aim2.Bin1.LB</v>
          </cell>
          <cell r="F1323">
            <v>4</v>
          </cell>
          <cell r="G1323" t="str">
            <v>Unweighted</v>
          </cell>
          <cell r="H1323" t="str">
            <v>N</v>
          </cell>
          <cell r="I1323" t="str">
            <v>Y</v>
          </cell>
          <cell r="J1323">
            <v>337</v>
          </cell>
          <cell r="K1323">
            <v>1</v>
          </cell>
          <cell r="L1323">
            <v>0.55520000000000003</v>
          </cell>
          <cell r="M1323">
            <v>23</v>
          </cell>
          <cell r="N1323">
            <v>8</v>
          </cell>
          <cell r="O1323">
            <v>0.44479999999999997</v>
          </cell>
          <cell r="P1323">
            <v>0.2102</v>
          </cell>
          <cell r="Q1323">
            <v>7.4999999999999997E-2</v>
          </cell>
          <cell r="R1323">
            <v>0.15959999999999999</v>
          </cell>
          <cell r="S1323" t="str">
            <v>NA</v>
          </cell>
          <cell r="T1323">
            <v>59</v>
          </cell>
          <cell r="U1323">
            <v>4.8</v>
          </cell>
          <cell r="V1323">
            <v>75.400000000000006</v>
          </cell>
          <cell r="W1323">
            <v>7.6</v>
          </cell>
          <cell r="X1323">
            <v>52</v>
          </cell>
          <cell r="Y1323">
            <v>6.8</v>
          </cell>
          <cell r="Z1323" t="str">
            <v>NA</v>
          </cell>
          <cell r="AA1323" t="str">
            <v>NA</v>
          </cell>
        </row>
        <row r="1324">
          <cell r="A1324">
            <v>45158</v>
          </cell>
          <cell r="B1324" t="str">
            <v>A1</v>
          </cell>
          <cell r="C1324">
            <v>2</v>
          </cell>
          <cell r="D1324">
            <v>3</v>
          </cell>
          <cell r="E1324" t="str">
            <v>ARIS.A1.Aim3.Bin2.LB</v>
          </cell>
          <cell r="F1324">
            <v>4</v>
          </cell>
          <cell r="G1324" t="str">
            <v>Unweighted</v>
          </cell>
          <cell r="H1324" t="str">
            <v>N</v>
          </cell>
          <cell r="I1324" t="str">
            <v>Y</v>
          </cell>
          <cell r="J1324">
            <v>177</v>
          </cell>
          <cell r="K1324">
            <v>0.99990000000000001</v>
          </cell>
          <cell r="L1324">
            <v>0.10059999999999999</v>
          </cell>
          <cell r="M1324">
            <v>23.7</v>
          </cell>
          <cell r="N1324">
            <v>10.5</v>
          </cell>
          <cell r="O1324">
            <v>0.89929999999999999</v>
          </cell>
          <cell r="P1324">
            <v>0.22239999999999999</v>
          </cell>
          <cell r="Q1324">
            <v>0.29830000000000001</v>
          </cell>
          <cell r="R1324">
            <v>0.37859999999999999</v>
          </cell>
          <cell r="S1324" t="str">
            <v>NA</v>
          </cell>
          <cell r="T1324">
            <v>59</v>
          </cell>
          <cell r="U1324">
            <v>4.8</v>
          </cell>
          <cell r="V1324">
            <v>75.400000000000006</v>
          </cell>
          <cell r="W1324">
            <v>7.6</v>
          </cell>
          <cell r="X1324">
            <v>52</v>
          </cell>
          <cell r="Y1324">
            <v>6.8</v>
          </cell>
          <cell r="Z1324" t="str">
            <v>NA</v>
          </cell>
          <cell r="AA1324" t="str">
            <v>NA</v>
          </cell>
        </row>
        <row r="1325">
          <cell r="A1325">
            <v>45158</v>
          </cell>
          <cell r="B1325" t="str">
            <v>A1</v>
          </cell>
          <cell r="C1325">
            <v>3</v>
          </cell>
          <cell r="D1325">
            <v>3</v>
          </cell>
          <cell r="E1325" t="str">
            <v>ARIS.A1.Aim3.Bin3.LB</v>
          </cell>
          <cell r="F1325">
            <v>4</v>
          </cell>
          <cell r="G1325" t="str">
            <v>Unweighted</v>
          </cell>
          <cell r="H1325" t="str">
            <v>N</v>
          </cell>
          <cell r="I1325" t="str">
            <v>Y</v>
          </cell>
          <cell r="J1325">
            <v>181</v>
          </cell>
          <cell r="K1325">
            <v>1</v>
          </cell>
          <cell r="L1325">
            <v>3.9E-2</v>
          </cell>
          <cell r="M1325">
            <v>23.7</v>
          </cell>
          <cell r="N1325">
            <v>16.5</v>
          </cell>
          <cell r="O1325">
            <v>0.96099999999999997</v>
          </cell>
          <cell r="P1325">
            <v>0.16969999999999999</v>
          </cell>
          <cell r="Q1325">
            <v>0.68479999999999996</v>
          </cell>
          <cell r="R1325">
            <v>0.1065</v>
          </cell>
          <cell r="S1325" t="str">
            <v>NA</v>
          </cell>
          <cell r="T1325">
            <v>59</v>
          </cell>
          <cell r="U1325">
            <v>4.8</v>
          </cell>
          <cell r="V1325">
            <v>75.400000000000006</v>
          </cell>
          <cell r="W1325">
            <v>7.6</v>
          </cell>
          <cell r="X1325">
            <v>52</v>
          </cell>
          <cell r="Y1325">
            <v>6.8</v>
          </cell>
          <cell r="Z1325" t="str">
            <v>NA</v>
          </cell>
          <cell r="AA1325" t="str">
            <v>NA</v>
          </cell>
        </row>
        <row r="1326">
          <cell r="A1326">
            <v>45158</v>
          </cell>
          <cell r="B1326" t="str">
            <v>A1</v>
          </cell>
          <cell r="C1326">
            <v>4</v>
          </cell>
          <cell r="D1326">
            <v>3</v>
          </cell>
          <cell r="E1326" t="str">
            <v>ARIS.A1.Aim3.Bin4.LB</v>
          </cell>
          <cell r="F1326">
            <v>4</v>
          </cell>
          <cell r="G1326" t="str">
            <v>Unweighted</v>
          </cell>
          <cell r="H1326" t="str">
            <v>N</v>
          </cell>
          <cell r="I1326" t="str">
            <v>Y</v>
          </cell>
          <cell r="J1326">
            <v>181</v>
          </cell>
          <cell r="K1326">
            <v>1</v>
          </cell>
          <cell r="L1326">
            <v>3.9E-2</v>
          </cell>
          <cell r="M1326">
            <v>23.7</v>
          </cell>
          <cell r="N1326">
            <v>16.5</v>
          </cell>
          <cell r="O1326">
            <v>0.96099999999999997</v>
          </cell>
          <cell r="P1326">
            <v>0.16969999999999999</v>
          </cell>
          <cell r="Q1326">
            <v>0.68479999999999996</v>
          </cell>
          <cell r="R1326">
            <v>0.1065</v>
          </cell>
          <cell r="S1326" t="str">
            <v>NA</v>
          </cell>
          <cell r="T1326">
            <v>59</v>
          </cell>
          <cell r="U1326">
            <v>4.8</v>
          </cell>
          <cell r="V1326">
            <v>75.400000000000006</v>
          </cell>
          <cell r="W1326">
            <v>7.6</v>
          </cell>
          <cell r="X1326">
            <v>52</v>
          </cell>
          <cell r="Y1326">
            <v>6.8</v>
          </cell>
          <cell r="Z1326" t="str">
            <v>NA</v>
          </cell>
          <cell r="AA1326" t="str">
            <v>NA</v>
          </cell>
        </row>
        <row r="1327">
          <cell r="A1327">
            <v>45158</v>
          </cell>
          <cell r="B1327" t="str">
            <v>A2</v>
          </cell>
          <cell r="C1327">
            <v>1</v>
          </cell>
          <cell r="D1327">
            <v>1</v>
          </cell>
          <cell r="E1327" t="str">
            <v>ARIS.A2.Aim1.Bin1.RB</v>
          </cell>
          <cell r="F1327">
            <v>4</v>
          </cell>
          <cell r="G1327" t="str">
            <v>Unweighted</v>
          </cell>
          <cell r="H1327" t="str">
            <v>N</v>
          </cell>
          <cell r="I1327" t="str">
            <v>Y</v>
          </cell>
          <cell r="J1327">
            <v>149</v>
          </cell>
          <cell r="K1327">
            <v>0.99990000000000001</v>
          </cell>
          <cell r="L1327">
            <v>0.40160000000000001</v>
          </cell>
          <cell r="M1327">
            <v>29.6</v>
          </cell>
          <cell r="N1327">
            <v>10.7</v>
          </cell>
          <cell r="O1327">
            <v>0.59830000000000005</v>
          </cell>
          <cell r="P1327">
            <v>0.51580000000000004</v>
          </cell>
          <cell r="Q1327">
            <v>8.2500000000000004E-2</v>
          </cell>
          <cell r="R1327">
            <v>0</v>
          </cell>
          <cell r="S1327" t="str">
            <v>NA</v>
          </cell>
          <cell r="T1327">
            <v>59</v>
          </cell>
          <cell r="U1327">
            <v>4.8</v>
          </cell>
          <cell r="V1327">
            <v>75.400000000000006</v>
          </cell>
          <cell r="W1327">
            <v>7.6</v>
          </cell>
          <cell r="X1327">
            <v>52</v>
          </cell>
          <cell r="Y1327">
            <v>6.8</v>
          </cell>
          <cell r="Z1327" t="str">
            <v>NA</v>
          </cell>
          <cell r="AA1327" t="str">
            <v>NA</v>
          </cell>
        </row>
        <row r="1328">
          <cell r="A1328">
            <v>45158</v>
          </cell>
          <cell r="B1328" t="str">
            <v>A2</v>
          </cell>
          <cell r="C1328">
            <v>2</v>
          </cell>
          <cell r="D1328">
            <v>1</v>
          </cell>
          <cell r="E1328" t="str">
            <v>ARIS.A2.Aim1.Bin2.RB</v>
          </cell>
          <cell r="F1328">
            <v>4</v>
          </cell>
          <cell r="G1328" t="str">
            <v>Unweighted</v>
          </cell>
          <cell r="H1328" t="str">
            <v>N</v>
          </cell>
          <cell r="I1328" t="str">
            <v>Y</v>
          </cell>
          <cell r="J1328">
            <v>164</v>
          </cell>
          <cell r="K1328">
            <v>1</v>
          </cell>
          <cell r="L1328">
            <v>0.18679999999999999</v>
          </cell>
          <cell r="M1328">
            <v>30.8</v>
          </cell>
          <cell r="N1328">
            <v>7.5</v>
          </cell>
          <cell r="O1328">
            <v>0.81320000000000003</v>
          </cell>
          <cell r="P1328">
            <v>0.26269999999999999</v>
          </cell>
          <cell r="Q1328">
            <v>0.51770000000000005</v>
          </cell>
          <cell r="R1328">
            <v>3.2800000000000003E-2</v>
          </cell>
          <cell r="S1328" t="str">
            <v>NA</v>
          </cell>
          <cell r="T1328">
            <v>59</v>
          </cell>
          <cell r="U1328">
            <v>4.8</v>
          </cell>
          <cell r="V1328">
            <v>75.400000000000006</v>
          </cell>
          <cell r="W1328">
            <v>7.6</v>
          </cell>
          <cell r="X1328">
            <v>52</v>
          </cell>
          <cell r="Y1328">
            <v>6.8</v>
          </cell>
          <cell r="Z1328" t="str">
            <v>NA</v>
          </cell>
          <cell r="AA1328" t="str">
            <v>NA</v>
          </cell>
        </row>
        <row r="1329">
          <cell r="A1329">
            <v>45158</v>
          </cell>
          <cell r="B1329" t="str">
            <v>A2</v>
          </cell>
          <cell r="C1329">
            <v>3</v>
          </cell>
          <cell r="D1329">
            <v>1</v>
          </cell>
          <cell r="E1329" t="str">
            <v>ARIS.A2.Aim1.Bin3.RB</v>
          </cell>
          <cell r="F1329">
            <v>4</v>
          </cell>
          <cell r="G1329" t="str">
            <v>Unweighted</v>
          </cell>
          <cell r="H1329" t="str">
            <v>N</v>
          </cell>
          <cell r="I1329" t="str">
            <v>Y</v>
          </cell>
          <cell r="J1329">
            <v>166</v>
          </cell>
          <cell r="K1329">
            <v>1</v>
          </cell>
          <cell r="L1329">
            <v>7.6999999999999999E-2</v>
          </cell>
          <cell r="M1329">
            <v>27.2</v>
          </cell>
          <cell r="N1329">
            <v>5.0999999999999996</v>
          </cell>
          <cell r="O1329">
            <v>0.92300000000000004</v>
          </cell>
          <cell r="P1329">
            <v>0</v>
          </cell>
          <cell r="Q1329">
            <v>0.66539999999999999</v>
          </cell>
          <cell r="R1329">
            <v>0.2576</v>
          </cell>
          <cell r="S1329" t="str">
            <v>NA</v>
          </cell>
          <cell r="T1329">
            <v>59</v>
          </cell>
          <cell r="U1329">
            <v>4.8</v>
          </cell>
          <cell r="V1329">
            <v>75.400000000000006</v>
          </cell>
          <cell r="W1329">
            <v>7.6</v>
          </cell>
          <cell r="X1329">
            <v>52</v>
          </cell>
          <cell r="Y1329">
            <v>6.8</v>
          </cell>
          <cell r="Z1329" t="str">
            <v>NA</v>
          </cell>
          <cell r="AA1329" t="str">
            <v>NA</v>
          </cell>
        </row>
        <row r="1330">
          <cell r="A1330">
            <v>45158</v>
          </cell>
          <cell r="B1330" t="str">
            <v>A2</v>
          </cell>
          <cell r="C1330">
            <v>4</v>
          </cell>
          <cell r="D1330">
            <v>1</v>
          </cell>
          <cell r="E1330" t="str">
            <v>ARIS.A2.Aim1.Bin4.RB</v>
          </cell>
          <cell r="F1330">
            <v>4</v>
          </cell>
          <cell r="G1330" t="str">
            <v>Unweighted</v>
          </cell>
          <cell r="H1330" t="str">
            <v>N</v>
          </cell>
          <cell r="I1330" t="str">
            <v>Y</v>
          </cell>
          <cell r="J1330">
            <v>166</v>
          </cell>
          <cell r="K1330">
            <v>1</v>
          </cell>
          <cell r="L1330">
            <v>7.6999999999999999E-2</v>
          </cell>
          <cell r="M1330">
            <v>27.2</v>
          </cell>
          <cell r="N1330">
            <v>5.0999999999999996</v>
          </cell>
          <cell r="O1330">
            <v>0.92300000000000004</v>
          </cell>
          <cell r="P1330">
            <v>0</v>
          </cell>
          <cell r="Q1330">
            <v>0.66539999999999999</v>
          </cell>
          <cell r="R1330">
            <v>0.2576</v>
          </cell>
          <cell r="S1330" t="str">
            <v>NA</v>
          </cell>
          <cell r="T1330">
            <v>59</v>
          </cell>
          <cell r="U1330">
            <v>4.8</v>
          </cell>
          <cell r="V1330">
            <v>75.400000000000006</v>
          </cell>
          <cell r="W1330">
            <v>7.6</v>
          </cell>
          <cell r="X1330">
            <v>52</v>
          </cell>
          <cell r="Y1330">
            <v>6.8</v>
          </cell>
          <cell r="Z1330" t="str">
            <v>NA</v>
          </cell>
          <cell r="AA1330" t="str">
            <v>NA</v>
          </cell>
        </row>
        <row r="1331">
          <cell r="A1331">
            <v>45158</v>
          </cell>
          <cell r="B1331" t="str">
            <v>A1</v>
          </cell>
          <cell r="C1331">
            <v>1</v>
          </cell>
          <cell r="D1331">
            <v>1</v>
          </cell>
          <cell r="E1331" t="str">
            <v>ARIS.A1.Aim1.Bin1.LB</v>
          </cell>
          <cell r="F1331">
            <v>4</v>
          </cell>
          <cell r="G1331" t="str">
            <v>SplineDFA</v>
          </cell>
          <cell r="H1331" t="str">
            <v>Y</v>
          </cell>
          <cell r="I1331" t="str">
            <v>N</v>
          </cell>
          <cell r="J1331">
            <v>159</v>
          </cell>
          <cell r="K1331">
            <v>1</v>
          </cell>
          <cell r="L1331">
            <v>0.50529999999999997</v>
          </cell>
          <cell r="M1331">
            <v>23.7</v>
          </cell>
          <cell r="N1331">
            <v>2.7</v>
          </cell>
          <cell r="O1331">
            <v>0.49469999999999997</v>
          </cell>
          <cell r="P1331">
            <v>0.19359999999999999</v>
          </cell>
          <cell r="Q1331">
            <v>8.3400000000000002E-2</v>
          </cell>
          <cell r="R1331">
            <v>0.2177</v>
          </cell>
          <cell r="S1331" t="str">
            <v>NA</v>
          </cell>
          <cell r="T1331">
            <v>59</v>
          </cell>
          <cell r="U1331">
            <v>4.8</v>
          </cell>
          <cell r="V1331">
            <v>75.400000000000006</v>
          </cell>
          <cell r="W1331">
            <v>7.6</v>
          </cell>
          <cell r="X1331">
            <v>52</v>
          </cell>
          <cell r="Y1331">
            <v>6.8</v>
          </cell>
          <cell r="Z1331" t="str">
            <v>NA</v>
          </cell>
          <cell r="AA1331" t="str">
            <v>NA</v>
          </cell>
        </row>
        <row r="1332">
          <cell r="A1332">
            <v>45158</v>
          </cell>
          <cell r="B1332" t="str">
            <v>A1</v>
          </cell>
          <cell r="C1332">
            <v>1</v>
          </cell>
          <cell r="D1332">
            <v>2</v>
          </cell>
          <cell r="E1332" t="str">
            <v>ARIS.A1.Aim2.Bin1.LB</v>
          </cell>
          <cell r="F1332">
            <v>4</v>
          </cell>
          <cell r="G1332" t="str">
            <v>SplineDFA</v>
          </cell>
          <cell r="H1332" t="str">
            <v>Y</v>
          </cell>
          <cell r="I1332" t="str">
            <v>N</v>
          </cell>
          <cell r="J1332">
            <v>178</v>
          </cell>
          <cell r="K1332">
            <v>1</v>
          </cell>
          <cell r="L1332">
            <v>0.442</v>
          </cell>
          <cell r="M1332">
            <v>23.7</v>
          </cell>
          <cell r="N1332">
            <v>2.7</v>
          </cell>
          <cell r="O1332">
            <v>0.55800000000000005</v>
          </cell>
          <cell r="P1332">
            <v>0.27250000000000002</v>
          </cell>
          <cell r="Q1332">
            <v>8.6800000000000002E-2</v>
          </cell>
          <cell r="R1332">
            <v>0.19869999999999999</v>
          </cell>
          <cell r="S1332" t="str">
            <v>NA</v>
          </cell>
          <cell r="T1332">
            <v>59</v>
          </cell>
          <cell r="U1332">
            <v>4.8</v>
          </cell>
          <cell r="V1332">
            <v>75.400000000000006</v>
          </cell>
          <cell r="W1332">
            <v>7.6</v>
          </cell>
          <cell r="X1332">
            <v>52</v>
          </cell>
          <cell r="Y1332">
            <v>6.8</v>
          </cell>
          <cell r="Z1332" t="str">
            <v>NA</v>
          </cell>
          <cell r="AA1332" t="str">
            <v>NA</v>
          </cell>
        </row>
        <row r="1333">
          <cell r="A1333">
            <v>45158</v>
          </cell>
          <cell r="B1333" t="str">
            <v>A1</v>
          </cell>
          <cell r="C1333">
            <v>2</v>
          </cell>
          <cell r="D1333">
            <v>3</v>
          </cell>
          <cell r="E1333" t="str">
            <v>ARIS.A1.Aim3.Bin2.LB</v>
          </cell>
          <cell r="F1333">
            <v>4</v>
          </cell>
          <cell r="G1333" t="str">
            <v>SplineDFA</v>
          </cell>
          <cell r="H1333" t="str">
            <v>Y</v>
          </cell>
          <cell r="I1333" t="str">
            <v>N</v>
          </cell>
          <cell r="J1333">
            <v>177</v>
          </cell>
          <cell r="K1333">
            <v>1</v>
          </cell>
          <cell r="L1333">
            <v>4.8899999999999999E-2</v>
          </cell>
          <cell r="M1333">
            <v>23.7</v>
          </cell>
          <cell r="N1333">
            <v>2.7</v>
          </cell>
          <cell r="O1333">
            <v>0.95109999999999995</v>
          </cell>
          <cell r="P1333">
            <v>0.37969999999999998</v>
          </cell>
          <cell r="Q1333">
            <v>0.24829999999999999</v>
          </cell>
          <cell r="R1333">
            <v>0.3231</v>
          </cell>
          <cell r="S1333" t="str">
            <v>NA</v>
          </cell>
          <cell r="T1333">
            <v>59</v>
          </cell>
          <cell r="U1333">
            <v>4.8</v>
          </cell>
          <cell r="V1333">
            <v>75.400000000000006</v>
          </cell>
          <cell r="W1333">
            <v>7.6</v>
          </cell>
          <cell r="X1333">
            <v>52</v>
          </cell>
          <cell r="Y1333">
            <v>6.8</v>
          </cell>
          <cell r="Z1333" t="str">
            <v>NA</v>
          </cell>
          <cell r="AA1333" t="str">
            <v>NA</v>
          </cell>
        </row>
        <row r="1334">
          <cell r="A1334">
            <v>45158</v>
          </cell>
          <cell r="B1334" t="str">
            <v>A1</v>
          </cell>
          <cell r="C1334">
            <v>3</v>
          </cell>
          <cell r="D1334">
            <v>3</v>
          </cell>
          <cell r="E1334" t="str">
            <v>ARIS.A1.Aim3.Bin3.LB</v>
          </cell>
          <cell r="F1334">
            <v>4</v>
          </cell>
          <cell r="G1334" t="str">
            <v>SplineDFA</v>
          </cell>
          <cell r="H1334" t="str">
            <v>Y</v>
          </cell>
          <cell r="I1334" t="str">
            <v>N</v>
          </cell>
          <cell r="J1334">
            <v>181</v>
          </cell>
          <cell r="K1334">
            <v>0.99990000000000001</v>
          </cell>
          <cell r="L1334">
            <v>1.0699999999999999E-2</v>
          </cell>
          <cell r="M1334">
            <v>23.7</v>
          </cell>
          <cell r="N1334">
            <v>2.7</v>
          </cell>
          <cell r="O1334">
            <v>0.98919999999999997</v>
          </cell>
          <cell r="P1334">
            <v>0.27050000000000002</v>
          </cell>
          <cell r="Q1334">
            <v>0.58560000000000001</v>
          </cell>
          <cell r="R1334">
            <v>0.1331</v>
          </cell>
          <cell r="S1334" t="str">
            <v>NA</v>
          </cell>
          <cell r="T1334">
            <v>59</v>
          </cell>
          <cell r="U1334">
            <v>4.8</v>
          </cell>
          <cell r="V1334">
            <v>75.400000000000006</v>
          </cell>
          <cell r="W1334">
            <v>7.6</v>
          </cell>
          <cell r="X1334">
            <v>52</v>
          </cell>
          <cell r="Y1334">
            <v>6.8</v>
          </cell>
          <cell r="Z1334" t="str">
            <v>NA</v>
          </cell>
          <cell r="AA1334" t="str">
            <v>NA</v>
          </cell>
        </row>
        <row r="1335">
          <cell r="A1335">
            <v>45158</v>
          </cell>
          <cell r="B1335" t="str">
            <v>A1</v>
          </cell>
          <cell r="C1335">
            <v>4</v>
          </cell>
          <cell r="D1335">
            <v>3</v>
          </cell>
          <cell r="E1335" t="str">
            <v>ARIS.A1.Aim3.Bin4.LB</v>
          </cell>
          <cell r="F1335">
            <v>4</v>
          </cell>
          <cell r="G1335" t="str">
            <v>SplineDFA</v>
          </cell>
          <cell r="H1335" t="str">
            <v>Y</v>
          </cell>
          <cell r="I1335" t="str">
            <v>N</v>
          </cell>
          <cell r="J1335">
            <v>181</v>
          </cell>
          <cell r="K1335">
            <v>0.99990000000000001</v>
          </cell>
          <cell r="L1335">
            <v>1.0699999999999999E-2</v>
          </cell>
          <cell r="M1335">
            <v>23.7</v>
          </cell>
          <cell r="N1335">
            <v>2.7</v>
          </cell>
          <cell r="O1335">
            <v>0.98919999999999997</v>
          </cell>
          <cell r="P1335">
            <v>0.27050000000000002</v>
          </cell>
          <cell r="Q1335">
            <v>0.58560000000000001</v>
          </cell>
          <cell r="R1335">
            <v>0.1331</v>
          </cell>
          <cell r="S1335" t="str">
            <v>NA</v>
          </cell>
          <cell r="T1335">
            <v>59</v>
          </cell>
          <cell r="U1335">
            <v>4.8</v>
          </cell>
          <cell r="V1335">
            <v>75.400000000000006</v>
          </cell>
          <cell r="W1335">
            <v>7.6</v>
          </cell>
          <cell r="X1335">
            <v>52</v>
          </cell>
          <cell r="Y1335">
            <v>6.8</v>
          </cell>
          <cell r="Z1335" t="str">
            <v>NA</v>
          </cell>
          <cell r="AA1335" t="str">
            <v>NA</v>
          </cell>
        </row>
        <row r="1336">
          <cell r="A1336">
            <v>45158</v>
          </cell>
          <cell r="B1336" t="str">
            <v>A2</v>
          </cell>
          <cell r="C1336">
            <v>1</v>
          </cell>
          <cell r="D1336">
            <v>1</v>
          </cell>
          <cell r="E1336" t="str">
            <v>ARIS.A2.Aim1.Bin1.RB</v>
          </cell>
          <cell r="F1336">
            <v>4</v>
          </cell>
          <cell r="G1336" t="str">
            <v>SplineDFA</v>
          </cell>
          <cell r="H1336" t="str">
            <v>Y</v>
          </cell>
          <cell r="I1336" t="str">
            <v>N</v>
          </cell>
          <cell r="J1336">
            <v>149</v>
          </cell>
          <cell r="K1336">
            <v>1</v>
          </cell>
          <cell r="L1336">
            <v>0.1804</v>
          </cell>
          <cell r="M1336">
            <v>23.7</v>
          </cell>
          <cell r="N1336">
            <v>2.7</v>
          </cell>
          <cell r="O1336">
            <v>0.8196</v>
          </cell>
          <cell r="P1336">
            <v>0.4168</v>
          </cell>
          <cell r="Q1336">
            <v>0.1363</v>
          </cell>
          <cell r="R1336">
            <v>0.26650000000000001</v>
          </cell>
          <cell r="S1336" t="str">
            <v>NA</v>
          </cell>
          <cell r="T1336">
            <v>59</v>
          </cell>
          <cell r="U1336">
            <v>4.8</v>
          </cell>
          <cell r="V1336">
            <v>75.400000000000006</v>
          </cell>
          <cell r="W1336">
            <v>7.6</v>
          </cell>
          <cell r="X1336">
            <v>52</v>
          </cell>
          <cell r="Y1336">
            <v>6.8</v>
          </cell>
          <cell r="Z1336" t="str">
            <v>NA</v>
          </cell>
          <cell r="AA1336" t="str">
            <v>NA</v>
          </cell>
        </row>
        <row r="1337">
          <cell r="A1337">
            <v>45158</v>
          </cell>
          <cell r="B1337" t="str">
            <v>A2</v>
          </cell>
          <cell r="C1337">
            <v>2</v>
          </cell>
          <cell r="D1337">
            <v>1</v>
          </cell>
          <cell r="E1337" t="str">
            <v>ARIS.A2.Aim1.Bin2.RB</v>
          </cell>
          <cell r="F1337">
            <v>4</v>
          </cell>
          <cell r="G1337" t="str">
            <v>SplineDFA</v>
          </cell>
          <cell r="H1337" t="str">
            <v>Y</v>
          </cell>
          <cell r="I1337" t="str">
            <v>N</v>
          </cell>
          <cell r="J1337">
            <v>164</v>
          </cell>
          <cell r="K1337">
            <v>1</v>
          </cell>
          <cell r="L1337">
            <v>9.8100000000000007E-2</v>
          </cell>
          <cell r="M1337">
            <v>23.7</v>
          </cell>
          <cell r="N1337">
            <v>2.7</v>
          </cell>
          <cell r="O1337">
            <v>0.90190000000000003</v>
          </cell>
          <cell r="P1337">
            <v>0.25840000000000002</v>
          </cell>
          <cell r="Q1337">
            <v>0.47199999999999998</v>
          </cell>
          <cell r="R1337">
            <v>0.17150000000000001</v>
          </cell>
          <cell r="S1337" t="str">
            <v>NA</v>
          </cell>
          <cell r="T1337">
            <v>59</v>
          </cell>
          <cell r="U1337">
            <v>4.8</v>
          </cell>
          <cell r="V1337">
            <v>75.400000000000006</v>
          </cell>
          <cell r="W1337">
            <v>7.6</v>
          </cell>
          <cell r="X1337">
            <v>52</v>
          </cell>
          <cell r="Y1337">
            <v>6.8</v>
          </cell>
          <cell r="Z1337" t="str">
            <v>NA</v>
          </cell>
          <cell r="AA1337" t="str">
            <v>NA</v>
          </cell>
        </row>
        <row r="1338">
          <cell r="A1338">
            <v>45158</v>
          </cell>
          <cell r="B1338" t="str">
            <v>A2</v>
          </cell>
          <cell r="C1338">
            <v>3</v>
          </cell>
          <cell r="D1338">
            <v>1</v>
          </cell>
          <cell r="E1338" t="str">
            <v>ARIS.A2.Aim1.Bin3.RB</v>
          </cell>
          <cell r="F1338">
            <v>4</v>
          </cell>
          <cell r="G1338" t="str">
            <v>SplineDFA</v>
          </cell>
          <cell r="H1338" t="str">
            <v>Y</v>
          </cell>
          <cell r="I1338" t="str">
            <v>N</v>
          </cell>
          <cell r="J1338">
            <v>166</v>
          </cell>
          <cell r="K1338">
            <v>1</v>
          </cell>
          <cell r="L1338">
            <v>3.7499999999999999E-2</v>
          </cell>
          <cell r="M1338">
            <v>23.7</v>
          </cell>
          <cell r="N1338">
            <v>2.7</v>
          </cell>
          <cell r="O1338">
            <v>0.96250000000000002</v>
          </cell>
          <cell r="P1338">
            <v>0.13869999999999999</v>
          </cell>
          <cell r="Q1338">
            <v>0.6129</v>
          </cell>
          <cell r="R1338">
            <v>0.2109</v>
          </cell>
          <cell r="S1338" t="str">
            <v>NA</v>
          </cell>
          <cell r="T1338">
            <v>59</v>
          </cell>
          <cell r="U1338">
            <v>4.8</v>
          </cell>
          <cell r="V1338">
            <v>75.400000000000006</v>
          </cell>
          <cell r="W1338">
            <v>7.6</v>
          </cell>
          <cell r="X1338">
            <v>52</v>
          </cell>
          <cell r="Y1338">
            <v>6.8</v>
          </cell>
          <cell r="Z1338" t="str">
            <v>NA</v>
          </cell>
          <cell r="AA1338" t="str">
            <v>NA</v>
          </cell>
        </row>
        <row r="1339">
          <cell r="A1339">
            <v>45158</v>
          </cell>
          <cell r="B1339" t="str">
            <v>A2</v>
          </cell>
          <cell r="C1339">
            <v>4</v>
          </cell>
          <cell r="D1339">
            <v>1</v>
          </cell>
          <cell r="E1339" t="str">
            <v>ARIS.A2.Aim1.Bin4.RB</v>
          </cell>
          <cell r="F1339">
            <v>4</v>
          </cell>
          <cell r="G1339" t="str">
            <v>SplineDFA</v>
          </cell>
          <cell r="H1339" t="str">
            <v>Y</v>
          </cell>
          <cell r="I1339" t="str">
            <v>N</v>
          </cell>
          <cell r="J1339">
            <v>166</v>
          </cell>
          <cell r="K1339">
            <v>1</v>
          </cell>
          <cell r="L1339">
            <v>3.7499999999999999E-2</v>
          </cell>
          <cell r="M1339">
            <v>23.7</v>
          </cell>
          <cell r="N1339">
            <v>2.7</v>
          </cell>
          <cell r="O1339">
            <v>0.96250000000000002</v>
          </cell>
          <cell r="P1339">
            <v>0.13869999999999999</v>
          </cell>
          <cell r="Q1339">
            <v>0.6129</v>
          </cell>
          <cell r="R1339">
            <v>0.2109</v>
          </cell>
          <cell r="S1339" t="str">
            <v>NA</v>
          </cell>
          <cell r="T1339">
            <v>59</v>
          </cell>
          <cell r="U1339">
            <v>4.8</v>
          </cell>
          <cell r="V1339">
            <v>75.400000000000006</v>
          </cell>
          <cell r="W1339">
            <v>7.6</v>
          </cell>
          <cell r="X1339">
            <v>52</v>
          </cell>
          <cell r="Y1339">
            <v>6.8</v>
          </cell>
          <cell r="Z1339" t="str">
            <v>NA</v>
          </cell>
          <cell r="AA1339" t="str">
            <v>NA</v>
          </cell>
        </row>
        <row r="1340">
          <cell r="A1340">
            <v>45159</v>
          </cell>
          <cell r="B1340" t="str">
            <v>A1</v>
          </cell>
          <cell r="C1340">
            <v>1</v>
          </cell>
          <cell r="D1340">
            <v>1</v>
          </cell>
          <cell r="E1340" t="str">
            <v>ARIS.A1.Aim1.Bin1.LB</v>
          </cell>
          <cell r="F1340">
            <v>4</v>
          </cell>
          <cell r="G1340" t="str">
            <v>Unweighted</v>
          </cell>
          <cell r="H1340" t="str">
            <v>N</v>
          </cell>
          <cell r="I1340" t="str">
            <v>Y</v>
          </cell>
          <cell r="J1340">
            <v>171</v>
          </cell>
          <cell r="K1340">
            <v>1</v>
          </cell>
          <cell r="L1340">
            <v>0.68730000000000002</v>
          </cell>
          <cell r="M1340">
            <v>27.7</v>
          </cell>
          <cell r="N1340">
            <v>9.1999999999999993</v>
          </cell>
          <cell r="O1340">
            <v>0.31269999999999998</v>
          </cell>
          <cell r="P1340">
            <v>0.1336</v>
          </cell>
          <cell r="Q1340">
            <v>7.8600000000000003E-2</v>
          </cell>
          <cell r="R1340">
            <v>0.10050000000000001</v>
          </cell>
          <cell r="S1340" t="str">
            <v>NA</v>
          </cell>
          <cell r="T1340">
            <v>58.8</v>
          </cell>
          <cell r="U1340">
            <v>4.8</v>
          </cell>
          <cell r="V1340">
            <v>73.7</v>
          </cell>
          <cell r="W1340">
            <v>7.4</v>
          </cell>
          <cell r="X1340">
            <v>52.3</v>
          </cell>
          <cell r="Y1340">
            <v>6.8</v>
          </cell>
          <cell r="Z1340" t="str">
            <v>NA</v>
          </cell>
          <cell r="AA1340" t="str">
            <v>NA</v>
          </cell>
        </row>
        <row r="1341">
          <cell r="A1341">
            <v>45159</v>
          </cell>
          <cell r="B1341" t="str">
            <v>A1</v>
          </cell>
          <cell r="C1341">
            <v>1</v>
          </cell>
          <cell r="D1341">
            <v>2</v>
          </cell>
          <cell r="E1341" t="str">
            <v>ARIS.A1.Aim2.Bin1.LB</v>
          </cell>
          <cell r="F1341">
            <v>4</v>
          </cell>
          <cell r="G1341" t="str">
            <v>Unweighted</v>
          </cell>
          <cell r="H1341" t="str">
            <v>N</v>
          </cell>
          <cell r="I1341" t="str">
            <v>Y</v>
          </cell>
          <cell r="J1341">
            <v>162</v>
          </cell>
          <cell r="K1341">
            <v>1.0001</v>
          </cell>
          <cell r="L1341">
            <v>0.55920000000000003</v>
          </cell>
          <cell r="M1341">
            <v>24.9</v>
          </cell>
          <cell r="N1341">
            <v>8.4</v>
          </cell>
          <cell r="O1341">
            <v>0.44090000000000001</v>
          </cell>
          <cell r="P1341">
            <v>0.14810000000000001</v>
          </cell>
          <cell r="Q1341">
            <v>7.3099999999999998E-2</v>
          </cell>
          <cell r="R1341">
            <v>0.21970000000000001</v>
          </cell>
          <cell r="S1341" t="str">
            <v>NA</v>
          </cell>
          <cell r="T1341">
            <v>58.8</v>
          </cell>
          <cell r="U1341">
            <v>4.8</v>
          </cell>
          <cell r="V1341">
            <v>73.7</v>
          </cell>
          <cell r="W1341">
            <v>7.4</v>
          </cell>
          <cell r="X1341">
            <v>52.3</v>
          </cell>
          <cell r="Y1341">
            <v>6.8</v>
          </cell>
          <cell r="Z1341" t="str">
            <v>NA</v>
          </cell>
          <cell r="AA1341" t="str">
            <v>NA</v>
          </cell>
        </row>
        <row r="1342">
          <cell r="A1342">
            <v>45159</v>
          </cell>
          <cell r="B1342" t="str">
            <v>A1</v>
          </cell>
          <cell r="C1342">
            <v>1</v>
          </cell>
          <cell r="D1342" t="str">
            <v>1&amp;2</v>
          </cell>
          <cell r="E1342" t="str">
            <v>ARIS.A1.Aim1&amp;Aim2.Bin1.LB</v>
          </cell>
          <cell r="F1342">
            <v>4</v>
          </cell>
          <cell r="G1342" t="str">
            <v>Unweighted</v>
          </cell>
          <cell r="H1342" t="str">
            <v>N</v>
          </cell>
          <cell r="I1342" t="str">
            <v>Y</v>
          </cell>
          <cell r="J1342">
            <v>333</v>
          </cell>
          <cell r="K1342">
            <v>1</v>
          </cell>
          <cell r="L1342">
            <v>0.62329999999999997</v>
          </cell>
          <cell r="M1342">
            <v>26.4</v>
          </cell>
          <cell r="N1342">
            <v>8.9</v>
          </cell>
          <cell r="O1342">
            <v>0.37669999999999998</v>
          </cell>
          <cell r="P1342">
            <v>0.14069999999999999</v>
          </cell>
          <cell r="Q1342">
            <v>7.5499999999999998E-2</v>
          </cell>
          <cell r="R1342">
            <v>0.1605</v>
          </cell>
          <cell r="S1342" t="str">
            <v>NA</v>
          </cell>
          <cell r="T1342">
            <v>58.8</v>
          </cell>
          <cell r="U1342">
            <v>4.8</v>
          </cell>
          <cell r="V1342">
            <v>73.7</v>
          </cell>
          <cell r="W1342">
            <v>7.4</v>
          </cell>
          <cell r="X1342">
            <v>52.3</v>
          </cell>
          <cell r="Y1342">
            <v>6.8</v>
          </cell>
          <cell r="Z1342" t="str">
            <v>NA</v>
          </cell>
          <cell r="AA1342" t="str">
            <v>NA</v>
          </cell>
        </row>
        <row r="1343">
          <cell r="A1343">
            <v>45159</v>
          </cell>
          <cell r="B1343" t="str">
            <v>A1</v>
          </cell>
          <cell r="C1343">
            <v>2</v>
          </cell>
          <cell r="D1343">
            <v>3</v>
          </cell>
          <cell r="E1343" t="str">
            <v>ARIS.A1.Aim3.Bin2.LB</v>
          </cell>
          <cell r="F1343">
            <v>4</v>
          </cell>
          <cell r="G1343" t="str">
            <v>Unweighted</v>
          </cell>
          <cell r="H1343" t="str">
            <v>N</v>
          </cell>
          <cell r="I1343" t="str">
            <v>Y</v>
          </cell>
          <cell r="J1343">
            <v>188</v>
          </cell>
          <cell r="K1343">
            <v>0.99990000000000001</v>
          </cell>
          <cell r="L1343">
            <v>9.3100000000000002E-2</v>
          </cell>
          <cell r="M1343">
            <v>23.7</v>
          </cell>
          <cell r="N1343">
            <v>11.6</v>
          </cell>
          <cell r="O1343">
            <v>0.90680000000000005</v>
          </cell>
          <cell r="P1343">
            <v>0.1226</v>
          </cell>
          <cell r="Q1343">
            <v>0.30980000000000002</v>
          </cell>
          <cell r="R1343">
            <v>0.47439999999999999</v>
          </cell>
          <cell r="S1343" t="str">
            <v>NA</v>
          </cell>
          <cell r="T1343">
            <v>58.8</v>
          </cell>
          <cell r="U1343">
            <v>4.8</v>
          </cell>
          <cell r="V1343">
            <v>73.7</v>
          </cell>
          <cell r="W1343">
            <v>7.4</v>
          </cell>
          <cell r="X1343">
            <v>52.3</v>
          </cell>
          <cell r="Y1343">
            <v>6.8</v>
          </cell>
          <cell r="Z1343" t="str">
            <v>NA</v>
          </cell>
          <cell r="AA1343" t="str">
            <v>NA</v>
          </cell>
        </row>
        <row r="1344">
          <cell r="A1344">
            <v>45159</v>
          </cell>
          <cell r="B1344" t="str">
            <v>A1</v>
          </cell>
          <cell r="C1344">
            <v>3</v>
          </cell>
          <cell r="D1344">
            <v>3</v>
          </cell>
          <cell r="E1344" t="str">
            <v>ARIS.A1.Aim3.Bin3.LB</v>
          </cell>
          <cell r="F1344">
            <v>4</v>
          </cell>
          <cell r="G1344" t="str">
            <v>Unweighted</v>
          </cell>
          <cell r="H1344" t="str">
            <v>N</v>
          </cell>
          <cell r="I1344" t="str">
            <v>Y</v>
          </cell>
          <cell r="J1344">
            <v>175</v>
          </cell>
          <cell r="K1344">
            <v>1</v>
          </cell>
          <cell r="L1344">
            <v>1.35E-2</v>
          </cell>
          <cell r="M1344">
            <v>23.7</v>
          </cell>
          <cell r="N1344">
            <v>13</v>
          </cell>
          <cell r="O1344">
            <v>0.98650000000000004</v>
          </cell>
          <cell r="P1344">
            <v>0.13700000000000001</v>
          </cell>
          <cell r="Q1344">
            <v>0.65100000000000002</v>
          </cell>
          <cell r="R1344">
            <v>0.19850000000000001</v>
          </cell>
          <cell r="S1344" t="str">
            <v>NA</v>
          </cell>
          <cell r="T1344">
            <v>58.8</v>
          </cell>
          <cell r="U1344">
            <v>4.8</v>
          </cell>
          <cell r="V1344">
            <v>73.7</v>
          </cell>
          <cell r="W1344">
            <v>7.4</v>
          </cell>
          <cell r="X1344">
            <v>52.3</v>
          </cell>
          <cell r="Y1344">
            <v>6.8</v>
          </cell>
          <cell r="Z1344" t="str">
            <v>NA</v>
          </cell>
          <cell r="AA1344" t="str">
            <v>NA</v>
          </cell>
        </row>
        <row r="1345">
          <cell r="A1345">
            <v>45159</v>
          </cell>
          <cell r="B1345" t="str">
            <v>A1</v>
          </cell>
          <cell r="C1345">
            <v>4</v>
          </cell>
          <cell r="D1345">
            <v>3</v>
          </cell>
          <cell r="E1345" t="str">
            <v>ARIS.A1.Aim3.Bin4.LB</v>
          </cell>
          <cell r="F1345">
            <v>4</v>
          </cell>
          <cell r="G1345" t="str">
            <v>Unweighted</v>
          </cell>
          <cell r="H1345" t="str">
            <v>N</v>
          </cell>
          <cell r="I1345" t="str">
            <v>Y</v>
          </cell>
          <cell r="J1345">
            <v>175</v>
          </cell>
          <cell r="K1345">
            <v>1</v>
          </cell>
          <cell r="L1345">
            <v>1.35E-2</v>
          </cell>
          <cell r="M1345">
            <v>23.7</v>
          </cell>
          <cell r="N1345">
            <v>13</v>
          </cell>
          <cell r="O1345">
            <v>0.98650000000000004</v>
          </cell>
          <cell r="P1345">
            <v>0.13700000000000001</v>
          </cell>
          <cell r="Q1345">
            <v>0.65100000000000002</v>
          </cell>
          <cell r="R1345">
            <v>0.19850000000000001</v>
          </cell>
          <cell r="S1345" t="str">
            <v>NA</v>
          </cell>
          <cell r="T1345">
            <v>58.8</v>
          </cell>
          <cell r="U1345">
            <v>4.8</v>
          </cell>
          <cell r="V1345">
            <v>73.7</v>
          </cell>
          <cell r="W1345">
            <v>7.4</v>
          </cell>
          <cell r="X1345">
            <v>52.3</v>
          </cell>
          <cell r="Y1345">
            <v>6.8</v>
          </cell>
          <cell r="Z1345" t="str">
            <v>NA</v>
          </cell>
          <cell r="AA1345" t="str">
            <v>NA</v>
          </cell>
        </row>
        <row r="1346">
          <cell r="A1346">
            <v>45159</v>
          </cell>
          <cell r="B1346" t="str">
            <v>A2</v>
          </cell>
          <cell r="C1346">
            <v>1</v>
          </cell>
          <cell r="D1346">
            <v>1</v>
          </cell>
          <cell r="E1346" t="str">
            <v>ARIS.A2.Aim1.Bin1.RB</v>
          </cell>
          <cell r="F1346">
            <v>4</v>
          </cell>
          <cell r="G1346" t="str">
            <v>Unweighted</v>
          </cell>
          <cell r="H1346" t="str">
            <v>N</v>
          </cell>
          <cell r="I1346" t="str">
            <v>Y</v>
          </cell>
          <cell r="J1346">
            <v>171</v>
          </cell>
          <cell r="K1346">
            <v>1</v>
          </cell>
          <cell r="L1346">
            <v>0.68730000000000002</v>
          </cell>
          <cell r="M1346">
            <v>27.7</v>
          </cell>
          <cell r="N1346">
            <v>9.1999999999999993</v>
          </cell>
          <cell r="O1346">
            <v>0.31269999999999998</v>
          </cell>
          <cell r="P1346">
            <v>0.1336</v>
          </cell>
          <cell r="Q1346">
            <v>7.8600000000000003E-2</v>
          </cell>
          <cell r="R1346">
            <v>0.10050000000000001</v>
          </cell>
          <cell r="S1346" t="str">
            <v>NA</v>
          </cell>
          <cell r="T1346">
            <v>58.8</v>
          </cell>
          <cell r="U1346">
            <v>4.8</v>
          </cell>
          <cell r="V1346">
            <v>73.7</v>
          </cell>
          <cell r="W1346">
            <v>7.4</v>
          </cell>
          <cell r="X1346">
            <v>52.3</v>
          </cell>
          <cell r="Y1346">
            <v>6.8</v>
          </cell>
          <cell r="Z1346" t="str">
            <v>NA</v>
          </cell>
          <cell r="AA1346" t="str">
            <v>NA</v>
          </cell>
        </row>
        <row r="1347">
          <cell r="A1347">
            <v>45159</v>
          </cell>
          <cell r="B1347" t="str">
            <v>A2</v>
          </cell>
          <cell r="C1347">
            <v>2</v>
          </cell>
          <cell r="D1347">
            <v>1</v>
          </cell>
          <cell r="E1347" t="str">
            <v>ARIS.A2.Aim1.Bin2.RB</v>
          </cell>
          <cell r="F1347">
            <v>4</v>
          </cell>
          <cell r="G1347" t="str">
            <v>Unweighted</v>
          </cell>
          <cell r="H1347" t="str">
            <v>N</v>
          </cell>
          <cell r="I1347" t="str">
            <v>Y</v>
          </cell>
          <cell r="J1347">
            <v>176</v>
          </cell>
          <cell r="K1347">
            <v>1</v>
          </cell>
          <cell r="L1347">
            <v>0.13109999999999999</v>
          </cell>
          <cell r="M1347">
            <v>23.7</v>
          </cell>
          <cell r="N1347">
            <v>10.9</v>
          </cell>
          <cell r="O1347">
            <v>0.86890000000000001</v>
          </cell>
          <cell r="P1347">
            <v>6.4000000000000001E-2</v>
          </cell>
          <cell r="Q1347">
            <v>0.4884</v>
          </cell>
          <cell r="R1347">
            <v>0.3165</v>
          </cell>
          <cell r="S1347" t="str">
            <v>NA</v>
          </cell>
          <cell r="T1347">
            <v>58.8</v>
          </cell>
          <cell r="U1347">
            <v>4.8</v>
          </cell>
          <cell r="V1347">
            <v>73.7</v>
          </cell>
          <cell r="W1347">
            <v>7.4</v>
          </cell>
          <cell r="X1347">
            <v>52.3</v>
          </cell>
          <cell r="Y1347">
            <v>6.8</v>
          </cell>
          <cell r="Z1347" t="str">
            <v>NA</v>
          </cell>
          <cell r="AA1347" t="str">
            <v>NA</v>
          </cell>
        </row>
        <row r="1348">
          <cell r="A1348">
            <v>45159</v>
          </cell>
          <cell r="B1348" t="str">
            <v>A2</v>
          </cell>
          <cell r="C1348">
            <v>3</v>
          </cell>
          <cell r="D1348">
            <v>1</v>
          </cell>
          <cell r="E1348" t="str">
            <v>ARIS.A2.Aim1.Bin3.RB</v>
          </cell>
          <cell r="F1348">
            <v>4</v>
          </cell>
          <cell r="G1348" t="str">
            <v>Unweighted</v>
          </cell>
          <cell r="H1348" t="str">
            <v>N</v>
          </cell>
          <cell r="I1348" t="str">
            <v>Y</v>
          </cell>
          <cell r="J1348">
            <v>172</v>
          </cell>
          <cell r="K1348">
            <v>0.99990000000000001</v>
          </cell>
          <cell r="L1348">
            <v>0.1421</v>
          </cell>
          <cell r="M1348">
            <v>33.4</v>
          </cell>
          <cell r="N1348">
            <v>8.3000000000000007</v>
          </cell>
          <cell r="O1348">
            <v>0.85780000000000001</v>
          </cell>
          <cell r="P1348">
            <v>7.85E-2</v>
          </cell>
          <cell r="Q1348">
            <v>0.65769999999999995</v>
          </cell>
          <cell r="R1348">
            <v>0.1216</v>
          </cell>
          <cell r="S1348" t="str">
            <v>NA</v>
          </cell>
          <cell r="T1348">
            <v>58.8</v>
          </cell>
          <cell r="U1348">
            <v>4.8</v>
          </cell>
          <cell r="V1348">
            <v>73.7</v>
          </cell>
          <cell r="W1348">
            <v>7.4</v>
          </cell>
          <cell r="X1348">
            <v>52.3</v>
          </cell>
          <cell r="Y1348">
            <v>6.8</v>
          </cell>
          <cell r="Z1348" t="str">
            <v>NA</v>
          </cell>
          <cell r="AA1348" t="str">
            <v>NA</v>
          </cell>
        </row>
        <row r="1349">
          <cell r="A1349">
            <v>45159</v>
          </cell>
          <cell r="B1349" t="str">
            <v>A2</v>
          </cell>
          <cell r="C1349">
            <v>4</v>
          </cell>
          <cell r="D1349">
            <v>1</v>
          </cell>
          <cell r="E1349" t="str">
            <v>ARIS.A2.Aim1.Bin4.RB</v>
          </cell>
          <cell r="F1349">
            <v>4</v>
          </cell>
          <cell r="G1349" t="str">
            <v>Unweighted</v>
          </cell>
          <cell r="H1349" t="str">
            <v>N</v>
          </cell>
          <cell r="I1349" t="str">
            <v>Y</v>
          </cell>
          <cell r="J1349">
            <v>172</v>
          </cell>
          <cell r="K1349">
            <v>0.99990000000000001</v>
          </cell>
          <cell r="L1349">
            <v>0.1421</v>
          </cell>
          <cell r="M1349">
            <v>33.4</v>
          </cell>
          <cell r="N1349">
            <v>8.3000000000000007</v>
          </cell>
          <cell r="O1349">
            <v>0.85780000000000001</v>
          </cell>
          <cell r="P1349">
            <v>7.85E-2</v>
          </cell>
          <cell r="Q1349">
            <v>0.65769999999999995</v>
          </cell>
          <cell r="R1349">
            <v>0.1216</v>
          </cell>
          <cell r="S1349" t="str">
            <v>NA</v>
          </cell>
          <cell r="T1349">
            <v>58.8</v>
          </cell>
          <cell r="U1349">
            <v>4.8</v>
          </cell>
          <cell r="V1349">
            <v>73.7</v>
          </cell>
          <cell r="W1349">
            <v>7.4</v>
          </cell>
          <cell r="X1349">
            <v>52.3</v>
          </cell>
          <cell r="Y1349">
            <v>6.8</v>
          </cell>
          <cell r="Z1349" t="str">
            <v>NA</v>
          </cell>
          <cell r="AA1349" t="str">
            <v>NA</v>
          </cell>
        </row>
        <row r="1350">
          <cell r="A1350">
            <v>45159</v>
          </cell>
          <cell r="B1350" t="str">
            <v>A1</v>
          </cell>
          <cell r="C1350">
            <v>1</v>
          </cell>
          <cell r="D1350">
            <v>1</v>
          </cell>
          <cell r="E1350" t="str">
            <v>ARIS.A1.Aim1.Bin1.LB</v>
          </cell>
          <cell r="F1350">
            <v>4</v>
          </cell>
          <cell r="G1350" t="str">
            <v>SplineDFA</v>
          </cell>
          <cell r="H1350" t="str">
            <v>Y</v>
          </cell>
          <cell r="I1350" t="str">
            <v>N</v>
          </cell>
          <cell r="J1350">
            <v>171</v>
          </cell>
          <cell r="K1350">
            <v>0.99990000000000001</v>
          </cell>
          <cell r="L1350">
            <v>0.46050000000000002</v>
          </cell>
          <cell r="M1350">
            <v>23.7</v>
          </cell>
          <cell r="N1350">
            <v>2.7</v>
          </cell>
          <cell r="O1350">
            <v>0.53939999999999999</v>
          </cell>
          <cell r="P1350">
            <v>0.1426</v>
          </cell>
          <cell r="Q1350">
            <v>0.06</v>
          </cell>
          <cell r="R1350">
            <v>0.33679999999999999</v>
          </cell>
          <cell r="S1350" t="str">
            <v>NA</v>
          </cell>
          <cell r="T1350">
            <v>58.8</v>
          </cell>
          <cell r="U1350">
            <v>4.8</v>
          </cell>
          <cell r="V1350">
            <v>73.7</v>
          </cell>
          <cell r="W1350">
            <v>7.4</v>
          </cell>
          <cell r="X1350">
            <v>52.3</v>
          </cell>
          <cell r="Y1350">
            <v>6.8</v>
          </cell>
          <cell r="Z1350" t="str">
            <v>NA</v>
          </cell>
          <cell r="AA1350" t="str">
            <v>NA</v>
          </cell>
        </row>
        <row r="1351">
          <cell r="A1351">
            <v>45159</v>
          </cell>
          <cell r="B1351" t="str">
            <v>A1</v>
          </cell>
          <cell r="C1351">
            <v>1</v>
          </cell>
          <cell r="D1351">
            <v>2</v>
          </cell>
          <cell r="E1351" t="str">
            <v>ARIS.A1.Aim2.Bin1.LB</v>
          </cell>
          <cell r="F1351">
            <v>4</v>
          </cell>
          <cell r="G1351" t="str">
            <v>SplineDFA</v>
          </cell>
          <cell r="H1351" t="str">
            <v>Y</v>
          </cell>
          <cell r="I1351" t="str">
            <v>N</v>
          </cell>
          <cell r="J1351">
            <v>162</v>
          </cell>
          <cell r="K1351">
            <v>1</v>
          </cell>
          <cell r="L1351">
            <v>0.48809999999999998</v>
          </cell>
          <cell r="M1351">
            <v>23.7</v>
          </cell>
          <cell r="N1351">
            <v>2.7</v>
          </cell>
          <cell r="O1351">
            <v>0.51190000000000002</v>
          </cell>
          <cell r="P1351">
            <v>0.18410000000000001</v>
          </cell>
          <cell r="Q1351">
            <v>9.11E-2</v>
          </cell>
          <cell r="R1351">
            <v>0.23669999999999999</v>
          </cell>
          <cell r="S1351" t="str">
            <v>NA</v>
          </cell>
          <cell r="T1351">
            <v>58.8</v>
          </cell>
          <cell r="U1351">
            <v>4.8</v>
          </cell>
          <cell r="V1351">
            <v>73.7</v>
          </cell>
          <cell r="W1351">
            <v>7.4</v>
          </cell>
          <cell r="X1351">
            <v>52.3</v>
          </cell>
          <cell r="Y1351">
            <v>6.8</v>
          </cell>
          <cell r="Z1351" t="str">
            <v>NA</v>
          </cell>
          <cell r="AA1351" t="str">
            <v>NA</v>
          </cell>
        </row>
        <row r="1352">
          <cell r="A1352">
            <v>45159</v>
          </cell>
          <cell r="B1352" t="str">
            <v>A1</v>
          </cell>
          <cell r="C1352">
            <v>2</v>
          </cell>
          <cell r="D1352">
            <v>3</v>
          </cell>
          <cell r="E1352" t="str">
            <v>ARIS.A1.Aim3.Bin2.LB</v>
          </cell>
          <cell r="F1352">
            <v>4</v>
          </cell>
          <cell r="G1352" t="str">
            <v>SplineDFA</v>
          </cell>
          <cell r="H1352" t="str">
            <v>Y</v>
          </cell>
          <cell r="I1352" t="str">
            <v>N</v>
          </cell>
          <cell r="J1352">
            <v>188</v>
          </cell>
          <cell r="K1352">
            <v>1</v>
          </cell>
          <cell r="L1352">
            <v>3.15E-2</v>
          </cell>
          <cell r="M1352">
            <v>23.7</v>
          </cell>
          <cell r="N1352">
            <v>2.7</v>
          </cell>
          <cell r="O1352">
            <v>0.96850000000000003</v>
          </cell>
          <cell r="P1352">
            <v>0.32450000000000001</v>
          </cell>
          <cell r="Q1352">
            <v>0.27800000000000002</v>
          </cell>
          <cell r="R1352">
            <v>0.36599999999999999</v>
          </cell>
          <cell r="S1352" t="str">
            <v>NA</v>
          </cell>
          <cell r="T1352">
            <v>58.8</v>
          </cell>
          <cell r="U1352">
            <v>4.8</v>
          </cell>
          <cell r="V1352">
            <v>73.7</v>
          </cell>
          <cell r="W1352">
            <v>7.4</v>
          </cell>
          <cell r="X1352">
            <v>52.3</v>
          </cell>
          <cell r="Y1352">
            <v>6.8</v>
          </cell>
          <cell r="Z1352" t="str">
            <v>NA</v>
          </cell>
          <cell r="AA1352" t="str">
            <v>NA</v>
          </cell>
        </row>
        <row r="1353">
          <cell r="A1353">
            <v>45159</v>
          </cell>
          <cell r="B1353" t="str">
            <v>A1</v>
          </cell>
          <cell r="C1353">
            <v>3</v>
          </cell>
          <cell r="D1353">
            <v>3</v>
          </cell>
          <cell r="E1353" t="str">
            <v>ARIS.A1.Aim3.Bin3.LB</v>
          </cell>
          <cell r="F1353">
            <v>4</v>
          </cell>
          <cell r="G1353" t="str">
            <v>SplineDFA</v>
          </cell>
          <cell r="H1353" t="str">
            <v>Y</v>
          </cell>
          <cell r="I1353" t="str">
            <v>N</v>
          </cell>
          <cell r="J1353">
            <v>175</v>
          </cell>
          <cell r="K1353">
            <v>1</v>
          </cell>
          <cell r="L1353">
            <v>0.01</v>
          </cell>
          <cell r="M1353">
            <v>23.7</v>
          </cell>
          <cell r="N1353">
            <v>2.7</v>
          </cell>
          <cell r="O1353">
            <v>0.99</v>
          </cell>
          <cell r="P1353">
            <v>0.25700000000000001</v>
          </cell>
          <cell r="Q1353">
            <v>0.5837</v>
          </cell>
          <cell r="R1353">
            <v>0.14929999999999999</v>
          </cell>
          <cell r="S1353" t="str">
            <v>NA</v>
          </cell>
          <cell r="T1353">
            <v>58.8</v>
          </cell>
          <cell r="U1353">
            <v>4.8</v>
          </cell>
          <cell r="V1353">
            <v>73.7</v>
          </cell>
          <cell r="W1353">
            <v>7.4</v>
          </cell>
          <cell r="X1353">
            <v>52.3</v>
          </cell>
          <cell r="Y1353">
            <v>6.8</v>
          </cell>
          <cell r="Z1353" t="str">
            <v>NA</v>
          </cell>
          <cell r="AA1353" t="str">
            <v>NA</v>
          </cell>
        </row>
        <row r="1354">
          <cell r="A1354">
            <v>45159</v>
          </cell>
          <cell r="B1354" t="str">
            <v>A1</v>
          </cell>
          <cell r="C1354">
            <v>4</v>
          </cell>
          <cell r="D1354">
            <v>3</v>
          </cell>
          <cell r="E1354" t="str">
            <v>ARIS.A1.Aim3.Bin4.LB</v>
          </cell>
          <cell r="F1354">
            <v>4</v>
          </cell>
          <cell r="G1354" t="str">
            <v>SplineDFA</v>
          </cell>
          <cell r="H1354" t="str">
            <v>Y</v>
          </cell>
          <cell r="I1354" t="str">
            <v>N</v>
          </cell>
          <cell r="J1354">
            <v>175</v>
          </cell>
          <cell r="K1354">
            <v>1</v>
          </cell>
          <cell r="L1354">
            <v>0.01</v>
          </cell>
          <cell r="M1354">
            <v>23.7</v>
          </cell>
          <cell r="N1354">
            <v>2.7</v>
          </cell>
          <cell r="O1354">
            <v>0.99</v>
          </cell>
          <cell r="P1354">
            <v>0.25700000000000001</v>
          </cell>
          <cell r="Q1354">
            <v>0.5837</v>
          </cell>
          <cell r="R1354">
            <v>0.14929999999999999</v>
          </cell>
          <cell r="S1354" t="str">
            <v>NA</v>
          </cell>
          <cell r="T1354">
            <v>58.8</v>
          </cell>
          <cell r="U1354">
            <v>4.8</v>
          </cell>
          <cell r="V1354">
            <v>73.7</v>
          </cell>
          <cell r="W1354">
            <v>7.4</v>
          </cell>
          <cell r="X1354">
            <v>52.3</v>
          </cell>
          <cell r="Y1354">
            <v>6.8</v>
          </cell>
          <cell r="Z1354" t="str">
            <v>NA</v>
          </cell>
          <cell r="AA1354" t="str">
            <v>NA</v>
          </cell>
        </row>
        <row r="1355">
          <cell r="A1355">
            <v>45159</v>
          </cell>
          <cell r="B1355" t="str">
            <v>A2</v>
          </cell>
          <cell r="C1355">
            <v>1</v>
          </cell>
          <cell r="D1355">
            <v>1</v>
          </cell>
          <cell r="E1355" t="str">
            <v>ARIS.A2.Aim1.Bin1.RB</v>
          </cell>
          <cell r="F1355">
            <v>4</v>
          </cell>
          <cell r="G1355" t="str">
            <v>SplineDFA</v>
          </cell>
          <cell r="H1355" t="str">
            <v>Y</v>
          </cell>
          <cell r="I1355" t="str">
            <v>N</v>
          </cell>
          <cell r="J1355">
            <v>171</v>
          </cell>
          <cell r="K1355">
            <v>0.99990000000000001</v>
          </cell>
          <cell r="L1355">
            <v>0.46079999999999999</v>
          </cell>
          <cell r="M1355">
            <v>23.7</v>
          </cell>
          <cell r="N1355">
            <v>2.7</v>
          </cell>
          <cell r="O1355">
            <v>0.53910000000000002</v>
          </cell>
          <cell r="P1355">
            <v>0.14729999999999999</v>
          </cell>
          <cell r="Q1355">
            <v>7.1800000000000003E-2</v>
          </cell>
          <cell r="R1355">
            <v>0.32</v>
          </cell>
          <cell r="S1355" t="str">
            <v>NA</v>
          </cell>
          <cell r="T1355">
            <v>58.8</v>
          </cell>
          <cell r="U1355">
            <v>4.8</v>
          </cell>
          <cell r="V1355">
            <v>73.7</v>
          </cell>
          <cell r="W1355">
            <v>7.4</v>
          </cell>
          <cell r="X1355">
            <v>52.3</v>
          </cell>
          <cell r="Y1355">
            <v>6.8</v>
          </cell>
          <cell r="Z1355" t="str">
            <v>NA</v>
          </cell>
          <cell r="AA1355" t="str">
            <v>NA</v>
          </cell>
        </row>
        <row r="1356">
          <cell r="A1356">
            <v>45159</v>
          </cell>
          <cell r="B1356" t="str">
            <v>A2</v>
          </cell>
          <cell r="C1356">
            <v>2</v>
          </cell>
          <cell r="D1356">
            <v>1</v>
          </cell>
          <cell r="E1356" t="str">
            <v>ARIS.A2.Aim1.Bin2.RB</v>
          </cell>
          <cell r="F1356">
            <v>4</v>
          </cell>
          <cell r="G1356" t="str">
            <v>SplineDFA</v>
          </cell>
          <cell r="H1356" t="str">
            <v>Y</v>
          </cell>
          <cell r="I1356" t="str">
            <v>N</v>
          </cell>
          <cell r="J1356">
            <v>176</v>
          </cell>
          <cell r="K1356">
            <v>0.99990000000000001</v>
          </cell>
          <cell r="L1356">
            <v>6.4799999999999996E-2</v>
          </cell>
          <cell r="M1356">
            <v>23.7</v>
          </cell>
          <cell r="N1356">
            <v>2.7</v>
          </cell>
          <cell r="O1356">
            <v>0.93510000000000004</v>
          </cell>
          <cell r="P1356">
            <v>0.23449999999999999</v>
          </cell>
          <cell r="Q1356">
            <v>0.46750000000000003</v>
          </cell>
          <cell r="R1356">
            <v>0.2331</v>
          </cell>
          <cell r="S1356" t="str">
            <v>NA</v>
          </cell>
          <cell r="T1356">
            <v>58.8</v>
          </cell>
          <cell r="U1356">
            <v>4.8</v>
          </cell>
          <cell r="V1356">
            <v>73.7</v>
          </cell>
          <cell r="W1356">
            <v>7.4</v>
          </cell>
          <cell r="X1356">
            <v>52.3</v>
          </cell>
          <cell r="Y1356">
            <v>6.8</v>
          </cell>
          <cell r="Z1356" t="str">
            <v>NA</v>
          </cell>
          <cell r="AA1356" t="str">
            <v>NA</v>
          </cell>
        </row>
        <row r="1357">
          <cell r="A1357">
            <v>45159</v>
          </cell>
          <cell r="B1357" t="str">
            <v>A2</v>
          </cell>
          <cell r="C1357">
            <v>3</v>
          </cell>
          <cell r="D1357">
            <v>1</v>
          </cell>
          <cell r="E1357" t="str">
            <v>ARIS.A2.Aim1.Bin3.RB</v>
          </cell>
          <cell r="F1357">
            <v>4</v>
          </cell>
          <cell r="G1357" t="str">
            <v>SplineDFA</v>
          </cell>
          <cell r="H1357" t="str">
            <v>Y</v>
          </cell>
          <cell r="I1357" t="str">
            <v>N</v>
          </cell>
          <cell r="J1357">
            <v>172</v>
          </cell>
          <cell r="K1357">
            <v>1</v>
          </cell>
          <cell r="L1357">
            <v>4.9399999999999999E-2</v>
          </cell>
          <cell r="M1357">
            <v>23.7</v>
          </cell>
          <cell r="N1357">
            <v>2.7</v>
          </cell>
          <cell r="O1357">
            <v>0.9506</v>
          </cell>
          <cell r="P1357">
            <v>0.1956</v>
          </cell>
          <cell r="Q1357">
            <v>0.61339999999999995</v>
          </cell>
          <cell r="R1357">
            <v>0.1416</v>
          </cell>
          <cell r="S1357" t="str">
            <v>NA</v>
          </cell>
          <cell r="T1357">
            <v>58.8</v>
          </cell>
          <cell r="U1357">
            <v>4.8</v>
          </cell>
          <cell r="V1357">
            <v>73.7</v>
          </cell>
          <cell r="W1357">
            <v>7.4</v>
          </cell>
          <cell r="X1357">
            <v>52.3</v>
          </cell>
          <cell r="Y1357">
            <v>6.8</v>
          </cell>
          <cell r="Z1357" t="str">
            <v>NA</v>
          </cell>
          <cell r="AA1357" t="str">
            <v>NA</v>
          </cell>
        </row>
        <row r="1358">
          <cell r="A1358">
            <v>45159</v>
          </cell>
          <cell r="B1358" t="str">
            <v>A2</v>
          </cell>
          <cell r="C1358">
            <v>4</v>
          </cell>
          <cell r="D1358">
            <v>1</v>
          </cell>
          <cell r="E1358" t="str">
            <v>ARIS.A2.Aim1.Bin4.RB</v>
          </cell>
          <cell r="F1358">
            <v>4</v>
          </cell>
          <cell r="G1358" t="str">
            <v>SplineDFA</v>
          </cell>
          <cell r="H1358" t="str">
            <v>Y</v>
          </cell>
          <cell r="I1358" t="str">
            <v>N</v>
          </cell>
          <cell r="J1358">
            <v>172</v>
          </cell>
          <cell r="K1358">
            <v>1</v>
          </cell>
          <cell r="L1358">
            <v>4.9399999999999999E-2</v>
          </cell>
          <cell r="M1358">
            <v>23.7</v>
          </cell>
          <cell r="N1358">
            <v>2.7</v>
          </cell>
          <cell r="O1358">
            <v>0.9506</v>
          </cell>
          <cell r="P1358">
            <v>0.1956</v>
          </cell>
          <cell r="Q1358">
            <v>0.61339999999999995</v>
          </cell>
          <cell r="R1358">
            <v>0.1416</v>
          </cell>
          <cell r="S1358" t="str">
            <v>NA</v>
          </cell>
          <cell r="T1358">
            <v>58.8</v>
          </cell>
          <cell r="U1358">
            <v>4.8</v>
          </cell>
          <cell r="V1358">
            <v>73.7</v>
          </cell>
          <cell r="W1358">
            <v>7.4</v>
          </cell>
          <cell r="X1358">
            <v>52.3</v>
          </cell>
          <cell r="Y1358">
            <v>6.8</v>
          </cell>
          <cell r="Z1358" t="str">
            <v>NA</v>
          </cell>
          <cell r="AA1358" t="str">
            <v>NA</v>
          </cell>
        </row>
        <row r="1359">
          <cell r="A1359">
            <v>45160</v>
          </cell>
          <cell r="B1359" t="str">
            <v>A1</v>
          </cell>
          <cell r="C1359">
            <v>1</v>
          </cell>
          <cell r="D1359">
            <v>1</v>
          </cell>
          <cell r="E1359" t="str">
            <v>ARIS.A1.Aim1.Bin1.LB</v>
          </cell>
          <cell r="F1359">
            <v>4</v>
          </cell>
          <cell r="G1359" t="str">
            <v>Unweighted</v>
          </cell>
          <cell r="H1359" t="str">
            <v>N</v>
          </cell>
          <cell r="I1359" t="str">
            <v>Y</v>
          </cell>
          <cell r="J1359">
            <v>164</v>
          </cell>
          <cell r="K1359">
            <v>1</v>
          </cell>
          <cell r="L1359">
            <v>0.6159</v>
          </cell>
          <cell r="M1359">
            <v>22.9</v>
          </cell>
          <cell r="N1359">
            <v>6.8</v>
          </cell>
          <cell r="O1359">
            <v>0.3841</v>
          </cell>
          <cell r="P1359">
            <v>0</v>
          </cell>
          <cell r="Q1359">
            <v>3.4299999999999997E-2</v>
          </cell>
          <cell r="R1359">
            <v>0.3498</v>
          </cell>
          <cell r="S1359" t="str">
            <v>NA</v>
          </cell>
          <cell r="T1359">
            <v>58.8</v>
          </cell>
          <cell r="U1359">
            <v>4.8</v>
          </cell>
          <cell r="V1359">
            <v>73.7</v>
          </cell>
          <cell r="W1359">
            <v>7.4</v>
          </cell>
          <cell r="X1359">
            <v>52.3</v>
          </cell>
          <cell r="Y1359">
            <v>6.8</v>
          </cell>
          <cell r="Z1359" t="str">
            <v>NA</v>
          </cell>
          <cell r="AA1359" t="str">
            <v>NA</v>
          </cell>
        </row>
        <row r="1360">
          <cell r="A1360">
            <v>45160</v>
          </cell>
          <cell r="B1360" t="str">
            <v>A1</v>
          </cell>
          <cell r="C1360">
            <v>1</v>
          </cell>
          <cell r="D1360">
            <v>2</v>
          </cell>
          <cell r="E1360" t="str">
            <v>ARIS.A1.Aim2.Bin1.LB</v>
          </cell>
          <cell r="F1360">
            <v>4</v>
          </cell>
          <cell r="G1360" t="str">
            <v>Unweighted</v>
          </cell>
          <cell r="H1360" t="str">
            <v>N</v>
          </cell>
          <cell r="I1360" t="str">
            <v>Y</v>
          </cell>
          <cell r="J1360">
            <v>167</v>
          </cell>
          <cell r="K1360">
            <v>1</v>
          </cell>
          <cell r="L1360">
            <v>0.46</v>
          </cell>
          <cell r="M1360">
            <v>22.1</v>
          </cell>
          <cell r="N1360">
            <v>9.5</v>
          </cell>
          <cell r="O1360">
            <v>0.54</v>
          </cell>
          <cell r="P1360">
            <v>0.249</v>
          </cell>
          <cell r="Q1360">
            <v>5.5100000000000003E-2</v>
          </cell>
          <cell r="R1360">
            <v>0.2359</v>
          </cell>
          <cell r="S1360" t="str">
            <v>NA</v>
          </cell>
          <cell r="T1360">
            <v>58.8</v>
          </cell>
          <cell r="U1360">
            <v>4.8</v>
          </cell>
          <cell r="V1360">
            <v>73.7</v>
          </cell>
          <cell r="W1360">
            <v>7.4</v>
          </cell>
          <cell r="X1360">
            <v>52.3</v>
          </cell>
          <cell r="Y1360">
            <v>6.8</v>
          </cell>
          <cell r="Z1360" t="str">
            <v>NA</v>
          </cell>
          <cell r="AA1360" t="str">
            <v>NA</v>
          </cell>
        </row>
        <row r="1361">
          <cell r="A1361">
            <v>45160</v>
          </cell>
          <cell r="B1361" t="str">
            <v>A1</v>
          </cell>
          <cell r="C1361">
            <v>1</v>
          </cell>
          <cell r="D1361" t="str">
            <v>1&amp;2</v>
          </cell>
          <cell r="E1361" t="str">
            <v>ARIS.A1.Aim1&amp;Aim2.Bin1.LB</v>
          </cell>
          <cell r="F1361">
            <v>4</v>
          </cell>
          <cell r="G1361" t="str">
            <v>Unweighted</v>
          </cell>
          <cell r="H1361" t="str">
            <v>N</v>
          </cell>
          <cell r="I1361" t="str">
            <v>Y</v>
          </cell>
          <cell r="J1361">
            <v>331</v>
          </cell>
          <cell r="K1361">
            <v>1</v>
          </cell>
          <cell r="L1361">
            <v>0.56479999999999997</v>
          </cell>
          <cell r="M1361">
            <v>24.6</v>
          </cell>
          <cell r="N1361">
            <v>9.1999999999999993</v>
          </cell>
          <cell r="O1361">
            <v>0.43519999999999998</v>
          </cell>
          <cell r="P1361">
            <v>0.13139999999999999</v>
          </cell>
          <cell r="Q1361">
            <v>4.9500000000000002E-2</v>
          </cell>
          <cell r="R1361">
            <v>0.25430000000000003</v>
          </cell>
          <cell r="S1361" t="str">
            <v>NA</v>
          </cell>
          <cell r="T1361">
            <v>58.8</v>
          </cell>
          <cell r="U1361">
            <v>4.8</v>
          </cell>
          <cell r="V1361">
            <v>73.7</v>
          </cell>
          <cell r="W1361">
            <v>7.4</v>
          </cell>
          <cell r="X1361">
            <v>52.3</v>
          </cell>
          <cell r="Y1361">
            <v>6.8</v>
          </cell>
          <cell r="Z1361" t="str">
            <v>NA</v>
          </cell>
          <cell r="AA1361" t="str">
            <v>NA</v>
          </cell>
        </row>
        <row r="1362">
          <cell r="A1362">
            <v>45160</v>
          </cell>
          <cell r="B1362" t="str">
            <v>A1</v>
          </cell>
          <cell r="C1362">
            <v>2</v>
          </cell>
          <cell r="D1362">
            <v>3</v>
          </cell>
          <cell r="E1362" t="str">
            <v>ARIS.A1.Aim3.Bin2.LB</v>
          </cell>
          <cell r="F1362">
            <v>4</v>
          </cell>
          <cell r="G1362" t="str">
            <v>Unweighted</v>
          </cell>
          <cell r="H1362" t="str">
            <v>N</v>
          </cell>
          <cell r="I1362" t="str">
            <v>Y</v>
          </cell>
          <cell r="J1362">
            <v>183</v>
          </cell>
          <cell r="K1362">
            <v>1</v>
          </cell>
          <cell r="L1362">
            <v>2.75E-2</v>
          </cell>
          <cell r="M1362">
            <v>23.7</v>
          </cell>
          <cell r="N1362">
            <v>11.2</v>
          </cell>
          <cell r="O1362">
            <v>0.97250000000000003</v>
          </cell>
          <cell r="P1362">
            <v>0.28539999999999999</v>
          </cell>
          <cell r="Q1362">
            <v>0.40589999999999998</v>
          </cell>
          <cell r="R1362">
            <v>0.28120000000000001</v>
          </cell>
          <cell r="S1362" t="str">
            <v>NA</v>
          </cell>
          <cell r="T1362">
            <v>58.8</v>
          </cell>
          <cell r="U1362">
            <v>4.8</v>
          </cell>
          <cell r="V1362">
            <v>73.7</v>
          </cell>
          <cell r="W1362">
            <v>7.4</v>
          </cell>
          <cell r="X1362">
            <v>52.3</v>
          </cell>
          <cell r="Y1362">
            <v>6.8</v>
          </cell>
          <cell r="Z1362" t="str">
            <v>NA</v>
          </cell>
          <cell r="AA1362" t="str">
            <v>NA</v>
          </cell>
        </row>
        <row r="1363">
          <cell r="A1363">
            <v>45160</v>
          </cell>
          <cell r="B1363" t="str">
            <v>A1</v>
          </cell>
          <cell r="C1363">
            <v>3</v>
          </cell>
          <cell r="D1363">
            <v>3</v>
          </cell>
          <cell r="E1363" t="str">
            <v>ARIS.A1.Aim3.Bin3.LB</v>
          </cell>
          <cell r="F1363">
            <v>4</v>
          </cell>
          <cell r="G1363" t="str">
            <v>Unweighted</v>
          </cell>
          <cell r="H1363" t="str">
            <v>N</v>
          </cell>
          <cell r="I1363" t="str">
            <v>Y</v>
          </cell>
          <cell r="J1363">
            <v>164</v>
          </cell>
          <cell r="K1363">
            <v>1</v>
          </cell>
          <cell r="L1363">
            <v>6.0000000000000001E-3</v>
          </cell>
          <cell r="M1363">
            <v>23.5</v>
          </cell>
          <cell r="N1363">
            <v>1</v>
          </cell>
          <cell r="O1363">
            <v>0.99399999999999999</v>
          </cell>
          <cell r="P1363">
            <v>8.2299999999999998E-2</v>
          </cell>
          <cell r="Q1363">
            <v>0.75380000000000003</v>
          </cell>
          <cell r="R1363">
            <v>0.15790000000000001</v>
          </cell>
          <cell r="S1363" t="str">
            <v>NA</v>
          </cell>
          <cell r="T1363">
            <v>58.8</v>
          </cell>
          <cell r="U1363">
            <v>4.8</v>
          </cell>
          <cell r="V1363">
            <v>73.7</v>
          </cell>
          <cell r="W1363">
            <v>7.4</v>
          </cell>
          <cell r="X1363">
            <v>52.3</v>
          </cell>
          <cell r="Y1363">
            <v>6.8</v>
          </cell>
          <cell r="Z1363" t="str">
            <v>NA</v>
          </cell>
          <cell r="AA1363" t="str">
            <v>NA</v>
          </cell>
        </row>
        <row r="1364">
          <cell r="A1364">
            <v>45160</v>
          </cell>
          <cell r="B1364" t="str">
            <v>A1</v>
          </cell>
          <cell r="C1364">
            <v>4</v>
          </cell>
          <cell r="D1364">
            <v>3</v>
          </cell>
          <cell r="E1364" t="str">
            <v>ARIS.A1.Aim3.Bin4.LB</v>
          </cell>
          <cell r="F1364">
            <v>4</v>
          </cell>
          <cell r="G1364" t="str">
            <v>Unweighted</v>
          </cell>
          <cell r="H1364" t="str">
            <v>N</v>
          </cell>
          <cell r="I1364" t="str">
            <v>Y</v>
          </cell>
          <cell r="J1364">
            <v>164</v>
          </cell>
          <cell r="K1364">
            <v>1</v>
          </cell>
          <cell r="L1364">
            <v>6.0000000000000001E-3</v>
          </cell>
          <cell r="M1364">
            <v>23.5</v>
          </cell>
          <cell r="N1364">
            <v>1</v>
          </cell>
          <cell r="O1364">
            <v>0.99399999999999999</v>
          </cell>
          <cell r="P1364">
            <v>8.2299999999999998E-2</v>
          </cell>
          <cell r="Q1364">
            <v>0.75380000000000003</v>
          </cell>
          <cell r="R1364">
            <v>0.15790000000000001</v>
          </cell>
          <cell r="S1364" t="str">
            <v>NA</v>
          </cell>
          <cell r="T1364">
            <v>58.8</v>
          </cell>
          <cell r="U1364">
            <v>4.8</v>
          </cell>
          <cell r="V1364">
            <v>73.7</v>
          </cell>
          <cell r="W1364">
            <v>7.4</v>
          </cell>
          <cell r="X1364">
            <v>52.3</v>
          </cell>
          <cell r="Y1364">
            <v>6.8</v>
          </cell>
          <cell r="Z1364" t="str">
            <v>NA</v>
          </cell>
          <cell r="AA1364" t="str">
            <v>NA</v>
          </cell>
        </row>
        <row r="1365">
          <cell r="A1365">
            <v>45160</v>
          </cell>
          <cell r="B1365" t="str">
            <v>A2</v>
          </cell>
          <cell r="C1365">
            <v>1</v>
          </cell>
          <cell r="D1365">
            <v>1</v>
          </cell>
          <cell r="E1365" t="str">
            <v>ARIS.A2.Aim1.Bin1.RB</v>
          </cell>
          <cell r="F1365">
            <v>4</v>
          </cell>
          <cell r="G1365" t="str">
            <v>Unweighted</v>
          </cell>
          <cell r="H1365" t="str">
            <v>N</v>
          </cell>
          <cell r="I1365" t="str">
            <v>Y</v>
          </cell>
          <cell r="J1365">
            <v>150</v>
          </cell>
          <cell r="K1365">
            <v>1</v>
          </cell>
          <cell r="L1365">
            <v>0.1583</v>
          </cell>
          <cell r="M1365">
            <v>19.5</v>
          </cell>
          <cell r="N1365">
            <v>10.9</v>
          </cell>
          <cell r="O1365">
            <v>0.8417</v>
          </cell>
          <cell r="P1365">
            <v>0</v>
          </cell>
          <cell r="Q1365">
            <v>0.13500000000000001</v>
          </cell>
          <cell r="R1365">
            <v>0.70669999999999999</v>
          </cell>
          <cell r="S1365" t="str">
            <v>NA</v>
          </cell>
          <cell r="T1365">
            <v>58.8</v>
          </cell>
          <cell r="U1365">
            <v>4.8</v>
          </cell>
          <cell r="V1365">
            <v>73.7</v>
          </cell>
          <cell r="W1365">
            <v>7.4</v>
          </cell>
          <cell r="X1365">
            <v>52.3</v>
          </cell>
          <cell r="Y1365">
            <v>6.8</v>
          </cell>
          <cell r="Z1365" t="str">
            <v>NA</v>
          </cell>
          <cell r="AA1365" t="str">
            <v>NA</v>
          </cell>
        </row>
        <row r="1366">
          <cell r="A1366">
            <v>45160</v>
          </cell>
          <cell r="B1366" t="str">
            <v>A2</v>
          </cell>
          <cell r="C1366">
            <v>2</v>
          </cell>
          <cell r="D1366">
            <v>1</v>
          </cell>
          <cell r="E1366" t="str">
            <v>ARIS.A2.Aim1.Bin2.RB</v>
          </cell>
          <cell r="F1366">
            <v>4</v>
          </cell>
          <cell r="G1366" t="str">
            <v>Unweighted</v>
          </cell>
          <cell r="H1366" t="str">
            <v>N</v>
          </cell>
          <cell r="I1366" t="str">
            <v>Y</v>
          </cell>
          <cell r="J1366">
            <v>176</v>
          </cell>
          <cell r="K1366">
            <v>1.0001</v>
          </cell>
          <cell r="L1366">
            <v>0.13</v>
          </cell>
          <cell r="M1366">
            <v>25.5</v>
          </cell>
          <cell r="N1366">
            <v>8.6999999999999993</v>
          </cell>
          <cell r="O1366">
            <v>0.87009999999999998</v>
          </cell>
          <cell r="P1366">
            <v>4.7500000000000001E-2</v>
          </cell>
          <cell r="Q1366">
            <v>0.45679999999999998</v>
          </cell>
          <cell r="R1366">
            <v>0.36580000000000001</v>
          </cell>
          <cell r="S1366" t="str">
            <v>NA</v>
          </cell>
          <cell r="T1366">
            <v>58.8</v>
          </cell>
          <cell r="U1366">
            <v>4.8</v>
          </cell>
          <cell r="V1366">
            <v>73.7</v>
          </cell>
          <cell r="W1366">
            <v>7.4</v>
          </cell>
          <cell r="X1366">
            <v>52.3</v>
          </cell>
          <cell r="Y1366">
            <v>6.8</v>
          </cell>
          <cell r="Z1366" t="str">
            <v>NA</v>
          </cell>
          <cell r="AA1366" t="str">
            <v>NA</v>
          </cell>
        </row>
        <row r="1367">
          <cell r="A1367">
            <v>45160</v>
          </cell>
          <cell r="B1367" t="str">
            <v>A2</v>
          </cell>
          <cell r="C1367">
            <v>3</v>
          </cell>
          <cell r="D1367">
            <v>1</v>
          </cell>
          <cell r="E1367" t="str">
            <v>ARIS.A2.Aim1.Bin3.RB</v>
          </cell>
          <cell r="F1367">
            <v>4</v>
          </cell>
          <cell r="G1367" t="str">
            <v>Unweighted</v>
          </cell>
          <cell r="H1367" t="str">
            <v>N</v>
          </cell>
          <cell r="I1367" t="str">
            <v>Y</v>
          </cell>
          <cell r="J1367">
            <v>171</v>
          </cell>
          <cell r="K1367">
            <v>1</v>
          </cell>
          <cell r="L1367">
            <v>3.8800000000000001E-2</v>
          </cell>
          <cell r="M1367">
            <v>23.7</v>
          </cell>
          <cell r="N1367">
            <v>7.5</v>
          </cell>
          <cell r="O1367">
            <v>0.96120000000000005</v>
          </cell>
          <cell r="P1367">
            <v>7.0000000000000007E-2</v>
          </cell>
          <cell r="Q1367">
            <v>0.73729999999999996</v>
          </cell>
          <cell r="R1367">
            <v>0.15390000000000001</v>
          </cell>
          <cell r="S1367" t="str">
            <v>NA</v>
          </cell>
          <cell r="T1367">
            <v>58.8</v>
          </cell>
          <cell r="U1367">
            <v>4.8</v>
          </cell>
          <cell r="V1367">
            <v>73.7</v>
          </cell>
          <cell r="W1367">
            <v>7.4</v>
          </cell>
          <cell r="X1367">
            <v>52.3</v>
          </cell>
          <cell r="Y1367">
            <v>6.8</v>
          </cell>
          <cell r="Z1367" t="str">
            <v>NA</v>
          </cell>
          <cell r="AA1367" t="str">
            <v>NA</v>
          </cell>
        </row>
        <row r="1368">
          <cell r="A1368">
            <v>45160</v>
          </cell>
          <cell r="B1368" t="str">
            <v>A2</v>
          </cell>
          <cell r="C1368">
            <v>4</v>
          </cell>
          <cell r="D1368">
            <v>1</v>
          </cell>
          <cell r="E1368" t="str">
            <v>ARIS.A2.Aim1.Bin4.RB</v>
          </cell>
          <cell r="F1368">
            <v>4</v>
          </cell>
          <cell r="G1368" t="str">
            <v>Unweighted</v>
          </cell>
          <cell r="H1368" t="str">
            <v>N</v>
          </cell>
          <cell r="I1368" t="str">
            <v>Y</v>
          </cell>
          <cell r="J1368">
            <v>171</v>
          </cell>
          <cell r="K1368">
            <v>1</v>
          </cell>
          <cell r="L1368">
            <v>3.8800000000000001E-2</v>
          </cell>
          <cell r="M1368">
            <v>23.7</v>
          </cell>
          <cell r="N1368">
            <v>7.5</v>
          </cell>
          <cell r="O1368">
            <v>0.96120000000000005</v>
          </cell>
          <cell r="P1368">
            <v>7.0000000000000007E-2</v>
          </cell>
          <cell r="Q1368">
            <v>0.73729999999999996</v>
          </cell>
          <cell r="R1368">
            <v>0.15390000000000001</v>
          </cell>
          <cell r="S1368" t="str">
            <v>NA</v>
          </cell>
          <cell r="T1368">
            <v>58.8</v>
          </cell>
          <cell r="U1368">
            <v>4.8</v>
          </cell>
          <cell r="V1368">
            <v>73.7</v>
          </cell>
          <cell r="W1368">
            <v>7.4</v>
          </cell>
          <cell r="X1368">
            <v>52.3</v>
          </cell>
          <cell r="Y1368">
            <v>6.8</v>
          </cell>
          <cell r="Z1368" t="str">
            <v>NA</v>
          </cell>
          <cell r="AA1368" t="str">
            <v>NA</v>
          </cell>
        </row>
        <row r="1369">
          <cell r="A1369">
            <v>45160</v>
          </cell>
          <cell r="B1369" t="str">
            <v>A1</v>
          </cell>
          <cell r="C1369">
            <v>1</v>
          </cell>
          <cell r="D1369">
            <v>1</v>
          </cell>
          <cell r="E1369" t="str">
            <v>ARIS.A1.Aim1.Bin1.LB</v>
          </cell>
          <cell r="F1369">
            <v>4</v>
          </cell>
          <cell r="G1369" t="str">
            <v>SplineDFA</v>
          </cell>
          <cell r="H1369" t="str">
            <v>Y</v>
          </cell>
          <cell r="I1369" t="str">
            <v>N</v>
          </cell>
          <cell r="J1369">
            <v>164</v>
          </cell>
          <cell r="K1369">
            <v>1</v>
          </cell>
          <cell r="L1369">
            <v>0.48530000000000001</v>
          </cell>
          <cell r="M1369">
            <v>23.7</v>
          </cell>
          <cell r="N1369">
            <v>2.7</v>
          </cell>
          <cell r="O1369">
            <v>0.51470000000000005</v>
          </cell>
          <cell r="P1369">
            <v>0.126</v>
          </cell>
          <cell r="Q1369">
            <v>4.19E-2</v>
          </cell>
          <cell r="R1369">
            <v>0.3468</v>
          </cell>
          <cell r="S1369" t="str">
            <v>NA</v>
          </cell>
          <cell r="T1369">
            <v>58.8</v>
          </cell>
          <cell r="U1369">
            <v>4.8</v>
          </cell>
          <cell r="V1369">
            <v>73.7</v>
          </cell>
          <cell r="W1369">
            <v>7.4</v>
          </cell>
          <cell r="X1369">
            <v>52.3</v>
          </cell>
          <cell r="Y1369">
            <v>6.8</v>
          </cell>
          <cell r="Z1369" t="str">
            <v>NA</v>
          </cell>
          <cell r="AA1369" t="str">
            <v>NA</v>
          </cell>
        </row>
        <row r="1370">
          <cell r="A1370">
            <v>45160</v>
          </cell>
          <cell r="B1370" t="str">
            <v>A1</v>
          </cell>
          <cell r="C1370">
            <v>1</v>
          </cell>
          <cell r="D1370">
            <v>2</v>
          </cell>
          <cell r="E1370" t="str">
            <v>ARIS.A1.Aim2.Bin1.LB</v>
          </cell>
          <cell r="F1370">
            <v>4</v>
          </cell>
          <cell r="G1370" t="str">
            <v>SplineDFA</v>
          </cell>
          <cell r="H1370" t="str">
            <v>Y</v>
          </cell>
          <cell r="I1370" t="str">
            <v>N</v>
          </cell>
          <cell r="J1370">
            <v>167</v>
          </cell>
          <cell r="K1370">
            <v>1</v>
          </cell>
          <cell r="L1370">
            <v>0.37190000000000001</v>
          </cell>
          <cell r="M1370">
            <v>23.7</v>
          </cell>
          <cell r="N1370">
            <v>2.7</v>
          </cell>
          <cell r="O1370">
            <v>0.62809999999999999</v>
          </cell>
          <cell r="P1370">
            <v>0.28670000000000001</v>
          </cell>
          <cell r="Q1370">
            <v>9.8699999999999996E-2</v>
          </cell>
          <cell r="R1370">
            <v>0.2427</v>
          </cell>
          <cell r="S1370" t="str">
            <v>NA</v>
          </cell>
          <cell r="T1370">
            <v>58.8</v>
          </cell>
          <cell r="U1370">
            <v>4.8</v>
          </cell>
          <cell r="V1370">
            <v>73.7</v>
          </cell>
          <cell r="W1370">
            <v>7.4</v>
          </cell>
          <cell r="X1370">
            <v>52.3</v>
          </cell>
          <cell r="Y1370">
            <v>6.8</v>
          </cell>
          <cell r="Z1370" t="str">
            <v>NA</v>
          </cell>
          <cell r="AA1370" t="str">
            <v>NA</v>
          </cell>
        </row>
        <row r="1371">
          <cell r="A1371">
            <v>45160</v>
          </cell>
          <cell r="B1371" t="str">
            <v>A1</v>
          </cell>
          <cell r="C1371">
            <v>2</v>
          </cell>
          <cell r="D1371">
            <v>3</v>
          </cell>
          <cell r="E1371" t="str">
            <v>ARIS.A1.Aim3.Bin2.LB</v>
          </cell>
          <cell r="F1371">
            <v>4</v>
          </cell>
          <cell r="G1371" t="str">
            <v>SplineDFA</v>
          </cell>
          <cell r="H1371" t="str">
            <v>Y</v>
          </cell>
          <cell r="I1371" t="str">
            <v>N</v>
          </cell>
          <cell r="J1371">
            <v>183</v>
          </cell>
          <cell r="K1371">
            <v>0.99990000000000001</v>
          </cell>
          <cell r="L1371">
            <v>0.02</v>
          </cell>
          <cell r="M1371">
            <v>23.7</v>
          </cell>
          <cell r="N1371">
            <v>2.7</v>
          </cell>
          <cell r="O1371">
            <v>0.97989999999999999</v>
          </cell>
          <cell r="P1371">
            <v>0.37509999999999999</v>
          </cell>
          <cell r="Q1371">
            <v>0.40239999999999998</v>
          </cell>
          <cell r="R1371">
            <v>0.2024</v>
          </cell>
          <cell r="S1371" t="str">
            <v>NA</v>
          </cell>
          <cell r="T1371">
            <v>58.8</v>
          </cell>
          <cell r="U1371">
            <v>4.8</v>
          </cell>
          <cell r="V1371">
            <v>73.7</v>
          </cell>
          <cell r="W1371">
            <v>7.4</v>
          </cell>
          <cell r="X1371">
            <v>52.3</v>
          </cell>
          <cell r="Y1371">
            <v>6.8</v>
          </cell>
          <cell r="Z1371" t="str">
            <v>NA</v>
          </cell>
          <cell r="AA1371" t="str">
            <v>NA</v>
          </cell>
        </row>
        <row r="1372">
          <cell r="A1372">
            <v>45160</v>
          </cell>
          <cell r="B1372" t="str">
            <v>A1</v>
          </cell>
          <cell r="C1372">
            <v>3</v>
          </cell>
          <cell r="D1372">
            <v>3</v>
          </cell>
          <cell r="E1372" t="str">
            <v>ARIS.A1.Aim3.Bin3.LB</v>
          </cell>
          <cell r="F1372">
            <v>4</v>
          </cell>
          <cell r="G1372" t="str">
            <v>SplineDFA</v>
          </cell>
          <cell r="H1372" t="str">
            <v>Y</v>
          </cell>
          <cell r="I1372" t="str">
            <v>N</v>
          </cell>
          <cell r="J1372">
            <v>164</v>
          </cell>
          <cell r="K1372">
            <v>1</v>
          </cell>
          <cell r="L1372">
            <v>5.4999999999999997E-3</v>
          </cell>
          <cell r="M1372">
            <v>23.7</v>
          </cell>
          <cell r="N1372">
            <v>2.7</v>
          </cell>
          <cell r="O1372">
            <v>0.99450000000000005</v>
          </cell>
          <cell r="P1372">
            <v>0.17610000000000001</v>
          </cell>
          <cell r="Q1372">
            <v>0.70630000000000004</v>
          </cell>
          <cell r="R1372">
            <v>0.11210000000000001</v>
          </cell>
          <cell r="S1372" t="str">
            <v>NA</v>
          </cell>
          <cell r="T1372">
            <v>58.8</v>
          </cell>
          <cell r="U1372">
            <v>4.8</v>
          </cell>
          <cell r="V1372">
            <v>73.7</v>
          </cell>
          <cell r="W1372">
            <v>7.4</v>
          </cell>
          <cell r="X1372">
            <v>52.3</v>
          </cell>
          <cell r="Y1372">
            <v>6.8</v>
          </cell>
          <cell r="Z1372" t="str">
            <v>NA</v>
          </cell>
          <cell r="AA1372" t="str">
            <v>NA</v>
          </cell>
        </row>
        <row r="1373">
          <cell r="A1373">
            <v>45160</v>
          </cell>
          <cell r="B1373" t="str">
            <v>A1</v>
          </cell>
          <cell r="C1373">
            <v>4</v>
          </cell>
          <cell r="D1373">
            <v>3</v>
          </cell>
          <cell r="E1373" t="str">
            <v>ARIS.A1.Aim3.Bin4.LB</v>
          </cell>
          <cell r="F1373">
            <v>4</v>
          </cell>
          <cell r="G1373" t="str">
            <v>SplineDFA</v>
          </cell>
          <cell r="H1373" t="str">
            <v>Y</v>
          </cell>
          <cell r="I1373" t="str">
            <v>N</v>
          </cell>
          <cell r="J1373">
            <v>164</v>
          </cell>
          <cell r="K1373">
            <v>1</v>
          </cell>
          <cell r="L1373">
            <v>5.4999999999999997E-3</v>
          </cell>
          <cell r="M1373">
            <v>23.7</v>
          </cell>
          <cell r="N1373">
            <v>2.7</v>
          </cell>
          <cell r="O1373">
            <v>0.99450000000000005</v>
          </cell>
          <cell r="P1373">
            <v>0.17610000000000001</v>
          </cell>
          <cell r="Q1373">
            <v>0.70630000000000004</v>
          </cell>
          <cell r="R1373">
            <v>0.11210000000000001</v>
          </cell>
          <cell r="S1373" t="str">
            <v>NA</v>
          </cell>
          <cell r="T1373">
            <v>58.8</v>
          </cell>
          <cell r="U1373">
            <v>4.8</v>
          </cell>
          <cell r="V1373">
            <v>73.7</v>
          </cell>
          <cell r="W1373">
            <v>7.4</v>
          </cell>
          <cell r="X1373">
            <v>52.3</v>
          </cell>
          <cell r="Y1373">
            <v>6.8</v>
          </cell>
          <cell r="Z1373" t="str">
            <v>NA</v>
          </cell>
          <cell r="AA1373" t="str">
            <v>NA</v>
          </cell>
        </row>
        <row r="1374">
          <cell r="A1374">
            <v>45160</v>
          </cell>
          <cell r="B1374" t="str">
            <v>A2</v>
          </cell>
          <cell r="C1374">
            <v>1</v>
          </cell>
          <cell r="D1374">
            <v>1</v>
          </cell>
          <cell r="E1374" t="str">
            <v>ARIS.A2.Aim1.Bin1.RB</v>
          </cell>
          <cell r="F1374">
            <v>4</v>
          </cell>
          <cell r="G1374" t="str">
            <v>SplineDFA</v>
          </cell>
          <cell r="H1374" t="str">
            <v>Y</v>
          </cell>
          <cell r="I1374" t="str">
            <v>N</v>
          </cell>
          <cell r="J1374">
            <v>150</v>
          </cell>
          <cell r="K1374">
            <v>1</v>
          </cell>
          <cell r="L1374">
            <v>0.10440000000000001</v>
          </cell>
          <cell r="M1374">
            <v>23.7</v>
          </cell>
          <cell r="N1374">
            <v>2.7</v>
          </cell>
          <cell r="O1374">
            <v>0.89559999999999995</v>
          </cell>
          <cell r="P1374">
            <v>0.32279999999999998</v>
          </cell>
          <cell r="Q1374">
            <v>0.12089999999999999</v>
          </cell>
          <cell r="R1374">
            <v>0.45190000000000002</v>
          </cell>
          <cell r="S1374" t="str">
            <v>NA</v>
          </cell>
          <cell r="T1374">
            <v>58.8</v>
          </cell>
          <cell r="U1374">
            <v>4.8</v>
          </cell>
          <cell r="V1374">
            <v>73.7</v>
          </cell>
          <cell r="W1374">
            <v>7.4</v>
          </cell>
          <cell r="X1374">
            <v>52.3</v>
          </cell>
          <cell r="Y1374">
            <v>6.8</v>
          </cell>
          <cell r="Z1374" t="str">
            <v>NA</v>
          </cell>
          <cell r="AA1374" t="str">
            <v>NA</v>
          </cell>
        </row>
        <row r="1375">
          <cell r="A1375">
            <v>45160</v>
          </cell>
          <cell r="B1375" t="str">
            <v>A2</v>
          </cell>
          <cell r="C1375">
            <v>2</v>
          </cell>
          <cell r="D1375">
            <v>1</v>
          </cell>
          <cell r="E1375" t="str">
            <v>ARIS.A2.Aim1.Bin2.RB</v>
          </cell>
          <cell r="F1375">
            <v>4</v>
          </cell>
          <cell r="G1375" t="str">
            <v>SplineDFA</v>
          </cell>
          <cell r="H1375" t="str">
            <v>Y</v>
          </cell>
          <cell r="I1375" t="str">
            <v>N</v>
          </cell>
          <cell r="J1375">
            <v>176</v>
          </cell>
          <cell r="K1375">
            <v>1.0001</v>
          </cell>
          <cell r="L1375">
            <v>9.2700000000000005E-2</v>
          </cell>
          <cell r="M1375">
            <v>23.7</v>
          </cell>
          <cell r="N1375">
            <v>2.7</v>
          </cell>
          <cell r="O1375">
            <v>0.90739999999999998</v>
          </cell>
          <cell r="P1375">
            <v>0.23960000000000001</v>
          </cell>
          <cell r="Q1375">
            <v>0.41039999999999999</v>
          </cell>
          <cell r="R1375">
            <v>0.25740000000000002</v>
          </cell>
          <cell r="S1375" t="str">
            <v>NA</v>
          </cell>
          <cell r="T1375">
            <v>58.8</v>
          </cell>
          <cell r="U1375">
            <v>4.8</v>
          </cell>
          <cell r="V1375">
            <v>73.7</v>
          </cell>
          <cell r="W1375">
            <v>7.4</v>
          </cell>
          <cell r="X1375">
            <v>52.3</v>
          </cell>
          <cell r="Y1375">
            <v>6.8</v>
          </cell>
          <cell r="Z1375" t="str">
            <v>NA</v>
          </cell>
          <cell r="AA1375" t="str">
            <v>NA</v>
          </cell>
        </row>
        <row r="1376">
          <cell r="A1376">
            <v>45160</v>
          </cell>
          <cell r="B1376" t="str">
            <v>A2</v>
          </cell>
          <cell r="C1376">
            <v>3</v>
          </cell>
          <cell r="D1376">
            <v>1</v>
          </cell>
          <cell r="E1376" t="str">
            <v>ARIS.A2.Aim1.Bin3.RB</v>
          </cell>
          <cell r="F1376">
            <v>4</v>
          </cell>
          <cell r="G1376" t="str">
            <v>SplineDFA</v>
          </cell>
          <cell r="H1376" t="str">
            <v>Y</v>
          </cell>
          <cell r="I1376" t="str">
            <v>N</v>
          </cell>
          <cell r="J1376">
            <v>171</v>
          </cell>
          <cell r="K1376">
            <v>1</v>
          </cell>
          <cell r="L1376">
            <v>2.64E-2</v>
          </cell>
          <cell r="M1376">
            <v>23.7</v>
          </cell>
          <cell r="N1376">
            <v>2.7</v>
          </cell>
          <cell r="O1376">
            <v>0.97360000000000002</v>
          </cell>
          <cell r="P1376">
            <v>0.22159999999999999</v>
          </cell>
          <cell r="Q1376">
            <v>0.63939999999999997</v>
          </cell>
          <cell r="R1376">
            <v>0.11260000000000001</v>
          </cell>
          <cell r="S1376" t="str">
            <v>NA</v>
          </cell>
          <cell r="T1376">
            <v>58.8</v>
          </cell>
          <cell r="U1376">
            <v>4.8</v>
          </cell>
          <cell r="V1376">
            <v>73.7</v>
          </cell>
          <cell r="W1376">
            <v>7.4</v>
          </cell>
          <cell r="X1376">
            <v>52.3</v>
          </cell>
          <cell r="Y1376">
            <v>6.8</v>
          </cell>
          <cell r="Z1376" t="str">
            <v>NA</v>
          </cell>
          <cell r="AA1376" t="str">
            <v>NA</v>
          </cell>
        </row>
        <row r="1377">
          <cell r="A1377">
            <v>45160</v>
          </cell>
          <cell r="B1377" t="str">
            <v>A2</v>
          </cell>
          <cell r="C1377">
            <v>4</v>
          </cell>
          <cell r="D1377">
            <v>1</v>
          </cell>
          <cell r="E1377" t="str">
            <v>ARIS.A2.Aim1.Bin4.RB</v>
          </cell>
          <cell r="F1377">
            <v>4</v>
          </cell>
          <cell r="G1377" t="str">
            <v>SplineDFA</v>
          </cell>
          <cell r="H1377" t="str">
            <v>Y</v>
          </cell>
          <cell r="I1377" t="str">
            <v>N</v>
          </cell>
          <cell r="J1377">
            <v>171</v>
          </cell>
          <cell r="K1377">
            <v>1</v>
          </cell>
          <cell r="L1377">
            <v>2.64E-2</v>
          </cell>
          <cell r="M1377">
            <v>23.7</v>
          </cell>
          <cell r="N1377">
            <v>2.7</v>
          </cell>
          <cell r="O1377">
            <v>0.97360000000000002</v>
          </cell>
          <cell r="P1377">
            <v>0.22159999999999999</v>
          </cell>
          <cell r="Q1377">
            <v>0.63939999999999997</v>
          </cell>
          <cell r="R1377">
            <v>0.11260000000000001</v>
          </cell>
          <cell r="S1377" t="str">
            <v>NA</v>
          </cell>
          <cell r="T1377">
            <v>58.8</v>
          </cell>
          <cell r="U1377">
            <v>4.8</v>
          </cell>
          <cell r="V1377">
            <v>73.7</v>
          </cell>
          <cell r="W1377">
            <v>7.4</v>
          </cell>
          <cell r="X1377">
            <v>52.3</v>
          </cell>
          <cell r="Y1377">
            <v>6.8</v>
          </cell>
          <cell r="Z1377" t="str">
            <v>NA</v>
          </cell>
          <cell r="AA1377" t="str">
            <v>NA</v>
          </cell>
        </row>
        <row r="1378">
          <cell r="A1378">
            <v>45161</v>
          </cell>
          <cell r="B1378" t="str">
            <v>A1</v>
          </cell>
          <cell r="C1378">
            <v>1</v>
          </cell>
          <cell r="D1378">
            <v>1</v>
          </cell>
          <cell r="E1378" t="str">
            <v>ARIS.A1.Aim1.Bin1.LB</v>
          </cell>
          <cell r="F1378">
            <v>4</v>
          </cell>
          <cell r="G1378" t="str">
            <v>Unweighted</v>
          </cell>
          <cell r="H1378" t="str">
            <v>N</v>
          </cell>
          <cell r="I1378" t="str">
            <v>Y</v>
          </cell>
          <cell r="J1378">
            <v>205</v>
          </cell>
          <cell r="K1378">
            <v>1</v>
          </cell>
          <cell r="L1378">
            <v>0.52900000000000003</v>
          </cell>
          <cell r="M1378">
            <v>27.1</v>
          </cell>
          <cell r="N1378">
            <v>7.6</v>
          </cell>
          <cell r="O1378">
            <v>0.47099999999999997</v>
          </cell>
          <cell r="P1378">
            <v>0.1527</v>
          </cell>
          <cell r="Q1378">
            <v>8.1000000000000003E-2</v>
          </cell>
          <cell r="R1378">
            <v>0.23730000000000001</v>
          </cell>
          <cell r="S1378" t="str">
            <v>NA</v>
          </cell>
          <cell r="T1378">
            <v>58.8</v>
          </cell>
          <cell r="U1378">
            <v>4.8</v>
          </cell>
          <cell r="V1378">
            <v>74</v>
          </cell>
          <cell r="W1378">
            <v>7.5</v>
          </cell>
          <cell r="X1378">
            <v>51.2</v>
          </cell>
          <cell r="Y1378">
            <v>6.7</v>
          </cell>
          <cell r="Z1378" t="str">
            <v>NA</v>
          </cell>
          <cell r="AA1378" t="str">
            <v>NA</v>
          </cell>
        </row>
        <row r="1379">
          <cell r="A1379">
            <v>45161</v>
          </cell>
          <cell r="B1379" t="str">
            <v>A1</v>
          </cell>
          <cell r="C1379">
            <v>1</v>
          </cell>
          <cell r="D1379">
            <v>2</v>
          </cell>
          <cell r="E1379" t="str">
            <v>ARIS.A1.Aim2.Bin1.LB</v>
          </cell>
          <cell r="F1379">
            <v>4</v>
          </cell>
          <cell r="G1379" t="str">
            <v>Unweighted</v>
          </cell>
          <cell r="H1379" t="str">
            <v>N</v>
          </cell>
          <cell r="I1379" t="str">
            <v>Y</v>
          </cell>
          <cell r="J1379">
            <v>193</v>
          </cell>
          <cell r="K1379">
            <v>1</v>
          </cell>
          <cell r="L1379">
            <v>0.34289999999999998</v>
          </cell>
          <cell r="M1379">
            <v>21.9</v>
          </cell>
          <cell r="N1379">
            <v>10.1</v>
          </cell>
          <cell r="O1379">
            <v>0.65710000000000002</v>
          </cell>
          <cell r="P1379">
            <v>0.128</v>
          </cell>
          <cell r="Q1379">
            <v>5.57E-2</v>
          </cell>
          <cell r="R1379">
            <v>0.47339999999999999</v>
          </cell>
          <cell r="S1379" t="str">
            <v>NA</v>
          </cell>
          <cell r="T1379">
            <v>58.8</v>
          </cell>
          <cell r="U1379">
            <v>4.8</v>
          </cell>
          <cell r="V1379">
            <v>74</v>
          </cell>
          <cell r="W1379">
            <v>7.5</v>
          </cell>
          <cell r="X1379">
            <v>51.2</v>
          </cell>
          <cell r="Y1379">
            <v>6.7</v>
          </cell>
          <cell r="Z1379" t="str">
            <v>NA</v>
          </cell>
          <cell r="AA1379" t="str">
            <v>NA</v>
          </cell>
        </row>
        <row r="1380">
          <cell r="A1380">
            <v>45161</v>
          </cell>
          <cell r="B1380" t="str">
            <v>A1</v>
          </cell>
          <cell r="C1380">
            <v>1</v>
          </cell>
          <cell r="D1380" t="str">
            <v>1&amp;2</v>
          </cell>
          <cell r="E1380" t="str">
            <v>ARIS.A1.Aim1&amp;Aim2.Bin1.LB</v>
          </cell>
          <cell r="F1380">
            <v>4</v>
          </cell>
          <cell r="G1380" t="str">
            <v>Unweighted</v>
          </cell>
          <cell r="H1380" t="str">
            <v>N</v>
          </cell>
          <cell r="I1380" t="str">
            <v>Y</v>
          </cell>
          <cell r="J1380">
            <v>398</v>
          </cell>
          <cell r="K1380">
            <v>1</v>
          </cell>
          <cell r="L1380">
            <v>0.443</v>
          </cell>
          <cell r="M1380">
            <v>25.3</v>
          </cell>
          <cell r="N1380">
            <v>9.1</v>
          </cell>
          <cell r="O1380">
            <v>0.55700000000000005</v>
          </cell>
          <cell r="P1380">
            <v>0.14660000000000001</v>
          </cell>
          <cell r="Q1380">
            <v>6.8000000000000005E-2</v>
          </cell>
          <cell r="R1380">
            <v>0.34239999999999998</v>
          </cell>
          <cell r="S1380" t="str">
            <v>NA</v>
          </cell>
          <cell r="T1380">
            <v>58.8</v>
          </cell>
          <cell r="U1380">
            <v>4.8</v>
          </cell>
          <cell r="V1380">
            <v>74</v>
          </cell>
          <cell r="W1380">
            <v>7.5</v>
          </cell>
          <cell r="X1380">
            <v>51.2</v>
          </cell>
          <cell r="Y1380">
            <v>6.7</v>
          </cell>
          <cell r="Z1380" t="str">
            <v>NA</v>
          </cell>
          <cell r="AA1380" t="str">
            <v>NA</v>
          </cell>
        </row>
        <row r="1381">
          <cell r="A1381">
            <v>45161</v>
          </cell>
          <cell r="B1381" t="str">
            <v>A1</v>
          </cell>
          <cell r="C1381">
            <v>2</v>
          </cell>
          <cell r="D1381">
            <v>3</v>
          </cell>
          <cell r="E1381" t="str">
            <v>ARIS.A1.Aim3.Bin2.LB</v>
          </cell>
          <cell r="F1381">
            <v>4</v>
          </cell>
          <cell r="G1381" t="str">
            <v>Unweighted</v>
          </cell>
          <cell r="H1381" t="str">
            <v>N</v>
          </cell>
          <cell r="I1381" t="str">
            <v>Y</v>
          </cell>
          <cell r="J1381">
            <v>176</v>
          </cell>
          <cell r="K1381">
            <v>1</v>
          </cell>
          <cell r="L1381">
            <v>3.5299999999999998E-2</v>
          </cell>
          <cell r="M1381">
            <v>23.7</v>
          </cell>
          <cell r="N1381">
            <v>10.4</v>
          </cell>
          <cell r="O1381">
            <v>0.9647</v>
          </cell>
          <cell r="P1381">
            <v>0.15090000000000001</v>
          </cell>
          <cell r="Q1381">
            <v>0.3145</v>
          </cell>
          <cell r="R1381">
            <v>0.49930000000000002</v>
          </cell>
          <cell r="S1381" t="str">
            <v>NA</v>
          </cell>
          <cell r="T1381">
            <v>58.8</v>
          </cell>
          <cell r="U1381">
            <v>4.8</v>
          </cell>
          <cell r="V1381">
            <v>74</v>
          </cell>
          <cell r="W1381">
            <v>7.5</v>
          </cell>
          <cell r="X1381">
            <v>51.2</v>
          </cell>
          <cell r="Y1381">
            <v>6.7</v>
          </cell>
          <cell r="Z1381" t="str">
            <v>NA</v>
          </cell>
          <cell r="AA1381" t="str">
            <v>NA</v>
          </cell>
        </row>
        <row r="1382">
          <cell r="A1382">
            <v>45161</v>
          </cell>
          <cell r="B1382" t="str">
            <v>A1</v>
          </cell>
          <cell r="C1382">
            <v>3</v>
          </cell>
          <cell r="D1382">
            <v>3</v>
          </cell>
          <cell r="E1382" t="str">
            <v>ARIS.A1.Aim3.Bin3.LB</v>
          </cell>
          <cell r="F1382">
            <v>4</v>
          </cell>
          <cell r="G1382" t="str">
            <v>Unweighted</v>
          </cell>
          <cell r="H1382" t="str">
            <v>N</v>
          </cell>
          <cell r="I1382" t="str">
            <v>Y</v>
          </cell>
          <cell r="J1382">
            <v>184</v>
          </cell>
          <cell r="K1382">
            <v>1</v>
          </cell>
          <cell r="L1382">
            <v>6.7999999999999996E-3</v>
          </cell>
          <cell r="M1382">
            <v>23.7</v>
          </cell>
          <cell r="N1382">
            <v>2.7</v>
          </cell>
          <cell r="O1382">
            <v>0.99319999999999997</v>
          </cell>
          <cell r="P1382">
            <v>0.21890000000000001</v>
          </cell>
          <cell r="Q1382">
            <v>0.68720000000000003</v>
          </cell>
          <cell r="R1382">
            <v>8.7099999999999997E-2</v>
          </cell>
          <cell r="S1382" t="str">
            <v>NA</v>
          </cell>
          <cell r="T1382">
            <v>58.8</v>
          </cell>
          <cell r="U1382">
            <v>4.8</v>
          </cell>
          <cell r="V1382">
            <v>74</v>
          </cell>
          <cell r="W1382">
            <v>7.5</v>
          </cell>
          <cell r="X1382">
            <v>51.2</v>
          </cell>
          <cell r="Y1382">
            <v>6.7</v>
          </cell>
          <cell r="Z1382" t="str">
            <v>NA</v>
          </cell>
          <cell r="AA1382" t="str">
            <v>NA</v>
          </cell>
        </row>
        <row r="1383">
          <cell r="A1383">
            <v>45161</v>
          </cell>
          <cell r="B1383" t="str">
            <v>A1</v>
          </cell>
          <cell r="C1383">
            <v>4</v>
          </cell>
          <cell r="D1383">
            <v>3</v>
          </cell>
          <cell r="E1383" t="str">
            <v>ARIS.A1.Aim3.Bin4.LB</v>
          </cell>
          <cell r="F1383">
            <v>4</v>
          </cell>
          <cell r="G1383" t="str">
            <v>Unweighted</v>
          </cell>
          <cell r="H1383" t="str">
            <v>N</v>
          </cell>
          <cell r="I1383" t="str">
            <v>Y</v>
          </cell>
          <cell r="J1383">
            <v>184</v>
          </cell>
          <cell r="K1383">
            <v>1</v>
          </cell>
          <cell r="L1383">
            <v>6.7999999999999996E-3</v>
          </cell>
          <cell r="M1383">
            <v>23.7</v>
          </cell>
          <cell r="N1383">
            <v>2.7</v>
          </cell>
          <cell r="O1383">
            <v>0.99319999999999997</v>
          </cell>
          <cell r="P1383">
            <v>0.21890000000000001</v>
          </cell>
          <cell r="Q1383">
            <v>0.68720000000000003</v>
          </cell>
          <cell r="R1383">
            <v>8.7099999999999997E-2</v>
          </cell>
          <cell r="S1383" t="str">
            <v>NA</v>
          </cell>
          <cell r="T1383">
            <v>58.8</v>
          </cell>
          <cell r="U1383">
            <v>4.8</v>
          </cell>
          <cell r="V1383">
            <v>74</v>
          </cell>
          <cell r="W1383">
            <v>7.5</v>
          </cell>
          <cell r="X1383">
            <v>51.2</v>
          </cell>
          <cell r="Y1383">
            <v>6.7</v>
          </cell>
          <cell r="Z1383" t="str">
            <v>NA</v>
          </cell>
          <cell r="AA1383" t="str">
            <v>NA</v>
          </cell>
        </row>
        <row r="1384">
          <cell r="A1384">
            <v>45161</v>
          </cell>
          <cell r="B1384" t="str">
            <v>A2</v>
          </cell>
          <cell r="C1384">
            <v>1</v>
          </cell>
          <cell r="D1384">
            <v>1</v>
          </cell>
          <cell r="E1384" t="str">
            <v>ARIS.A2.Aim1.Bin1.RB</v>
          </cell>
          <cell r="F1384">
            <v>4</v>
          </cell>
          <cell r="G1384" t="str">
            <v>Unweighted</v>
          </cell>
          <cell r="H1384" t="str">
            <v>N</v>
          </cell>
          <cell r="I1384" t="str">
            <v>Y</v>
          </cell>
          <cell r="J1384">
            <v>163</v>
          </cell>
          <cell r="K1384">
            <v>1</v>
          </cell>
          <cell r="L1384">
            <v>0.1867</v>
          </cell>
          <cell r="M1384">
            <v>23.7</v>
          </cell>
          <cell r="N1384">
            <v>11.9</v>
          </cell>
          <cell r="O1384">
            <v>0.81330000000000002</v>
          </cell>
          <cell r="P1384">
            <v>7.2700000000000001E-2</v>
          </cell>
          <cell r="Q1384">
            <v>0.09</v>
          </cell>
          <cell r="R1384">
            <v>0.65059999999999996</v>
          </cell>
          <cell r="S1384" t="str">
            <v>NA</v>
          </cell>
          <cell r="T1384">
            <v>58.8</v>
          </cell>
          <cell r="U1384">
            <v>4.8</v>
          </cell>
          <cell r="V1384">
            <v>74</v>
          </cell>
          <cell r="W1384">
            <v>7.5</v>
          </cell>
          <cell r="X1384">
            <v>51.2</v>
          </cell>
          <cell r="Y1384">
            <v>6.7</v>
          </cell>
          <cell r="Z1384" t="str">
            <v>NA</v>
          </cell>
          <cell r="AA1384" t="str">
            <v>NA</v>
          </cell>
        </row>
        <row r="1385">
          <cell r="A1385">
            <v>45161</v>
          </cell>
          <cell r="B1385" t="str">
            <v>A2</v>
          </cell>
          <cell r="C1385">
            <v>2</v>
          </cell>
          <cell r="D1385">
            <v>1</v>
          </cell>
          <cell r="E1385" t="str">
            <v>ARIS.A2.Aim1.Bin2.RB</v>
          </cell>
          <cell r="F1385">
            <v>4</v>
          </cell>
          <cell r="G1385" t="str">
            <v>Unweighted</v>
          </cell>
          <cell r="H1385" t="str">
            <v>N</v>
          </cell>
          <cell r="I1385" t="str">
            <v>Y</v>
          </cell>
          <cell r="J1385">
            <v>185</v>
          </cell>
          <cell r="K1385">
            <v>1.0001</v>
          </cell>
          <cell r="L1385">
            <v>5.0799999999999998E-2</v>
          </cell>
          <cell r="M1385">
            <v>23.7</v>
          </cell>
          <cell r="N1385">
            <v>10.7</v>
          </cell>
          <cell r="O1385">
            <v>0.94930000000000003</v>
          </cell>
          <cell r="P1385">
            <v>0.1953</v>
          </cell>
          <cell r="Q1385">
            <v>0.41460000000000002</v>
          </cell>
          <cell r="R1385">
            <v>0.33939999999999998</v>
          </cell>
          <cell r="S1385" t="str">
            <v>NA</v>
          </cell>
          <cell r="T1385">
            <v>58.8</v>
          </cell>
          <cell r="U1385">
            <v>4.8</v>
          </cell>
          <cell r="V1385">
            <v>74</v>
          </cell>
          <cell r="W1385">
            <v>7.5</v>
          </cell>
          <cell r="X1385">
            <v>51.2</v>
          </cell>
          <cell r="Y1385">
            <v>6.7</v>
          </cell>
          <cell r="Z1385" t="str">
            <v>NA</v>
          </cell>
          <cell r="AA1385" t="str">
            <v>NA</v>
          </cell>
        </row>
        <row r="1386">
          <cell r="A1386">
            <v>45161</v>
          </cell>
          <cell r="B1386" t="str">
            <v>A2</v>
          </cell>
          <cell r="C1386">
            <v>3</v>
          </cell>
          <cell r="D1386">
            <v>1</v>
          </cell>
          <cell r="E1386" t="str">
            <v>ARIS.A2.Aim1.Bin3.RB</v>
          </cell>
          <cell r="F1386">
            <v>4</v>
          </cell>
          <cell r="G1386" t="str">
            <v>Unweighted</v>
          </cell>
          <cell r="H1386" t="str">
            <v>N</v>
          </cell>
          <cell r="I1386" t="str">
            <v>Y</v>
          </cell>
          <cell r="J1386">
            <v>161</v>
          </cell>
          <cell r="K1386">
            <v>1</v>
          </cell>
          <cell r="L1386">
            <v>1.7100000000000001E-2</v>
          </cell>
          <cell r="M1386">
            <v>23.7</v>
          </cell>
          <cell r="N1386">
            <v>2.6</v>
          </cell>
          <cell r="O1386">
            <v>0.9829</v>
          </cell>
          <cell r="P1386">
            <v>0.16689999999999999</v>
          </cell>
          <cell r="Q1386">
            <v>0.61309999999999998</v>
          </cell>
          <cell r="R1386">
            <v>0.2029</v>
          </cell>
          <cell r="S1386" t="str">
            <v>NA</v>
          </cell>
          <cell r="T1386">
            <v>58.8</v>
          </cell>
          <cell r="U1386">
            <v>4.8</v>
          </cell>
          <cell r="V1386">
            <v>74</v>
          </cell>
          <cell r="W1386">
            <v>7.5</v>
          </cell>
          <cell r="X1386">
            <v>51.2</v>
          </cell>
          <cell r="Y1386">
            <v>6.7</v>
          </cell>
          <cell r="Z1386" t="str">
            <v>NA</v>
          </cell>
          <cell r="AA1386" t="str">
            <v>NA</v>
          </cell>
        </row>
        <row r="1387">
          <cell r="A1387">
            <v>45161</v>
          </cell>
          <cell r="B1387" t="str">
            <v>A2</v>
          </cell>
          <cell r="C1387">
            <v>4</v>
          </cell>
          <cell r="D1387">
            <v>1</v>
          </cell>
          <cell r="E1387" t="str">
            <v>ARIS.A2.Aim1.Bin4.RB</v>
          </cell>
          <cell r="F1387">
            <v>4</v>
          </cell>
          <cell r="G1387" t="str">
            <v>Unweighted</v>
          </cell>
          <cell r="H1387" t="str">
            <v>N</v>
          </cell>
          <cell r="I1387" t="str">
            <v>Y</v>
          </cell>
          <cell r="J1387">
            <v>161</v>
          </cell>
          <cell r="K1387">
            <v>1</v>
          </cell>
          <cell r="L1387">
            <v>1.7100000000000001E-2</v>
          </cell>
          <cell r="M1387">
            <v>23.7</v>
          </cell>
          <cell r="N1387">
            <v>2.6</v>
          </cell>
          <cell r="O1387">
            <v>0.9829</v>
          </cell>
          <cell r="P1387">
            <v>0.16689999999999999</v>
          </cell>
          <cell r="Q1387">
            <v>0.61309999999999998</v>
          </cell>
          <cell r="R1387">
            <v>0.2029</v>
          </cell>
          <cell r="S1387" t="str">
            <v>NA</v>
          </cell>
          <cell r="T1387">
            <v>58.8</v>
          </cell>
          <cell r="U1387">
            <v>4.8</v>
          </cell>
          <cell r="V1387">
            <v>74</v>
          </cell>
          <cell r="W1387">
            <v>7.5</v>
          </cell>
          <cell r="X1387">
            <v>51.2</v>
          </cell>
          <cell r="Y1387">
            <v>6.7</v>
          </cell>
          <cell r="Z1387" t="str">
            <v>NA</v>
          </cell>
          <cell r="AA1387" t="str">
            <v>NA</v>
          </cell>
        </row>
        <row r="1388">
          <cell r="A1388">
            <v>45161</v>
          </cell>
          <cell r="B1388" t="str">
            <v>A1</v>
          </cell>
          <cell r="C1388">
            <v>1</v>
          </cell>
          <cell r="D1388">
            <v>1</v>
          </cell>
          <cell r="E1388" t="str">
            <v>ARIS.A1.Aim1.Bin1.LB</v>
          </cell>
          <cell r="F1388">
            <v>4</v>
          </cell>
          <cell r="G1388" t="str">
            <v>SplineDFA</v>
          </cell>
          <cell r="H1388" t="str">
            <v>Y</v>
          </cell>
          <cell r="I1388" t="str">
            <v>N</v>
          </cell>
          <cell r="J1388">
            <v>205</v>
          </cell>
          <cell r="K1388">
            <v>1</v>
          </cell>
          <cell r="L1388">
            <v>0.4672</v>
          </cell>
          <cell r="M1388">
            <v>23.7</v>
          </cell>
          <cell r="N1388">
            <v>2.7</v>
          </cell>
          <cell r="O1388">
            <v>0.53280000000000005</v>
          </cell>
          <cell r="P1388">
            <v>0.17810000000000001</v>
          </cell>
          <cell r="Q1388">
            <v>6.2E-2</v>
          </cell>
          <cell r="R1388">
            <v>0.29270000000000002</v>
          </cell>
          <cell r="S1388" t="str">
            <v>NA</v>
          </cell>
          <cell r="T1388">
            <v>58.8</v>
          </cell>
          <cell r="U1388">
            <v>4.8</v>
          </cell>
          <cell r="V1388">
            <v>74</v>
          </cell>
          <cell r="W1388">
            <v>7.5</v>
          </cell>
          <cell r="X1388">
            <v>51.2</v>
          </cell>
          <cell r="Y1388">
            <v>6.7</v>
          </cell>
          <cell r="Z1388" t="str">
            <v>NA</v>
          </cell>
          <cell r="AA1388" t="str">
            <v>NA</v>
          </cell>
        </row>
        <row r="1389">
          <cell r="A1389">
            <v>45161</v>
          </cell>
          <cell r="B1389" t="str">
            <v>A1</v>
          </cell>
          <cell r="C1389">
            <v>1</v>
          </cell>
          <cell r="D1389">
            <v>2</v>
          </cell>
          <cell r="E1389" t="str">
            <v>ARIS.A1.Aim2.Bin1.LB</v>
          </cell>
          <cell r="F1389">
            <v>4</v>
          </cell>
          <cell r="G1389" t="str">
            <v>SplineDFA</v>
          </cell>
          <cell r="H1389" t="str">
            <v>Y</v>
          </cell>
          <cell r="I1389" t="str">
            <v>N</v>
          </cell>
          <cell r="J1389">
            <v>193</v>
          </cell>
          <cell r="K1389">
            <v>1</v>
          </cell>
          <cell r="L1389">
            <v>0.27179999999999999</v>
          </cell>
          <cell r="M1389">
            <v>23.7</v>
          </cell>
          <cell r="N1389">
            <v>2.7</v>
          </cell>
          <cell r="O1389">
            <v>0.72819999999999996</v>
          </cell>
          <cell r="P1389">
            <v>0.19139999999999999</v>
          </cell>
          <cell r="Q1389">
            <v>6.1499999999999999E-2</v>
          </cell>
          <cell r="R1389">
            <v>0.4753</v>
          </cell>
          <cell r="S1389" t="str">
            <v>NA</v>
          </cell>
          <cell r="T1389">
            <v>58.8</v>
          </cell>
          <cell r="U1389">
            <v>4.8</v>
          </cell>
          <cell r="V1389">
            <v>74</v>
          </cell>
          <cell r="W1389">
            <v>7.5</v>
          </cell>
          <cell r="X1389">
            <v>51.2</v>
          </cell>
          <cell r="Y1389">
            <v>6.7</v>
          </cell>
          <cell r="Z1389" t="str">
            <v>NA</v>
          </cell>
          <cell r="AA1389" t="str">
            <v>NA</v>
          </cell>
        </row>
        <row r="1390">
          <cell r="A1390">
            <v>45161</v>
          </cell>
          <cell r="B1390" t="str">
            <v>A1</v>
          </cell>
          <cell r="C1390">
            <v>2</v>
          </cell>
          <cell r="D1390">
            <v>3</v>
          </cell>
          <cell r="E1390" t="str">
            <v>ARIS.A1.Aim3.Bin2.LB</v>
          </cell>
          <cell r="F1390">
            <v>4</v>
          </cell>
          <cell r="G1390" t="str">
            <v>SplineDFA</v>
          </cell>
          <cell r="H1390" t="str">
            <v>Y</v>
          </cell>
          <cell r="I1390" t="str">
            <v>N</v>
          </cell>
          <cell r="J1390">
            <v>176</v>
          </cell>
          <cell r="K1390">
            <v>1</v>
          </cell>
          <cell r="L1390">
            <v>2.1100000000000001E-2</v>
          </cell>
          <cell r="M1390">
            <v>23.7</v>
          </cell>
          <cell r="N1390">
            <v>2.7</v>
          </cell>
          <cell r="O1390">
            <v>0.97889999999999999</v>
          </cell>
          <cell r="P1390">
            <v>0.32929999999999998</v>
          </cell>
          <cell r="Q1390">
            <v>0.3332</v>
          </cell>
          <cell r="R1390">
            <v>0.31640000000000001</v>
          </cell>
          <cell r="S1390" t="str">
            <v>NA</v>
          </cell>
          <cell r="T1390">
            <v>58.8</v>
          </cell>
          <cell r="U1390">
            <v>4.8</v>
          </cell>
          <cell r="V1390">
            <v>74</v>
          </cell>
          <cell r="W1390">
            <v>7.5</v>
          </cell>
          <cell r="X1390">
            <v>51.2</v>
          </cell>
          <cell r="Y1390">
            <v>6.7</v>
          </cell>
          <cell r="Z1390" t="str">
            <v>NA</v>
          </cell>
          <cell r="AA1390" t="str">
            <v>NA</v>
          </cell>
        </row>
        <row r="1391">
          <cell r="A1391">
            <v>45161</v>
          </cell>
          <cell r="B1391" t="str">
            <v>A1</v>
          </cell>
          <cell r="C1391">
            <v>3</v>
          </cell>
          <cell r="D1391">
            <v>3</v>
          </cell>
          <cell r="E1391" t="str">
            <v>ARIS.A1.Aim3.Bin3.LB</v>
          </cell>
          <cell r="F1391">
            <v>4</v>
          </cell>
          <cell r="G1391" t="str">
            <v>SplineDFA</v>
          </cell>
          <cell r="H1391" t="str">
            <v>Y</v>
          </cell>
          <cell r="I1391" t="str">
            <v>N</v>
          </cell>
          <cell r="J1391">
            <v>184</v>
          </cell>
          <cell r="K1391">
            <v>1</v>
          </cell>
          <cell r="L1391">
            <v>0</v>
          </cell>
          <cell r="M1391">
            <v>23.7</v>
          </cell>
          <cell r="N1391">
            <v>2.7</v>
          </cell>
          <cell r="O1391">
            <v>1</v>
          </cell>
          <cell r="P1391">
            <v>0.3004</v>
          </cell>
          <cell r="Q1391">
            <v>0.58919999999999995</v>
          </cell>
          <cell r="R1391">
            <v>0.1104</v>
          </cell>
          <cell r="S1391" t="str">
            <v>NA</v>
          </cell>
          <cell r="T1391">
            <v>58.8</v>
          </cell>
          <cell r="U1391">
            <v>4.8</v>
          </cell>
          <cell r="V1391">
            <v>74</v>
          </cell>
          <cell r="W1391">
            <v>7.5</v>
          </cell>
          <cell r="X1391">
            <v>51.2</v>
          </cell>
          <cell r="Y1391">
            <v>6.7</v>
          </cell>
          <cell r="Z1391" t="str">
            <v>NA</v>
          </cell>
          <cell r="AA1391" t="str">
            <v>NA</v>
          </cell>
        </row>
        <row r="1392">
          <cell r="A1392">
            <v>45161</v>
          </cell>
          <cell r="B1392" t="str">
            <v>A1</v>
          </cell>
          <cell r="C1392">
            <v>4</v>
          </cell>
          <cell r="D1392">
            <v>3</v>
          </cell>
          <cell r="E1392" t="str">
            <v>ARIS.A1.Aim3.Bin4.LB</v>
          </cell>
          <cell r="F1392">
            <v>4</v>
          </cell>
          <cell r="G1392" t="str">
            <v>SplineDFA</v>
          </cell>
          <cell r="H1392" t="str">
            <v>Y</v>
          </cell>
          <cell r="I1392" t="str">
            <v>N</v>
          </cell>
          <cell r="J1392">
            <v>184</v>
          </cell>
          <cell r="K1392">
            <v>1</v>
          </cell>
          <cell r="L1392">
            <v>0</v>
          </cell>
          <cell r="M1392">
            <v>23.7</v>
          </cell>
          <cell r="N1392">
            <v>2.7</v>
          </cell>
          <cell r="O1392">
            <v>1</v>
          </cell>
          <cell r="P1392">
            <v>0.3004</v>
          </cell>
          <cell r="Q1392">
            <v>0.58919999999999995</v>
          </cell>
          <cell r="R1392">
            <v>0.1104</v>
          </cell>
          <cell r="S1392" t="str">
            <v>NA</v>
          </cell>
          <cell r="T1392">
            <v>58.8</v>
          </cell>
          <cell r="U1392">
            <v>4.8</v>
          </cell>
          <cell r="V1392">
            <v>74</v>
          </cell>
          <cell r="W1392">
            <v>7.5</v>
          </cell>
          <cell r="X1392">
            <v>51.2</v>
          </cell>
          <cell r="Y1392">
            <v>6.7</v>
          </cell>
          <cell r="Z1392" t="str">
            <v>NA</v>
          </cell>
          <cell r="AA1392" t="str">
            <v>NA</v>
          </cell>
        </row>
        <row r="1393">
          <cell r="A1393">
            <v>45161</v>
          </cell>
          <cell r="B1393" t="str">
            <v>A2</v>
          </cell>
          <cell r="C1393">
            <v>1</v>
          </cell>
          <cell r="D1393">
            <v>1</v>
          </cell>
          <cell r="E1393" t="str">
            <v>ARIS.A2.Aim1.Bin1.RB</v>
          </cell>
          <cell r="F1393">
            <v>4</v>
          </cell>
          <cell r="G1393" t="str">
            <v>SplineDFA</v>
          </cell>
          <cell r="H1393" t="str">
            <v>Y</v>
          </cell>
          <cell r="I1393" t="str">
            <v>N</v>
          </cell>
          <cell r="J1393">
            <v>163</v>
          </cell>
          <cell r="K1393">
            <v>1</v>
          </cell>
          <cell r="L1393">
            <v>5.3999999999999999E-2</v>
          </cell>
          <cell r="M1393">
            <v>23.7</v>
          </cell>
          <cell r="N1393">
            <v>2.7</v>
          </cell>
          <cell r="O1393">
            <v>0.94599999999999995</v>
          </cell>
          <cell r="P1393">
            <v>0.27289999999999998</v>
          </cell>
          <cell r="Q1393">
            <v>0.12139999999999999</v>
          </cell>
          <cell r="R1393">
            <v>0.55169999999999997</v>
          </cell>
          <cell r="S1393" t="str">
            <v>NA</v>
          </cell>
          <cell r="T1393">
            <v>58.8</v>
          </cell>
          <cell r="U1393">
            <v>4.8</v>
          </cell>
          <cell r="V1393">
            <v>74</v>
          </cell>
          <cell r="W1393">
            <v>7.5</v>
          </cell>
          <cell r="X1393">
            <v>51.2</v>
          </cell>
          <cell r="Y1393">
            <v>6.7</v>
          </cell>
          <cell r="Z1393" t="str">
            <v>NA</v>
          </cell>
          <cell r="AA1393" t="str">
            <v>NA</v>
          </cell>
        </row>
        <row r="1394">
          <cell r="A1394">
            <v>45161</v>
          </cell>
          <cell r="B1394" t="str">
            <v>A2</v>
          </cell>
          <cell r="C1394">
            <v>2</v>
          </cell>
          <cell r="D1394">
            <v>1</v>
          </cell>
          <cell r="E1394" t="str">
            <v>ARIS.A2.Aim1.Bin2.RB</v>
          </cell>
          <cell r="F1394">
            <v>4</v>
          </cell>
          <cell r="G1394" t="str">
            <v>SplineDFA</v>
          </cell>
          <cell r="H1394" t="str">
            <v>Y</v>
          </cell>
          <cell r="I1394" t="str">
            <v>N</v>
          </cell>
          <cell r="J1394">
            <v>185</v>
          </cell>
          <cell r="K1394">
            <v>1</v>
          </cell>
          <cell r="L1394">
            <v>1.8499999999999999E-2</v>
          </cell>
          <cell r="M1394">
            <v>23.7</v>
          </cell>
          <cell r="N1394">
            <v>2.7</v>
          </cell>
          <cell r="O1394">
            <v>0.98150000000000004</v>
          </cell>
          <cell r="P1394">
            <v>0.34599999999999997</v>
          </cell>
          <cell r="Q1394">
            <v>0.37080000000000002</v>
          </cell>
          <cell r="R1394">
            <v>0.26469999999999999</v>
          </cell>
          <cell r="S1394" t="str">
            <v>NA</v>
          </cell>
          <cell r="T1394">
            <v>58.8</v>
          </cell>
          <cell r="U1394">
            <v>4.8</v>
          </cell>
          <cell r="V1394">
            <v>74</v>
          </cell>
          <cell r="W1394">
            <v>7.5</v>
          </cell>
          <cell r="X1394">
            <v>51.2</v>
          </cell>
          <cell r="Y1394">
            <v>6.7</v>
          </cell>
          <cell r="Z1394" t="str">
            <v>NA</v>
          </cell>
          <cell r="AA1394" t="str">
            <v>NA</v>
          </cell>
        </row>
        <row r="1395">
          <cell r="A1395">
            <v>45161</v>
          </cell>
          <cell r="B1395" t="str">
            <v>A2</v>
          </cell>
          <cell r="C1395">
            <v>3</v>
          </cell>
          <cell r="D1395">
            <v>1</v>
          </cell>
          <cell r="E1395" t="str">
            <v>ARIS.A2.Aim1.Bin3.RB</v>
          </cell>
          <cell r="F1395">
            <v>4</v>
          </cell>
          <cell r="G1395" t="str">
            <v>SplineDFA</v>
          </cell>
          <cell r="H1395" t="str">
            <v>Y</v>
          </cell>
          <cell r="I1395" t="str">
            <v>N</v>
          </cell>
          <cell r="J1395">
            <v>161</v>
          </cell>
          <cell r="K1395">
            <v>1.0001</v>
          </cell>
          <cell r="L1395">
            <v>4.7000000000000002E-3</v>
          </cell>
          <cell r="M1395">
            <v>23.7</v>
          </cell>
          <cell r="N1395">
            <v>2.7</v>
          </cell>
          <cell r="O1395">
            <v>0.99539999999999995</v>
          </cell>
          <cell r="P1395">
            <v>0.28389999999999999</v>
          </cell>
          <cell r="Q1395">
            <v>0.5363</v>
          </cell>
          <cell r="R1395">
            <v>0.17519999999999999</v>
          </cell>
          <cell r="S1395" t="str">
            <v>NA</v>
          </cell>
          <cell r="T1395">
            <v>58.8</v>
          </cell>
          <cell r="U1395">
            <v>4.8</v>
          </cell>
          <cell r="V1395">
            <v>74</v>
          </cell>
          <cell r="W1395">
            <v>7.5</v>
          </cell>
          <cell r="X1395">
            <v>51.2</v>
          </cell>
          <cell r="Y1395">
            <v>6.7</v>
          </cell>
          <cell r="Z1395" t="str">
            <v>NA</v>
          </cell>
          <cell r="AA1395" t="str">
            <v>NA</v>
          </cell>
        </row>
        <row r="1396">
          <cell r="A1396">
            <v>45161</v>
          </cell>
          <cell r="B1396" t="str">
            <v>A2</v>
          </cell>
          <cell r="C1396">
            <v>4</v>
          </cell>
          <cell r="D1396">
            <v>1</v>
          </cell>
          <cell r="E1396" t="str">
            <v>ARIS.A2.Aim1.Bin4.RB</v>
          </cell>
          <cell r="F1396">
            <v>4</v>
          </cell>
          <cell r="G1396" t="str">
            <v>SplineDFA</v>
          </cell>
          <cell r="H1396" t="str">
            <v>Y</v>
          </cell>
          <cell r="I1396" t="str">
            <v>N</v>
          </cell>
          <cell r="J1396">
            <v>161</v>
          </cell>
          <cell r="K1396">
            <v>1.0001</v>
          </cell>
          <cell r="L1396">
            <v>4.7000000000000002E-3</v>
          </cell>
          <cell r="M1396">
            <v>23.7</v>
          </cell>
          <cell r="N1396">
            <v>2.7</v>
          </cell>
          <cell r="O1396">
            <v>0.99539999999999995</v>
          </cell>
          <cell r="P1396">
            <v>0.28389999999999999</v>
          </cell>
          <cell r="Q1396">
            <v>0.5363</v>
          </cell>
          <cell r="R1396">
            <v>0.17519999999999999</v>
          </cell>
          <cell r="S1396" t="str">
            <v>NA</v>
          </cell>
          <cell r="T1396">
            <v>58.8</v>
          </cell>
          <cell r="U1396">
            <v>4.8</v>
          </cell>
          <cell r="V1396">
            <v>74</v>
          </cell>
          <cell r="W1396">
            <v>7.5</v>
          </cell>
          <cell r="X1396">
            <v>51.2</v>
          </cell>
          <cell r="Y1396">
            <v>6.7</v>
          </cell>
          <cell r="Z1396" t="str">
            <v>NA</v>
          </cell>
          <cell r="AA1396" t="str">
            <v>NA</v>
          </cell>
        </row>
        <row r="1397">
          <cell r="A1397">
            <v>45162</v>
          </cell>
          <cell r="B1397" t="str">
            <v>A1</v>
          </cell>
          <cell r="C1397">
            <v>1</v>
          </cell>
          <cell r="D1397">
            <v>1</v>
          </cell>
          <cell r="E1397" t="str">
            <v>ARIS.A1.Aim1.Bin1.LB</v>
          </cell>
          <cell r="F1397">
            <v>4</v>
          </cell>
          <cell r="G1397" t="str">
            <v>Unweighted</v>
          </cell>
          <cell r="H1397" t="str">
            <v>N</v>
          </cell>
          <cell r="I1397" t="str">
            <v>Y</v>
          </cell>
          <cell r="J1397">
            <v>179</v>
          </cell>
          <cell r="K1397">
            <v>0.99990000000000001</v>
          </cell>
          <cell r="L1397">
            <v>0.72989999999999999</v>
          </cell>
          <cell r="M1397">
            <v>23.5</v>
          </cell>
          <cell r="N1397">
            <v>6.1</v>
          </cell>
          <cell r="O1397">
            <v>0.27</v>
          </cell>
          <cell r="P1397">
            <v>0</v>
          </cell>
          <cell r="Q1397">
            <v>5.5800000000000002E-2</v>
          </cell>
          <cell r="R1397">
            <v>0.2142</v>
          </cell>
          <cell r="S1397" t="str">
            <v>NA</v>
          </cell>
          <cell r="T1397">
            <v>59</v>
          </cell>
          <cell r="U1397">
            <v>4.8</v>
          </cell>
          <cell r="V1397">
            <v>73.8</v>
          </cell>
          <cell r="W1397">
            <v>7.5</v>
          </cell>
          <cell r="X1397">
            <v>52.3</v>
          </cell>
          <cell r="Y1397">
            <v>6.8</v>
          </cell>
          <cell r="Z1397" t="str">
            <v>NA</v>
          </cell>
          <cell r="AA1397" t="str">
            <v>NA</v>
          </cell>
        </row>
        <row r="1398">
          <cell r="A1398">
            <v>45162</v>
          </cell>
          <cell r="B1398" t="str">
            <v>A1</v>
          </cell>
          <cell r="C1398">
            <v>1</v>
          </cell>
          <cell r="D1398">
            <v>2</v>
          </cell>
          <cell r="E1398" t="str">
            <v>ARIS.A1.Aim2.Bin1.LB</v>
          </cell>
          <cell r="F1398">
            <v>4</v>
          </cell>
          <cell r="G1398" t="str">
            <v>Unweighted</v>
          </cell>
          <cell r="H1398" t="str">
            <v>N</v>
          </cell>
          <cell r="I1398" t="str">
            <v>Y</v>
          </cell>
          <cell r="J1398">
            <v>175</v>
          </cell>
          <cell r="K1398">
            <v>1</v>
          </cell>
          <cell r="L1398">
            <v>0.37730000000000002</v>
          </cell>
          <cell r="M1398">
            <v>21</v>
          </cell>
          <cell r="N1398">
            <v>8</v>
          </cell>
          <cell r="O1398">
            <v>0.62270000000000003</v>
          </cell>
          <cell r="P1398">
            <v>0</v>
          </cell>
          <cell r="Q1398">
            <v>5.0500000000000003E-2</v>
          </cell>
          <cell r="R1398">
            <v>0.57220000000000004</v>
          </cell>
          <cell r="S1398" t="str">
            <v>NA</v>
          </cell>
          <cell r="T1398">
            <v>59</v>
          </cell>
          <cell r="U1398">
            <v>4.8</v>
          </cell>
          <cell r="V1398">
            <v>73.8</v>
          </cell>
          <cell r="W1398">
            <v>7.5</v>
          </cell>
          <cell r="X1398">
            <v>52.3</v>
          </cell>
          <cell r="Y1398">
            <v>6.8</v>
          </cell>
          <cell r="Z1398" t="str">
            <v>NA</v>
          </cell>
          <cell r="AA1398" t="str">
            <v>NA</v>
          </cell>
        </row>
        <row r="1399">
          <cell r="A1399">
            <v>45162</v>
          </cell>
          <cell r="B1399" t="str">
            <v>A1</v>
          </cell>
          <cell r="C1399">
            <v>1</v>
          </cell>
          <cell r="D1399" t="str">
            <v>1&amp;2</v>
          </cell>
          <cell r="E1399" t="str">
            <v>ARIS.A1.Aim1&amp;Aim2.Bin1.LB</v>
          </cell>
          <cell r="F1399">
            <v>4</v>
          </cell>
          <cell r="G1399" t="str">
            <v>Unweighted</v>
          </cell>
          <cell r="H1399" t="str">
            <v>N</v>
          </cell>
          <cell r="I1399" t="str">
            <v>Y</v>
          </cell>
          <cell r="J1399">
            <v>354</v>
          </cell>
          <cell r="K1399">
            <v>1</v>
          </cell>
          <cell r="L1399">
            <v>0.57279999999999998</v>
          </cell>
          <cell r="M1399">
            <v>22.7</v>
          </cell>
          <cell r="N1399">
            <v>7</v>
          </cell>
          <cell r="O1399">
            <v>0.42720000000000002</v>
          </cell>
          <cell r="P1399">
            <v>0</v>
          </cell>
          <cell r="Q1399">
            <v>5.0500000000000003E-2</v>
          </cell>
          <cell r="R1399">
            <v>0.37669999999999998</v>
          </cell>
          <cell r="S1399" t="str">
            <v>NA</v>
          </cell>
          <cell r="T1399">
            <v>59</v>
          </cell>
          <cell r="U1399">
            <v>4.8</v>
          </cell>
          <cell r="V1399">
            <v>73.8</v>
          </cell>
          <cell r="W1399">
            <v>7.5</v>
          </cell>
          <cell r="X1399">
            <v>52.3</v>
          </cell>
          <cell r="Y1399">
            <v>6.8</v>
          </cell>
          <cell r="Z1399" t="str">
            <v>NA</v>
          </cell>
          <cell r="AA1399" t="str">
            <v>NA</v>
          </cell>
        </row>
        <row r="1400">
          <cell r="A1400">
            <v>45162</v>
          </cell>
          <cell r="B1400" t="str">
            <v>A1</v>
          </cell>
          <cell r="C1400">
            <v>2</v>
          </cell>
          <cell r="D1400">
            <v>3</v>
          </cell>
          <cell r="E1400" t="str">
            <v>ARIS.A1.Aim3.Bin2.LB</v>
          </cell>
          <cell r="F1400">
            <v>4</v>
          </cell>
          <cell r="G1400" t="str">
            <v>Unweighted</v>
          </cell>
          <cell r="H1400" t="str">
            <v>N</v>
          </cell>
          <cell r="I1400" t="str">
            <v>Y</v>
          </cell>
          <cell r="J1400">
            <v>213</v>
          </cell>
          <cell r="K1400">
            <v>0.99990000000000001</v>
          </cell>
          <cell r="L1400">
            <v>8.3099999999999993E-2</v>
          </cell>
          <cell r="M1400">
            <v>23.7</v>
          </cell>
          <cell r="N1400">
            <v>10.9</v>
          </cell>
          <cell r="O1400">
            <v>0.91679999999999995</v>
          </cell>
          <cell r="P1400">
            <v>9.5699999999999993E-2</v>
          </cell>
          <cell r="Q1400">
            <v>0.27760000000000001</v>
          </cell>
          <cell r="R1400">
            <v>0.54349999999999998</v>
          </cell>
          <cell r="S1400" t="str">
            <v>NA</v>
          </cell>
          <cell r="T1400">
            <v>59</v>
          </cell>
          <cell r="U1400">
            <v>4.8</v>
          </cell>
          <cell r="V1400">
            <v>73.8</v>
          </cell>
          <cell r="W1400">
            <v>7.5</v>
          </cell>
          <cell r="X1400">
            <v>52.3</v>
          </cell>
          <cell r="Y1400">
            <v>6.8</v>
          </cell>
          <cell r="Z1400" t="str">
            <v>NA</v>
          </cell>
          <cell r="AA1400" t="str">
            <v>NA</v>
          </cell>
        </row>
        <row r="1401">
          <cell r="A1401">
            <v>45162</v>
          </cell>
          <cell r="B1401" t="str">
            <v>A1</v>
          </cell>
          <cell r="C1401">
            <v>3</v>
          </cell>
          <cell r="D1401">
            <v>3</v>
          </cell>
          <cell r="E1401" t="str">
            <v>ARIS.A1.Aim3.Bin3.LB</v>
          </cell>
          <cell r="F1401">
            <v>4</v>
          </cell>
          <cell r="G1401" t="str">
            <v>Unweighted</v>
          </cell>
          <cell r="H1401" t="str">
            <v>N</v>
          </cell>
          <cell r="I1401" t="str">
            <v>Y</v>
          </cell>
          <cell r="J1401">
            <v>179</v>
          </cell>
          <cell r="K1401">
            <v>1</v>
          </cell>
          <cell r="L1401">
            <v>7.7000000000000002E-3</v>
          </cell>
          <cell r="M1401">
            <v>23.7</v>
          </cell>
          <cell r="N1401">
            <v>2.7</v>
          </cell>
          <cell r="O1401">
            <v>0.99229999999999996</v>
          </cell>
          <cell r="P1401">
            <v>8.48E-2</v>
          </cell>
          <cell r="Q1401">
            <v>0.65159999999999996</v>
          </cell>
          <cell r="R1401">
            <v>0.25590000000000002</v>
          </cell>
          <cell r="S1401" t="str">
            <v>NA</v>
          </cell>
          <cell r="T1401">
            <v>59</v>
          </cell>
          <cell r="U1401">
            <v>4.8</v>
          </cell>
          <cell r="V1401">
            <v>73.8</v>
          </cell>
          <cell r="W1401">
            <v>7.5</v>
          </cell>
          <cell r="X1401">
            <v>52.3</v>
          </cell>
          <cell r="Y1401">
            <v>6.8</v>
          </cell>
          <cell r="Z1401" t="str">
            <v>NA</v>
          </cell>
          <cell r="AA1401" t="str">
            <v>NA</v>
          </cell>
        </row>
        <row r="1402">
          <cell r="A1402">
            <v>45162</v>
          </cell>
          <cell r="B1402" t="str">
            <v>A1</v>
          </cell>
          <cell r="C1402">
            <v>4</v>
          </cell>
          <cell r="D1402">
            <v>3</v>
          </cell>
          <cell r="E1402" t="str">
            <v>ARIS.A1.Aim3.Bin4.LB</v>
          </cell>
          <cell r="F1402">
            <v>4</v>
          </cell>
          <cell r="G1402" t="str">
            <v>Unweighted</v>
          </cell>
          <cell r="H1402" t="str">
            <v>N</v>
          </cell>
          <cell r="I1402" t="str">
            <v>Y</v>
          </cell>
          <cell r="J1402">
            <v>179</v>
          </cell>
          <cell r="K1402">
            <v>1</v>
          </cell>
          <cell r="L1402">
            <v>7.7000000000000002E-3</v>
          </cell>
          <cell r="M1402">
            <v>23.7</v>
          </cell>
          <cell r="N1402">
            <v>2.7</v>
          </cell>
          <cell r="O1402">
            <v>0.99229999999999996</v>
          </cell>
          <cell r="P1402">
            <v>8.48E-2</v>
          </cell>
          <cell r="Q1402">
            <v>0.65159999999999996</v>
          </cell>
          <cell r="R1402">
            <v>0.25590000000000002</v>
          </cell>
          <cell r="S1402" t="str">
            <v>NA</v>
          </cell>
          <cell r="T1402">
            <v>59</v>
          </cell>
          <cell r="U1402">
            <v>4.8</v>
          </cell>
          <cell r="V1402">
            <v>73.8</v>
          </cell>
          <cell r="W1402">
            <v>7.5</v>
          </cell>
          <cell r="X1402">
            <v>52.3</v>
          </cell>
          <cell r="Y1402">
            <v>6.8</v>
          </cell>
          <cell r="Z1402" t="str">
            <v>NA</v>
          </cell>
          <cell r="AA1402" t="str">
            <v>NA</v>
          </cell>
        </row>
        <row r="1403">
          <cell r="A1403">
            <v>45162</v>
          </cell>
          <cell r="B1403" t="str">
            <v>A2</v>
          </cell>
          <cell r="C1403">
            <v>1</v>
          </cell>
          <cell r="D1403">
            <v>1</v>
          </cell>
          <cell r="E1403" t="str">
            <v>ARIS.A2.Aim1.Bin1.RB</v>
          </cell>
          <cell r="F1403">
            <v>4</v>
          </cell>
          <cell r="G1403" t="str">
            <v>Unweighted</v>
          </cell>
          <cell r="H1403" t="str">
            <v>N</v>
          </cell>
          <cell r="I1403" t="str">
            <v>Y</v>
          </cell>
          <cell r="J1403">
            <v>163</v>
          </cell>
          <cell r="K1403">
            <v>1</v>
          </cell>
          <cell r="L1403">
            <v>0.1867</v>
          </cell>
          <cell r="M1403">
            <v>23.7</v>
          </cell>
          <cell r="N1403">
            <v>11.9</v>
          </cell>
          <cell r="O1403">
            <v>0.81330000000000002</v>
          </cell>
          <cell r="P1403">
            <v>7.2700000000000001E-2</v>
          </cell>
          <cell r="Q1403">
            <v>0.09</v>
          </cell>
          <cell r="R1403">
            <v>0.65059999999999996</v>
          </cell>
          <cell r="S1403" t="str">
            <v>NA</v>
          </cell>
          <cell r="T1403">
            <v>58.8</v>
          </cell>
          <cell r="U1403">
            <v>4.8</v>
          </cell>
          <cell r="V1403">
            <v>74</v>
          </cell>
          <cell r="W1403">
            <v>7.5</v>
          </cell>
          <cell r="X1403">
            <v>51.2</v>
          </cell>
          <cell r="Y1403">
            <v>6.7</v>
          </cell>
          <cell r="Z1403" t="str">
            <v>NA</v>
          </cell>
          <cell r="AA1403" t="str">
            <v>NA</v>
          </cell>
        </row>
        <row r="1404">
          <cell r="A1404">
            <v>45162</v>
          </cell>
          <cell r="B1404" t="str">
            <v>A2</v>
          </cell>
          <cell r="C1404">
            <v>2</v>
          </cell>
          <cell r="D1404">
            <v>1</v>
          </cell>
          <cell r="E1404" t="str">
            <v>ARIS.A2.Aim1.Bin2.RB</v>
          </cell>
          <cell r="F1404">
            <v>4</v>
          </cell>
          <cell r="G1404" t="str">
            <v>Unweighted</v>
          </cell>
          <cell r="H1404" t="str">
            <v>N</v>
          </cell>
          <cell r="I1404" t="str">
            <v>Y</v>
          </cell>
          <cell r="J1404">
            <v>185</v>
          </cell>
          <cell r="K1404">
            <v>1.0001</v>
          </cell>
          <cell r="L1404">
            <v>5.0799999999999998E-2</v>
          </cell>
          <cell r="M1404">
            <v>23.7</v>
          </cell>
          <cell r="N1404">
            <v>10.7</v>
          </cell>
          <cell r="O1404">
            <v>0.94930000000000003</v>
          </cell>
          <cell r="P1404">
            <v>0.1953</v>
          </cell>
          <cell r="Q1404">
            <v>0.41460000000000002</v>
          </cell>
          <cell r="R1404">
            <v>0.33939999999999998</v>
          </cell>
          <cell r="S1404" t="str">
            <v>NA</v>
          </cell>
          <cell r="T1404">
            <v>58.8</v>
          </cell>
          <cell r="U1404">
            <v>4.8</v>
          </cell>
          <cell r="V1404">
            <v>74</v>
          </cell>
          <cell r="W1404">
            <v>7.5</v>
          </cell>
          <cell r="X1404">
            <v>51.2</v>
          </cell>
          <cell r="Y1404">
            <v>6.7</v>
          </cell>
          <cell r="Z1404" t="str">
            <v>NA</v>
          </cell>
          <cell r="AA1404" t="str">
            <v>NA</v>
          </cell>
        </row>
        <row r="1405">
          <cell r="A1405">
            <v>45162</v>
          </cell>
          <cell r="B1405" t="str">
            <v>A2</v>
          </cell>
          <cell r="C1405">
            <v>3</v>
          </cell>
          <cell r="D1405">
            <v>1</v>
          </cell>
          <cell r="E1405" t="str">
            <v>ARIS.A2.Aim1.Bin3.RB</v>
          </cell>
          <cell r="F1405">
            <v>4</v>
          </cell>
          <cell r="G1405" t="str">
            <v>Unweighted</v>
          </cell>
          <cell r="H1405" t="str">
            <v>N</v>
          </cell>
          <cell r="I1405" t="str">
            <v>Y</v>
          </cell>
          <cell r="J1405">
            <v>161</v>
          </cell>
          <cell r="K1405">
            <v>1</v>
          </cell>
          <cell r="L1405">
            <v>1.7100000000000001E-2</v>
          </cell>
          <cell r="M1405">
            <v>23.7</v>
          </cell>
          <cell r="N1405">
            <v>2.6</v>
          </cell>
          <cell r="O1405">
            <v>0.9829</v>
          </cell>
          <cell r="P1405">
            <v>0.16689999999999999</v>
          </cell>
          <cell r="Q1405">
            <v>0.61309999999999998</v>
          </cell>
          <cell r="R1405">
            <v>0.2029</v>
          </cell>
          <cell r="S1405" t="str">
            <v>NA</v>
          </cell>
          <cell r="T1405">
            <v>58.8</v>
          </cell>
          <cell r="U1405">
            <v>4.8</v>
          </cell>
          <cell r="V1405">
            <v>74</v>
          </cell>
          <cell r="W1405">
            <v>7.5</v>
          </cell>
          <cell r="X1405">
            <v>51.2</v>
          </cell>
          <cell r="Y1405">
            <v>6.7</v>
          </cell>
          <cell r="Z1405" t="str">
            <v>NA</v>
          </cell>
          <cell r="AA1405" t="str">
            <v>NA</v>
          </cell>
        </row>
        <row r="1406">
          <cell r="A1406">
            <v>45162</v>
          </cell>
          <cell r="B1406" t="str">
            <v>A2</v>
          </cell>
          <cell r="C1406">
            <v>4</v>
          </cell>
          <cell r="D1406">
            <v>1</v>
          </cell>
          <cell r="E1406" t="str">
            <v>ARIS.A2.Aim1.Bin4.RB</v>
          </cell>
          <cell r="F1406">
            <v>4</v>
          </cell>
          <cell r="G1406" t="str">
            <v>Unweighted</v>
          </cell>
          <cell r="H1406" t="str">
            <v>N</v>
          </cell>
          <cell r="I1406" t="str">
            <v>Y</v>
          </cell>
          <cell r="J1406">
            <v>161</v>
          </cell>
          <cell r="K1406">
            <v>1</v>
          </cell>
          <cell r="L1406">
            <v>1.7100000000000001E-2</v>
          </cell>
          <cell r="M1406">
            <v>23.7</v>
          </cell>
          <cell r="N1406">
            <v>2.6</v>
          </cell>
          <cell r="O1406">
            <v>0.9829</v>
          </cell>
          <cell r="P1406">
            <v>0.16689999999999999</v>
          </cell>
          <cell r="Q1406">
            <v>0.61309999999999998</v>
          </cell>
          <cell r="R1406">
            <v>0.2029</v>
          </cell>
          <cell r="S1406" t="str">
            <v>NA</v>
          </cell>
          <cell r="T1406">
            <v>58.8</v>
          </cell>
          <cell r="U1406">
            <v>4.8</v>
          </cell>
          <cell r="V1406">
            <v>74</v>
          </cell>
          <cell r="W1406">
            <v>7.5</v>
          </cell>
          <cell r="X1406">
            <v>51.2</v>
          </cell>
          <cell r="Y1406">
            <v>6.7</v>
          </cell>
          <cell r="Z1406" t="str">
            <v>NA</v>
          </cell>
          <cell r="AA1406" t="str">
            <v>NA</v>
          </cell>
        </row>
        <row r="1407">
          <cell r="A1407">
            <v>45162</v>
          </cell>
          <cell r="B1407" t="str">
            <v>A1</v>
          </cell>
          <cell r="C1407">
            <v>1</v>
          </cell>
          <cell r="D1407">
            <v>1</v>
          </cell>
          <cell r="E1407" t="str">
            <v>ARIS.A1.Aim1.Bin1.LB</v>
          </cell>
          <cell r="F1407">
            <v>4</v>
          </cell>
          <cell r="G1407" t="str">
            <v>SplineDFA</v>
          </cell>
          <cell r="H1407" t="str">
            <v>Y</v>
          </cell>
          <cell r="I1407" t="str">
            <v>N</v>
          </cell>
          <cell r="J1407">
            <v>179</v>
          </cell>
          <cell r="K1407">
            <v>1</v>
          </cell>
          <cell r="L1407">
            <v>0.67700000000000005</v>
          </cell>
          <cell r="M1407">
            <v>23.7</v>
          </cell>
          <cell r="N1407">
            <v>2.7</v>
          </cell>
          <cell r="O1407">
            <v>0.32300000000000001</v>
          </cell>
          <cell r="P1407">
            <v>4.6199999999999998E-2</v>
          </cell>
          <cell r="Q1407">
            <v>5.0599999999999999E-2</v>
          </cell>
          <cell r="R1407">
            <v>0.22620000000000001</v>
          </cell>
          <cell r="S1407" t="str">
            <v>NA</v>
          </cell>
          <cell r="T1407">
            <v>59</v>
          </cell>
          <cell r="U1407">
            <v>4.8</v>
          </cell>
          <cell r="V1407">
            <v>73.8</v>
          </cell>
          <cell r="W1407">
            <v>7.5</v>
          </cell>
          <cell r="X1407">
            <v>52.3</v>
          </cell>
          <cell r="Y1407">
            <v>6.8</v>
          </cell>
          <cell r="Z1407" t="str">
            <v>NA</v>
          </cell>
          <cell r="AA1407" t="str">
            <v>NA</v>
          </cell>
        </row>
        <row r="1408">
          <cell r="A1408">
            <v>45162</v>
          </cell>
          <cell r="B1408" t="str">
            <v>A1</v>
          </cell>
          <cell r="C1408">
            <v>1</v>
          </cell>
          <cell r="D1408">
            <v>2</v>
          </cell>
          <cell r="E1408" t="str">
            <v>ARIS.A1.Aim2.Bin1.LB</v>
          </cell>
          <cell r="F1408">
            <v>4</v>
          </cell>
          <cell r="G1408" t="str">
            <v>SplineDFA</v>
          </cell>
          <cell r="H1408" t="str">
            <v>Y</v>
          </cell>
          <cell r="I1408" t="str">
            <v>N</v>
          </cell>
          <cell r="J1408">
            <v>175</v>
          </cell>
          <cell r="K1408">
            <v>1</v>
          </cell>
          <cell r="L1408">
            <v>0.22309999999999999</v>
          </cell>
          <cell r="M1408">
            <v>23.7</v>
          </cell>
          <cell r="N1408">
            <v>2.7</v>
          </cell>
          <cell r="O1408">
            <v>0.77690000000000003</v>
          </cell>
          <cell r="P1408">
            <v>0.19900000000000001</v>
          </cell>
          <cell r="Q1408">
            <v>7.5899999999999995E-2</v>
          </cell>
          <cell r="R1408">
            <v>0.502</v>
          </cell>
          <cell r="S1408" t="str">
            <v>NA</v>
          </cell>
          <cell r="T1408">
            <v>59</v>
          </cell>
          <cell r="U1408">
            <v>4.8</v>
          </cell>
          <cell r="V1408">
            <v>73.8</v>
          </cell>
          <cell r="W1408">
            <v>7.5</v>
          </cell>
          <cell r="X1408">
            <v>52.3</v>
          </cell>
          <cell r="Y1408">
            <v>6.8</v>
          </cell>
          <cell r="Z1408" t="str">
            <v>NA</v>
          </cell>
          <cell r="AA1408" t="str">
            <v>NA</v>
          </cell>
        </row>
        <row r="1409">
          <cell r="A1409">
            <v>45162</v>
          </cell>
          <cell r="B1409" t="str">
            <v>A1</v>
          </cell>
          <cell r="C1409">
            <v>2</v>
          </cell>
          <cell r="D1409">
            <v>3</v>
          </cell>
          <cell r="E1409" t="str">
            <v>ARIS.A1.Aim3.Bin2.LB</v>
          </cell>
          <cell r="F1409">
            <v>4</v>
          </cell>
          <cell r="G1409" t="str">
            <v>SplineDFA</v>
          </cell>
          <cell r="H1409" t="str">
            <v>Y</v>
          </cell>
          <cell r="I1409" t="str">
            <v>N</v>
          </cell>
          <cell r="J1409">
            <v>213</v>
          </cell>
          <cell r="K1409">
            <v>0.99990000000000001</v>
          </cell>
          <cell r="L1409">
            <v>5.5E-2</v>
          </cell>
          <cell r="M1409">
            <v>23.7</v>
          </cell>
          <cell r="N1409">
            <v>2.7</v>
          </cell>
          <cell r="O1409">
            <v>0.94489999999999996</v>
          </cell>
          <cell r="P1409">
            <v>0.32600000000000001</v>
          </cell>
          <cell r="Q1409">
            <v>0.2344</v>
          </cell>
          <cell r="R1409">
            <v>0.38450000000000001</v>
          </cell>
          <cell r="S1409" t="str">
            <v>NA</v>
          </cell>
          <cell r="T1409">
            <v>59</v>
          </cell>
          <cell r="U1409">
            <v>4.8</v>
          </cell>
          <cell r="V1409">
            <v>73.8</v>
          </cell>
          <cell r="W1409">
            <v>7.5</v>
          </cell>
          <cell r="X1409">
            <v>52.3</v>
          </cell>
          <cell r="Y1409">
            <v>6.8</v>
          </cell>
          <cell r="Z1409" t="str">
            <v>NA</v>
          </cell>
          <cell r="AA1409" t="str">
            <v>NA</v>
          </cell>
        </row>
        <row r="1410">
          <cell r="A1410">
            <v>45162</v>
          </cell>
          <cell r="B1410" t="str">
            <v>A1</v>
          </cell>
          <cell r="C1410">
            <v>3</v>
          </cell>
          <cell r="D1410">
            <v>3</v>
          </cell>
          <cell r="E1410" t="str">
            <v>ARIS.A1.Aim3.Bin3.LB</v>
          </cell>
          <cell r="F1410">
            <v>4</v>
          </cell>
          <cell r="G1410" t="str">
            <v>SplineDFA</v>
          </cell>
          <cell r="H1410" t="str">
            <v>Y</v>
          </cell>
          <cell r="I1410" t="str">
            <v>N</v>
          </cell>
          <cell r="J1410">
            <v>179</v>
          </cell>
          <cell r="K1410">
            <v>1</v>
          </cell>
          <cell r="L1410">
            <v>0</v>
          </cell>
          <cell r="M1410">
            <v>23.7</v>
          </cell>
          <cell r="N1410">
            <v>2.7</v>
          </cell>
          <cell r="O1410">
            <v>1</v>
          </cell>
          <cell r="P1410">
            <v>0.29110000000000003</v>
          </cell>
          <cell r="Q1410">
            <v>0.56330000000000002</v>
          </cell>
          <cell r="R1410">
            <v>0.14560000000000001</v>
          </cell>
          <cell r="S1410" t="str">
            <v>NA</v>
          </cell>
          <cell r="T1410">
            <v>59</v>
          </cell>
          <cell r="U1410">
            <v>4.8</v>
          </cell>
          <cell r="V1410">
            <v>73.8</v>
          </cell>
          <cell r="W1410">
            <v>7.5</v>
          </cell>
          <cell r="X1410">
            <v>52.3</v>
          </cell>
          <cell r="Y1410">
            <v>6.8</v>
          </cell>
          <cell r="Z1410" t="str">
            <v>NA</v>
          </cell>
          <cell r="AA1410" t="str">
            <v>NA</v>
          </cell>
        </row>
        <row r="1411">
          <cell r="A1411">
            <v>45162</v>
          </cell>
          <cell r="B1411" t="str">
            <v>A1</v>
          </cell>
          <cell r="C1411">
            <v>4</v>
          </cell>
          <cell r="D1411">
            <v>3</v>
          </cell>
          <cell r="E1411" t="str">
            <v>ARIS.A1.Aim3.Bin4.LB</v>
          </cell>
          <cell r="F1411">
            <v>4</v>
          </cell>
          <cell r="G1411" t="str">
            <v>SplineDFA</v>
          </cell>
          <cell r="H1411" t="str">
            <v>Y</v>
          </cell>
          <cell r="I1411" t="str">
            <v>N</v>
          </cell>
          <cell r="J1411">
            <v>179</v>
          </cell>
          <cell r="K1411">
            <v>1</v>
          </cell>
          <cell r="L1411">
            <v>0</v>
          </cell>
          <cell r="M1411">
            <v>23.7</v>
          </cell>
          <cell r="N1411">
            <v>2.7</v>
          </cell>
          <cell r="O1411">
            <v>1</v>
          </cell>
          <cell r="P1411">
            <v>0.29110000000000003</v>
          </cell>
          <cell r="Q1411">
            <v>0.56330000000000002</v>
          </cell>
          <cell r="R1411">
            <v>0.14560000000000001</v>
          </cell>
          <cell r="S1411" t="str">
            <v>NA</v>
          </cell>
          <cell r="T1411">
            <v>59</v>
          </cell>
          <cell r="U1411">
            <v>4.8</v>
          </cell>
          <cell r="V1411">
            <v>73.8</v>
          </cell>
          <cell r="W1411">
            <v>7.5</v>
          </cell>
          <cell r="X1411">
            <v>52.3</v>
          </cell>
          <cell r="Y1411">
            <v>6.8</v>
          </cell>
          <cell r="Z1411" t="str">
            <v>NA</v>
          </cell>
          <cell r="AA1411" t="str">
            <v>NA</v>
          </cell>
        </row>
        <row r="1412">
          <cell r="A1412">
            <v>45162</v>
          </cell>
          <cell r="B1412" t="str">
            <v>A2</v>
          </cell>
          <cell r="C1412">
            <v>1</v>
          </cell>
          <cell r="D1412">
            <v>1</v>
          </cell>
          <cell r="E1412" t="str">
            <v>ARIS.A2.Aim1.Bin1.RB</v>
          </cell>
          <cell r="F1412">
            <v>4</v>
          </cell>
          <cell r="G1412" t="str">
            <v>SplineDFA</v>
          </cell>
          <cell r="H1412" t="str">
            <v>Y</v>
          </cell>
          <cell r="I1412" t="str">
            <v>N</v>
          </cell>
          <cell r="J1412">
            <v>163</v>
          </cell>
          <cell r="K1412">
            <v>1</v>
          </cell>
          <cell r="L1412">
            <v>5.3999999999999999E-2</v>
          </cell>
          <cell r="M1412">
            <v>23.7</v>
          </cell>
          <cell r="N1412">
            <v>2.7</v>
          </cell>
          <cell r="O1412">
            <v>0.94599999999999995</v>
          </cell>
          <cell r="P1412">
            <v>0.27289999999999998</v>
          </cell>
          <cell r="Q1412">
            <v>0.12139999999999999</v>
          </cell>
          <cell r="R1412">
            <v>0.55169999999999997</v>
          </cell>
          <cell r="S1412" t="str">
            <v>NA</v>
          </cell>
          <cell r="T1412">
            <v>58.8</v>
          </cell>
          <cell r="U1412">
            <v>4.8</v>
          </cell>
          <cell r="V1412">
            <v>74</v>
          </cell>
          <cell r="W1412">
            <v>7.5</v>
          </cell>
          <cell r="X1412">
            <v>51.2</v>
          </cell>
          <cell r="Y1412">
            <v>6.7</v>
          </cell>
          <cell r="Z1412" t="str">
            <v>NA</v>
          </cell>
          <cell r="AA1412" t="str">
            <v>NA</v>
          </cell>
        </row>
        <row r="1413">
          <cell r="A1413">
            <v>45162</v>
          </cell>
          <cell r="B1413" t="str">
            <v>A2</v>
          </cell>
          <cell r="C1413">
            <v>2</v>
          </cell>
          <cell r="D1413">
            <v>1</v>
          </cell>
          <cell r="E1413" t="str">
            <v>ARIS.A2.Aim1.Bin2.RB</v>
          </cell>
          <cell r="F1413">
            <v>4</v>
          </cell>
          <cell r="G1413" t="str">
            <v>SplineDFA</v>
          </cell>
          <cell r="H1413" t="str">
            <v>Y</v>
          </cell>
          <cell r="I1413" t="str">
            <v>N</v>
          </cell>
          <cell r="J1413">
            <v>185</v>
          </cell>
          <cell r="K1413">
            <v>1</v>
          </cell>
          <cell r="L1413">
            <v>1.8499999999999999E-2</v>
          </cell>
          <cell r="M1413">
            <v>23.7</v>
          </cell>
          <cell r="N1413">
            <v>2.7</v>
          </cell>
          <cell r="O1413">
            <v>0.98150000000000004</v>
          </cell>
          <cell r="P1413">
            <v>0.34599999999999997</v>
          </cell>
          <cell r="Q1413">
            <v>0.37080000000000002</v>
          </cell>
          <cell r="R1413">
            <v>0.26469999999999999</v>
          </cell>
          <cell r="S1413" t="str">
            <v>NA</v>
          </cell>
          <cell r="T1413">
            <v>58.8</v>
          </cell>
          <cell r="U1413">
            <v>4.8</v>
          </cell>
          <cell r="V1413">
            <v>74</v>
          </cell>
          <cell r="W1413">
            <v>7.5</v>
          </cell>
          <cell r="X1413">
            <v>51.2</v>
          </cell>
          <cell r="Y1413">
            <v>6.7</v>
          </cell>
          <cell r="Z1413" t="str">
            <v>NA</v>
          </cell>
          <cell r="AA1413" t="str">
            <v>NA</v>
          </cell>
        </row>
        <row r="1414">
          <cell r="A1414">
            <v>45162</v>
          </cell>
          <cell r="B1414" t="str">
            <v>A2</v>
          </cell>
          <cell r="C1414">
            <v>3</v>
          </cell>
          <cell r="D1414">
            <v>1</v>
          </cell>
          <cell r="E1414" t="str">
            <v>ARIS.A2.Aim1.Bin3.RB</v>
          </cell>
          <cell r="F1414">
            <v>4</v>
          </cell>
          <cell r="G1414" t="str">
            <v>SplineDFA</v>
          </cell>
          <cell r="H1414" t="str">
            <v>Y</v>
          </cell>
          <cell r="I1414" t="str">
            <v>N</v>
          </cell>
          <cell r="J1414">
            <v>161</v>
          </cell>
          <cell r="K1414">
            <v>1.0001</v>
          </cell>
          <cell r="L1414">
            <v>4.7000000000000002E-3</v>
          </cell>
          <cell r="M1414">
            <v>23.7</v>
          </cell>
          <cell r="N1414">
            <v>2.7</v>
          </cell>
          <cell r="O1414">
            <v>0.99539999999999995</v>
          </cell>
          <cell r="P1414">
            <v>0.28389999999999999</v>
          </cell>
          <cell r="Q1414">
            <v>0.5363</v>
          </cell>
          <cell r="R1414">
            <v>0.17519999999999999</v>
          </cell>
          <cell r="S1414" t="str">
            <v>NA</v>
          </cell>
          <cell r="T1414">
            <v>58.8</v>
          </cell>
          <cell r="U1414">
            <v>4.8</v>
          </cell>
          <cell r="V1414">
            <v>74</v>
          </cell>
          <cell r="W1414">
            <v>7.5</v>
          </cell>
          <cell r="X1414">
            <v>51.2</v>
          </cell>
          <cell r="Y1414">
            <v>6.7</v>
          </cell>
          <cell r="Z1414" t="str">
            <v>NA</v>
          </cell>
          <cell r="AA1414" t="str">
            <v>NA</v>
          </cell>
        </row>
        <row r="1415">
          <cell r="A1415">
            <v>45162</v>
          </cell>
          <cell r="B1415" t="str">
            <v>A2</v>
          </cell>
          <cell r="C1415">
            <v>4</v>
          </cell>
          <cell r="D1415">
            <v>1</v>
          </cell>
          <cell r="E1415" t="str">
            <v>ARIS.A2.Aim1.Bin4.RB</v>
          </cell>
          <cell r="F1415">
            <v>4</v>
          </cell>
          <cell r="G1415" t="str">
            <v>SplineDFA</v>
          </cell>
          <cell r="H1415" t="str">
            <v>Y</v>
          </cell>
          <cell r="I1415" t="str">
            <v>N</v>
          </cell>
          <cell r="J1415">
            <v>161</v>
          </cell>
          <cell r="K1415">
            <v>1.0001</v>
          </cell>
          <cell r="L1415">
            <v>4.7000000000000002E-3</v>
          </cell>
          <cell r="M1415">
            <v>23.7</v>
          </cell>
          <cell r="N1415">
            <v>2.7</v>
          </cell>
          <cell r="O1415">
            <v>0.99539999999999995</v>
          </cell>
          <cell r="P1415">
            <v>0.28389999999999999</v>
          </cell>
          <cell r="Q1415">
            <v>0.5363</v>
          </cell>
          <cell r="R1415">
            <v>0.17519999999999999</v>
          </cell>
          <cell r="S1415" t="str">
            <v>NA</v>
          </cell>
          <cell r="T1415">
            <v>58.8</v>
          </cell>
          <cell r="U1415">
            <v>4.8</v>
          </cell>
          <cell r="V1415">
            <v>74</v>
          </cell>
          <cell r="W1415">
            <v>7.5</v>
          </cell>
          <cell r="X1415">
            <v>51.2</v>
          </cell>
          <cell r="Y1415">
            <v>6.7</v>
          </cell>
          <cell r="Z1415" t="str">
            <v>NA</v>
          </cell>
          <cell r="AA1415" t="str">
            <v>NA</v>
          </cell>
        </row>
        <row r="1416">
          <cell r="A1416">
            <v>45163</v>
          </cell>
          <cell r="B1416" t="str">
            <v>A1</v>
          </cell>
          <cell r="C1416">
            <v>1</v>
          </cell>
          <cell r="D1416">
            <v>1</v>
          </cell>
          <cell r="E1416" t="str">
            <v>ARIS.A1.Aim1.Bin1.LB</v>
          </cell>
          <cell r="F1416">
            <v>4</v>
          </cell>
          <cell r="G1416" t="str">
            <v>Unweighted</v>
          </cell>
          <cell r="H1416" t="str">
            <v>N</v>
          </cell>
          <cell r="I1416" t="str">
            <v>Y</v>
          </cell>
          <cell r="J1416">
            <v>160</v>
          </cell>
          <cell r="K1416">
            <v>1</v>
          </cell>
          <cell r="L1416">
            <v>0.77459999999999996</v>
          </cell>
          <cell r="M1416">
            <v>23.6</v>
          </cell>
          <cell r="N1416">
            <v>6.2</v>
          </cell>
          <cell r="O1416">
            <v>0.22539999999999999</v>
          </cell>
          <cell r="P1416">
            <v>3.3300000000000003E-2</v>
          </cell>
          <cell r="Q1416">
            <v>0</v>
          </cell>
          <cell r="R1416">
            <v>0.19209999999999999</v>
          </cell>
          <cell r="S1416" t="str">
            <v>NA</v>
          </cell>
          <cell r="T1416">
            <v>59</v>
          </cell>
          <cell r="U1416">
            <v>4.8</v>
          </cell>
          <cell r="V1416">
            <v>73.8</v>
          </cell>
          <cell r="W1416">
            <v>7.5</v>
          </cell>
          <cell r="X1416">
            <v>52.3</v>
          </cell>
          <cell r="Y1416">
            <v>6.8</v>
          </cell>
          <cell r="Z1416" t="str">
            <v>NA</v>
          </cell>
          <cell r="AA1416" t="str">
            <v>NA</v>
          </cell>
        </row>
        <row r="1417">
          <cell r="A1417">
            <v>45163</v>
          </cell>
          <cell r="B1417" t="str">
            <v>A1</v>
          </cell>
          <cell r="C1417">
            <v>1</v>
          </cell>
          <cell r="D1417">
            <v>2</v>
          </cell>
          <cell r="E1417" t="str">
            <v>ARIS.A1.Aim2.Bin1.LB</v>
          </cell>
          <cell r="F1417">
            <v>4</v>
          </cell>
          <cell r="G1417" t="str">
            <v>Unweighted</v>
          </cell>
          <cell r="H1417" t="str">
            <v>N</v>
          </cell>
          <cell r="I1417" t="str">
            <v>Y</v>
          </cell>
          <cell r="J1417">
            <v>181</v>
          </cell>
          <cell r="K1417">
            <v>1</v>
          </cell>
          <cell r="L1417">
            <v>0.5514</v>
          </cell>
          <cell r="M1417">
            <v>23</v>
          </cell>
          <cell r="N1417">
            <v>6</v>
          </cell>
          <cell r="O1417">
            <v>0.4486</v>
          </cell>
          <cell r="P1417">
            <v>0</v>
          </cell>
          <cell r="Q1417">
            <v>7.9000000000000008E-3</v>
          </cell>
          <cell r="R1417">
            <v>0.44069999999999998</v>
          </cell>
          <cell r="S1417" t="str">
            <v>NA</v>
          </cell>
          <cell r="T1417">
            <v>59</v>
          </cell>
          <cell r="U1417">
            <v>4.8</v>
          </cell>
          <cell r="V1417">
            <v>73.8</v>
          </cell>
          <cell r="W1417">
            <v>7.5</v>
          </cell>
          <cell r="X1417">
            <v>52.3</v>
          </cell>
          <cell r="Y1417">
            <v>6.8</v>
          </cell>
          <cell r="Z1417" t="str">
            <v>NA</v>
          </cell>
          <cell r="AA1417" t="str">
            <v>NA</v>
          </cell>
        </row>
        <row r="1418">
          <cell r="A1418">
            <v>45163</v>
          </cell>
          <cell r="B1418" t="str">
            <v>A1</v>
          </cell>
          <cell r="C1418">
            <v>1</v>
          </cell>
          <cell r="D1418" t="str">
            <v>1&amp;2</v>
          </cell>
          <cell r="E1418" t="str">
            <v>ARIS.A1.Aim1&amp;Aim2.Bin1.LB</v>
          </cell>
          <cell r="F1418">
            <v>4</v>
          </cell>
          <cell r="G1418" t="str">
            <v>Unweighted</v>
          </cell>
          <cell r="H1418" t="str">
            <v>N</v>
          </cell>
          <cell r="I1418" t="str">
            <v>Y</v>
          </cell>
          <cell r="J1418">
            <v>341</v>
          </cell>
          <cell r="K1418">
            <v>1</v>
          </cell>
          <cell r="L1418">
            <v>0.70950000000000002</v>
          </cell>
          <cell r="M1418">
            <v>23.4</v>
          </cell>
          <cell r="N1418">
            <v>6.4</v>
          </cell>
          <cell r="O1418">
            <v>0.29049999999999998</v>
          </cell>
          <cell r="P1418">
            <v>0</v>
          </cell>
          <cell r="Q1418">
            <v>3.5000000000000001E-3</v>
          </cell>
          <cell r="R1418">
            <v>0.28699999999999998</v>
          </cell>
          <cell r="S1418" t="str">
            <v>NA</v>
          </cell>
          <cell r="T1418">
            <v>59</v>
          </cell>
          <cell r="U1418">
            <v>4.8</v>
          </cell>
          <cell r="V1418">
            <v>73.8</v>
          </cell>
          <cell r="W1418">
            <v>7.5</v>
          </cell>
          <cell r="X1418">
            <v>52.3</v>
          </cell>
          <cell r="Y1418">
            <v>6.8</v>
          </cell>
          <cell r="Z1418" t="str">
            <v>NA</v>
          </cell>
          <cell r="AA1418" t="str">
            <v>NA</v>
          </cell>
        </row>
        <row r="1419">
          <cell r="A1419">
            <v>45163</v>
          </cell>
          <cell r="B1419" t="str">
            <v>A1</v>
          </cell>
          <cell r="C1419">
            <v>2</v>
          </cell>
          <cell r="D1419">
            <v>3</v>
          </cell>
          <cell r="E1419" t="str">
            <v>ARIS.A1.Aim3.Bin2.LB</v>
          </cell>
          <cell r="F1419">
            <v>4</v>
          </cell>
          <cell r="G1419" t="str">
            <v>Unweighted</v>
          </cell>
          <cell r="H1419" t="str">
            <v>N</v>
          </cell>
          <cell r="I1419" t="str">
            <v>Y</v>
          </cell>
          <cell r="J1419">
            <v>181</v>
          </cell>
          <cell r="K1419">
            <v>1.0001</v>
          </cell>
          <cell r="L1419">
            <v>0.26269999999999999</v>
          </cell>
          <cell r="M1419">
            <v>34.299999999999997</v>
          </cell>
          <cell r="N1419">
            <v>5.7</v>
          </cell>
          <cell r="O1419">
            <v>0.73740000000000006</v>
          </cell>
          <cell r="P1419">
            <v>0.17860000000000001</v>
          </cell>
          <cell r="Q1419">
            <v>0.1988</v>
          </cell>
          <cell r="R1419">
            <v>0.36</v>
          </cell>
          <cell r="S1419" t="str">
            <v>NA</v>
          </cell>
          <cell r="T1419">
            <v>59</v>
          </cell>
          <cell r="U1419">
            <v>4.8</v>
          </cell>
          <cell r="V1419">
            <v>73.8</v>
          </cell>
          <cell r="W1419">
            <v>7.5</v>
          </cell>
          <cell r="X1419">
            <v>52.3</v>
          </cell>
          <cell r="Y1419">
            <v>6.8</v>
          </cell>
          <cell r="Z1419" t="str">
            <v>NA</v>
          </cell>
          <cell r="AA1419" t="str">
            <v>NA</v>
          </cell>
        </row>
        <row r="1420">
          <cell r="A1420">
            <v>45163</v>
          </cell>
          <cell r="B1420" t="str">
            <v>A1</v>
          </cell>
          <cell r="C1420">
            <v>3</v>
          </cell>
          <cell r="D1420">
            <v>3</v>
          </cell>
          <cell r="E1420" t="str">
            <v>ARIS.A1.Aim3.Bin3.LB</v>
          </cell>
          <cell r="F1420">
            <v>4</v>
          </cell>
          <cell r="G1420" t="str">
            <v>Unweighted</v>
          </cell>
          <cell r="H1420" t="str">
            <v>N</v>
          </cell>
          <cell r="I1420" t="str">
            <v>Y</v>
          </cell>
          <cell r="J1420">
            <v>202</v>
          </cell>
          <cell r="K1420">
            <v>1</v>
          </cell>
          <cell r="L1420">
            <v>3.4299999999999997E-2</v>
          </cell>
          <cell r="M1420">
            <v>23.7</v>
          </cell>
          <cell r="N1420">
            <v>58.9</v>
          </cell>
          <cell r="O1420">
            <v>0.9657</v>
          </cell>
          <cell r="P1420">
            <v>9.8699999999999996E-2</v>
          </cell>
          <cell r="Q1420">
            <v>0.51910000000000001</v>
          </cell>
          <cell r="R1420">
            <v>0.34789999999999999</v>
          </cell>
          <cell r="S1420" t="str">
            <v>NA</v>
          </cell>
          <cell r="T1420">
            <v>59</v>
          </cell>
          <cell r="U1420">
            <v>4.8</v>
          </cell>
          <cell r="V1420">
            <v>73.8</v>
          </cell>
          <cell r="W1420">
            <v>7.5</v>
          </cell>
          <cell r="X1420">
            <v>52.3</v>
          </cell>
          <cell r="Y1420">
            <v>6.8</v>
          </cell>
          <cell r="Z1420" t="str">
            <v>NA</v>
          </cell>
          <cell r="AA1420" t="str">
            <v>NA</v>
          </cell>
        </row>
        <row r="1421">
          <cell r="A1421">
            <v>45163</v>
          </cell>
          <cell r="B1421" t="str">
            <v>A1</v>
          </cell>
          <cell r="C1421">
            <v>4</v>
          </cell>
          <cell r="D1421">
            <v>3</v>
          </cell>
          <cell r="E1421" t="str">
            <v>ARIS.A1.Aim3.Bin4.LB</v>
          </cell>
          <cell r="F1421">
            <v>4</v>
          </cell>
          <cell r="G1421" t="str">
            <v>Unweighted</v>
          </cell>
          <cell r="H1421" t="str">
            <v>N</v>
          </cell>
          <cell r="I1421" t="str">
            <v>Y</v>
          </cell>
          <cell r="J1421">
            <v>202</v>
          </cell>
          <cell r="K1421">
            <v>1</v>
          </cell>
          <cell r="L1421">
            <v>3.4299999999999997E-2</v>
          </cell>
          <cell r="M1421">
            <v>23.7</v>
          </cell>
          <cell r="N1421">
            <v>58.9</v>
          </cell>
          <cell r="O1421">
            <v>0.9657</v>
          </cell>
          <cell r="P1421">
            <v>9.8699999999999996E-2</v>
          </cell>
          <cell r="Q1421">
            <v>0.51910000000000001</v>
          </cell>
          <cell r="R1421">
            <v>0.34789999999999999</v>
          </cell>
          <cell r="S1421" t="str">
            <v>NA</v>
          </cell>
          <cell r="T1421">
            <v>59</v>
          </cell>
          <cell r="U1421">
            <v>4.8</v>
          </cell>
          <cell r="V1421">
            <v>73.8</v>
          </cell>
          <cell r="W1421">
            <v>7.5</v>
          </cell>
          <cell r="X1421">
            <v>52.3</v>
          </cell>
          <cell r="Y1421">
            <v>6.8</v>
          </cell>
          <cell r="Z1421" t="str">
            <v>NA</v>
          </cell>
          <cell r="AA1421" t="str">
            <v>NA</v>
          </cell>
        </row>
        <row r="1422">
          <cell r="A1422">
            <v>45163</v>
          </cell>
          <cell r="B1422" t="str">
            <v>A2</v>
          </cell>
          <cell r="C1422">
            <v>1</v>
          </cell>
          <cell r="D1422">
            <v>1</v>
          </cell>
          <cell r="E1422" t="str">
            <v>ARIS.A2.Aim1.Bin1.RB</v>
          </cell>
          <cell r="F1422">
            <v>4</v>
          </cell>
          <cell r="G1422" t="str">
            <v>Unweighted</v>
          </cell>
          <cell r="H1422" t="str">
            <v>N</v>
          </cell>
          <cell r="I1422" t="str">
            <v>Y</v>
          </cell>
          <cell r="J1422">
            <v>180</v>
          </cell>
          <cell r="K1422">
            <v>1</v>
          </cell>
          <cell r="L1422">
            <v>0.46560000000000001</v>
          </cell>
          <cell r="M1422">
            <v>23.8</v>
          </cell>
          <cell r="N1422">
            <v>5.9</v>
          </cell>
          <cell r="O1422">
            <v>0.53439999999999999</v>
          </cell>
          <cell r="P1422">
            <v>0</v>
          </cell>
          <cell r="Q1422">
            <v>0.107</v>
          </cell>
          <cell r="R1422">
            <v>0.4274</v>
          </cell>
          <cell r="S1422" t="str">
            <v>NA</v>
          </cell>
          <cell r="T1422">
            <v>59</v>
          </cell>
          <cell r="U1422">
            <v>4.8</v>
          </cell>
          <cell r="V1422">
            <v>73.8</v>
          </cell>
          <cell r="W1422">
            <v>7.5</v>
          </cell>
          <cell r="X1422">
            <v>52.3</v>
          </cell>
          <cell r="Y1422">
            <v>6.8</v>
          </cell>
          <cell r="Z1422" t="str">
            <v>NA</v>
          </cell>
          <cell r="AA1422" t="str">
            <v>NA</v>
          </cell>
        </row>
        <row r="1423">
          <cell r="A1423">
            <v>45163</v>
          </cell>
          <cell r="B1423" t="str">
            <v>A2</v>
          </cell>
          <cell r="C1423">
            <v>2</v>
          </cell>
          <cell r="D1423">
            <v>1</v>
          </cell>
          <cell r="E1423" t="str">
            <v>ARIS.A2.Aim1.Bin2.RB</v>
          </cell>
          <cell r="F1423">
            <v>4</v>
          </cell>
          <cell r="G1423" t="str">
            <v>Unweighted</v>
          </cell>
          <cell r="H1423" t="str">
            <v>N</v>
          </cell>
          <cell r="I1423" t="str">
            <v>Y</v>
          </cell>
          <cell r="J1423">
            <v>201</v>
          </cell>
          <cell r="K1423">
            <v>1</v>
          </cell>
          <cell r="L1423">
            <v>0.15340000000000001</v>
          </cell>
          <cell r="M1423">
            <v>31.7</v>
          </cell>
          <cell r="N1423">
            <v>6.6</v>
          </cell>
          <cell r="O1423">
            <v>0.84660000000000002</v>
          </cell>
          <cell r="P1423">
            <v>0.19670000000000001</v>
          </cell>
          <cell r="Q1423">
            <v>0.2913</v>
          </cell>
          <cell r="R1423">
            <v>0.35859999999999997</v>
          </cell>
          <cell r="S1423" t="str">
            <v>NA</v>
          </cell>
          <cell r="T1423">
            <v>59</v>
          </cell>
          <cell r="U1423">
            <v>4.8</v>
          </cell>
          <cell r="V1423">
            <v>73.8</v>
          </cell>
          <cell r="W1423">
            <v>7.5</v>
          </cell>
          <cell r="X1423">
            <v>52.3</v>
          </cell>
          <cell r="Y1423">
            <v>6.8</v>
          </cell>
          <cell r="Z1423" t="str">
            <v>NA</v>
          </cell>
          <cell r="AA1423" t="str">
            <v>NA</v>
          </cell>
        </row>
        <row r="1424">
          <cell r="A1424">
            <v>45163</v>
          </cell>
          <cell r="B1424" t="str">
            <v>A2</v>
          </cell>
          <cell r="C1424">
            <v>3</v>
          </cell>
          <cell r="D1424">
            <v>1</v>
          </cell>
          <cell r="E1424" t="str">
            <v>ARIS.A2.Aim1.Bin3.RB</v>
          </cell>
          <cell r="F1424">
            <v>4</v>
          </cell>
          <cell r="G1424" t="str">
            <v>Unweighted</v>
          </cell>
          <cell r="H1424" t="str">
            <v>N</v>
          </cell>
          <cell r="I1424" t="str">
            <v>Y</v>
          </cell>
          <cell r="J1424">
            <v>173</v>
          </cell>
          <cell r="K1424">
            <v>1</v>
          </cell>
          <cell r="L1424">
            <v>3.2599999999999997E-2</v>
          </cell>
          <cell r="M1424">
            <v>28.6</v>
          </cell>
          <cell r="N1424">
            <v>4.3</v>
          </cell>
          <cell r="O1424">
            <v>0.96740000000000004</v>
          </cell>
          <cell r="P1424">
            <v>0</v>
          </cell>
          <cell r="Q1424">
            <v>0.62170000000000003</v>
          </cell>
          <cell r="R1424">
            <v>0.34570000000000001</v>
          </cell>
          <cell r="S1424" t="str">
            <v>NA</v>
          </cell>
          <cell r="T1424">
            <v>59</v>
          </cell>
          <cell r="U1424">
            <v>4.8</v>
          </cell>
          <cell r="V1424">
            <v>73.8</v>
          </cell>
          <cell r="W1424">
            <v>7.5</v>
          </cell>
          <cell r="X1424">
            <v>52.3</v>
          </cell>
          <cell r="Y1424">
            <v>6.8</v>
          </cell>
          <cell r="Z1424" t="str">
            <v>NA</v>
          </cell>
          <cell r="AA1424" t="str">
            <v>NA</v>
          </cell>
        </row>
        <row r="1425">
          <cell r="A1425">
            <v>45163</v>
          </cell>
          <cell r="B1425" t="str">
            <v>A2</v>
          </cell>
          <cell r="C1425">
            <v>4</v>
          </cell>
          <cell r="D1425">
            <v>1</v>
          </cell>
          <cell r="E1425" t="str">
            <v>ARIS.A2.Aim1.Bin4.RB</v>
          </cell>
          <cell r="F1425">
            <v>4</v>
          </cell>
          <cell r="G1425" t="str">
            <v>Unweighted</v>
          </cell>
          <cell r="H1425" t="str">
            <v>N</v>
          </cell>
          <cell r="I1425" t="str">
            <v>Y</v>
          </cell>
          <cell r="J1425">
            <v>173</v>
          </cell>
          <cell r="K1425">
            <v>1</v>
          </cell>
          <cell r="L1425">
            <v>3.2599999999999997E-2</v>
          </cell>
          <cell r="M1425">
            <v>28.6</v>
          </cell>
          <cell r="N1425">
            <v>4.3</v>
          </cell>
          <cell r="O1425">
            <v>0.96740000000000004</v>
          </cell>
          <cell r="P1425">
            <v>0</v>
          </cell>
          <cell r="Q1425">
            <v>0.62170000000000003</v>
          </cell>
          <cell r="R1425">
            <v>0.34570000000000001</v>
          </cell>
          <cell r="S1425" t="str">
            <v>NA</v>
          </cell>
          <cell r="T1425">
            <v>59</v>
          </cell>
          <cell r="U1425">
            <v>4.8</v>
          </cell>
          <cell r="V1425">
            <v>73.8</v>
          </cell>
          <cell r="W1425">
            <v>7.5</v>
          </cell>
          <cell r="X1425">
            <v>52.3</v>
          </cell>
          <cell r="Y1425">
            <v>6.8</v>
          </cell>
          <cell r="Z1425" t="str">
            <v>NA</v>
          </cell>
          <cell r="AA1425" t="str">
            <v>NA</v>
          </cell>
        </row>
        <row r="1426">
          <cell r="A1426">
            <v>45163</v>
          </cell>
          <cell r="B1426" t="str">
            <v>A1</v>
          </cell>
          <cell r="C1426">
            <v>1</v>
          </cell>
          <cell r="D1426">
            <v>1</v>
          </cell>
          <cell r="E1426" t="str">
            <v>ARIS.A1.Aim1.Bin1.LB</v>
          </cell>
          <cell r="F1426">
            <v>4</v>
          </cell>
          <cell r="G1426" t="str">
            <v>SplineDFA</v>
          </cell>
          <cell r="H1426" t="str">
            <v>Y</v>
          </cell>
          <cell r="I1426" t="str">
            <v>N</v>
          </cell>
          <cell r="J1426">
            <v>160</v>
          </cell>
          <cell r="K1426">
            <v>1</v>
          </cell>
          <cell r="L1426">
            <v>0.77990000000000004</v>
          </cell>
          <cell r="M1426">
            <v>23.7</v>
          </cell>
          <cell r="N1426">
            <v>2.7</v>
          </cell>
          <cell r="O1426">
            <v>0.22009999999999999</v>
          </cell>
          <cell r="P1426">
            <v>2.9600000000000001E-2</v>
          </cell>
          <cell r="Q1426">
            <v>0</v>
          </cell>
          <cell r="R1426">
            <v>0.1905</v>
          </cell>
          <cell r="S1426" t="str">
            <v>NA</v>
          </cell>
          <cell r="T1426">
            <v>59</v>
          </cell>
          <cell r="U1426">
            <v>4.8</v>
          </cell>
          <cell r="V1426">
            <v>73.8</v>
          </cell>
          <cell r="W1426">
            <v>7.5</v>
          </cell>
          <cell r="X1426">
            <v>52.3</v>
          </cell>
          <cell r="Y1426">
            <v>6.8</v>
          </cell>
          <cell r="Z1426" t="str">
            <v>NA</v>
          </cell>
          <cell r="AA1426" t="str">
            <v>NA</v>
          </cell>
        </row>
        <row r="1427">
          <cell r="A1427">
            <v>45163</v>
          </cell>
          <cell r="B1427" t="str">
            <v>A1</v>
          </cell>
          <cell r="C1427">
            <v>1</v>
          </cell>
          <cell r="D1427">
            <v>2</v>
          </cell>
          <cell r="E1427" t="str">
            <v>ARIS.A1.Aim2.Bin1.LB</v>
          </cell>
          <cell r="F1427">
            <v>4</v>
          </cell>
          <cell r="G1427" t="str">
            <v>SplineDFA</v>
          </cell>
          <cell r="H1427" t="str">
            <v>Y</v>
          </cell>
          <cell r="I1427" t="str">
            <v>N</v>
          </cell>
          <cell r="J1427">
            <v>181</v>
          </cell>
          <cell r="K1427">
            <v>1</v>
          </cell>
          <cell r="L1427">
            <v>0.51780000000000004</v>
          </cell>
          <cell r="M1427">
            <v>23.7</v>
          </cell>
          <cell r="N1427">
            <v>2.7</v>
          </cell>
          <cell r="O1427">
            <v>0.48220000000000002</v>
          </cell>
          <cell r="P1427">
            <v>0.14549999999999999</v>
          </cell>
          <cell r="Q1427">
            <v>2.7900000000000001E-2</v>
          </cell>
          <cell r="R1427">
            <v>0.30880000000000002</v>
          </cell>
          <cell r="S1427" t="str">
            <v>NA</v>
          </cell>
          <cell r="T1427">
            <v>59</v>
          </cell>
          <cell r="U1427">
            <v>4.8</v>
          </cell>
          <cell r="V1427">
            <v>73.8</v>
          </cell>
          <cell r="W1427">
            <v>7.5</v>
          </cell>
          <cell r="X1427">
            <v>52.3</v>
          </cell>
          <cell r="Y1427">
            <v>6.8</v>
          </cell>
          <cell r="Z1427" t="str">
            <v>NA</v>
          </cell>
          <cell r="AA1427" t="str">
            <v>NA</v>
          </cell>
        </row>
        <row r="1428">
          <cell r="A1428">
            <v>45163</v>
          </cell>
          <cell r="B1428" t="str">
            <v>A1</v>
          </cell>
          <cell r="C1428">
            <v>2</v>
          </cell>
          <cell r="D1428">
            <v>3</v>
          </cell>
          <cell r="E1428" t="str">
            <v>ARIS.A1.Aim3.Bin2.LB</v>
          </cell>
          <cell r="F1428">
            <v>4</v>
          </cell>
          <cell r="G1428" t="str">
            <v>SplineDFA</v>
          </cell>
          <cell r="H1428" t="str">
            <v>Y</v>
          </cell>
          <cell r="I1428" t="str">
            <v>N</v>
          </cell>
          <cell r="J1428">
            <v>181</v>
          </cell>
          <cell r="K1428">
            <v>1.0001</v>
          </cell>
          <cell r="L1428">
            <v>8.2400000000000001E-2</v>
          </cell>
          <cell r="M1428">
            <v>23.7</v>
          </cell>
          <cell r="N1428">
            <v>2.7</v>
          </cell>
          <cell r="O1428">
            <v>0.91769999999999996</v>
          </cell>
          <cell r="P1428">
            <v>0.2868</v>
          </cell>
          <cell r="Q1428">
            <v>0.1532</v>
          </cell>
          <cell r="R1428">
            <v>0.47770000000000001</v>
          </cell>
          <cell r="S1428" t="str">
            <v>NA</v>
          </cell>
          <cell r="T1428">
            <v>59</v>
          </cell>
          <cell r="U1428">
            <v>4.8</v>
          </cell>
          <cell r="V1428">
            <v>73.8</v>
          </cell>
          <cell r="W1428">
            <v>7.5</v>
          </cell>
          <cell r="X1428">
            <v>52.3</v>
          </cell>
          <cell r="Y1428">
            <v>6.8</v>
          </cell>
          <cell r="Z1428" t="str">
            <v>NA</v>
          </cell>
          <cell r="AA1428" t="str">
            <v>NA</v>
          </cell>
        </row>
        <row r="1429">
          <cell r="A1429">
            <v>45163</v>
          </cell>
          <cell r="B1429" t="str">
            <v>A1</v>
          </cell>
          <cell r="C1429">
            <v>3</v>
          </cell>
          <cell r="D1429">
            <v>3</v>
          </cell>
          <cell r="E1429" t="str">
            <v>ARIS.A1.Aim3.Bin3.LB</v>
          </cell>
          <cell r="F1429">
            <v>4</v>
          </cell>
          <cell r="G1429" t="str">
            <v>SplineDFA</v>
          </cell>
          <cell r="H1429" t="str">
            <v>Y</v>
          </cell>
          <cell r="I1429" t="str">
            <v>N</v>
          </cell>
          <cell r="J1429">
            <v>202</v>
          </cell>
          <cell r="K1429">
            <v>0.99990000000000001</v>
          </cell>
          <cell r="L1429">
            <v>0</v>
          </cell>
          <cell r="M1429">
            <v>23.7</v>
          </cell>
          <cell r="N1429">
            <v>2.7</v>
          </cell>
          <cell r="O1429">
            <v>0.99990000000000001</v>
          </cell>
          <cell r="P1429">
            <v>0.26840000000000003</v>
          </cell>
          <cell r="Q1429">
            <v>0.4793</v>
          </cell>
          <cell r="R1429">
            <v>0.25219999999999998</v>
          </cell>
          <cell r="S1429" t="str">
            <v>NA</v>
          </cell>
          <cell r="T1429">
            <v>59</v>
          </cell>
          <cell r="U1429">
            <v>4.8</v>
          </cell>
          <cell r="V1429">
            <v>73.8</v>
          </cell>
          <cell r="W1429">
            <v>7.5</v>
          </cell>
          <cell r="X1429">
            <v>52.3</v>
          </cell>
          <cell r="Y1429">
            <v>6.8</v>
          </cell>
          <cell r="Z1429" t="str">
            <v>NA</v>
          </cell>
          <cell r="AA1429" t="str">
            <v>NA</v>
          </cell>
        </row>
        <row r="1430">
          <cell r="A1430">
            <v>45163</v>
          </cell>
          <cell r="B1430" t="str">
            <v>A1</v>
          </cell>
          <cell r="C1430">
            <v>4</v>
          </cell>
          <cell r="D1430">
            <v>3</v>
          </cell>
          <cell r="E1430" t="str">
            <v>ARIS.A1.Aim3.Bin4.LB</v>
          </cell>
          <cell r="F1430">
            <v>4</v>
          </cell>
          <cell r="G1430" t="str">
            <v>SplineDFA</v>
          </cell>
          <cell r="H1430" t="str">
            <v>Y</v>
          </cell>
          <cell r="I1430" t="str">
            <v>N</v>
          </cell>
          <cell r="J1430">
            <v>202</v>
          </cell>
          <cell r="K1430">
            <v>0.99990000000000001</v>
          </cell>
          <cell r="L1430">
            <v>0</v>
          </cell>
          <cell r="M1430">
            <v>23.7</v>
          </cell>
          <cell r="N1430">
            <v>2.7</v>
          </cell>
          <cell r="O1430">
            <v>0.99990000000000001</v>
          </cell>
          <cell r="P1430">
            <v>0.26840000000000003</v>
          </cell>
          <cell r="Q1430">
            <v>0.4793</v>
          </cell>
          <cell r="R1430">
            <v>0.25219999999999998</v>
          </cell>
          <cell r="S1430" t="str">
            <v>NA</v>
          </cell>
          <cell r="T1430">
            <v>59</v>
          </cell>
          <cell r="U1430">
            <v>4.8</v>
          </cell>
          <cell r="V1430">
            <v>73.8</v>
          </cell>
          <cell r="W1430">
            <v>7.5</v>
          </cell>
          <cell r="X1430">
            <v>52.3</v>
          </cell>
          <cell r="Y1430">
            <v>6.8</v>
          </cell>
          <cell r="Z1430" t="str">
            <v>NA</v>
          </cell>
          <cell r="AA1430" t="str">
            <v>NA</v>
          </cell>
        </row>
        <row r="1431">
          <cell r="A1431">
            <v>45163</v>
          </cell>
          <cell r="B1431" t="str">
            <v>A2</v>
          </cell>
          <cell r="C1431">
            <v>1</v>
          </cell>
          <cell r="D1431">
            <v>1</v>
          </cell>
          <cell r="E1431" t="str">
            <v>ARIS.A2.Aim1.Bin1.RB</v>
          </cell>
          <cell r="F1431">
            <v>4</v>
          </cell>
          <cell r="G1431" t="str">
            <v>SplineDFA</v>
          </cell>
          <cell r="H1431" t="str">
            <v>Y</v>
          </cell>
          <cell r="I1431" t="str">
            <v>N</v>
          </cell>
          <cell r="J1431">
            <v>180</v>
          </cell>
          <cell r="K1431">
            <v>1</v>
          </cell>
          <cell r="L1431">
            <v>0.35510000000000003</v>
          </cell>
          <cell r="M1431">
            <v>23.7</v>
          </cell>
          <cell r="N1431">
            <v>2.7</v>
          </cell>
          <cell r="O1431">
            <v>0.64490000000000003</v>
          </cell>
          <cell r="P1431">
            <v>0.1981</v>
          </cell>
          <cell r="Q1431">
            <v>9.0200000000000002E-2</v>
          </cell>
          <cell r="R1431">
            <v>0.35659999999999997</v>
          </cell>
          <cell r="S1431" t="str">
            <v>NA</v>
          </cell>
          <cell r="T1431">
            <v>59</v>
          </cell>
          <cell r="U1431">
            <v>4.8</v>
          </cell>
          <cell r="V1431">
            <v>73.8</v>
          </cell>
          <cell r="W1431">
            <v>7.5</v>
          </cell>
          <cell r="X1431">
            <v>52.3</v>
          </cell>
          <cell r="Y1431">
            <v>6.8</v>
          </cell>
          <cell r="Z1431" t="str">
            <v>NA</v>
          </cell>
          <cell r="AA1431" t="str">
            <v>NA</v>
          </cell>
        </row>
        <row r="1432">
          <cell r="A1432">
            <v>45163</v>
          </cell>
          <cell r="B1432" t="str">
            <v>A2</v>
          </cell>
          <cell r="C1432">
            <v>2</v>
          </cell>
          <cell r="D1432">
            <v>1</v>
          </cell>
          <cell r="E1432" t="str">
            <v>ARIS.A2.Aim1.Bin2.RB</v>
          </cell>
          <cell r="F1432">
            <v>4</v>
          </cell>
          <cell r="G1432" t="str">
            <v>SplineDFA</v>
          </cell>
          <cell r="H1432" t="str">
            <v>Y</v>
          </cell>
          <cell r="I1432" t="str">
            <v>N</v>
          </cell>
          <cell r="J1432">
            <v>201</v>
          </cell>
          <cell r="K1432">
            <v>1.0001</v>
          </cell>
          <cell r="L1432">
            <v>9.4100000000000003E-2</v>
          </cell>
          <cell r="M1432">
            <v>23.7</v>
          </cell>
          <cell r="N1432">
            <v>2.7</v>
          </cell>
          <cell r="O1432">
            <v>0.90600000000000003</v>
          </cell>
          <cell r="P1432">
            <v>0.28489999999999999</v>
          </cell>
          <cell r="Q1432">
            <v>0.26050000000000001</v>
          </cell>
          <cell r="R1432">
            <v>0.36059999999999998</v>
          </cell>
          <cell r="S1432" t="str">
            <v>NA</v>
          </cell>
          <cell r="T1432">
            <v>59</v>
          </cell>
          <cell r="U1432">
            <v>4.8</v>
          </cell>
          <cell r="V1432">
            <v>73.8</v>
          </cell>
          <cell r="W1432">
            <v>7.5</v>
          </cell>
          <cell r="X1432">
            <v>52.3</v>
          </cell>
          <cell r="Y1432">
            <v>6.8</v>
          </cell>
          <cell r="Z1432" t="str">
            <v>NA</v>
          </cell>
          <cell r="AA1432" t="str">
            <v>NA</v>
          </cell>
        </row>
        <row r="1433">
          <cell r="A1433">
            <v>45163</v>
          </cell>
          <cell r="B1433" t="str">
            <v>A2</v>
          </cell>
          <cell r="C1433">
            <v>3</v>
          </cell>
          <cell r="D1433">
            <v>1</v>
          </cell>
          <cell r="E1433" t="str">
            <v>ARIS.A2.Aim1.Bin3.RB</v>
          </cell>
          <cell r="F1433">
            <v>4</v>
          </cell>
          <cell r="G1433" t="str">
            <v>SplineDFA</v>
          </cell>
          <cell r="H1433" t="str">
            <v>Y</v>
          </cell>
          <cell r="I1433" t="str">
            <v>N</v>
          </cell>
          <cell r="J1433">
            <v>173</v>
          </cell>
          <cell r="K1433">
            <v>1</v>
          </cell>
          <cell r="L1433">
            <v>1.01E-2</v>
          </cell>
          <cell r="M1433">
            <v>23.7</v>
          </cell>
          <cell r="N1433">
            <v>2.7</v>
          </cell>
          <cell r="O1433">
            <v>0.9899</v>
          </cell>
          <cell r="P1433">
            <v>0.17979999999999999</v>
          </cell>
          <cell r="Q1433">
            <v>0.55410000000000004</v>
          </cell>
          <cell r="R1433">
            <v>0.25600000000000001</v>
          </cell>
          <cell r="S1433" t="str">
            <v>NA</v>
          </cell>
          <cell r="T1433">
            <v>59</v>
          </cell>
          <cell r="U1433">
            <v>4.8</v>
          </cell>
          <cell r="V1433">
            <v>73.8</v>
          </cell>
          <cell r="W1433">
            <v>7.5</v>
          </cell>
          <cell r="X1433">
            <v>52.3</v>
          </cell>
          <cell r="Y1433">
            <v>6.8</v>
          </cell>
          <cell r="Z1433" t="str">
            <v>NA</v>
          </cell>
          <cell r="AA1433" t="str">
            <v>NA</v>
          </cell>
        </row>
        <row r="1434">
          <cell r="A1434">
            <v>45163</v>
          </cell>
          <cell r="B1434" t="str">
            <v>A2</v>
          </cell>
          <cell r="C1434">
            <v>4</v>
          </cell>
          <cell r="D1434">
            <v>1</v>
          </cell>
          <cell r="E1434" t="str">
            <v>ARIS.A2.Aim1.Bin4.RB</v>
          </cell>
          <cell r="F1434">
            <v>4</v>
          </cell>
          <cell r="G1434" t="str">
            <v>SplineDFA</v>
          </cell>
          <cell r="H1434" t="str">
            <v>Y</v>
          </cell>
          <cell r="I1434" t="str">
            <v>N</v>
          </cell>
          <cell r="J1434">
            <v>173</v>
          </cell>
          <cell r="K1434">
            <v>1</v>
          </cell>
          <cell r="L1434">
            <v>1.01E-2</v>
          </cell>
          <cell r="M1434">
            <v>23.7</v>
          </cell>
          <cell r="N1434">
            <v>2.7</v>
          </cell>
          <cell r="O1434">
            <v>0.9899</v>
          </cell>
          <cell r="P1434">
            <v>0.17979999999999999</v>
          </cell>
          <cell r="Q1434">
            <v>0.55410000000000004</v>
          </cell>
          <cell r="R1434">
            <v>0.25600000000000001</v>
          </cell>
          <cell r="S1434" t="str">
            <v>NA</v>
          </cell>
          <cell r="T1434">
            <v>59</v>
          </cell>
          <cell r="U1434">
            <v>4.8</v>
          </cell>
          <cell r="V1434">
            <v>73.8</v>
          </cell>
          <cell r="W1434">
            <v>7.5</v>
          </cell>
          <cell r="X1434">
            <v>52.3</v>
          </cell>
          <cell r="Y1434">
            <v>6.8</v>
          </cell>
          <cell r="Z1434" t="str">
            <v>NA</v>
          </cell>
          <cell r="AA1434" t="str">
            <v>NA</v>
          </cell>
        </row>
        <row r="1435">
          <cell r="A1435">
            <v>45164</v>
          </cell>
          <cell r="B1435" t="str">
            <v>A1</v>
          </cell>
          <cell r="C1435">
            <v>1</v>
          </cell>
          <cell r="D1435">
            <v>1</v>
          </cell>
          <cell r="E1435" t="str">
            <v>ARIS.A1.Aim1.Bin1.LB</v>
          </cell>
          <cell r="F1435">
            <v>4</v>
          </cell>
          <cell r="G1435" t="str">
            <v>Unweighted</v>
          </cell>
          <cell r="H1435" t="str">
            <v>N</v>
          </cell>
          <cell r="I1435" t="str">
            <v>Y</v>
          </cell>
          <cell r="J1435">
            <v>159</v>
          </cell>
          <cell r="K1435">
            <v>0.99990000000000001</v>
          </cell>
          <cell r="L1435">
            <v>0.76090000000000002</v>
          </cell>
          <cell r="M1435">
            <v>23.7</v>
          </cell>
          <cell r="N1435">
            <v>5.0999999999999996</v>
          </cell>
          <cell r="O1435">
            <v>0.23899999999999999</v>
          </cell>
          <cell r="P1435">
            <v>0</v>
          </cell>
          <cell r="Q1435">
            <v>2.3800000000000002E-2</v>
          </cell>
          <cell r="R1435">
            <v>0.2152</v>
          </cell>
          <cell r="S1435" t="str">
            <v>NA</v>
          </cell>
          <cell r="T1435">
            <v>59</v>
          </cell>
          <cell r="U1435">
            <v>4.8</v>
          </cell>
          <cell r="V1435">
            <v>73.8</v>
          </cell>
          <cell r="W1435">
            <v>7.5</v>
          </cell>
          <cell r="X1435">
            <v>52.3</v>
          </cell>
          <cell r="Y1435">
            <v>6.8</v>
          </cell>
          <cell r="Z1435" t="str">
            <v>NA</v>
          </cell>
          <cell r="AA1435" t="str">
            <v>NA</v>
          </cell>
        </row>
        <row r="1436">
          <cell r="A1436">
            <v>45164</v>
          </cell>
          <cell r="B1436" t="str">
            <v>A1</v>
          </cell>
          <cell r="C1436">
            <v>1</v>
          </cell>
          <cell r="D1436">
            <v>2</v>
          </cell>
          <cell r="E1436" t="str">
            <v>ARIS.A1.Aim2.Bin1.LB</v>
          </cell>
          <cell r="F1436">
            <v>4</v>
          </cell>
          <cell r="G1436" t="str">
            <v>Unweighted</v>
          </cell>
          <cell r="H1436" t="str">
            <v>N</v>
          </cell>
          <cell r="I1436" t="str">
            <v>Y</v>
          </cell>
          <cell r="J1436">
            <v>201</v>
          </cell>
          <cell r="K1436">
            <v>1</v>
          </cell>
          <cell r="L1436">
            <v>0.70899999999999996</v>
          </cell>
          <cell r="M1436">
            <v>21.6</v>
          </cell>
          <cell r="N1436">
            <v>7.6</v>
          </cell>
          <cell r="O1436">
            <v>0.29099999999999998</v>
          </cell>
          <cell r="P1436">
            <v>0</v>
          </cell>
          <cell r="Q1436">
            <v>2.8999999999999998E-3</v>
          </cell>
          <cell r="R1436">
            <v>0.28810000000000002</v>
          </cell>
          <cell r="S1436" t="str">
            <v>NA</v>
          </cell>
          <cell r="T1436">
            <v>59</v>
          </cell>
          <cell r="U1436">
            <v>4.8</v>
          </cell>
          <cell r="V1436">
            <v>73.8</v>
          </cell>
          <cell r="W1436">
            <v>7.5</v>
          </cell>
          <cell r="X1436">
            <v>52.3</v>
          </cell>
          <cell r="Y1436">
            <v>6.8</v>
          </cell>
          <cell r="Z1436" t="str">
            <v>NA</v>
          </cell>
          <cell r="AA1436" t="str">
            <v>NA</v>
          </cell>
        </row>
        <row r="1437">
          <cell r="A1437">
            <v>45164</v>
          </cell>
          <cell r="B1437" t="str">
            <v>A1</v>
          </cell>
          <cell r="C1437">
            <v>1</v>
          </cell>
          <cell r="D1437" t="str">
            <v>1&amp;2</v>
          </cell>
          <cell r="E1437" t="str">
            <v>ARIS.A1.Aim1&amp;Aim2.Bin1.LB</v>
          </cell>
          <cell r="F1437">
            <v>4</v>
          </cell>
          <cell r="G1437" t="str">
            <v>Unweighted</v>
          </cell>
          <cell r="H1437" t="str">
            <v>N</v>
          </cell>
          <cell r="I1437" t="str">
            <v>Y</v>
          </cell>
          <cell r="J1437">
            <v>360</v>
          </cell>
          <cell r="K1437">
            <v>1</v>
          </cell>
          <cell r="L1437">
            <v>0.73340000000000005</v>
          </cell>
          <cell r="M1437">
            <v>22.6</v>
          </cell>
          <cell r="N1437">
            <v>6.4</v>
          </cell>
          <cell r="O1437">
            <v>0.2666</v>
          </cell>
          <cell r="P1437">
            <v>0</v>
          </cell>
          <cell r="Q1437">
            <v>1.3100000000000001E-2</v>
          </cell>
          <cell r="R1437">
            <v>0.2535</v>
          </cell>
          <cell r="S1437" t="str">
            <v>NA</v>
          </cell>
          <cell r="T1437">
            <v>59</v>
          </cell>
          <cell r="U1437">
            <v>4.8</v>
          </cell>
          <cell r="V1437">
            <v>73.8</v>
          </cell>
          <cell r="W1437">
            <v>7.5</v>
          </cell>
          <cell r="X1437">
            <v>52.3</v>
          </cell>
          <cell r="Y1437">
            <v>6.8</v>
          </cell>
          <cell r="Z1437" t="str">
            <v>NA</v>
          </cell>
          <cell r="AA1437" t="str">
            <v>NA</v>
          </cell>
        </row>
        <row r="1438">
          <cell r="A1438">
            <v>45164</v>
          </cell>
          <cell r="B1438" t="str">
            <v>A1</v>
          </cell>
          <cell r="C1438">
            <v>2</v>
          </cell>
          <cell r="D1438">
            <v>3</v>
          </cell>
          <cell r="E1438" t="str">
            <v>ARIS.A1.Aim3.Bin2.LB</v>
          </cell>
          <cell r="F1438">
            <v>4</v>
          </cell>
          <cell r="G1438" t="str">
            <v>Unweighted</v>
          </cell>
          <cell r="H1438" t="str">
            <v>N</v>
          </cell>
          <cell r="I1438" t="str">
            <v>Y</v>
          </cell>
          <cell r="J1438">
            <v>196</v>
          </cell>
          <cell r="K1438">
            <v>1</v>
          </cell>
          <cell r="L1438">
            <v>0.67559999999999998</v>
          </cell>
          <cell r="M1438">
            <v>52.3</v>
          </cell>
          <cell r="N1438">
            <v>15.3</v>
          </cell>
          <cell r="O1438">
            <v>0.32440000000000002</v>
          </cell>
          <cell r="P1438">
            <v>0.125</v>
          </cell>
          <cell r="Q1438">
            <v>0.16170000000000001</v>
          </cell>
          <cell r="R1438">
            <v>3.7699999999999997E-2</v>
          </cell>
          <cell r="S1438" t="str">
            <v>NA</v>
          </cell>
          <cell r="T1438">
            <v>59</v>
          </cell>
          <cell r="U1438">
            <v>4.8</v>
          </cell>
          <cell r="V1438">
            <v>73.8</v>
          </cell>
          <cell r="W1438">
            <v>7.5</v>
          </cell>
          <cell r="X1438">
            <v>52.3</v>
          </cell>
          <cell r="Y1438">
            <v>6.8</v>
          </cell>
          <cell r="Z1438" t="str">
            <v>NA</v>
          </cell>
          <cell r="AA1438" t="str">
            <v>NA</v>
          </cell>
        </row>
        <row r="1439">
          <cell r="A1439">
            <v>45164</v>
          </cell>
          <cell r="B1439" t="str">
            <v>A1</v>
          </cell>
          <cell r="C1439">
            <v>3</v>
          </cell>
          <cell r="D1439">
            <v>3</v>
          </cell>
          <cell r="E1439" t="str">
            <v>ARIS.A1.Aim3.Bin3.LB</v>
          </cell>
          <cell r="F1439">
            <v>4</v>
          </cell>
          <cell r="G1439" t="str">
            <v>Unweighted</v>
          </cell>
          <cell r="H1439" t="str">
            <v>N</v>
          </cell>
          <cell r="I1439" t="str">
            <v>Y</v>
          </cell>
          <cell r="J1439">
            <v>184</v>
          </cell>
          <cell r="K1439">
            <v>1</v>
          </cell>
          <cell r="L1439">
            <v>1.01E-2</v>
          </cell>
          <cell r="M1439">
            <v>23.7</v>
          </cell>
          <cell r="N1439">
            <v>2.7</v>
          </cell>
          <cell r="O1439">
            <v>0.9899</v>
          </cell>
          <cell r="P1439">
            <v>0.17499999999999999</v>
          </cell>
          <cell r="Q1439">
            <v>0.63819999999999999</v>
          </cell>
          <cell r="R1439">
            <v>0.1767</v>
          </cell>
          <cell r="S1439" t="str">
            <v>NA</v>
          </cell>
          <cell r="T1439">
            <v>59</v>
          </cell>
          <cell r="U1439">
            <v>4.8</v>
          </cell>
          <cell r="V1439">
            <v>73.8</v>
          </cell>
          <cell r="W1439">
            <v>7.5</v>
          </cell>
          <cell r="X1439">
            <v>52.3</v>
          </cell>
          <cell r="Y1439">
            <v>6.8</v>
          </cell>
          <cell r="Z1439" t="str">
            <v>NA</v>
          </cell>
          <cell r="AA1439" t="str">
            <v>NA</v>
          </cell>
        </row>
        <row r="1440">
          <cell r="A1440">
            <v>45164</v>
          </cell>
          <cell r="B1440" t="str">
            <v>A1</v>
          </cell>
          <cell r="C1440">
            <v>4</v>
          </cell>
          <cell r="D1440">
            <v>3</v>
          </cell>
          <cell r="E1440" t="str">
            <v>ARIS.A1.Aim3.Bin4.LB</v>
          </cell>
          <cell r="F1440">
            <v>4</v>
          </cell>
          <cell r="G1440" t="str">
            <v>Unweighted</v>
          </cell>
          <cell r="H1440" t="str">
            <v>N</v>
          </cell>
          <cell r="I1440" t="str">
            <v>Y</v>
          </cell>
          <cell r="J1440">
            <v>184</v>
          </cell>
          <cell r="K1440">
            <v>1</v>
          </cell>
          <cell r="L1440">
            <v>1.01E-2</v>
          </cell>
          <cell r="M1440">
            <v>23.7</v>
          </cell>
          <cell r="N1440">
            <v>2.7</v>
          </cell>
          <cell r="O1440">
            <v>0.9899</v>
          </cell>
          <cell r="P1440">
            <v>0.17499999999999999</v>
          </cell>
          <cell r="Q1440">
            <v>0.63819999999999999</v>
          </cell>
          <cell r="R1440">
            <v>0.1767</v>
          </cell>
          <cell r="S1440" t="str">
            <v>NA</v>
          </cell>
          <cell r="T1440">
            <v>59</v>
          </cell>
          <cell r="U1440">
            <v>4.8</v>
          </cell>
          <cell r="V1440">
            <v>73.8</v>
          </cell>
          <cell r="W1440">
            <v>7.5</v>
          </cell>
          <cell r="X1440">
            <v>52.3</v>
          </cell>
          <cell r="Y1440">
            <v>6.8</v>
          </cell>
          <cell r="Z1440" t="str">
            <v>NA</v>
          </cell>
          <cell r="AA1440" t="str">
            <v>NA</v>
          </cell>
        </row>
        <row r="1441">
          <cell r="A1441">
            <v>45164</v>
          </cell>
          <cell r="B1441" t="str">
            <v>A2</v>
          </cell>
          <cell r="C1441">
            <v>1</v>
          </cell>
          <cell r="D1441">
            <v>1</v>
          </cell>
          <cell r="E1441" t="str">
            <v>ARIS.A2.Aim1.Bin1.RB</v>
          </cell>
          <cell r="F1441">
            <v>4</v>
          </cell>
          <cell r="G1441" t="str">
            <v>Unweighted</v>
          </cell>
          <cell r="H1441" t="str">
            <v>N</v>
          </cell>
          <cell r="I1441" t="str">
            <v>Y</v>
          </cell>
          <cell r="J1441">
            <v>180</v>
          </cell>
          <cell r="K1441">
            <v>1</v>
          </cell>
          <cell r="L1441">
            <v>0.46560000000000001</v>
          </cell>
          <cell r="M1441">
            <v>23.8</v>
          </cell>
          <cell r="N1441">
            <v>5.9</v>
          </cell>
          <cell r="O1441">
            <v>0.53439999999999999</v>
          </cell>
          <cell r="P1441">
            <v>0</v>
          </cell>
          <cell r="Q1441">
            <v>0.107</v>
          </cell>
          <cell r="R1441">
            <v>0.4274</v>
          </cell>
          <cell r="S1441" t="str">
            <v>NA</v>
          </cell>
          <cell r="T1441">
            <v>59</v>
          </cell>
          <cell r="U1441">
            <v>4.8</v>
          </cell>
          <cell r="V1441">
            <v>73.8</v>
          </cell>
          <cell r="W1441">
            <v>7.5</v>
          </cell>
          <cell r="X1441">
            <v>52.3</v>
          </cell>
          <cell r="Y1441">
            <v>6.8</v>
          </cell>
          <cell r="Z1441" t="str">
            <v>NA</v>
          </cell>
          <cell r="AA1441" t="str">
            <v>NA</v>
          </cell>
        </row>
        <row r="1442">
          <cell r="A1442">
            <v>45164</v>
          </cell>
          <cell r="B1442" t="str">
            <v>A2</v>
          </cell>
          <cell r="C1442">
            <v>2</v>
          </cell>
          <cell r="D1442">
            <v>1</v>
          </cell>
          <cell r="E1442" t="str">
            <v>ARIS.A2.Aim1.Bin2.RB</v>
          </cell>
          <cell r="F1442">
            <v>4</v>
          </cell>
          <cell r="G1442" t="str">
            <v>Unweighted</v>
          </cell>
          <cell r="H1442" t="str">
            <v>N</v>
          </cell>
          <cell r="I1442" t="str">
            <v>Y</v>
          </cell>
          <cell r="J1442">
            <v>201</v>
          </cell>
          <cell r="K1442">
            <v>1</v>
          </cell>
          <cell r="L1442">
            <v>0.15340000000000001</v>
          </cell>
          <cell r="M1442">
            <v>31.7</v>
          </cell>
          <cell r="N1442">
            <v>6.6</v>
          </cell>
          <cell r="O1442">
            <v>0.84660000000000002</v>
          </cell>
          <cell r="P1442">
            <v>0.19670000000000001</v>
          </cell>
          <cell r="Q1442">
            <v>0.2913</v>
          </cell>
          <cell r="R1442">
            <v>0.35859999999999997</v>
          </cell>
          <cell r="S1442" t="str">
            <v>NA</v>
          </cell>
          <cell r="T1442">
            <v>59</v>
          </cell>
          <cell r="U1442">
            <v>4.8</v>
          </cell>
          <cell r="V1442">
            <v>73.8</v>
          </cell>
          <cell r="W1442">
            <v>7.5</v>
          </cell>
          <cell r="X1442">
            <v>52.3</v>
          </cell>
          <cell r="Y1442">
            <v>6.8</v>
          </cell>
          <cell r="Z1442" t="str">
            <v>NA</v>
          </cell>
          <cell r="AA1442" t="str">
            <v>NA</v>
          </cell>
        </row>
        <row r="1443">
          <cell r="A1443">
            <v>45164</v>
          </cell>
          <cell r="B1443" t="str">
            <v>A2</v>
          </cell>
          <cell r="C1443">
            <v>3</v>
          </cell>
          <cell r="D1443">
            <v>1</v>
          </cell>
          <cell r="E1443" t="str">
            <v>ARIS.A2.Aim1.Bin3.RB</v>
          </cell>
          <cell r="F1443">
            <v>4</v>
          </cell>
          <cell r="G1443" t="str">
            <v>Unweighted</v>
          </cell>
          <cell r="H1443" t="str">
            <v>N</v>
          </cell>
          <cell r="I1443" t="str">
            <v>Y</v>
          </cell>
          <cell r="J1443">
            <v>173</v>
          </cell>
          <cell r="K1443">
            <v>1</v>
          </cell>
          <cell r="L1443">
            <v>3.2599999999999997E-2</v>
          </cell>
          <cell r="M1443">
            <v>28.6</v>
          </cell>
          <cell r="N1443">
            <v>4.3</v>
          </cell>
          <cell r="O1443">
            <v>0.96740000000000004</v>
          </cell>
          <cell r="P1443">
            <v>0</v>
          </cell>
          <cell r="Q1443">
            <v>0.62170000000000003</v>
          </cell>
          <cell r="R1443">
            <v>0.34570000000000001</v>
          </cell>
          <cell r="S1443" t="str">
            <v>NA</v>
          </cell>
          <cell r="T1443">
            <v>59</v>
          </cell>
          <cell r="U1443">
            <v>4.8</v>
          </cell>
          <cell r="V1443">
            <v>73.8</v>
          </cell>
          <cell r="W1443">
            <v>7.5</v>
          </cell>
          <cell r="X1443">
            <v>52.3</v>
          </cell>
          <cell r="Y1443">
            <v>6.8</v>
          </cell>
          <cell r="Z1443" t="str">
            <v>NA</v>
          </cell>
          <cell r="AA1443" t="str">
            <v>NA</v>
          </cell>
        </row>
        <row r="1444">
          <cell r="A1444">
            <v>45164</v>
          </cell>
          <cell r="B1444" t="str">
            <v>A2</v>
          </cell>
          <cell r="C1444">
            <v>4</v>
          </cell>
          <cell r="D1444">
            <v>1</v>
          </cell>
          <cell r="E1444" t="str">
            <v>ARIS.A2.Aim1.Bin4.RB</v>
          </cell>
          <cell r="F1444">
            <v>4</v>
          </cell>
          <cell r="G1444" t="str">
            <v>Unweighted</v>
          </cell>
          <cell r="H1444" t="str">
            <v>N</v>
          </cell>
          <cell r="I1444" t="str">
            <v>Y</v>
          </cell>
          <cell r="J1444">
            <v>173</v>
          </cell>
          <cell r="K1444">
            <v>1</v>
          </cell>
          <cell r="L1444">
            <v>3.2599999999999997E-2</v>
          </cell>
          <cell r="M1444">
            <v>28.6</v>
          </cell>
          <cell r="N1444">
            <v>4.3</v>
          </cell>
          <cell r="O1444">
            <v>0.96740000000000004</v>
          </cell>
          <cell r="P1444">
            <v>0</v>
          </cell>
          <cell r="Q1444">
            <v>0.62170000000000003</v>
          </cell>
          <cell r="R1444">
            <v>0.34570000000000001</v>
          </cell>
          <cell r="S1444" t="str">
            <v>NA</v>
          </cell>
          <cell r="T1444">
            <v>59</v>
          </cell>
          <cell r="U1444">
            <v>4.8</v>
          </cell>
          <cell r="V1444">
            <v>73.8</v>
          </cell>
          <cell r="W1444">
            <v>7.5</v>
          </cell>
          <cell r="X1444">
            <v>52.3</v>
          </cell>
          <cell r="Y1444">
            <v>6.8</v>
          </cell>
          <cell r="Z1444" t="str">
            <v>NA</v>
          </cell>
          <cell r="AA1444" t="str">
            <v>NA</v>
          </cell>
        </row>
        <row r="1445">
          <cell r="A1445">
            <v>45164</v>
          </cell>
          <cell r="B1445" t="str">
            <v>A1</v>
          </cell>
          <cell r="C1445">
            <v>1</v>
          </cell>
          <cell r="D1445">
            <v>1</v>
          </cell>
          <cell r="E1445" t="str">
            <v>ARIS.A1.Aim1.Bin1.LB</v>
          </cell>
          <cell r="F1445">
            <v>4</v>
          </cell>
          <cell r="G1445" t="str">
            <v>SplineDFA</v>
          </cell>
          <cell r="H1445" t="str">
            <v>Y</v>
          </cell>
          <cell r="I1445" t="str">
            <v>N</v>
          </cell>
          <cell r="J1445">
            <v>159</v>
          </cell>
          <cell r="K1445">
            <v>0.99990000000000001</v>
          </cell>
          <cell r="L1445">
            <v>0.77170000000000005</v>
          </cell>
          <cell r="M1445">
            <v>23.7</v>
          </cell>
          <cell r="N1445">
            <v>2.7</v>
          </cell>
          <cell r="O1445">
            <v>0.22819999999999999</v>
          </cell>
          <cell r="P1445">
            <v>1.7600000000000001E-2</v>
          </cell>
          <cell r="Q1445">
            <v>9.5999999999999992E-3</v>
          </cell>
          <cell r="R1445">
            <v>0.20100000000000001</v>
          </cell>
          <cell r="S1445" t="str">
            <v>NA</v>
          </cell>
          <cell r="T1445">
            <v>59</v>
          </cell>
          <cell r="U1445">
            <v>4.8</v>
          </cell>
          <cell r="V1445">
            <v>73.8</v>
          </cell>
          <cell r="W1445">
            <v>7.5</v>
          </cell>
          <cell r="X1445">
            <v>52.3</v>
          </cell>
          <cell r="Y1445">
            <v>6.8</v>
          </cell>
          <cell r="Z1445" t="str">
            <v>NA</v>
          </cell>
          <cell r="AA1445" t="str">
            <v>NA</v>
          </cell>
        </row>
        <row r="1446">
          <cell r="A1446">
            <v>45164</v>
          </cell>
          <cell r="B1446" t="str">
            <v>A1</v>
          </cell>
          <cell r="C1446">
            <v>1</v>
          </cell>
          <cell r="D1446">
            <v>2</v>
          </cell>
          <cell r="E1446" t="str">
            <v>ARIS.A1.Aim2.Bin1.LB</v>
          </cell>
          <cell r="F1446">
            <v>4</v>
          </cell>
          <cell r="G1446" t="str">
            <v>SplineDFA</v>
          </cell>
          <cell r="H1446" t="str">
            <v>Y</v>
          </cell>
          <cell r="I1446" t="str">
            <v>N</v>
          </cell>
          <cell r="J1446">
            <v>201</v>
          </cell>
          <cell r="K1446">
            <v>1</v>
          </cell>
          <cell r="L1446">
            <v>0.54510000000000003</v>
          </cell>
          <cell r="M1446">
            <v>23.7</v>
          </cell>
          <cell r="N1446">
            <v>2.7</v>
          </cell>
          <cell r="O1446">
            <v>0.45490000000000003</v>
          </cell>
          <cell r="P1446">
            <v>0.11700000000000001</v>
          </cell>
          <cell r="Q1446">
            <v>8.5000000000000006E-3</v>
          </cell>
          <cell r="R1446">
            <v>0.32940000000000003</v>
          </cell>
          <cell r="S1446" t="str">
            <v>NA</v>
          </cell>
          <cell r="T1446">
            <v>59</v>
          </cell>
          <cell r="U1446">
            <v>4.8</v>
          </cell>
          <cell r="V1446">
            <v>73.8</v>
          </cell>
          <cell r="W1446">
            <v>7.5</v>
          </cell>
          <cell r="X1446">
            <v>52.3</v>
          </cell>
          <cell r="Y1446">
            <v>6.8</v>
          </cell>
          <cell r="Z1446" t="str">
            <v>NA</v>
          </cell>
          <cell r="AA1446" t="str">
            <v>NA</v>
          </cell>
        </row>
        <row r="1447">
          <cell r="A1447">
            <v>45164</v>
          </cell>
          <cell r="B1447" t="str">
            <v>A1</v>
          </cell>
          <cell r="C1447">
            <v>2</v>
          </cell>
          <cell r="D1447">
            <v>3</v>
          </cell>
          <cell r="E1447" t="str">
            <v>ARIS.A1.Aim3.Bin2.LB</v>
          </cell>
          <cell r="F1447">
            <v>4</v>
          </cell>
          <cell r="G1447" t="str">
            <v>SplineDFA</v>
          </cell>
          <cell r="H1447" t="str">
            <v>Y</v>
          </cell>
          <cell r="I1447" t="str">
            <v>N</v>
          </cell>
          <cell r="J1447">
            <v>196</v>
          </cell>
          <cell r="K1447">
            <v>0.99990000000000001</v>
          </cell>
          <cell r="L1447">
            <v>6.2700000000000006E-2</v>
          </cell>
          <cell r="M1447">
            <v>23.7</v>
          </cell>
          <cell r="N1447">
            <v>2.7</v>
          </cell>
          <cell r="O1447">
            <v>0.93720000000000003</v>
          </cell>
          <cell r="P1447">
            <v>0.27710000000000001</v>
          </cell>
          <cell r="Q1447">
            <v>0.28949999999999998</v>
          </cell>
          <cell r="R1447">
            <v>0.37059999999999998</v>
          </cell>
          <cell r="S1447" t="str">
            <v>NA</v>
          </cell>
          <cell r="T1447">
            <v>59</v>
          </cell>
          <cell r="U1447">
            <v>4.8</v>
          </cell>
          <cell r="V1447">
            <v>73.8</v>
          </cell>
          <cell r="W1447">
            <v>7.5</v>
          </cell>
          <cell r="X1447">
            <v>52.3</v>
          </cell>
          <cell r="Y1447">
            <v>6.8</v>
          </cell>
          <cell r="Z1447" t="str">
            <v>NA</v>
          </cell>
          <cell r="AA1447" t="str">
            <v>NA</v>
          </cell>
        </row>
        <row r="1448">
          <cell r="A1448">
            <v>45164</v>
          </cell>
          <cell r="B1448" t="str">
            <v>A1</v>
          </cell>
          <cell r="C1448">
            <v>3</v>
          </cell>
          <cell r="D1448">
            <v>3</v>
          </cell>
          <cell r="E1448" t="str">
            <v>ARIS.A1.Aim3.Bin3.LB</v>
          </cell>
          <cell r="F1448">
            <v>4</v>
          </cell>
          <cell r="G1448" t="str">
            <v>SplineDFA</v>
          </cell>
          <cell r="H1448" t="str">
            <v>Y</v>
          </cell>
          <cell r="I1448" t="str">
            <v>N</v>
          </cell>
          <cell r="J1448">
            <v>184</v>
          </cell>
          <cell r="K1448">
            <v>0.99990000000000001</v>
          </cell>
          <cell r="L1448">
            <v>0</v>
          </cell>
          <cell r="M1448">
            <v>23.7</v>
          </cell>
          <cell r="N1448">
            <v>2.7</v>
          </cell>
          <cell r="O1448">
            <v>0.99990000000000001</v>
          </cell>
          <cell r="P1448">
            <v>0.31469999999999998</v>
          </cell>
          <cell r="Q1448">
            <v>0.5181</v>
          </cell>
          <cell r="R1448">
            <v>0.1671</v>
          </cell>
          <cell r="S1448" t="str">
            <v>NA</v>
          </cell>
          <cell r="T1448">
            <v>59</v>
          </cell>
          <cell r="U1448">
            <v>4.8</v>
          </cell>
          <cell r="V1448">
            <v>73.8</v>
          </cell>
          <cell r="W1448">
            <v>7.5</v>
          </cell>
          <cell r="X1448">
            <v>52.3</v>
          </cell>
          <cell r="Y1448">
            <v>6.8</v>
          </cell>
          <cell r="Z1448" t="str">
            <v>NA</v>
          </cell>
          <cell r="AA1448" t="str">
            <v>NA</v>
          </cell>
        </row>
        <row r="1449">
          <cell r="A1449">
            <v>45164</v>
          </cell>
          <cell r="B1449" t="str">
            <v>A1</v>
          </cell>
          <cell r="C1449">
            <v>4</v>
          </cell>
          <cell r="D1449">
            <v>3</v>
          </cell>
          <cell r="E1449" t="str">
            <v>ARIS.A1.Aim3.Bin4.LB</v>
          </cell>
          <cell r="F1449">
            <v>4</v>
          </cell>
          <cell r="G1449" t="str">
            <v>SplineDFA</v>
          </cell>
          <cell r="H1449" t="str">
            <v>Y</v>
          </cell>
          <cell r="I1449" t="str">
            <v>N</v>
          </cell>
          <cell r="J1449">
            <v>184</v>
          </cell>
          <cell r="K1449">
            <v>0.99990000000000001</v>
          </cell>
          <cell r="L1449">
            <v>0</v>
          </cell>
          <cell r="M1449">
            <v>23.7</v>
          </cell>
          <cell r="N1449">
            <v>2.7</v>
          </cell>
          <cell r="O1449">
            <v>0.99990000000000001</v>
          </cell>
          <cell r="P1449">
            <v>0.31469999999999998</v>
          </cell>
          <cell r="Q1449">
            <v>0.5181</v>
          </cell>
          <cell r="R1449">
            <v>0.1671</v>
          </cell>
          <cell r="S1449" t="str">
            <v>NA</v>
          </cell>
          <cell r="T1449">
            <v>59</v>
          </cell>
          <cell r="U1449">
            <v>4.8</v>
          </cell>
          <cell r="V1449">
            <v>73.8</v>
          </cell>
          <cell r="W1449">
            <v>7.5</v>
          </cell>
          <cell r="X1449">
            <v>52.3</v>
          </cell>
          <cell r="Y1449">
            <v>6.8</v>
          </cell>
          <cell r="Z1449" t="str">
            <v>NA</v>
          </cell>
          <cell r="AA1449" t="str">
            <v>NA</v>
          </cell>
        </row>
        <row r="1450">
          <cell r="A1450">
            <v>45164</v>
          </cell>
          <cell r="B1450" t="str">
            <v>A2</v>
          </cell>
          <cell r="C1450">
            <v>1</v>
          </cell>
          <cell r="D1450">
            <v>1</v>
          </cell>
          <cell r="E1450" t="str">
            <v>ARIS.A2.Aim1.Bin1.RB</v>
          </cell>
          <cell r="F1450">
            <v>4</v>
          </cell>
          <cell r="G1450" t="str">
            <v>SplineDFA</v>
          </cell>
          <cell r="H1450" t="str">
            <v>Y</v>
          </cell>
          <cell r="I1450" t="str">
            <v>N</v>
          </cell>
          <cell r="J1450">
            <v>180</v>
          </cell>
          <cell r="K1450">
            <v>1</v>
          </cell>
          <cell r="L1450">
            <v>0.35510000000000003</v>
          </cell>
          <cell r="M1450">
            <v>23.7</v>
          </cell>
          <cell r="N1450">
            <v>2.7</v>
          </cell>
          <cell r="O1450">
            <v>0.64490000000000003</v>
          </cell>
          <cell r="P1450">
            <v>0.1981</v>
          </cell>
          <cell r="Q1450">
            <v>9.0200000000000002E-2</v>
          </cell>
          <cell r="R1450">
            <v>0.35659999999999997</v>
          </cell>
          <cell r="S1450" t="str">
            <v>NA</v>
          </cell>
          <cell r="T1450">
            <v>59</v>
          </cell>
          <cell r="U1450">
            <v>4.8</v>
          </cell>
          <cell r="V1450">
            <v>73.8</v>
          </cell>
          <cell r="W1450">
            <v>7.5</v>
          </cell>
          <cell r="X1450">
            <v>52.3</v>
          </cell>
          <cell r="Y1450">
            <v>6.8</v>
          </cell>
          <cell r="Z1450" t="str">
            <v>NA</v>
          </cell>
          <cell r="AA1450" t="str">
            <v>NA</v>
          </cell>
        </row>
        <row r="1451">
          <cell r="A1451">
            <v>45164</v>
          </cell>
          <cell r="B1451" t="str">
            <v>A2</v>
          </cell>
          <cell r="C1451">
            <v>2</v>
          </cell>
          <cell r="D1451">
            <v>1</v>
          </cell>
          <cell r="E1451" t="str">
            <v>ARIS.A2.Aim1.Bin2.RB</v>
          </cell>
          <cell r="F1451">
            <v>4</v>
          </cell>
          <cell r="G1451" t="str">
            <v>SplineDFA</v>
          </cell>
          <cell r="H1451" t="str">
            <v>Y</v>
          </cell>
          <cell r="I1451" t="str">
            <v>N</v>
          </cell>
          <cell r="J1451">
            <v>201</v>
          </cell>
          <cell r="K1451">
            <v>1.0001</v>
          </cell>
          <cell r="L1451">
            <v>9.4100000000000003E-2</v>
          </cell>
          <cell r="M1451">
            <v>23.7</v>
          </cell>
          <cell r="N1451">
            <v>2.7</v>
          </cell>
          <cell r="O1451">
            <v>0.90600000000000003</v>
          </cell>
          <cell r="P1451">
            <v>0.28489999999999999</v>
          </cell>
          <cell r="Q1451">
            <v>0.26050000000000001</v>
          </cell>
          <cell r="R1451">
            <v>0.36059999999999998</v>
          </cell>
          <cell r="S1451" t="str">
            <v>NA</v>
          </cell>
          <cell r="T1451">
            <v>59</v>
          </cell>
          <cell r="U1451">
            <v>4.8</v>
          </cell>
          <cell r="V1451">
            <v>73.8</v>
          </cell>
          <cell r="W1451">
            <v>7.5</v>
          </cell>
          <cell r="X1451">
            <v>52.3</v>
          </cell>
          <cell r="Y1451">
            <v>6.8</v>
          </cell>
          <cell r="Z1451" t="str">
            <v>NA</v>
          </cell>
          <cell r="AA1451" t="str">
            <v>NA</v>
          </cell>
        </row>
        <row r="1452">
          <cell r="A1452">
            <v>45164</v>
          </cell>
          <cell r="B1452" t="str">
            <v>A2</v>
          </cell>
          <cell r="C1452">
            <v>3</v>
          </cell>
          <cell r="D1452">
            <v>1</v>
          </cell>
          <cell r="E1452" t="str">
            <v>ARIS.A2.Aim1.Bin3.RB</v>
          </cell>
          <cell r="F1452">
            <v>4</v>
          </cell>
          <cell r="G1452" t="str">
            <v>SplineDFA</v>
          </cell>
          <cell r="H1452" t="str">
            <v>Y</v>
          </cell>
          <cell r="I1452" t="str">
            <v>N</v>
          </cell>
          <cell r="J1452">
            <v>173</v>
          </cell>
          <cell r="K1452">
            <v>1</v>
          </cell>
          <cell r="L1452">
            <v>1.01E-2</v>
          </cell>
          <cell r="M1452">
            <v>23.7</v>
          </cell>
          <cell r="N1452">
            <v>2.7</v>
          </cell>
          <cell r="O1452">
            <v>0.9899</v>
          </cell>
          <cell r="P1452">
            <v>0.17979999999999999</v>
          </cell>
          <cell r="Q1452">
            <v>0.55410000000000004</v>
          </cell>
          <cell r="R1452">
            <v>0.25600000000000001</v>
          </cell>
          <cell r="S1452" t="str">
            <v>NA</v>
          </cell>
          <cell r="T1452">
            <v>59</v>
          </cell>
          <cell r="U1452">
            <v>4.8</v>
          </cell>
          <cell r="V1452">
            <v>73.8</v>
          </cell>
          <cell r="W1452">
            <v>7.5</v>
          </cell>
          <cell r="X1452">
            <v>52.3</v>
          </cell>
          <cell r="Y1452">
            <v>6.8</v>
          </cell>
          <cell r="Z1452" t="str">
            <v>NA</v>
          </cell>
          <cell r="AA1452" t="str">
            <v>NA</v>
          </cell>
        </row>
        <row r="1453">
          <cell r="A1453">
            <v>45164</v>
          </cell>
          <cell r="B1453" t="str">
            <v>A2</v>
          </cell>
          <cell r="C1453">
            <v>4</v>
          </cell>
          <cell r="D1453">
            <v>1</v>
          </cell>
          <cell r="E1453" t="str">
            <v>ARIS.A2.Aim1.Bin4.RB</v>
          </cell>
          <cell r="F1453">
            <v>4</v>
          </cell>
          <cell r="G1453" t="str">
            <v>SplineDFA</v>
          </cell>
          <cell r="H1453" t="str">
            <v>Y</v>
          </cell>
          <cell r="I1453" t="str">
            <v>N</v>
          </cell>
          <cell r="J1453">
            <v>173</v>
          </cell>
          <cell r="K1453">
            <v>1</v>
          </cell>
          <cell r="L1453">
            <v>1.01E-2</v>
          </cell>
          <cell r="M1453">
            <v>23.7</v>
          </cell>
          <cell r="N1453">
            <v>2.7</v>
          </cell>
          <cell r="O1453">
            <v>0.9899</v>
          </cell>
          <cell r="P1453">
            <v>0.17979999999999999</v>
          </cell>
          <cell r="Q1453">
            <v>0.55410000000000004</v>
          </cell>
          <cell r="R1453">
            <v>0.25600000000000001</v>
          </cell>
          <cell r="S1453" t="str">
            <v>NA</v>
          </cell>
          <cell r="T1453">
            <v>59</v>
          </cell>
          <cell r="U1453">
            <v>4.8</v>
          </cell>
          <cell r="V1453">
            <v>73.8</v>
          </cell>
          <cell r="W1453">
            <v>7.5</v>
          </cell>
          <cell r="X1453">
            <v>52.3</v>
          </cell>
          <cell r="Y1453">
            <v>6.8</v>
          </cell>
          <cell r="Z1453" t="str">
            <v>NA</v>
          </cell>
          <cell r="AA1453" t="str">
            <v>NA</v>
          </cell>
        </row>
        <row r="1454">
          <cell r="A1454">
            <v>45165</v>
          </cell>
          <cell r="B1454" t="str">
            <v>A1</v>
          </cell>
          <cell r="C1454">
            <v>1</v>
          </cell>
          <cell r="D1454">
            <v>1</v>
          </cell>
          <cell r="E1454" t="str">
            <v>ARIS.A1.Aim1.Bin1.LB</v>
          </cell>
          <cell r="F1454">
            <v>4</v>
          </cell>
          <cell r="G1454" t="str">
            <v>Unweighted</v>
          </cell>
          <cell r="H1454" t="str">
            <v>N</v>
          </cell>
          <cell r="I1454" t="str">
            <v>Y</v>
          </cell>
          <cell r="J1454">
            <v>160</v>
          </cell>
          <cell r="K1454">
            <v>1</v>
          </cell>
          <cell r="L1454">
            <v>0.77590000000000003</v>
          </cell>
          <cell r="M1454">
            <v>22.3</v>
          </cell>
          <cell r="N1454">
            <v>6.5</v>
          </cell>
          <cell r="O1454">
            <v>0.22409999999999999</v>
          </cell>
          <cell r="P1454">
            <v>0</v>
          </cell>
          <cell r="Q1454">
            <v>3.7100000000000001E-2</v>
          </cell>
          <cell r="R1454">
            <v>0.187</v>
          </cell>
          <cell r="S1454" t="str">
            <v>NA</v>
          </cell>
          <cell r="T1454">
            <v>59</v>
          </cell>
          <cell r="U1454">
            <v>4.8</v>
          </cell>
          <cell r="V1454">
            <v>73.8</v>
          </cell>
          <cell r="W1454">
            <v>7.5</v>
          </cell>
          <cell r="X1454">
            <v>52.3</v>
          </cell>
          <cell r="Y1454">
            <v>6.8</v>
          </cell>
          <cell r="Z1454" t="str">
            <v>NA</v>
          </cell>
          <cell r="AA1454" t="str">
            <v>NA</v>
          </cell>
        </row>
        <row r="1455">
          <cell r="A1455">
            <v>45165</v>
          </cell>
          <cell r="B1455" t="str">
            <v>A1</v>
          </cell>
          <cell r="C1455">
            <v>1</v>
          </cell>
          <cell r="D1455">
            <v>2</v>
          </cell>
          <cell r="E1455" t="str">
            <v>ARIS.A1.Aim2.Bin1.LB</v>
          </cell>
          <cell r="F1455">
            <v>4</v>
          </cell>
          <cell r="G1455" t="str">
            <v>Unweighted</v>
          </cell>
          <cell r="H1455" t="str">
            <v>N</v>
          </cell>
          <cell r="I1455" t="str">
            <v>Y</v>
          </cell>
          <cell r="J1455">
            <v>162</v>
          </cell>
          <cell r="K1455">
            <v>1</v>
          </cell>
          <cell r="L1455">
            <v>0.57599999999999996</v>
          </cell>
          <cell r="M1455">
            <v>22.4</v>
          </cell>
          <cell r="N1455">
            <v>8.6999999999999993</v>
          </cell>
          <cell r="O1455">
            <v>0.42399999999999999</v>
          </cell>
          <cell r="P1455">
            <v>5.7299999999999997E-2</v>
          </cell>
          <cell r="Q1455">
            <v>2.1000000000000001E-2</v>
          </cell>
          <cell r="R1455">
            <v>0.34570000000000001</v>
          </cell>
          <cell r="S1455" t="str">
            <v>NA</v>
          </cell>
          <cell r="T1455">
            <v>59</v>
          </cell>
          <cell r="U1455">
            <v>4.8</v>
          </cell>
          <cell r="V1455">
            <v>73.8</v>
          </cell>
          <cell r="W1455">
            <v>7.5</v>
          </cell>
          <cell r="X1455">
            <v>52.3</v>
          </cell>
          <cell r="Y1455">
            <v>6.8</v>
          </cell>
          <cell r="Z1455" t="str">
            <v>NA</v>
          </cell>
          <cell r="AA1455" t="str">
            <v>NA</v>
          </cell>
        </row>
        <row r="1456">
          <cell r="A1456">
            <v>45165</v>
          </cell>
          <cell r="B1456" t="str">
            <v>A1</v>
          </cell>
          <cell r="C1456">
            <v>1</v>
          </cell>
          <cell r="D1456" t="str">
            <v>1&amp;2</v>
          </cell>
          <cell r="E1456" t="str">
            <v>ARIS.A1.Aim1&amp;Aim2.Bin1.LB</v>
          </cell>
          <cell r="F1456">
            <v>4</v>
          </cell>
          <cell r="G1456" t="str">
            <v>Unweighted</v>
          </cell>
          <cell r="H1456" t="str">
            <v>N</v>
          </cell>
          <cell r="I1456" t="str">
            <v>Y</v>
          </cell>
          <cell r="J1456">
            <v>322</v>
          </cell>
          <cell r="K1456">
            <v>0.99990000000000001</v>
          </cell>
          <cell r="L1456">
            <v>0.68469999999999998</v>
          </cell>
          <cell r="M1456">
            <v>23.1</v>
          </cell>
          <cell r="N1456">
            <v>7.8</v>
          </cell>
          <cell r="O1456">
            <v>0.31519999999999998</v>
          </cell>
          <cell r="P1456">
            <v>3.3300000000000003E-2</v>
          </cell>
          <cell r="Q1456">
            <v>2.7400000000000001E-2</v>
          </cell>
          <cell r="R1456">
            <v>0.2545</v>
          </cell>
          <cell r="S1456" t="str">
            <v>NA</v>
          </cell>
          <cell r="T1456">
            <v>59</v>
          </cell>
          <cell r="U1456">
            <v>4.8</v>
          </cell>
          <cell r="V1456">
            <v>73.8</v>
          </cell>
          <cell r="W1456">
            <v>7.5</v>
          </cell>
          <cell r="X1456">
            <v>52.3</v>
          </cell>
          <cell r="Y1456">
            <v>6.8</v>
          </cell>
          <cell r="Z1456" t="str">
            <v>NA</v>
          </cell>
          <cell r="AA1456" t="str">
            <v>NA</v>
          </cell>
        </row>
        <row r="1457">
          <cell r="A1457">
            <v>45165</v>
          </cell>
          <cell r="B1457" t="str">
            <v>A1</v>
          </cell>
          <cell r="C1457">
            <v>2</v>
          </cell>
          <cell r="D1457">
            <v>3</v>
          </cell>
          <cell r="E1457" t="str">
            <v>ARIS.A1.Aim3.Bin2.LB</v>
          </cell>
          <cell r="F1457">
            <v>4</v>
          </cell>
          <cell r="G1457" t="str">
            <v>Unweighted</v>
          </cell>
          <cell r="H1457" t="str">
            <v>N</v>
          </cell>
          <cell r="I1457" t="str">
            <v>Y</v>
          </cell>
          <cell r="J1457">
            <v>192</v>
          </cell>
          <cell r="K1457">
            <v>1</v>
          </cell>
          <cell r="L1457">
            <v>0.12670000000000001</v>
          </cell>
          <cell r="M1457">
            <v>27.2</v>
          </cell>
          <cell r="N1457">
            <v>6</v>
          </cell>
          <cell r="O1457">
            <v>0.87329999999999997</v>
          </cell>
          <cell r="P1457">
            <v>0.12139999999999999</v>
          </cell>
          <cell r="Q1457">
            <v>0.2389</v>
          </cell>
          <cell r="R1457">
            <v>0.51300000000000001</v>
          </cell>
          <cell r="S1457" t="str">
            <v>NA</v>
          </cell>
          <cell r="T1457">
            <v>59</v>
          </cell>
          <cell r="U1457">
            <v>4.8</v>
          </cell>
          <cell r="V1457">
            <v>73.8</v>
          </cell>
          <cell r="W1457">
            <v>7.5</v>
          </cell>
          <cell r="X1457">
            <v>52.3</v>
          </cell>
          <cell r="Y1457">
            <v>6.8</v>
          </cell>
          <cell r="Z1457" t="str">
            <v>NA</v>
          </cell>
          <cell r="AA1457" t="str">
            <v>NA</v>
          </cell>
        </row>
        <row r="1458">
          <cell r="A1458">
            <v>45165</v>
          </cell>
          <cell r="B1458" t="str">
            <v>A1</v>
          </cell>
          <cell r="C1458">
            <v>3</v>
          </cell>
          <cell r="D1458">
            <v>3</v>
          </cell>
          <cell r="E1458" t="str">
            <v>ARIS.A1.Aim3.Bin3.LB</v>
          </cell>
          <cell r="F1458">
            <v>4</v>
          </cell>
          <cell r="G1458" t="str">
            <v>Unweighted</v>
          </cell>
          <cell r="H1458" t="str">
            <v>N</v>
          </cell>
          <cell r="I1458" t="str">
            <v>Y</v>
          </cell>
          <cell r="J1458">
            <v>174</v>
          </cell>
          <cell r="K1458">
            <v>1</v>
          </cell>
          <cell r="L1458">
            <v>1.14E-2</v>
          </cell>
          <cell r="M1458">
            <v>23.5</v>
          </cell>
          <cell r="N1458">
            <v>1</v>
          </cell>
          <cell r="O1458">
            <v>0.98860000000000003</v>
          </cell>
          <cell r="P1458">
            <v>0.32779999999999998</v>
          </cell>
          <cell r="Q1458">
            <v>0.5444</v>
          </cell>
          <cell r="R1458">
            <v>0.1164</v>
          </cell>
          <cell r="S1458" t="str">
            <v>NA</v>
          </cell>
          <cell r="T1458">
            <v>59</v>
          </cell>
          <cell r="U1458">
            <v>4.8</v>
          </cell>
          <cell r="V1458">
            <v>73.8</v>
          </cell>
          <cell r="W1458">
            <v>7.5</v>
          </cell>
          <cell r="X1458">
            <v>52.3</v>
          </cell>
          <cell r="Y1458">
            <v>6.8</v>
          </cell>
          <cell r="Z1458" t="str">
            <v>NA</v>
          </cell>
          <cell r="AA1458" t="str">
            <v>NA</v>
          </cell>
        </row>
        <row r="1459">
          <cell r="A1459">
            <v>45165</v>
          </cell>
          <cell r="B1459" t="str">
            <v>A1</v>
          </cell>
          <cell r="C1459">
            <v>4</v>
          </cell>
          <cell r="D1459">
            <v>3</v>
          </cell>
          <cell r="E1459" t="str">
            <v>ARIS.A1.Aim3.Bin4.LB</v>
          </cell>
          <cell r="F1459">
            <v>4</v>
          </cell>
          <cell r="G1459" t="str">
            <v>Unweighted</v>
          </cell>
          <cell r="H1459" t="str">
            <v>N</v>
          </cell>
          <cell r="I1459" t="str">
            <v>Y</v>
          </cell>
          <cell r="J1459">
            <v>174</v>
          </cell>
          <cell r="K1459">
            <v>1</v>
          </cell>
          <cell r="L1459">
            <v>1.14E-2</v>
          </cell>
          <cell r="M1459">
            <v>23.5</v>
          </cell>
          <cell r="N1459">
            <v>1</v>
          </cell>
          <cell r="O1459">
            <v>0.98860000000000003</v>
          </cell>
          <cell r="P1459">
            <v>0.32779999999999998</v>
          </cell>
          <cell r="Q1459">
            <v>0.5444</v>
          </cell>
          <cell r="R1459">
            <v>0.1164</v>
          </cell>
          <cell r="S1459" t="str">
            <v>NA</v>
          </cell>
          <cell r="T1459">
            <v>59</v>
          </cell>
          <cell r="U1459">
            <v>4.8</v>
          </cell>
          <cell r="V1459">
            <v>73.8</v>
          </cell>
          <cell r="W1459">
            <v>7.5</v>
          </cell>
          <cell r="X1459">
            <v>52.3</v>
          </cell>
          <cell r="Y1459">
            <v>6.8</v>
          </cell>
          <cell r="Z1459" t="str">
            <v>NA</v>
          </cell>
          <cell r="AA1459" t="str">
            <v>NA</v>
          </cell>
        </row>
        <row r="1460">
          <cell r="A1460">
            <v>45165</v>
          </cell>
          <cell r="B1460" t="str">
            <v>A2</v>
          </cell>
          <cell r="C1460">
            <v>1</v>
          </cell>
          <cell r="D1460">
            <v>1</v>
          </cell>
          <cell r="E1460" t="str">
            <v>ARIS.A2.Aim1.Bin1.RB</v>
          </cell>
          <cell r="F1460">
            <v>4</v>
          </cell>
          <cell r="G1460" t="str">
            <v>Unweighted</v>
          </cell>
          <cell r="H1460" t="str">
            <v>N</v>
          </cell>
          <cell r="I1460" t="str">
            <v>Y</v>
          </cell>
          <cell r="J1460">
            <v>195</v>
          </cell>
          <cell r="K1460">
            <v>1</v>
          </cell>
          <cell r="L1460">
            <v>0.31269999999999998</v>
          </cell>
          <cell r="M1460">
            <v>22</v>
          </cell>
          <cell r="N1460">
            <v>6.4</v>
          </cell>
          <cell r="O1460">
            <v>0.68730000000000002</v>
          </cell>
          <cell r="P1460">
            <v>0</v>
          </cell>
          <cell r="Q1460">
            <v>7.2700000000000001E-2</v>
          </cell>
          <cell r="R1460">
            <v>0.61460000000000004</v>
          </cell>
          <cell r="S1460" t="str">
            <v>NA</v>
          </cell>
          <cell r="T1460">
            <v>59</v>
          </cell>
          <cell r="U1460">
            <v>4.8</v>
          </cell>
          <cell r="V1460">
            <v>73.8</v>
          </cell>
          <cell r="W1460">
            <v>7.5</v>
          </cell>
          <cell r="X1460">
            <v>52.3</v>
          </cell>
          <cell r="Y1460">
            <v>6.8</v>
          </cell>
          <cell r="Z1460" t="str">
            <v>NA</v>
          </cell>
          <cell r="AA1460" t="str">
            <v>NA</v>
          </cell>
        </row>
        <row r="1461">
          <cell r="A1461">
            <v>45165</v>
          </cell>
          <cell r="B1461" t="str">
            <v>A2</v>
          </cell>
          <cell r="C1461">
            <v>2</v>
          </cell>
          <cell r="D1461">
            <v>1</v>
          </cell>
          <cell r="E1461" t="str">
            <v>ARIS.A2.Aim1.Bin2.RB</v>
          </cell>
          <cell r="F1461">
            <v>4</v>
          </cell>
          <cell r="G1461" t="str">
            <v>Unweighted</v>
          </cell>
          <cell r="H1461" t="str">
            <v>N</v>
          </cell>
          <cell r="I1461" t="str">
            <v>Y</v>
          </cell>
          <cell r="J1461">
            <v>169</v>
          </cell>
          <cell r="K1461">
            <v>1</v>
          </cell>
          <cell r="L1461">
            <v>9.0899999999999995E-2</v>
          </cell>
          <cell r="M1461">
            <v>23.7</v>
          </cell>
          <cell r="N1461">
            <v>9.6</v>
          </cell>
          <cell r="O1461">
            <v>0.90910000000000002</v>
          </cell>
          <cell r="P1461">
            <v>0.12139999999999999</v>
          </cell>
          <cell r="Q1461">
            <v>0.29920000000000002</v>
          </cell>
          <cell r="R1461">
            <v>0.48849999999999999</v>
          </cell>
          <cell r="S1461" t="str">
            <v>NA</v>
          </cell>
          <cell r="T1461">
            <v>59</v>
          </cell>
          <cell r="U1461">
            <v>4.8</v>
          </cell>
          <cell r="V1461">
            <v>73.8</v>
          </cell>
          <cell r="W1461">
            <v>7.5</v>
          </cell>
          <cell r="X1461">
            <v>52.3</v>
          </cell>
          <cell r="Y1461">
            <v>6.8</v>
          </cell>
          <cell r="Z1461" t="str">
            <v>NA</v>
          </cell>
          <cell r="AA1461" t="str">
            <v>NA</v>
          </cell>
        </row>
        <row r="1462">
          <cell r="A1462">
            <v>45165</v>
          </cell>
          <cell r="B1462" t="str">
            <v>A2</v>
          </cell>
          <cell r="C1462">
            <v>3</v>
          </cell>
          <cell r="D1462">
            <v>1</v>
          </cell>
          <cell r="E1462" t="str">
            <v>ARIS.A2.Aim1.Bin3.RB</v>
          </cell>
          <cell r="F1462">
            <v>4</v>
          </cell>
          <cell r="G1462" t="str">
            <v>Unweighted</v>
          </cell>
          <cell r="H1462" t="str">
            <v>N</v>
          </cell>
          <cell r="I1462" t="str">
            <v>Y</v>
          </cell>
          <cell r="J1462">
            <v>164</v>
          </cell>
          <cell r="K1462">
            <v>0.99990000000000001</v>
          </cell>
          <cell r="L1462">
            <v>7.1300000000000002E-2</v>
          </cell>
          <cell r="M1462">
            <v>23.7</v>
          </cell>
          <cell r="N1462">
            <v>5.8</v>
          </cell>
          <cell r="O1462">
            <v>0.92859999999999998</v>
          </cell>
          <cell r="P1462">
            <v>0</v>
          </cell>
          <cell r="Q1462">
            <v>0.66010000000000002</v>
          </cell>
          <cell r="R1462">
            <v>0.26850000000000002</v>
          </cell>
          <cell r="S1462" t="str">
            <v>NA</v>
          </cell>
          <cell r="T1462">
            <v>59</v>
          </cell>
          <cell r="U1462">
            <v>4.8</v>
          </cell>
          <cell r="V1462">
            <v>73.8</v>
          </cell>
          <cell r="W1462">
            <v>7.5</v>
          </cell>
          <cell r="X1462">
            <v>52.3</v>
          </cell>
          <cell r="Y1462">
            <v>6.8</v>
          </cell>
          <cell r="Z1462" t="str">
            <v>NA</v>
          </cell>
          <cell r="AA1462" t="str">
            <v>NA</v>
          </cell>
        </row>
        <row r="1463">
          <cell r="A1463">
            <v>45165</v>
          </cell>
          <cell r="B1463" t="str">
            <v>A2</v>
          </cell>
          <cell r="C1463">
            <v>4</v>
          </cell>
          <cell r="D1463">
            <v>1</v>
          </cell>
          <cell r="E1463" t="str">
            <v>ARIS.A2.Aim1.Bin4.RB</v>
          </cell>
          <cell r="F1463">
            <v>4</v>
          </cell>
          <cell r="G1463" t="str">
            <v>Unweighted</v>
          </cell>
          <cell r="H1463" t="str">
            <v>N</v>
          </cell>
          <cell r="I1463" t="str">
            <v>Y</v>
          </cell>
          <cell r="J1463">
            <v>164</v>
          </cell>
          <cell r="K1463">
            <v>0.99990000000000001</v>
          </cell>
          <cell r="L1463">
            <v>7.1300000000000002E-2</v>
          </cell>
          <cell r="M1463">
            <v>23.7</v>
          </cell>
          <cell r="N1463">
            <v>5.8</v>
          </cell>
          <cell r="O1463">
            <v>0.92859999999999998</v>
          </cell>
          <cell r="P1463">
            <v>0</v>
          </cell>
          <cell r="Q1463">
            <v>0.66010000000000002</v>
          </cell>
          <cell r="R1463">
            <v>0.26850000000000002</v>
          </cell>
          <cell r="S1463" t="str">
            <v>NA</v>
          </cell>
          <cell r="T1463">
            <v>59</v>
          </cell>
          <cell r="U1463">
            <v>4.8</v>
          </cell>
          <cell r="V1463">
            <v>73.8</v>
          </cell>
          <cell r="W1463">
            <v>7.5</v>
          </cell>
          <cell r="X1463">
            <v>52.3</v>
          </cell>
          <cell r="Y1463">
            <v>6.8</v>
          </cell>
          <cell r="Z1463" t="str">
            <v>NA</v>
          </cell>
          <cell r="AA1463" t="str">
            <v>NA</v>
          </cell>
        </row>
        <row r="1464">
          <cell r="A1464">
            <v>45165</v>
          </cell>
          <cell r="B1464" t="str">
            <v>A1</v>
          </cell>
          <cell r="C1464">
            <v>1</v>
          </cell>
          <cell r="D1464">
            <v>1</v>
          </cell>
          <cell r="E1464" t="str">
            <v>ARIS.A1.Aim1.Bin1.LB</v>
          </cell>
          <cell r="F1464">
            <v>4</v>
          </cell>
          <cell r="G1464" t="str">
            <v>SplineDFA</v>
          </cell>
          <cell r="H1464" t="str">
            <v>Y</v>
          </cell>
          <cell r="I1464" t="str">
            <v>N</v>
          </cell>
          <cell r="J1464">
            <v>160</v>
          </cell>
          <cell r="K1464">
            <v>1</v>
          </cell>
          <cell r="L1464">
            <v>0.6512</v>
          </cell>
          <cell r="M1464">
            <v>23.7</v>
          </cell>
          <cell r="N1464">
            <v>2.7</v>
          </cell>
          <cell r="O1464">
            <v>0.3488</v>
          </cell>
          <cell r="P1464">
            <v>8.14E-2</v>
          </cell>
          <cell r="Q1464">
            <v>1.84E-2</v>
          </cell>
          <cell r="R1464">
            <v>0.249</v>
          </cell>
          <cell r="S1464" t="str">
            <v>NA</v>
          </cell>
          <cell r="T1464">
            <v>59</v>
          </cell>
          <cell r="U1464">
            <v>4.8</v>
          </cell>
          <cell r="V1464">
            <v>73.8</v>
          </cell>
          <cell r="W1464">
            <v>7.5</v>
          </cell>
          <cell r="X1464">
            <v>52.3</v>
          </cell>
          <cell r="Y1464">
            <v>6.8</v>
          </cell>
          <cell r="Z1464" t="str">
            <v>NA</v>
          </cell>
          <cell r="AA1464" t="str">
            <v>NA</v>
          </cell>
        </row>
        <row r="1465">
          <cell r="A1465">
            <v>45165</v>
          </cell>
          <cell r="B1465" t="str">
            <v>A1</v>
          </cell>
          <cell r="C1465">
            <v>1</v>
          </cell>
          <cell r="D1465">
            <v>2</v>
          </cell>
          <cell r="E1465" t="str">
            <v>ARIS.A1.Aim2.Bin1.LB</v>
          </cell>
          <cell r="F1465">
            <v>4</v>
          </cell>
          <cell r="G1465" t="str">
            <v>SplineDFA</v>
          </cell>
          <cell r="H1465" t="str">
            <v>Y</v>
          </cell>
          <cell r="I1465" t="str">
            <v>N</v>
          </cell>
          <cell r="J1465">
            <v>162</v>
          </cell>
          <cell r="K1465">
            <v>1</v>
          </cell>
          <cell r="L1465">
            <v>0.54379999999999995</v>
          </cell>
          <cell r="M1465">
            <v>23.7</v>
          </cell>
          <cell r="N1465">
            <v>2.7</v>
          </cell>
          <cell r="O1465">
            <v>0.45619999999999999</v>
          </cell>
          <cell r="P1465">
            <v>0.13469999999999999</v>
          </cell>
          <cell r="Q1465">
            <v>3.5999999999999997E-2</v>
          </cell>
          <cell r="R1465">
            <v>0.28549999999999998</v>
          </cell>
          <cell r="S1465" t="str">
            <v>NA</v>
          </cell>
          <cell r="T1465">
            <v>59</v>
          </cell>
          <cell r="U1465">
            <v>4.8</v>
          </cell>
          <cell r="V1465">
            <v>73.8</v>
          </cell>
          <cell r="W1465">
            <v>7.5</v>
          </cell>
          <cell r="X1465">
            <v>52.3</v>
          </cell>
          <cell r="Y1465">
            <v>6.8</v>
          </cell>
          <cell r="Z1465" t="str">
            <v>NA</v>
          </cell>
          <cell r="AA1465" t="str">
            <v>NA</v>
          </cell>
        </row>
        <row r="1466">
          <cell r="A1466">
            <v>45165</v>
          </cell>
          <cell r="B1466" t="str">
            <v>A1</v>
          </cell>
          <cell r="C1466">
            <v>2</v>
          </cell>
          <cell r="D1466">
            <v>3</v>
          </cell>
          <cell r="E1466" t="str">
            <v>ARIS.A1.Aim3.Bin2.LB</v>
          </cell>
          <cell r="F1466">
            <v>4</v>
          </cell>
          <cell r="G1466" t="str">
            <v>SplineDFA</v>
          </cell>
          <cell r="H1466" t="str">
            <v>Y</v>
          </cell>
          <cell r="I1466" t="str">
            <v>N</v>
          </cell>
          <cell r="J1466">
            <v>192</v>
          </cell>
          <cell r="K1466">
            <v>1</v>
          </cell>
          <cell r="L1466">
            <v>0.11749999999999999</v>
          </cell>
          <cell r="M1466">
            <v>23.7</v>
          </cell>
          <cell r="N1466">
            <v>2.7</v>
          </cell>
          <cell r="O1466">
            <v>0.88249999999999995</v>
          </cell>
          <cell r="P1466">
            <v>0.2127</v>
          </cell>
          <cell r="Q1466">
            <v>0.23960000000000001</v>
          </cell>
          <cell r="R1466">
            <v>0.43020000000000003</v>
          </cell>
          <cell r="S1466" t="str">
            <v>NA</v>
          </cell>
          <cell r="T1466">
            <v>59</v>
          </cell>
          <cell r="U1466">
            <v>4.8</v>
          </cell>
          <cell r="V1466">
            <v>73.8</v>
          </cell>
          <cell r="W1466">
            <v>7.5</v>
          </cell>
          <cell r="X1466">
            <v>52.3</v>
          </cell>
          <cell r="Y1466">
            <v>6.8</v>
          </cell>
          <cell r="Z1466" t="str">
            <v>NA</v>
          </cell>
          <cell r="AA1466" t="str">
            <v>NA</v>
          </cell>
        </row>
        <row r="1467">
          <cell r="A1467">
            <v>45165</v>
          </cell>
          <cell r="B1467" t="str">
            <v>A1</v>
          </cell>
          <cell r="C1467">
            <v>3</v>
          </cell>
          <cell r="D1467">
            <v>3</v>
          </cell>
          <cell r="E1467" t="str">
            <v>ARIS.A1.Aim3.Bin3.LB</v>
          </cell>
          <cell r="F1467">
            <v>4</v>
          </cell>
          <cell r="G1467" t="str">
            <v>SplineDFA</v>
          </cell>
          <cell r="H1467" t="str">
            <v>Y</v>
          </cell>
          <cell r="I1467" t="str">
            <v>N</v>
          </cell>
          <cell r="J1467">
            <v>174</v>
          </cell>
          <cell r="K1467">
            <v>1</v>
          </cell>
          <cell r="L1467">
            <v>1.24E-2</v>
          </cell>
          <cell r="M1467">
            <v>23.7</v>
          </cell>
          <cell r="N1467">
            <v>2.7</v>
          </cell>
          <cell r="O1467">
            <v>0.98760000000000003</v>
          </cell>
          <cell r="P1467">
            <v>0.34749999999999998</v>
          </cell>
          <cell r="Q1467">
            <v>0.50529999999999997</v>
          </cell>
          <cell r="R1467">
            <v>0.1348</v>
          </cell>
          <cell r="S1467" t="str">
            <v>NA</v>
          </cell>
          <cell r="T1467">
            <v>59</v>
          </cell>
          <cell r="U1467">
            <v>4.8</v>
          </cell>
          <cell r="V1467">
            <v>73.8</v>
          </cell>
          <cell r="W1467">
            <v>7.5</v>
          </cell>
          <cell r="X1467">
            <v>52.3</v>
          </cell>
          <cell r="Y1467">
            <v>6.8</v>
          </cell>
          <cell r="Z1467" t="str">
            <v>NA</v>
          </cell>
          <cell r="AA1467" t="str">
            <v>NA</v>
          </cell>
        </row>
        <row r="1468">
          <cell r="A1468">
            <v>45165</v>
          </cell>
          <cell r="B1468" t="str">
            <v>A1</v>
          </cell>
          <cell r="C1468">
            <v>4</v>
          </cell>
          <cell r="D1468">
            <v>3</v>
          </cell>
          <cell r="E1468" t="str">
            <v>ARIS.A1.Aim3.Bin4.LB</v>
          </cell>
          <cell r="F1468">
            <v>4</v>
          </cell>
          <cell r="G1468" t="str">
            <v>SplineDFA</v>
          </cell>
          <cell r="H1468" t="str">
            <v>Y</v>
          </cell>
          <cell r="I1468" t="str">
            <v>N</v>
          </cell>
          <cell r="J1468">
            <v>174</v>
          </cell>
          <cell r="K1468">
            <v>1</v>
          </cell>
          <cell r="L1468">
            <v>1.24E-2</v>
          </cell>
          <cell r="M1468">
            <v>23.7</v>
          </cell>
          <cell r="N1468">
            <v>2.7</v>
          </cell>
          <cell r="O1468">
            <v>0.98760000000000003</v>
          </cell>
          <cell r="P1468">
            <v>0.34749999999999998</v>
          </cell>
          <cell r="Q1468">
            <v>0.50529999999999997</v>
          </cell>
          <cell r="R1468">
            <v>0.1348</v>
          </cell>
          <cell r="S1468" t="str">
            <v>NA</v>
          </cell>
          <cell r="T1468">
            <v>59</v>
          </cell>
          <cell r="U1468">
            <v>4.8</v>
          </cell>
          <cell r="V1468">
            <v>73.8</v>
          </cell>
          <cell r="W1468">
            <v>7.5</v>
          </cell>
          <cell r="X1468">
            <v>52.3</v>
          </cell>
          <cell r="Y1468">
            <v>6.8</v>
          </cell>
          <cell r="Z1468" t="str">
            <v>NA</v>
          </cell>
          <cell r="AA1468" t="str">
            <v>NA</v>
          </cell>
        </row>
        <row r="1469">
          <cell r="A1469">
            <v>45165</v>
          </cell>
          <cell r="B1469" t="str">
            <v>A2</v>
          </cell>
          <cell r="C1469">
            <v>1</v>
          </cell>
          <cell r="D1469">
            <v>1</v>
          </cell>
          <cell r="E1469" t="str">
            <v>ARIS.A2.Aim1.Bin1.RB</v>
          </cell>
          <cell r="F1469">
            <v>4</v>
          </cell>
          <cell r="G1469" t="str">
            <v>SplineDFA</v>
          </cell>
          <cell r="H1469" t="str">
            <v>Y</v>
          </cell>
          <cell r="I1469" t="str">
            <v>N</v>
          </cell>
          <cell r="J1469">
            <v>195</v>
          </cell>
          <cell r="K1469">
            <v>1</v>
          </cell>
          <cell r="L1469">
            <v>0.2949</v>
          </cell>
          <cell r="M1469">
            <v>23.7</v>
          </cell>
          <cell r="N1469">
            <v>2.7</v>
          </cell>
          <cell r="O1469">
            <v>0.70509999999999995</v>
          </cell>
          <cell r="P1469">
            <v>0.20250000000000001</v>
          </cell>
          <cell r="Q1469">
            <v>4.58E-2</v>
          </cell>
          <cell r="R1469">
            <v>0.45679999999999998</v>
          </cell>
          <cell r="S1469" t="str">
            <v>NA</v>
          </cell>
          <cell r="T1469">
            <v>59</v>
          </cell>
          <cell r="U1469">
            <v>4.8</v>
          </cell>
          <cell r="V1469">
            <v>73.8</v>
          </cell>
          <cell r="W1469">
            <v>7.5</v>
          </cell>
          <cell r="X1469">
            <v>52.3</v>
          </cell>
          <cell r="Y1469">
            <v>6.8</v>
          </cell>
          <cell r="Z1469" t="str">
            <v>NA</v>
          </cell>
          <cell r="AA1469" t="str">
            <v>NA</v>
          </cell>
        </row>
        <row r="1470">
          <cell r="A1470">
            <v>45165</v>
          </cell>
          <cell r="B1470" t="str">
            <v>A2</v>
          </cell>
          <cell r="C1470">
            <v>2</v>
          </cell>
          <cell r="D1470">
            <v>1</v>
          </cell>
          <cell r="E1470" t="str">
            <v>ARIS.A2.Aim1.Bin2.RB</v>
          </cell>
          <cell r="F1470">
            <v>4</v>
          </cell>
          <cell r="G1470" t="str">
            <v>SplineDFA</v>
          </cell>
          <cell r="H1470" t="str">
            <v>Y</v>
          </cell>
          <cell r="I1470" t="str">
            <v>N</v>
          </cell>
          <cell r="J1470">
            <v>169</v>
          </cell>
          <cell r="K1470">
            <v>0.99990000000000001</v>
          </cell>
          <cell r="L1470">
            <v>8.3299999999999999E-2</v>
          </cell>
          <cell r="M1470">
            <v>23.7</v>
          </cell>
          <cell r="N1470">
            <v>2.7</v>
          </cell>
          <cell r="O1470">
            <v>0.91659999999999997</v>
          </cell>
          <cell r="P1470">
            <v>0.29310000000000003</v>
          </cell>
          <cell r="Q1470">
            <v>0.2356</v>
          </cell>
          <cell r="R1470">
            <v>0.38790000000000002</v>
          </cell>
          <cell r="S1470" t="str">
            <v>NA</v>
          </cell>
          <cell r="T1470">
            <v>59</v>
          </cell>
          <cell r="U1470">
            <v>4.8</v>
          </cell>
          <cell r="V1470">
            <v>73.8</v>
          </cell>
          <cell r="W1470">
            <v>7.5</v>
          </cell>
          <cell r="X1470">
            <v>52.3</v>
          </cell>
          <cell r="Y1470">
            <v>6.8</v>
          </cell>
          <cell r="Z1470" t="str">
            <v>NA</v>
          </cell>
          <cell r="AA1470" t="str">
            <v>NA</v>
          </cell>
        </row>
        <row r="1471">
          <cell r="A1471">
            <v>45165</v>
          </cell>
          <cell r="B1471" t="str">
            <v>A2</v>
          </cell>
          <cell r="C1471">
            <v>3</v>
          </cell>
          <cell r="D1471">
            <v>1</v>
          </cell>
          <cell r="E1471" t="str">
            <v>ARIS.A2.Aim1.Bin3.RB</v>
          </cell>
          <cell r="F1471">
            <v>4</v>
          </cell>
          <cell r="G1471" t="str">
            <v>SplineDFA</v>
          </cell>
          <cell r="H1471" t="str">
            <v>Y</v>
          </cell>
          <cell r="I1471" t="str">
            <v>N</v>
          </cell>
          <cell r="J1471">
            <v>164</v>
          </cell>
          <cell r="K1471">
            <v>1</v>
          </cell>
          <cell r="L1471">
            <v>3.5200000000000002E-2</v>
          </cell>
          <cell r="M1471">
            <v>23.7</v>
          </cell>
          <cell r="N1471">
            <v>2.7</v>
          </cell>
          <cell r="O1471">
            <v>0.96479999999999999</v>
          </cell>
          <cell r="P1471">
            <v>0.1895</v>
          </cell>
          <cell r="Q1471">
            <v>0.58609999999999995</v>
          </cell>
          <cell r="R1471">
            <v>0.18920000000000001</v>
          </cell>
          <cell r="S1471" t="str">
            <v>NA</v>
          </cell>
          <cell r="T1471">
            <v>59</v>
          </cell>
          <cell r="U1471">
            <v>4.8</v>
          </cell>
          <cell r="V1471">
            <v>73.8</v>
          </cell>
          <cell r="W1471">
            <v>7.5</v>
          </cell>
          <cell r="X1471">
            <v>52.3</v>
          </cell>
          <cell r="Y1471">
            <v>6.8</v>
          </cell>
          <cell r="Z1471" t="str">
            <v>NA</v>
          </cell>
          <cell r="AA1471" t="str">
            <v>NA</v>
          </cell>
        </row>
        <row r="1472">
          <cell r="A1472">
            <v>45165</v>
          </cell>
          <cell r="B1472" t="str">
            <v>A2</v>
          </cell>
          <cell r="C1472">
            <v>4</v>
          </cell>
          <cell r="D1472">
            <v>1</v>
          </cell>
          <cell r="E1472" t="str">
            <v>ARIS.A2.Aim1.Bin4.RB</v>
          </cell>
          <cell r="F1472">
            <v>4</v>
          </cell>
          <cell r="G1472" t="str">
            <v>SplineDFA</v>
          </cell>
          <cell r="H1472" t="str">
            <v>Y</v>
          </cell>
          <cell r="I1472" t="str">
            <v>N</v>
          </cell>
          <cell r="J1472">
            <v>164</v>
          </cell>
          <cell r="K1472">
            <v>1</v>
          </cell>
          <cell r="L1472">
            <v>3.5200000000000002E-2</v>
          </cell>
          <cell r="M1472">
            <v>23.7</v>
          </cell>
          <cell r="N1472">
            <v>2.7</v>
          </cell>
          <cell r="O1472">
            <v>0.96479999999999999</v>
          </cell>
          <cell r="P1472">
            <v>0.1895</v>
          </cell>
          <cell r="Q1472">
            <v>0.58609999999999995</v>
          </cell>
          <cell r="R1472">
            <v>0.18920000000000001</v>
          </cell>
          <cell r="S1472" t="str">
            <v>NA</v>
          </cell>
          <cell r="T1472">
            <v>59</v>
          </cell>
          <cell r="U1472">
            <v>4.8</v>
          </cell>
          <cell r="V1472">
            <v>73.8</v>
          </cell>
          <cell r="W1472">
            <v>7.5</v>
          </cell>
          <cell r="X1472">
            <v>52.3</v>
          </cell>
          <cell r="Y1472">
            <v>6.8</v>
          </cell>
          <cell r="Z1472" t="str">
            <v>NA</v>
          </cell>
          <cell r="AA1472" t="str">
            <v>NA</v>
          </cell>
        </row>
        <row r="1473">
          <cell r="A1473">
            <v>45166</v>
          </cell>
          <cell r="B1473" t="str">
            <v>A1</v>
          </cell>
          <cell r="C1473">
            <v>1</v>
          </cell>
          <cell r="D1473">
            <v>1</v>
          </cell>
          <cell r="E1473" t="str">
            <v>ARIS.A1.Aim1.Bin1.LB</v>
          </cell>
          <cell r="F1473">
            <v>4</v>
          </cell>
          <cell r="G1473" t="str">
            <v>Unweighted</v>
          </cell>
          <cell r="H1473" t="str">
            <v>N</v>
          </cell>
          <cell r="I1473" t="str">
            <v>Y</v>
          </cell>
          <cell r="J1473">
            <v>178</v>
          </cell>
          <cell r="K1473">
            <v>1</v>
          </cell>
          <cell r="L1473">
            <v>0.71209999999999996</v>
          </cell>
          <cell r="M1473">
            <v>24.2</v>
          </cell>
          <cell r="N1473">
            <v>6.1</v>
          </cell>
          <cell r="O1473">
            <v>0.28789999999999999</v>
          </cell>
          <cell r="P1473">
            <v>0</v>
          </cell>
          <cell r="Q1473">
            <v>1.24E-2</v>
          </cell>
          <cell r="R1473">
            <v>0.27550000000000002</v>
          </cell>
          <cell r="S1473" t="str">
            <v>NA</v>
          </cell>
          <cell r="T1473">
            <v>59</v>
          </cell>
          <cell r="U1473">
            <v>4.8</v>
          </cell>
          <cell r="V1473">
            <v>73.8</v>
          </cell>
          <cell r="W1473">
            <v>7.5</v>
          </cell>
          <cell r="X1473">
            <v>52.3</v>
          </cell>
          <cell r="Y1473">
            <v>6.8</v>
          </cell>
          <cell r="Z1473" t="str">
            <v>NA</v>
          </cell>
          <cell r="AA1473" t="str">
            <v>NA</v>
          </cell>
        </row>
        <row r="1474">
          <cell r="A1474">
            <v>45166</v>
          </cell>
          <cell r="B1474" t="str">
            <v>A1</v>
          </cell>
          <cell r="C1474">
            <v>1</v>
          </cell>
          <cell r="D1474">
            <v>2</v>
          </cell>
          <cell r="E1474" t="str">
            <v>ARIS.A1.Aim2.Bin1.LB</v>
          </cell>
          <cell r="F1474">
            <v>4</v>
          </cell>
          <cell r="G1474" t="str">
            <v>Unweighted</v>
          </cell>
          <cell r="H1474" t="str">
            <v>N</v>
          </cell>
          <cell r="I1474" t="str">
            <v>Y</v>
          </cell>
          <cell r="J1474">
            <v>183</v>
          </cell>
          <cell r="K1474">
            <v>0.99990000000000001</v>
          </cell>
          <cell r="L1474">
            <v>0.34289999999999998</v>
          </cell>
          <cell r="M1474">
            <v>20.3</v>
          </cell>
          <cell r="N1474">
            <v>6.6</v>
          </cell>
          <cell r="O1474">
            <v>0.65700000000000003</v>
          </cell>
          <cell r="P1474">
            <v>0</v>
          </cell>
          <cell r="Q1474">
            <v>5.1999999999999998E-3</v>
          </cell>
          <cell r="R1474">
            <v>0.65180000000000005</v>
          </cell>
          <cell r="S1474" t="str">
            <v>NA</v>
          </cell>
          <cell r="T1474">
            <v>59</v>
          </cell>
          <cell r="U1474">
            <v>4.8</v>
          </cell>
          <cell r="V1474">
            <v>73.8</v>
          </cell>
          <cell r="W1474">
            <v>7.5</v>
          </cell>
          <cell r="X1474">
            <v>52.3</v>
          </cell>
          <cell r="Y1474">
            <v>6.8</v>
          </cell>
          <cell r="Z1474" t="str">
            <v>NA</v>
          </cell>
          <cell r="AA1474" t="str">
            <v>NA</v>
          </cell>
        </row>
        <row r="1475">
          <cell r="A1475">
            <v>45166</v>
          </cell>
          <cell r="B1475" t="str">
            <v>A1</v>
          </cell>
          <cell r="C1475">
            <v>1</v>
          </cell>
          <cell r="D1475" t="str">
            <v>1&amp;2</v>
          </cell>
          <cell r="E1475" t="str">
            <v>ARIS.A1.Aim1&amp;Aim2.Bin1.LB</v>
          </cell>
          <cell r="F1475">
            <v>4</v>
          </cell>
          <cell r="G1475" t="str">
            <v>Unweighted</v>
          </cell>
          <cell r="H1475" t="str">
            <v>N</v>
          </cell>
          <cell r="I1475" t="str">
            <v>Y</v>
          </cell>
          <cell r="J1475">
            <v>361</v>
          </cell>
          <cell r="K1475">
            <v>1</v>
          </cell>
          <cell r="L1475">
            <v>0.54110000000000003</v>
          </cell>
          <cell r="M1475">
            <v>22.9</v>
          </cell>
          <cell r="N1475">
            <v>6.7</v>
          </cell>
          <cell r="O1475">
            <v>0.45889999999999997</v>
          </cell>
          <cell r="P1475">
            <v>0</v>
          </cell>
          <cell r="Q1475">
            <v>6.1999999999999998E-3</v>
          </cell>
          <cell r="R1475">
            <v>0.45269999999999999</v>
          </cell>
          <cell r="S1475" t="str">
            <v>NA</v>
          </cell>
          <cell r="T1475">
            <v>59</v>
          </cell>
          <cell r="U1475">
            <v>4.8</v>
          </cell>
          <cell r="V1475">
            <v>73.8</v>
          </cell>
          <cell r="W1475">
            <v>7.5</v>
          </cell>
          <cell r="X1475">
            <v>52.3</v>
          </cell>
          <cell r="Y1475">
            <v>6.8</v>
          </cell>
          <cell r="Z1475" t="str">
            <v>NA</v>
          </cell>
          <cell r="AA1475" t="str">
            <v>NA</v>
          </cell>
        </row>
        <row r="1476">
          <cell r="A1476">
            <v>45166</v>
          </cell>
          <cell r="B1476" t="str">
            <v>A1</v>
          </cell>
          <cell r="C1476">
            <v>2</v>
          </cell>
          <cell r="D1476">
            <v>3</v>
          </cell>
          <cell r="E1476" t="str">
            <v>ARIS.A1.Aim3.Bin2.LB</v>
          </cell>
          <cell r="F1476">
            <v>4</v>
          </cell>
          <cell r="G1476" t="str">
            <v>Unweighted</v>
          </cell>
          <cell r="H1476" t="str">
            <v>N</v>
          </cell>
          <cell r="I1476" t="str">
            <v>Y</v>
          </cell>
          <cell r="J1476">
            <v>170</v>
          </cell>
          <cell r="K1476">
            <v>1</v>
          </cell>
          <cell r="L1476">
            <v>3.5400000000000001E-2</v>
          </cell>
          <cell r="M1476">
            <v>23.7</v>
          </cell>
          <cell r="N1476">
            <v>8.9</v>
          </cell>
          <cell r="O1476">
            <v>0.96460000000000001</v>
          </cell>
          <cell r="P1476">
            <v>0.2142</v>
          </cell>
          <cell r="Q1476">
            <v>0.1124</v>
          </cell>
          <cell r="R1476">
            <v>0.63800000000000001</v>
          </cell>
          <cell r="S1476" t="str">
            <v>NA</v>
          </cell>
          <cell r="T1476">
            <v>59</v>
          </cell>
          <cell r="U1476">
            <v>4.8</v>
          </cell>
          <cell r="V1476">
            <v>73.8</v>
          </cell>
          <cell r="W1476">
            <v>7.5</v>
          </cell>
          <cell r="X1476">
            <v>52.3</v>
          </cell>
          <cell r="Y1476">
            <v>6.8</v>
          </cell>
          <cell r="Z1476" t="str">
            <v>NA</v>
          </cell>
          <cell r="AA1476" t="str">
            <v>NA</v>
          </cell>
        </row>
        <row r="1477">
          <cell r="A1477">
            <v>45166</v>
          </cell>
          <cell r="B1477" t="str">
            <v>A1</v>
          </cell>
          <cell r="C1477">
            <v>3</v>
          </cell>
          <cell r="D1477">
            <v>3</v>
          </cell>
          <cell r="E1477" t="str">
            <v>ARIS.A1.Aim3.Bin3.LB</v>
          </cell>
          <cell r="F1477">
            <v>4</v>
          </cell>
          <cell r="G1477" t="str">
            <v>Unweighted</v>
          </cell>
          <cell r="H1477" t="str">
            <v>N</v>
          </cell>
          <cell r="I1477" t="str">
            <v>Y</v>
          </cell>
          <cell r="J1477">
            <v>196</v>
          </cell>
          <cell r="K1477">
            <v>1</v>
          </cell>
          <cell r="L1477">
            <v>1.1299999999999999E-2</v>
          </cell>
          <cell r="M1477">
            <v>23.7</v>
          </cell>
          <cell r="N1477">
            <v>12.4</v>
          </cell>
          <cell r="O1477">
            <v>0.98870000000000002</v>
          </cell>
          <cell r="P1477">
            <v>0.23899999999999999</v>
          </cell>
          <cell r="Q1477">
            <v>0.56220000000000003</v>
          </cell>
          <cell r="R1477">
            <v>0.1875</v>
          </cell>
          <cell r="S1477" t="str">
            <v>NA</v>
          </cell>
          <cell r="T1477">
            <v>59</v>
          </cell>
          <cell r="U1477">
            <v>4.8</v>
          </cell>
          <cell r="V1477">
            <v>73.8</v>
          </cell>
          <cell r="W1477">
            <v>7.5</v>
          </cell>
          <cell r="X1477">
            <v>52.3</v>
          </cell>
          <cell r="Y1477">
            <v>6.8</v>
          </cell>
          <cell r="Z1477" t="str">
            <v>NA</v>
          </cell>
          <cell r="AA1477" t="str">
            <v>NA</v>
          </cell>
        </row>
        <row r="1478">
          <cell r="A1478">
            <v>45166</v>
          </cell>
          <cell r="B1478" t="str">
            <v>A1</v>
          </cell>
          <cell r="C1478">
            <v>4</v>
          </cell>
          <cell r="D1478">
            <v>3</v>
          </cell>
          <cell r="E1478" t="str">
            <v>ARIS.A1.Aim3.Bin4.LB</v>
          </cell>
          <cell r="F1478">
            <v>4</v>
          </cell>
          <cell r="G1478" t="str">
            <v>Unweighted</v>
          </cell>
          <cell r="H1478" t="str">
            <v>N</v>
          </cell>
          <cell r="I1478" t="str">
            <v>Y</v>
          </cell>
          <cell r="J1478">
            <v>196</v>
          </cell>
          <cell r="K1478">
            <v>1</v>
          </cell>
          <cell r="L1478">
            <v>1.1299999999999999E-2</v>
          </cell>
          <cell r="M1478">
            <v>23.7</v>
          </cell>
          <cell r="N1478">
            <v>12.4</v>
          </cell>
          <cell r="O1478">
            <v>0.98870000000000002</v>
          </cell>
          <cell r="P1478">
            <v>0.23899999999999999</v>
          </cell>
          <cell r="Q1478">
            <v>0.56220000000000003</v>
          </cell>
          <cell r="R1478">
            <v>0.1875</v>
          </cell>
          <cell r="S1478" t="str">
            <v>NA</v>
          </cell>
          <cell r="T1478">
            <v>59</v>
          </cell>
          <cell r="U1478">
            <v>4.8</v>
          </cell>
          <cell r="V1478">
            <v>73.8</v>
          </cell>
          <cell r="W1478">
            <v>7.5</v>
          </cell>
          <cell r="X1478">
            <v>52.3</v>
          </cell>
          <cell r="Y1478">
            <v>6.8</v>
          </cell>
          <cell r="Z1478" t="str">
            <v>NA</v>
          </cell>
          <cell r="AA1478" t="str">
            <v>NA</v>
          </cell>
        </row>
        <row r="1479">
          <cell r="A1479">
            <v>45166</v>
          </cell>
          <cell r="B1479" t="str">
            <v>A2</v>
          </cell>
          <cell r="C1479">
            <v>1</v>
          </cell>
          <cell r="D1479">
            <v>1</v>
          </cell>
          <cell r="E1479" t="str">
            <v>ARIS.A2.Aim1.Bin1.RB</v>
          </cell>
          <cell r="F1479">
            <v>4</v>
          </cell>
          <cell r="G1479" t="str">
            <v>Unweighted</v>
          </cell>
          <cell r="H1479" t="str">
            <v>N</v>
          </cell>
          <cell r="I1479" t="str">
            <v>Y</v>
          </cell>
          <cell r="J1479">
            <v>195</v>
          </cell>
          <cell r="K1479">
            <v>1</v>
          </cell>
          <cell r="L1479">
            <v>0.31269999999999998</v>
          </cell>
          <cell r="M1479">
            <v>22</v>
          </cell>
          <cell r="N1479">
            <v>6.4</v>
          </cell>
          <cell r="O1479">
            <v>0.68730000000000002</v>
          </cell>
          <cell r="P1479">
            <v>0</v>
          </cell>
          <cell r="Q1479">
            <v>7.2700000000000001E-2</v>
          </cell>
          <cell r="R1479">
            <v>0.61460000000000004</v>
          </cell>
          <cell r="S1479" t="str">
            <v>NA</v>
          </cell>
          <cell r="T1479">
            <v>59</v>
          </cell>
          <cell r="U1479">
            <v>4.8</v>
          </cell>
          <cell r="V1479">
            <v>73.8</v>
          </cell>
          <cell r="W1479">
            <v>7.5</v>
          </cell>
          <cell r="X1479">
            <v>52.3</v>
          </cell>
          <cell r="Y1479">
            <v>6.8</v>
          </cell>
          <cell r="Z1479" t="str">
            <v>NA</v>
          </cell>
          <cell r="AA1479" t="str">
            <v>NA</v>
          </cell>
        </row>
        <row r="1480">
          <cell r="A1480">
            <v>45166</v>
          </cell>
          <cell r="B1480" t="str">
            <v>A2</v>
          </cell>
          <cell r="C1480">
            <v>2</v>
          </cell>
          <cell r="D1480">
            <v>1</v>
          </cell>
          <cell r="E1480" t="str">
            <v>ARIS.A2.Aim1.Bin2.RB</v>
          </cell>
          <cell r="F1480">
            <v>4</v>
          </cell>
          <cell r="G1480" t="str">
            <v>Unweighted</v>
          </cell>
          <cell r="H1480" t="str">
            <v>N</v>
          </cell>
          <cell r="I1480" t="str">
            <v>Y</v>
          </cell>
          <cell r="J1480">
            <v>169</v>
          </cell>
          <cell r="K1480">
            <v>1</v>
          </cell>
          <cell r="L1480">
            <v>9.0899999999999995E-2</v>
          </cell>
          <cell r="M1480">
            <v>23.7</v>
          </cell>
          <cell r="N1480">
            <v>9.6</v>
          </cell>
          <cell r="O1480">
            <v>0.90910000000000002</v>
          </cell>
          <cell r="P1480">
            <v>0.12139999999999999</v>
          </cell>
          <cell r="Q1480">
            <v>0.29920000000000002</v>
          </cell>
          <cell r="R1480">
            <v>0.48849999999999999</v>
          </cell>
          <cell r="S1480" t="str">
            <v>NA</v>
          </cell>
          <cell r="T1480">
            <v>59</v>
          </cell>
          <cell r="U1480">
            <v>4.8</v>
          </cell>
          <cell r="V1480">
            <v>73.8</v>
          </cell>
          <cell r="W1480">
            <v>7.5</v>
          </cell>
          <cell r="X1480">
            <v>52.3</v>
          </cell>
          <cell r="Y1480">
            <v>6.8</v>
          </cell>
          <cell r="Z1480" t="str">
            <v>NA</v>
          </cell>
          <cell r="AA1480" t="str">
            <v>NA</v>
          </cell>
        </row>
        <row r="1481">
          <cell r="A1481">
            <v>45166</v>
          </cell>
          <cell r="B1481" t="str">
            <v>A2</v>
          </cell>
          <cell r="C1481">
            <v>3</v>
          </cell>
          <cell r="D1481">
            <v>1</v>
          </cell>
          <cell r="E1481" t="str">
            <v>ARIS.A2.Aim1.Bin3.RB</v>
          </cell>
          <cell r="F1481">
            <v>4</v>
          </cell>
          <cell r="G1481" t="str">
            <v>Unweighted</v>
          </cell>
          <cell r="H1481" t="str">
            <v>N</v>
          </cell>
          <cell r="I1481" t="str">
            <v>Y</v>
          </cell>
          <cell r="J1481">
            <v>164</v>
          </cell>
          <cell r="K1481">
            <v>0.99990000000000001</v>
          </cell>
          <cell r="L1481">
            <v>7.1300000000000002E-2</v>
          </cell>
          <cell r="M1481">
            <v>23.7</v>
          </cell>
          <cell r="N1481">
            <v>5.8</v>
          </cell>
          <cell r="O1481">
            <v>0.92859999999999998</v>
          </cell>
          <cell r="P1481">
            <v>0</v>
          </cell>
          <cell r="Q1481">
            <v>0.66010000000000002</v>
          </cell>
          <cell r="R1481">
            <v>0.26850000000000002</v>
          </cell>
          <cell r="S1481" t="str">
            <v>NA</v>
          </cell>
          <cell r="T1481">
            <v>59</v>
          </cell>
          <cell r="U1481">
            <v>4.8</v>
          </cell>
          <cell r="V1481">
            <v>73.8</v>
          </cell>
          <cell r="W1481">
            <v>7.5</v>
          </cell>
          <cell r="X1481">
            <v>52.3</v>
          </cell>
          <cell r="Y1481">
            <v>6.8</v>
          </cell>
          <cell r="Z1481" t="str">
            <v>NA</v>
          </cell>
          <cell r="AA1481" t="str">
            <v>NA</v>
          </cell>
        </row>
        <row r="1482">
          <cell r="A1482">
            <v>45166</v>
          </cell>
          <cell r="B1482" t="str">
            <v>A2</v>
          </cell>
          <cell r="C1482">
            <v>4</v>
          </cell>
          <cell r="D1482">
            <v>1</v>
          </cell>
          <cell r="E1482" t="str">
            <v>ARIS.A2.Aim1.Bin4.RB</v>
          </cell>
          <cell r="F1482">
            <v>4</v>
          </cell>
          <cell r="G1482" t="str">
            <v>Unweighted</v>
          </cell>
          <cell r="H1482" t="str">
            <v>N</v>
          </cell>
          <cell r="I1482" t="str">
            <v>Y</v>
          </cell>
          <cell r="J1482">
            <v>164</v>
          </cell>
          <cell r="K1482">
            <v>0.99990000000000001</v>
          </cell>
          <cell r="L1482">
            <v>7.1300000000000002E-2</v>
          </cell>
          <cell r="M1482">
            <v>23.7</v>
          </cell>
          <cell r="N1482">
            <v>5.8</v>
          </cell>
          <cell r="O1482">
            <v>0.92859999999999998</v>
          </cell>
          <cell r="P1482">
            <v>0</v>
          </cell>
          <cell r="Q1482">
            <v>0.66010000000000002</v>
          </cell>
          <cell r="R1482">
            <v>0.26850000000000002</v>
          </cell>
          <cell r="S1482" t="str">
            <v>NA</v>
          </cell>
          <cell r="T1482">
            <v>59</v>
          </cell>
          <cell r="U1482">
            <v>4.8</v>
          </cell>
          <cell r="V1482">
            <v>73.8</v>
          </cell>
          <cell r="W1482">
            <v>7.5</v>
          </cell>
          <cell r="X1482">
            <v>52.3</v>
          </cell>
          <cell r="Y1482">
            <v>6.8</v>
          </cell>
          <cell r="Z1482" t="str">
            <v>NA</v>
          </cell>
          <cell r="AA1482" t="str">
            <v>NA</v>
          </cell>
        </row>
        <row r="1483">
          <cell r="A1483">
            <v>45166</v>
          </cell>
          <cell r="B1483" t="str">
            <v>A1</v>
          </cell>
          <cell r="C1483">
            <v>1</v>
          </cell>
          <cell r="D1483">
            <v>1</v>
          </cell>
          <cell r="E1483" t="str">
            <v>ARIS.A1.Aim1.Bin1.LB</v>
          </cell>
          <cell r="F1483">
            <v>4</v>
          </cell>
          <cell r="G1483" t="str">
            <v>SplineDFA</v>
          </cell>
          <cell r="H1483" t="str">
            <v>Y</v>
          </cell>
          <cell r="I1483" t="str">
            <v>N</v>
          </cell>
          <cell r="J1483">
            <v>178</v>
          </cell>
          <cell r="K1483">
            <v>0.99990000000000001</v>
          </cell>
          <cell r="L1483">
            <v>0.60840000000000005</v>
          </cell>
          <cell r="M1483">
            <v>23.7</v>
          </cell>
          <cell r="N1483">
            <v>2.7</v>
          </cell>
          <cell r="O1483">
            <v>0.39150000000000001</v>
          </cell>
          <cell r="P1483">
            <v>0.104</v>
          </cell>
          <cell r="Q1483">
            <v>2.0199999999999999E-2</v>
          </cell>
          <cell r="R1483">
            <v>0.26729999999999998</v>
          </cell>
          <cell r="S1483" t="str">
            <v>NA</v>
          </cell>
          <cell r="T1483">
            <v>59</v>
          </cell>
          <cell r="U1483">
            <v>4.8</v>
          </cell>
          <cell r="V1483">
            <v>73.8</v>
          </cell>
          <cell r="W1483">
            <v>7.5</v>
          </cell>
          <cell r="X1483">
            <v>52.3</v>
          </cell>
          <cell r="Y1483">
            <v>6.8</v>
          </cell>
          <cell r="Z1483" t="str">
            <v>NA</v>
          </cell>
          <cell r="AA1483" t="str">
            <v>NA</v>
          </cell>
        </row>
        <row r="1484">
          <cell r="A1484">
            <v>45166</v>
          </cell>
          <cell r="B1484" t="str">
            <v>A1</v>
          </cell>
          <cell r="C1484">
            <v>1</v>
          </cell>
          <cell r="D1484">
            <v>2</v>
          </cell>
          <cell r="E1484" t="str">
            <v>ARIS.A1.Aim2.Bin1.LB</v>
          </cell>
          <cell r="F1484">
            <v>4</v>
          </cell>
          <cell r="G1484" t="str">
            <v>SplineDFA</v>
          </cell>
          <cell r="H1484" t="str">
            <v>Y</v>
          </cell>
          <cell r="I1484" t="str">
            <v>N</v>
          </cell>
          <cell r="J1484">
            <v>183</v>
          </cell>
          <cell r="K1484">
            <v>1</v>
          </cell>
          <cell r="L1484">
            <v>0.30349999999999999</v>
          </cell>
          <cell r="M1484">
            <v>23.7</v>
          </cell>
          <cell r="N1484">
            <v>2.7</v>
          </cell>
          <cell r="O1484">
            <v>0.69650000000000001</v>
          </cell>
          <cell r="P1484">
            <v>0.20849999999999999</v>
          </cell>
          <cell r="Q1484">
            <v>2.1100000000000001E-2</v>
          </cell>
          <cell r="R1484">
            <v>0.46689999999999998</v>
          </cell>
          <cell r="S1484" t="str">
            <v>NA</v>
          </cell>
          <cell r="T1484">
            <v>59</v>
          </cell>
          <cell r="U1484">
            <v>4.8</v>
          </cell>
          <cell r="V1484">
            <v>73.8</v>
          </cell>
          <cell r="W1484">
            <v>7.5</v>
          </cell>
          <cell r="X1484">
            <v>52.3</v>
          </cell>
          <cell r="Y1484">
            <v>6.8</v>
          </cell>
          <cell r="Z1484" t="str">
            <v>NA</v>
          </cell>
          <cell r="AA1484" t="str">
            <v>NA</v>
          </cell>
        </row>
        <row r="1485">
          <cell r="A1485">
            <v>45166</v>
          </cell>
          <cell r="B1485" t="str">
            <v>A1</v>
          </cell>
          <cell r="C1485">
            <v>2</v>
          </cell>
          <cell r="D1485">
            <v>3</v>
          </cell>
          <cell r="E1485" t="str">
            <v>ARIS.A1.Aim3.Bin2.LB</v>
          </cell>
          <cell r="F1485">
            <v>4</v>
          </cell>
          <cell r="G1485" t="str">
            <v>SplineDFA</v>
          </cell>
          <cell r="H1485" t="str">
            <v>Y</v>
          </cell>
          <cell r="I1485" t="str">
            <v>N</v>
          </cell>
          <cell r="J1485">
            <v>170</v>
          </cell>
          <cell r="K1485">
            <v>1</v>
          </cell>
          <cell r="L1485">
            <v>3.0300000000000001E-2</v>
          </cell>
          <cell r="M1485">
            <v>23.7</v>
          </cell>
          <cell r="N1485">
            <v>2.7</v>
          </cell>
          <cell r="O1485">
            <v>0.96970000000000001</v>
          </cell>
          <cell r="P1485">
            <v>0.29959999999999998</v>
          </cell>
          <cell r="Q1485">
            <v>0.14410000000000001</v>
          </cell>
          <cell r="R1485">
            <v>0.52600000000000002</v>
          </cell>
          <cell r="S1485" t="str">
            <v>NA</v>
          </cell>
          <cell r="T1485">
            <v>59</v>
          </cell>
          <cell r="U1485">
            <v>4.8</v>
          </cell>
          <cell r="V1485">
            <v>73.8</v>
          </cell>
          <cell r="W1485">
            <v>7.5</v>
          </cell>
          <cell r="X1485">
            <v>52.3</v>
          </cell>
          <cell r="Y1485">
            <v>6.8</v>
          </cell>
          <cell r="Z1485" t="str">
            <v>NA</v>
          </cell>
          <cell r="AA1485" t="str">
            <v>NA</v>
          </cell>
        </row>
        <row r="1486">
          <cell r="A1486">
            <v>45166</v>
          </cell>
          <cell r="B1486" t="str">
            <v>A1</v>
          </cell>
          <cell r="C1486">
            <v>3</v>
          </cell>
          <cell r="D1486">
            <v>3</v>
          </cell>
          <cell r="E1486" t="str">
            <v>ARIS.A1.Aim3.Bin3.LB</v>
          </cell>
          <cell r="F1486">
            <v>4</v>
          </cell>
          <cell r="G1486" t="str">
            <v>SplineDFA</v>
          </cell>
          <cell r="H1486" t="str">
            <v>Y</v>
          </cell>
          <cell r="I1486" t="str">
            <v>N</v>
          </cell>
          <cell r="J1486">
            <v>196</v>
          </cell>
          <cell r="K1486">
            <v>1</v>
          </cell>
          <cell r="L1486">
            <v>4.7999999999999996E-3</v>
          </cell>
          <cell r="M1486">
            <v>23.7</v>
          </cell>
          <cell r="N1486">
            <v>2.7</v>
          </cell>
          <cell r="O1486">
            <v>0.99519999999999997</v>
          </cell>
          <cell r="P1486">
            <v>0.34160000000000001</v>
          </cell>
          <cell r="Q1486">
            <v>0.51259999999999994</v>
          </cell>
          <cell r="R1486">
            <v>0.14099999999999999</v>
          </cell>
          <cell r="S1486" t="str">
            <v>NA</v>
          </cell>
          <cell r="T1486">
            <v>59</v>
          </cell>
          <cell r="U1486">
            <v>4.8</v>
          </cell>
          <cell r="V1486">
            <v>73.8</v>
          </cell>
          <cell r="W1486">
            <v>7.5</v>
          </cell>
          <cell r="X1486">
            <v>52.3</v>
          </cell>
          <cell r="Y1486">
            <v>6.8</v>
          </cell>
          <cell r="Z1486" t="str">
            <v>NA</v>
          </cell>
          <cell r="AA1486" t="str">
            <v>NA</v>
          </cell>
        </row>
        <row r="1487">
          <cell r="A1487">
            <v>45166</v>
          </cell>
          <cell r="B1487" t="str">
            <v>A1</v>
          </cell>
          <cell r="C1487">
            <v>4</v>
          </cell>
          <cell r="D1487">
            <v>3</v>
          </cell>
          <cell r="E1487" t="str">
            <v>ARIS.A1.Aim3.Bin4.LB</v>
          </cell>
          <cell r="F1487">
            <v>4</v>
          </cell>
          <cell r="G1487" t="str">
            <v>SplineDFA</v>
          </cell>
          <cell r="H1487" t="str">
            <v>Y</v>
          </cell>
          <cell r="I1487" t="str">
            <v>N</v>
          </cell>
          <cell r="J1487">
            <v>196</v>
          </cell>
          <cell r="K1487">
            <v>1</v>
          </cell>
          <cell r="L1487">
            <v>4.7999999999999996E-3</v>
          </cell>
          <cell r="M1487">
            <v>23.7</v>
          </cell>
          <cell r="N1487">
            <v>2.7</v>
          </cell>
          <cell r="O1487">
            <v>0.99519999999999997</v>
          </cell>
          <cell r="P1487">
            <v>0.34160000000000001</v>
          </cell>
          <cell r="Q1487">
            <v>0.51259999999999994</v>
          </cell>
          <cell r="R1487">
            <v>0.14099999999999999</v>
          </cell>
          <cell r="S1487" t="str">
            <v>NA</v>
          </cell>
          <cell r="T1487">
            <v>59</v>
          </cell>
          <cell r="U1487">
            <v>4.8</v>
          </cell>
          <cell r="V1487">
            <v>73.8</v>
          </cell>
          <cell r="W1487">
            <v>7.5</v>
          </cell>
          <cell r="X1487">
            <v>52.3</v>
          </cell>
          <cell r="Y1487">
            <v>6.8</v>
          </cell>
          <cell r="Z1487" t="str">
            <v>NA</v>
          </cell>
          <cell r="AA1487" t="str">
            <v>NA</v>
          </cell>
        </row>
        <row r="1488">
          <cell r="A1488">
            <v>45166</v>
          </cell>
          <cell r="B1488" t="str">
            <v>A2</v>
          </cell>
          <cell r="C1488">
            <v>1</v>
          </cell>
          <cell r="D1488">
            <v>1</v>
          </cell>
          <cell r="E1488" t="str">
            <v>ARIS.A2.Aim1.Bin1.RB</v>
          </cell>
          <cell r="F1488">
            <v>4</v>
          </cell>
          <cell r="G1488" t="str">
            <v>SplineDFA</v>
          </cell>
          <cell r="H1488" t="str">
            <v>Y</v>
          </cell>
          <cell r="I1488" t="str">
            <v>N</v>
          </cell>
          <cell r="J1488">
            <v>195</v>
          </cell>
          <cell r="K1488">
            <v>1</v>
          </cell>
          <cell r="L1488">
            <v>0.2949</v>
          </cell>
          <cell r="M1488">
            <v>23.7</v>
          </cell>
          <cell r="N1488">
            <v>2.7</v>
          </cell>
          <cell r="O1488">
            <v>0.70509999999999995</v>
          </cell>
          <cell r="P1488">
            <v>0.20250000000000001</v>
          </cell>
          <cell r="Q1488">
            <v>4.58E-2</v>
          </cell>
          <cell r="R1488">
            <v>0.45679999999999998</v>
          </cell>
          <cell r="S1488" t="str">
            <v>NA</v>
          </cell>
          <cell r="T1488">
            <v>59</v>
          </cell>
          <cell r="U1488">
            <v>4.8</v>
          </cell>
          <cell r="V1488">
            <v>73.8</v>
          </cell>
          <cell r="W1488">
            <v>7.5</v>
          </cell>
          <cell r="X1488">
            <v>52.3</v>
          </cell>
          <cell r="Y1488">
            <v>6.8</v>
          </cell>
          <cell r="Z1488" t="str">
            <v>NA</v>
          </cell>
          <cell r="AA1488" t="str">
            <v>NA</v>
          </cell>
        </row>
        <row r="1489">
          <cell r="A1489">
            <v>45166</v>
          </cell>
          <cell r="B1489" t="str">
            <v>A2</v>
          </cell>
          <cell r="C1489">
            <v>2</v>
          </cell>
          <cell r="D1489">
            <v>1</v>
          </cell>
          <cell r="E1489" t="str">
            <v>ARIS.A2.Aim1.Bin2.RB</v>
          </cell>
          <cell r="F1489">
            <v>4</v>
          </cell>
          <cell r="G1489" t="str">
            <v>SplineDFA</v>
          </cell>
          <cell r="H1489" t="str">
            <v>Y</v>
          </cell>
          <cell r="I1489" t="str">
            <v>N</v>
          </cell>
          <cell r="J1489">
            <v>169</v>
          </cell>
          <cell r="K1489">
            <v>0.99990000000000001</v>
          </cell>
          <cell r="L1489">
            <v>8.3299999999999999E-2</v>
          </cell>
          <cell r="M1489">
            <v>23.7</v>
          </cell>
          <cell r="N1489">
            <v>2.7</v>
          </cell>
          <cell r="O1489">
            <v>0.91659999999999997</v>
          </cell>
          <cell r="P1489">
            <v>0.29310000000000003</v>
          </cell>
          <cell r="Q1489">
            <v>0.2356</v>
          </cell>
          <cell r="R1489">
            <v>0.38790000000000002</v>
          </cell>
          <cell r="S1489" t="str">
            <v>NA</v>
          </cell>
          <cell r="T1489">
            <v>59</v>
          </cell>
          <cell r="U1489">
            <v>4.8</v>
          </cell>
          <cell r="V1489">
            <v>73.8</v>
          </cell>
          <cell r="W1489">
            <v>7.5</v>
          </cell>
          <cell r="X1489">
            <v>52.3</v>
          </cell>
          <cell r="Y1489">
            <v>6.8</v>
          </cell>
          <cell r="Z1489" t="str">
            <v>NA</v>
          </cell>
          <cell r="AA1489" t="str">
            <v>NA</v>
          </cell>
        </row>
        <row r="1490">
          <cell r="A1490">
            <v>45166</v>
          </cell>
          <cell r="B1490" t="str">
            <v>A2</v>
          </cell>
          <cell r="C1490">
            <v>3</v>
          </cell>
          <cell r="D1490">
            <v>1</v>
          </cell>
          <cell r="E1490" t="str">
            <v>ARIS.A2.Aim1.Bin3.RB</v>
          </cell>
          <cell r="F1490">
            <v>4</v>
          </cell>
          <cell r="G1490" t="str">
            <v>SplineDFA</v>
          </cell>
          <cell r="H1490" t="str">
            <v>Y</v>
          </cell>
          <cell r="I1490" t="str">
            <v>N</v>
          </cell>
          <cell r="J1490">
            <v>164</v>
          </cell>
          <cell r="K1490">
            <v>1</v>
          </cell>
          <cell r="L1490">
            <v>3.5200000000000002E-2</v>
          </cell>
          <cell r="M1490">
            <v>23.7</v>
          </cell>
          <cell r="N1490">
            <v>2.7</v>
          </cell>
          <cell r="O1490">
            <v>0.96479999999999999</v>
          </cell>
          <cell r="P1490">
            <v>0.1895</v>
          </cell>
          <cell r="Q1490">
            <v>0.58609999999999995</v>
          </cell>
          <cell r="R1490">
            <v>0.18920000000000001</v>
          </cell>
          <cell r="S1490" t="str">
            <v>NA</v>
          </cell>
          <cell r="T1490">
            <v>59</v>
          </cell>
          <cell r="U1490">
            <v>4.8</v>
          </cell>
          <cell r="V1490">
            <v>73.8</v>
          </cell>
          <cell r="W1490">
            <v>7.5</v>
          </cell>
          <cell r="X1490">
            <v>52.3</v>
          </cell>
          <cell r="Y1490">
            <v>6.8</v>
          </cell>
          <cell r="Z1490" t="str">
            <v>NA</v>
          </cell>
          <cell r="AA1490" t="str">
            <v>NA</v>
          </cell>
        </row>
        <row r="1491">
          <cell r="A1491">
            <v>45166</v>
          </cell>
          <cell r="B1491" t="str">
            <v>A2</v>
          </cell>
          <cell r="C1491">
            <v>4</v>
          </cell>
          <cell r="D1491">
            <v>1</v>
          </cell>
          <cell r="E1491" t="str">
            <v>ARIS.A2.Aim1.Bin4.RB</v>
          </cell>
          <cell r="F1491">
            <v>4</v>
          </cell>
          <cell r="G1491" t="str">
            <v>SplineDFA</v>
          </cell>
          <cell r="H1491" t="str">
            <v>Y</v>
          </cell>
          <cell r="I1491" t="str">
            <v>N</v>
          </cell>
          <cell r="J1491">
            <v>164</v>
          </cell>
          <cell r="K1491">
            <v>1</v>
          </cell>
          <cell r="L1491">
            <v>3.5200000000000002E-2</v>
          </cell>
          <cell r="M1491">
            <v>23.7</v>
          </cell>
          <cell r="N1491">
            <v>2.7</v>
          </cell>
          <cell r="O1491">
            <v>0.96479999999999999</v>
          </cell>
          <cell r="P1491">
            <v>0.1895</v>
          </cell>
          <cell r="Q1491">
            <v>0.58609999999999995</v>
          </cell>
          <cell r="R1491">
            <v>0.18920000000000001</v>
          </cell>
          <cell r="S1491" t="str">
            <v>NA</v>
          </cell>
          <cell r="T1491">
            <v>59</v>
          </cell>
          <cell r="U1491">
            <v>4.8</v>
          </cell>
          <cell r="V1491">
            <v>73.8</v>
          </cell>
          <cell r="W1491">
            <v>7.5</v>
          </cell>
          <cell r="X1491">
            <v>52.3</v>
          </cell>
          <cell r="Y1491">
            <v>6.8</v>
          </cell>
          <cell r="Z1491" t="str">
            <v>NA</v>
          </cell>
          <cell r="AA1491" t="str">
            <v>NA</v>
          </cell>
        </row>
        <row r="1492">
          <cell r="A1492">
            <v>45167</v>
          </cell>
          <cell r="B1492" t="str">
            <v>A1</v>
          </cell>
          <cell r="C1492">
            <v>1</v>
          </cell>
          <cell r="D1492">
            <v>1</v>
          </cell>
          <cell r="E1492" t="str">
            <v>ARIS.A1.Aim1.Bin1.LB</v>
          </cell>
          <cell r="F1492">
            <v>4</v>
          </cell>
          <cell r="G1492" t="str">
            <v>Unweighted</v>
          </cell>
          <cell r="H1492" t="str">
            <v>N</v>
          </cell>
          <cell r="I1492" t="str">
            <v>Y</v>
          </cell>
          <cell r="J1492">
            <v>158</v>
          </cell>
          <cell r="K1492">
            <v>1</v>
          </cell>
          <cell r="L1492">
            <v>0.78620000000000001</v>
          </cell>
          <cell r="M1492">
            <v>24.5</v>
          </cell>
          <cell r="N1492">
            <v>5.2</v>
          </cell>
          <cell r="O1492">
            <v>0.21379999999999999</v>
          </cell>
          <cell r="P1492">
            <v>0</v>
          </cell>
          <cell r="Q1492">
            <v>1.7000000000000001E-2</v>
          </cell>
          <cell r="R1492">
            <v>0.1968</v>
          </cell>
          <cell r="S1492" t="str">
            <v>NA</v>
          </cell>
          <cell r="T1492">
            <v>59</v>
          </cell>
          <cell r="U1492">
            <v>4.8</v>
          </cell>
          <cell r="V1492">
            <v>73.3</v>
          </cell>
          <cell r="W1492">
            <v>7.4</v>
          </cell>
          <cell r="X1492">
            <v>53.9</v>
          </cell>
          <cell r="Y1492">
            <v>7</v>
          </cell>
          <cell r="Z1492" t="str">
            <v>NA</v>
          </cell>
          <cell r="AA1492" t="str">
            <v>NA</v>
          </cell>
        </row>
        <row r="1493">
          <cell r="A1493">
            <v>45167</v>
          </cell>
          <cell r="B1493" t="str">
            <v>A1</v>
          </cell>
          <cell r="C1493">
            <v>1</v>
          </cell>
          <cell r="D1493">
            <v>2</v>
          </cell>
          <cell r="E1493" t="str">
            <v>ARIS.A1.Aim2.Bin1.LB</v>
          </cell>
          <cell r="F1493">
            <v>4</v>
          </cell>
          <cell r="G1493" t="str">
            <v>Unweighted</v>
          </cell>
          <cell r="H1493" t="str">
            <v>N</v>
          </cell>
          <cell r="I1493" t="str">
            <v>Y</v>
          </cell>
          <cell r="J1493">
            <v>154</v>
          </cell>
          <cell r="K1493">
            <v>1</v>
          </cell>
          <cell r="L1493">
            <v>0.25459999999999999</v>
          </cell>
          <cell r="M1493">
            <v>23.8</v>
          </cell>
          <cell r="N1493">
            <v>5.9</v>
          </cell>
          <cell r="O1493">
            <v>0.74539999999999995</v>
          </cell>
          <cell r="P1493">
            <v>0</v>
          </cell>
          <cell r="Q1493">
            <v>2.24E-2</v>
          </cell>
          <cell r="R1493">
            <v>0.72299999999999998</v>
          </cell>
          <cell r="S1493" t="str">
            <v>NA</v>
          </cell>
          <cell r="T1493">
            <v>59</v>
          </cell>
          <cell r="U1493">
            <v>4.8</v>
          </cell>
          <cell r="V1493">
            <v>73.3</v>
          </cell>
          <cell r="W1493">
            <v>7.4</v>
          </cell>
          <cell r="X1493">
            <v>53.9</v>
          </cell>
          <cell r="Y1493">
            <v>7</v>
          </cell>
          <cell r="Z1493" t="str">
            <v>NA</v>
          </cell>
          <cell r="AA1493" t="str">
            <v>NA</v>
          </cell>
        </row>
        <row r="1494">
          <cell r="A1494">
            <v>45167</v>
          </cell>
          <cell r="B1494" t="str">
            <v>A1</v>
          </cell>
          <cell r="C1494">
            <v>1</v>
          </cell>
          <cell r="D1494" t="str">
            <v>1&amp;2</v>
          </cell>
          <cell r="E1494" t="str">
            <v>ARIS.A1.Aim1&amp;Aim2.Bin1.LB</v>
          </cell>
          <cell r="F1494">
            <v>4</v>
          </cell>
          <cell r="G1494" t="str">
            <v>Unweighted</v>
          </cell>
          <cell r="H1494" t="str">
            <v>N</v>
          </cell>
          <cell r="I1494" t="str">
            <v>Y</v>
          </cell>
          <cell r="J1494">
            <v>312</v>
          </cell>
          <cell r="K1494">
            <v>1</v>
          </cell>
          <cell r="L1494">
            <v>0.53769999999999996</v>
          </cell>
          <cell r="M1494">
            <v>24.4</v>
          </cell>
          <cell r="N1494">
            <v>5.5</v>
          </cell>
          <cell r="O1494">
            <v>0.46229999999999999</v>
          </cell>
          <cell r="P1494">
            <v>0</v>
          </cell>
          <cell r="Q1494">
            <v>1.26E-2</v>
          </cell>
          <cell r="R1494">
            <v>0.44969999999999999</v>
          </cell>
          <cell r="S1494" t="str">
            <v>NA</v>
          </cell>
          <cell r="T1494">
            <v>59</v>
          </cell>
          <cell r="U1494">
            <v>4.8</v>
          </cell>
          <cell r="V1494">
            <v>73.3</v>
          </cell>
          <cell r="W1494">
            <v>7.4</v>
          </cell>
          <cell r="X1494">
            <v>53.9</v>
          </cell>
          <cell r="Y1494">
            <v>7</v>
          </cell>
          <cell r="Z1494" t="str">
            <v>NA</v>
          </cell>
          <cell r="AA1494" t="str">
            <v>NA</v>
          </cell>
        </row>
        <row r="1495">
          <cell r="A1495">
            <v>45167</v>
          </cell>
          <cell r="B1495" t="str">
            <v>A1</v>
          </cell>
          <cell r="C1495">
            <v>2</v>
          </cell>
          <cell r="D1495">
            <v>3</v>
          </cell>
          <cell r="E1495" t="str">
            <v>ARIS.A1.Aim3.Bin2.LB</v>
          </cell>
          <cell r="F1495">
            <v>4</v>
          </cell>
          <cell r="G1495" t="str">
            <v>Unweighted</v>
          </cell>
          <cell r="H1495" t="str">
            <v>N</v>
          </cell>
          <cell r="I1495" t="str">
            <v>Y</v>
          </cell>
          <cell r="J1495">
            <v>164</v>
          </cell>
          <cell r="K1495">
            <v>1</v>
          </cell>
          <cell r="L1495">
            <v>2.07E-2</v>
          </cell>
          <cell r="M1495">
            <v>25.6</v>
          </cell>
          <cell r="N1495">
            <v>6.4</v>
          </cell>
          <cell r="O1495">
            <v>0.97929999999999995</v>
          </cell>
          <cell r="P1495">
            <v>0</v>
          </cell>
          <cell r="Q1495">
            <v>0.1018</v>
          </cell>
          <cell r="R1495">
            <v>0.87749999999999995</v>
          </cell>
          <cell r="S1495" t="str">
            <v>NA</v>
          </cell>
          <cell r="T1495">
            <v>59</v>
          </cell>
          <cell r="U1495">
            <v>4.8</v>
          </cell>
          <cell r="V1495">
            <v>73.3</v>
          </cell>
          <cell r="W1495">
            <v>7.4</v>
          </cell>
          <cell r="X1495">
            <v>53.9</v>
          </cell>
          <cell r="Y1495">
            <v>7</v>
          </cell>
          <cell r="Z1495" t="str">
            <v>NA</v>
          </cell>
          <cell r="AA1495" t="str">
            <v>NA</v>
          </cell>
        </row>
        <row r="1496">
          <cell r="A1496">
            <v>45167</v>
          </cell>
          <cell r="B1496" t="str">
            <v>A1</v>
          </cell>
          <cell r="C1496">
            <v>3</v>
          </cell>
          <cell r="D1496">
            <v>3</v>
          </cell>
          <cell r="E1496" t="str">
            <v>ARIS.A1.Aim3.Bin3.LB</v>
          </cell>
          <cell r="F1496">
            <v>4</v>
          </cell>
          <cell r="G1496" t="str">
            <v>Unweighted</v>
          </cell>
          <cell r="H1496" t="str">
            <v>N</v>
          </cell>
          <cell r="I1496" t="str">
            <v>Y</v>
          </cell>
          <cell r="J1496">
            <v>167</v>
          </cell>
          <cell r="K1496">
            <v>1.0001</v>
          </cell>
          <cell r="L1496">
            <v>1.9400000000000001E-2</v>
          </cell>
          <cell r="M1496">
            <v>23.7</v>
          </cell>
          <cell r="N1496">
            <v>2.7</v>
          </cell>
          <cell r="O1496">
            <v>0.98070000000000002</v>
          </cell>
          <cell r="P1496">
            <v>0.02</v>
          </cell>
          <cell r="Q1496">
            <v>0.51429999999999998</v>
          </cell>
          <cell r="R1496">
            <v>0.44640000000000002</v>
          </cell>
          <cell r="S1496" t="str">
            <v>NA</v>
          </cell>
          <cell r="T1496">
            <v>59</v>
          </cell>
          <cell r="U1496">
            <v>4.8</v>
          </cell>
          <cell r="V1496">
            <v>73.3</v>
          </cell>
          <cell r="W1496">
            <v>7.4</v>
          </cell>
          <cell r="X1496">
            <v>53.9</v>
          </cell>
          <cell r="Y1496">
            <v>7</v>
          </cell>
          <cell r="Z1496" t="str">
            <v>NA</v>
          </cell>
          <cell r="AA1496" t="str">
            <v>NA</v>
          </cell>
        </row>
        <row r="1497">
          <cell r="A1497">
            <v>45167</v>
          </cell>
          <cell r="B1497" t="str">
            <v>A1</v>
          </cell>
          <cell r="C1497">
            <v>4</v>
          </cell>
          <cell r="D1497">
            <v>3</v>
          </cell>
          <cell r="E1497" t="str">
            <v>ARIS.A1.Aim3.Bin4.LB</v>
          </cell>
          <cell r="F1497">
            <v>4</v>
          </cell>
          <cell r="G1497" t="str">
            <v>Unweighted</v>
          </cell>
          <cell r="H1497" t="str">
            <v>N</v>
          </cell>
          <cell r="I1497" t="str">
            <v>Y</v>
          </cell>
          <cell r="J1497">
            <v>167</v>
          </cell>
          <cell r="K1497">
            <v>1.0001</v>
          </cell>
          <cell r="L1497">
            <v>1.9400000000000001E-2</v>
          </cell>
          <cell r="M1497">
            <v>23.7</v>
          </cell>
          <cell r="N1497">
            <v>2.7</v>
          </cell>
          <cell r="O1497">
            <v>0.98070000000000002</v>
          </cell>
          <cell r="P1497">
            <v>0.02</v>
          </cell>
          <cell r="Q1497">
            <v>0.51429999999999998</v>
          </cell>
          <cell r="R1497">
            <v>0.44640000000000002</v>
          </cell>
          <cell r="S1497" t="str">
            <v>NA</v>
          </cell>
          <cell r="T1497">
            <v>59</v>
          </cell>
          <cell r="U1497">
            <v>4.8</v>
          </cell>
          <cell r="V1497">
            <v>73.3</v>
          </cell>
          <cell r="W1497">
            <v>7.4</v>
          </cell>
          <cell r="X1497">
            <v>53.9</v>
          </cell>
          <cell r="Y1497">
            <v>7</v>
          </cell>
          <cell r="Z1497" t="str">
            <v>NA</v>
          </cell>
          <cell r="AA1497" t="str">
            <v>NA</v>
          </cell>
        </row>
        <row r="1498">
          <cell r="A1498">
            <v>45167</v>
          </cell>
          <cell r="B1498" t="str">
            <v>A2</v>
          </cell>
          <cell r="C1498">
            <v>1</v>
          </cell>
          <cell r="D1498">
            <v>1</v>
          </cell>
          <cell r="E1498" t="str">
            <v>ARIS.A2.Aim1.Bin1.RB</v>
          </cell>
          <cell r="F1498">
            <v>4</v>
          </cell>
          <cell r="G1498" t="str">
            <v>Unweighted</v>
          </cell>
          <cell r="H1498" t="str">
            <v>N</v>
          </cell>
          <cell r="I1498" t="str">
            <v>Y</v>
          </cell>
          <cell r="J1498">
            <v>146</v>
          </cell>
          <cell r="K1498">
            <v>1</v>
          </cell>
          <cell r="L1498">
            <v>0.37980000000000003</v>
          </cell>
          <cell r="M1498">
            <v>22</v>
          </cell>
          <cell r="N1498">
            <v>7.9</v>
          </cell>
          <cell r="O1498">
            <v>0.62019999999999997</v>
          </cell>
          <cell r="P1498">
            <v>0</v>
          </cell>
          <cell r="Q1498">
            <v>1.21E-2</v>
          </cell>
          <cell r="R1498">
            <v>0.60809999999999997</v>
          </cell>
          <cell r="S1498" t="str">
            <v>NA</v>
          </cell>
          <cell r="T1498">
            <v>59</v>
          </cell>
          <cell r="U1498">
            <v>4.8</v>
          </cell>
          <cell r="V1498">
            <v>73.3</v>
          </cell>
          <cell r="W1498">
            <v>7.4</v>
          </cell>
          <cell r="X1498">
            <v>53.9</v>
          </cell>
          <cell r="Y1498">
            <v>7</v>
          </cell>
          <cell r="Z1498" t="str">
            <v>NA</v>
          </cell>
          <cell r="AA1498" t="str">
            <v>NA</v>
          </cell>
        </row>
        <row r="1499">
          <cell r="A1499">
            <v>45167</v>
          </cell>
          <cell r="B1499" t="str">
            <v>A2</v>
          </cell>
          <cell r="C1499">
            <v>2</v>
          </cell>
          <cell r="D1499">
            <v>1</v>
          </cell>
          <cell r="E1499" t="str">
            <v>ARIS.A2.Aim1.Bin2.RB</v>
          </cell>
          <cell r="F1499">
            <v>4</v>
          </cell>
          <cell r="G1499" t="str">
            <v>Unweighted</v>
          </cell>
          <cell r="H1499" t="str">
            <v>N</v>
          </cell>
          <cell r="I1499" t="str">
            <v>Y</v>
          </cell>
          <cell r="J1499">
            <v>158</v>
          </cell>
          <cell r="K1499">
            <v>1</v>
          </cell>
          <cell r="L1499">
            <v>0.2777</v>
          </cell>
          <cell r="M1499">
            <v>23.7</v>
          </cell>
          <cell r="N1499">
            <v>11.2</v>
          </cell>
          <cell r="O1499">
            <v>0.72230000000000005</v>
          </cell>
          <cell r="P1499">
            <v>5.3100000000000001E-2</v>
          </cell>
          <cell r="Q1499">
            <v>0.24210000000000001</v>
          </cell>
          <cell r="R1499">
            <v>0.42709999999999998</v>
          </cell>
          <cell r="S1499" t="str">
            <v>NA</v>
          </cell>
          <cell r="T1499">
            <v>59</v>
          </cell>
          <cell r="U1499">
            <v>4.8</v>
          </cell>
          <cell r="V1499">
            <v>73.3</v>
          </cell>
          <cell r="W1499">
            <v>7.4</v>
          </cell>
          <cell r="X1499">
            <v>53.9</v>
          </cell>
          <cell r="Y1499">
            <v>7</v>
          </cell>
          <cell r="Z1499" t="str">
            <v>NA</v>
          </cell>
          <cell r="AA1499" t="str">
            <v>NA</v>
          </cell>
        </row>
        <row r="1500">
          <cell r="A1500">
            <v>45167</v>
          </cell>
          <cell r="B1500" t="str">
            <v>A2</v>
          </cell>
          <cell r="C1500">
            <v>3</v>
          </cell>
          <cell r="D1500">
            <v>1</v>
          </cell>
          <cell r="E1500" t="str">
            <v>ARIS.A2.Aim1.Bin3.RB</v>
          </cell>
          <cell r="F1500">
            <v>4</v>
          </cell>
          <cell r="G1500" t="str">
            <v>Unweighted</v>
          </cell>
          <cell r="H1500" t="str">
            <v>N</v>
          </cell>
          <cell r="I1500" t="str">
            <v>Y</v>
          </cell>
          <cell r="J1500">
            <v>146</v>
          </cell>
          <cell r="K1500">
            <v>1</v>
          </cell>
          <cell r="L1500">
            <v>6.9900000000000004E-2</v>
          </cell>
          <cell r="M1500">
            <v>23.7</v>
          </cell>
          <cell r="N1500">
            <v>5.5</v>
          </cell>
          <cell r="O1500">
            <v>0.93010000000000004</v>
          </cell>
          <cell r="P1500">
            <v>0</v>
          </cell>
          <cell r="Q1500">
            <v>0.62829999999999997</v>
          </cell>
          <cell r="R1500">
            <v>0.30180000000000001</v>
          </cell>
          <cell r="S1500" t="str">
            <v>NA</v>
          </cell>
          <cell r="T1500">
            <v>59</v>
          </cell>
          <cell r="U1500">
            <v>4.8</v>
          </cell>
          <cell r="V1500">
            <v>73.3</v>
          </cell>
          <cell r="W1500">
            <v>7.4</v>
          </cell>
          <cell r="X1500">
            <v>53.9</v>
          </cell>
          <cell r="Y1500">
            <v>7</v>
          </cell>
          <cell r="Z1500" t="str">
            <v>NA</v>
          </cell>
          <cell r="AA1500" t="str">
            <v>NA</v>
          </cell>
        </row>
        <row r="1501">
          <cell r="A1501">
            <v>45167</v>
          </cell>
          <cell r="B1501" t="str">
            <v>A2</v>
          </cell>
          <cell r="C1501">
            <v>4</v>
          </cell>
          <cell r="D1501">
            <v>1</v>
          </cell>
          <cell r="E1501" t="str">
            <v>ARIS.A2.Aim1.Bin4.RB</v>
          </cell>
          <cell r="F1501">
            <v>4</v>
          </cell>
          <cell r="G1501" t="str">
            <v>Unweighted</v>
          </cell>
          <cell r="H1501" t="str">
            <v>N</v>
          </cell>
          <cell r="I1501" t="str">
            <v>Y</v>
          </cell>
          <cell r="J1501">
            <v>146</v>
          </cell>
          <cell r="K1501">
            <v>1</v>
          </cell>
          <cell r="L1501">
            <v>6.9900000000000004E-2</v>
          </cell>
          <cell r="M1501">
            <v>23.7</v>
          </cell>
          <cell r="N1501">
            <v>5.5</v>
          </cell>
          <cell r="O1501">
            <v>0.93010000000000004</v>
          </cell>
          <cell r="P1501">
            <v>0</v>
          </cell>
          <cell r="Q1501">
            <v>0.62829999999999997</v>
          </cell>
          <cell r="R1501">
            <v>0.30180000000000001</v>
          </cell>
          <cell r="S1501" t="str">
            <v>NA</v>
          </cell>
          <cell r="T1501">
            <v>59</v>
          </cell>
          <cell r="U1501">
            <v>4.8</v>
          </cell>
          <cell r="V1501">
            <v>73.3</v>
          </cell>
          <cell r="W1501">
            <v>7.4</v>
          </cell>
          <cell r="X1501">
            <v>53.9</v>
          </cell>
          <cell r="Y1501">
            <v>7</v>
          </cell>
          <cell r="Z1501" t="str">
            <v>NA</v>
          </cell>
          <cell r="AA1501" t="str">
            <v>NA</v>
          </cell>
        </row>
        <row r="1502">
          <cell r="A1502">
            <v>45167</v>
          </cell>
          <cell r="B1502" t="str">
            <v>A1</v>
          </cell>
          <cell r="C1502">
            <v>1</v>
          </cell>
          <cell r="D1502">
            <v>1</v>
          </cell>
          <cell r="E1502" t="str">
            <v>ARIS.A1.Aim1.Bin1.LB</v>
          </cell>
          <cell r="F1502">
            <v>4</v>
          </cell>
          <cell r="G1502" t="str">
            <v>SplineDFA</v>
          </cell>
          <cell r="H1502" t="str">
            <v>Y</v>
          </cell>
          <cell r="I1502" t="str">
            <v>N</v>
          </cell>
          <cell r="J1502">
            <v>158</v>
          </cell>
          <cell r="K1502">
            <v>1</v>
          </cell>
          <cell r="L1502">
            <v>0.47399999999999998</v>
          </cell>
          <cell r="M1502">
            <v>23.7</v>
          </cell>
          <cell r="N1502">
            <v>2.7</v>
          </cell>
          <cell r="O1502">
            <v>0.52600000000000002</v>
          </cell>
          <cell r="P1502">
            <v>0.1193</v>
          </cell>
          <cell r="Q1502">
            <v>5.7200000000000001E-2</v>
          </cell>
          <cell r="R1502">
            <v>0.34949999999999998</v>
          </cell>
          <cell r="S1502" t="str">
            <v>NA</v>
          </cell>
          <cell r="T1502">
            <v>59</v>
          </cell>
          <cell r="U1502">
            <v>4.8</v>
          </cell>
          <cell r="V1502">
            <v>73.3</v>
          </cell>
          <cell r="W1502">
            <v>7.4</v>
          </cell>
          <cell r="X1502">
            <v>53.9</v>
          </cell>
          <cell r="Y1502">
            <v>7</v>
          </cell>
          <cell r="Z1502" t="str">
            <v>NA</v>
          </cell>
          <cell r="AA1502" t="str">
            <v>NA</v>
          </cell>
        </row>
        <row r="1503">
          <cell r="A1503">
            <v>45167</v>
          </cell>
          <cell r="B1503" t="str">
            <v>A1</v>
          </cell>
          <cell r="C1503">
            <v>1</v>
          </cell>
          <cell r="D1503">
            <v>2</v>
          </cell>
          <cell r="E1503" t="str">
            <v>ARIS.A1.Aim2.Bin1.LB</v>
          </cell>
          <cell r="F1503">
            <v>4</v>
          </cell>
          <cell r="G1503" t="str">
            <v>SplineDFA</v>
          </cell>
          <cell r="H1503" t="str">
            <v>Y</v>
          </cell>
          <cell r="I1503" t="str">
            <v>N</v>
          </cell>
          <cell r="J1503">
            <v>154</v>
          </cell>
          <cell r="K1503">
            <v>1</v>
          </cell>
          <cell r="L1503">
            <v>0.15559999999999999</v>
          </cell>
          <cell r="M1503">
            <v>23.7</v>
          </cell>
          <cell r="N1503">
            <v>2.7</v>
          </cell>
          <cell r="O1503">
            <v>0.84440000000000004</v>
          </cell>
          <cell r="P1503">
            <v>0.16950000000000001</v>
          </cell>
          <cell r="Q1503">
            <v>5.8999999999999997E-2</v>
          </cell>
          <cell r="R1503">
            <v>0.6159</v>
          </cell>
          <cell r="S1503" t="str">
            <v>NA</v>
          </cell>
          <cell r="T1503">
            <v>59</v>
          </cell>
          <cell r="U1503">
            <v>4.8</v>
          </cell>
          <cell r="V1503">
            <v>73.3</v>
          </cell>
          <cell r="W1503">
            <v>7.4</v>
          </cell>
          <cell r="X1503">
            <v>53.9</v>
          </cell>
          <cell r="Y1503">
            <v>7</v>
          </cell>
          <cell r="Z1503" t="str">
            <v>NA</v>
          </cell>
          <cell r="AA1503" t="str">
            <v>NA</v>
          </cell>
        </row>
        <row r="1504">
          <cell r="A1504">
            <v>45167</v>
          </cell>
          <cell r="B1504" t="str">
            <v>A1</v>
          </cell>
          <cell r="C1504">
            <v>2</v>
          </cell>
          <cell r="D1504">
            <v>3</v>
          </cell>
          <cell r="E1504" t="str">
            <v>ARIS.A1.Aim3.Bin2.LB</v>
          </cell>
          <cell r="F1504">
            <v>4</v>
          </cell>
          <cell r="G1504" t="str">
            <v>SplineDFA</v>
          </cell>
          <cell r="H1504" t="str">
            <v>Y</v>
          </cell>
          <cell r="I1504" t="str">
            <v>N</v>
          </cell>
          <cell r="J1504">
            <v>164</v>
          </cell>
          <cell r="K1504">
            <v>1.0001</v>
          </cell>
          <cell r="L1504">
            <v>2.12E-2</v>
          </cell>
          <cell r="M1504">
            <v>23.7</v>
          </cell>
          <cell r="N1504">
            <v>2.7</v>
          </cell>
          <cell r="O1504">
            <v>0.97889999999999999</v>
          </cell>
          <cell r="P1504">
            <v>0.3584</v>
          </cell>
          <cell r="Q1504">
            <v>0.13700000000000001</v>
          </cell>
          <cell r="R1504">
            <v>0.48349999999999999</v>
          </cell>
          <cell r="S1504" t="str">
            <v>NA</v>
          </cell>
          <cell r="T1504">
            <v>59</v>
          </cell>
          <cell r="U1504">
            <v>4.8</v>
          </cell>
          <cell r="V1504">
            <v>73.3</v>
          </cell>
          <cell r="W1504">
            <v>7.4</v>
          </cell>
          <cell r="X1504">
            <v>53.9</v>
          </cell>
          <cell r="Y1504">
            <v>7</v>
          </cell>
          <cell r="Z1504" t="str">
            <v>NA</v>
          </cell>
          <cell r="AA1504" t="str">
            <v>NA</v>
          </cell>
        </row>
        <row r="1505">
          <cell r="A1505">
            <v>45167</v>
          </cell>
          <cell r="B1505" t="str">
            <v>A1</v>
          </cell>
          <cell r="C1505">
            <v>3</v>
          </cell>
          <cell r="D1505">
            <v>3</v>
          </cell>
          <cell r="E1505" t="str">
            <v>ARIS.A1.Aim3.Bin3.LB</v>
          </cell>
          <cell r="F1505">
            <v>4</v>
          </cell>
          <cell r="G1505" t="str">
            <v>SplineDFA</v>
          </cell>
          <cell r="H1505" t="str">
            <v>Y</v>
          </cell>
          <cell r="I1505" t="str">
            <v>N</v>
          </cell>
          <cell r="J1505">
            <v>167</v>
          </cell>
          <cell r="K1505">
            <v>1</v>
          </cell>
          <cell r="L1505">
            <v>0</v>
          </cell>
          <cell r="M1505">
            <v>23.7</v>
          </cell>
          <cell r="N1505">
            <v>2.7</v>
          </cell>
          <cell r="O1505">
            <v>1</v>
          </cell>
          <cell r="P1505">
            <v>0.25559999999999999</v>
          </cell>
          <cell r="Q1505">
            <v>0.46789999999999998</v>
          </cell>
          <cell r="R1505">
            <v>0.27650000000000002</v>
          </cell>
          <cell r="S1505" t="str">
            <v>NA</v>
          </cell>
          <cell r="T1505">
            <v>59</v>
          </cell>
          <cell r="U1505">
            <v>4.8</v>
          </cell>
          <cell r="V1505">
            <v>73.3</v>
          </cell>
          <cell r="W1505">
            <v>7.4</v>
          </cell>
          <cell r="X1505">
            <v>53.9</v>
          </cell>
          <cell r="Y1505">
            <v>7</v>
          </cell>
          <cell r="Z1505" t="str">
            <v>NA</v>
          </cell>
          <cell r="AA1505" t="str">
            <v>NA</v>
          </cell>
        </row>
        <row r="1506">
          <cell r="A1506">
            <v>45167</v>
          </cell>
          <cell r="B1506" t="str">
            <v>A1</v>
          </cell>
          <cell r="C1506">
            <v>4</v>
          </cell>
          <cell r="D1506">
            <v>3</v>
          </cell>
          <cell r="E1506" t="str">
            <v>ARIS.A1.Aim3.Bin4.LB</v>
          </cell>
          <cell r="F1506">
            <v>4</v>
          </cell>
          <cell r="G1506" t="str">
            <v>SplineDFA</v>
          </cell>
          <cell r="H1506" t="str">
            <v>Y</v>
          </cell>
          <cell r="I1506" t="str">
            <v>N</v>
          </cell>
          <cell r="J1506">
            <v>167</v>
          </cell>
          <cell r="K1506">
            <v>1</v>
          </cell>
          <cell r="L1506">
            <v>0</v>
          </cell>
          <cell r="M1506">
            <v>23.7</v>
          </cell>
          <cell r="N1506">
            <v>2.7</v>
          </cell>
          <cell r="O1506">
            <v>1</v>
          </cell>
          <cell r="P1506">
            <v>0.25559999999999999</v>
          </cell>
          <cell r="Q1506">
            <v>0.46789999999999998</v>
          </cell>
          <cell r="R1506">
            <v>0.27650000000000002</v>
          </cell>
          <cell r="S1506" t="str">
            <v>NA</v>
          </cell>
          <cell r="T1506">
            <v>59</v>
          </cell>
          <cell r="U1506">
            <v>4.8</v>
          </cell>
          <cell r="V1506">
            <v>73.3</v>
          </cell>
          <cell r="W1506">
            <v>7.4</v>
          </cell>
          <cell r="X1506">
            <v>53.9</v>
          </cell>
          <cell r="Y1506">
            <v>7</v>
          </cell>
          <cell r="Z1506" t="str">
            <v>NA</v>
          </cell>
          <cell r="AA1506" t="str">
            <v>NA</v>
          </cell>
        </row>
        <row r="1507">
          <cell r="A1507">
            <v>45167</v>
          </cell>
          <cell r="B1507" t="str">
            <v>A2</v>
          </cell>
          <cell r="C1507">
            <v>1</v>
          </cell>
          <cell r="D1507">
            <v>1</v>
          </cell>
          <cell r="E1507" t="str">
            <v>ARIS.A2.Aim1.Bin1.RB</v>
          </cell>
          <cell r="F1507">
            <v>4</v>
          </cell>
          <cell r="G1507" t="str">
            <v>SplineDFA</v>
          </cell>
          <cell r="H1507" t="str">
            <v>Y</v>
          </cell>
          <cell r="I1507" t="str">
            <v>N</v>
          </cell>
          <cell r="J1507">
            <v>146</v>
          </cell>
          <cell r="K1507">
            <v>0.99990000000000001</v>
          </cell>
          <cell r="L1507">
            <v>0.21809999999999999</v>
          </cell>
          <cell r="M1507">
            <v>23.7</v>
          </cell>
          <cell r="N1507">
            <v>2.7</v>
          </cell>
          <cell r="O1507">
            <v>0.78180000000000005</v>
          </cell>
          <cell r="P1507">
            <v>0.23499999999999999</v>
          </cell>
          <cell r="Q1507">
            <v>2.1299999999999999E-2</v>
          </cell>
          <cell r="R1507">
            <v>0.52549999999999997</v>
          </cell>
          <cell r="S1507" t="str">
            <v>NA</v>
          </cell>
          <cell r="T1507">
            <v>59</v>
          </cell>
          <cell r="U1507">
            <v>4.8</v>
          </cell>
          <cell r="V1507">
            <v>73.3</v>
          </cell>
          <cell r="W1507">
            <v>7.4</v>
          </cell>
          <cell r="X1507">
            <v>53.9</v>
          </cell>
          <cell r="Y1507">
            <v>7</v>
          </cell>
          <cell r="Z1507" t="str">
            <v>NA</v>
          </cell>
          <cell r="AA1507" t="str">
            <v>NA</v>
          </cell>
        </row>
        <row r="1508">
          <cell r="A1508">
            <v>45167</v>
          </cell>
          <cell r="B1508" t="str">
            <v>A2</v>
          </cell>
          <cell r="C1508">
            <v>2</v>
          </cell>
          <cell r="D1508">
            <v>1</v>
          </cell>
          <cell r="E1508" t="str">
            <v>ARIS.A2.Aim1.Bin2.RB</v>
          </cell>
          <cell r="F1508">
            <v>4</v>
          </cell>
          <cell r="G1508" t="str">
            <v>SplineDFA</v>
          </cell>
          <cell r="H1508" t="str">
            <v>Y</v>
          </cell>
          <cell r="I1508" t="str">
            <v>N</v>
          </cell>
          <cell r="J1508">
            <v>158</v>
          </cell>
          <cell r="K1508">
            <v>1</v>
          </cell>
          <cell r="L1508">
            <v>0.14710000000000001</v>
          </cell>
          <cell r="M1508">
            <v>23.7</v>
          </cell>
          <cell r="N1508">
            <v>2.7</v>
          </cell>
          <cell r="O1508">
            <v>0.85289999999999999</v>
          </cell>
          <cell r="P1508">
            <v>0.27860000000000001</v>
          </cell>
          <cell r="Q1508">
            <v>0.1772</v>
          </cell>
          <cell r="R1508">
            <v>0.39710000000000001</v>
          </cell>
          <cell r="S1508" t="str">
            <v>NA</v>
          </cell>
          <cell r="T1508">
            <v>59</v>
          </cell>
          <cell r="U1508">
            <v>4.8</v>
          </cell>
          <cell r="V1508">
            <v>73.3</v>
          </cell>
          <cell r="W1508">
            <v>7.4</v>
          </cell>
          <cell r="X1508">
            <v>53.9</v>
          </cell>
          <cell r="Y1508">
            <v>7</v>
          </cell>
          <cell r="Z1508" t="str">
            <v>NA</v>
          </cell>
          <cell r="AA1508" t="str">
            <v>NA</v>
          </cell>
        </row>
        <row r="1509">
          <cell r="A1509">
            <v>45167</v>
          </cell>
          <cell r="B1509" t="str">
            <v>A2</v>
          </cell>
          <cell r="C1509">
            <v>3</v>
          </cell>
          <cell r="D1509">
            <v>1</v>
          </cell>
          <cell r="E1509" t="str">
            <v>ARIS.A2.Aim1.Bin3.RB</v>
          </cell>
          <cell r="F1509">
            <v>4</v>
          </cell>
          <cell r="G1509" t="str">
            <v>SplineDFA</v>
          </cell>
          <cell r="H1509" t="str">
            <v>Y</v>
          </cell>
          <cell r="I1509" t="str">
            <v>N</v>
          </cell>
          <cell r="J1509">
            <v>146</v>
          </cell>
          <cell r="K1509">
            <v>1</v>
          </cell>
          <cell r="L1509">
            <v>4.9099999999999998E-2</v>
          </cell>
          <cell r="M1509">
            <v>23.7</v>
          </cell>
          <cell r="N1509">
            <v>2.7</v>
          </cell>
          <cell r="O1509">
            <v>0.95089999999999997</v>
          </cell>
          <cell r="P1509">
            <v>0.14580000000000001</v>
          </cell>
          <cell r="Q1509">
            <v>0.50109999999999999</v>
          </cell>
          <cell r="R1509">
            <v>0.30399999999999999</v>
          </cell>
          <cell r="S1509" t="str">
            <v>NA</v>
          </cell>
          <cell r="T1509">
            <v>59</v>
          </cell>
          <cell r="U1509">
            <v>4.8</v>
          </cell>
          <cell r="V1509">
            <v>73.3</v>
          </cell>
          <cell r="W1509">
            <v>7.4</v>
          </cell>
          <cell r="X1509">
            <v>53.9</v>
          </cell>
          <cell r="Y1509">
            <v>7</v>
          </cell>
          <cell r="Z1509" t="str">
            <v>NA</v>
          </cell>
          <cell r="AA1509" t="str">
            <v>NA</v>
          </cell>
        </row>
        <row r="1510">
          <cell r="A1510">
            <v>45167</v>
          </cell>
          <cell r="B1510" t="str">
            <v>A2</v>
          </cell>
          <cell r="C1510">
            <v>4</v>
          </cell>
          <cell r="D1510">
            <v>1</v>
          </cell>
          <cell r="E1510" t="str">
            <v>ARIS.A2.Aim1.Bin4.RB</v>
          </cell>
          <cell r="F1510">
            <v>4</v>
          </cell>
          <cell r="G1510" t="str">
            <v>SplineDFA</v>
          </cell>
          <cell r="H1510" t="str">
            <v>Y</v>
          </cell>
          <cell r="I1510" t="str">
            <v>N</v>
          </cell>
          <cell r="J1510">
            <v>146</v>
          </cell>
          <cell r="K1510">
            <v>1</v>
          </cell>
          <cell r="L1510">
            <v>4.9099999999999998E-2</v>
          </cell>
          <cell r="M1510">
            <v>23.7</v>
          </cell>
          <cell r="N1510">
            <v>2.7</v>
          </cell>
          <cell r="O1510">
            <v>0.95089999999999997</v>
          </cell>
          <cell r="P1510">
            <v>0.14580000000000001</v>
          </cell>
          <cell r="Q1510">
            <v>0.50109999999999999</v>
          </cell>
          <cell r="R1510">
            <v>0.30399999999999999</v>
          </cell>
          <cell r="S1510" t="str">
            <v>NA</v>
          </cell>
          <cell r="T1510">
            <v>59</v>
          </cell>
          <cell r="U1510">
            <v>4.8</v>
          </cell>
          <cell r="V1510">
            <v>73.3</v>
          </cell>
          <cell r="W1510">
            <v>7.4</v>
          </cell>
          <cell r="X1510">
            <v>53.9</v>
          </cell>
          <cell r="Y1510">
            <v>7</v>
          </cell>
          <cell r="Z1510" t="str">
            <v>NA</v>
          </cell>
          <cell r="AA1510" t="str">
            <v>NA</v>
          </cell>
        </row>
        <row r="1511">
          <cell r="A1511">
            <v>45168</v>
          </cell>
          <cell r="B1511" t="str">
            <v>A1</v>
          </cell>
          <cell r="C1511">
            <v>1</v>
          </cell>
          <cell r="D1511">
            <v>1</v>
          </cell>
          <cell r="E1511" t="str">
            <v>ARIS.A1.Aim1.Bin1.LB</v>
          </cell>
          <cell r="F1511">
            <v>4</v>
          </cell>
          <cell r="G1511" t="str">
            <v>Unweighted</v>
          </cell>
          <cell r="H1511" t="str">
            <v>N</v>
          </cell>
          <cell r="I1511" t="str">
            <v>Y</v>
          </cell>
          <cell r="J1511">
            <v>130</v>
          </cell>
          <cell r="K1511">
            <v>1</v>
          </cell>
          <cell r="L1511">
            <v>0.82769999999999999</v>
          </cell>
          <cell r="M1511">
            <v>21.9</v>
          </cell>
          <cell r="N1511">
            <v>5.9</v>
          </cell>
          <cell r="O1511">
            <v>0.17230000000000001</v>
          </cell>
          <cell r="P1511">
            <v>0</v>
          </cell>
          <cell r="Q1511">
            <v>6.1000000000000004E-3</v>
          </cell>
          <cell r="R1511">
            <v>0.16619999999999999</v>
          </cell>
          <cell r="S1511" t="str">
            <v>NA</v>
          </cell>
          <cell r="T1511">
            <v>59</v>
          </cell>
          <cell r="U1511">
            <v>4.8</v>
          </cell>
          <cell r="V1511">
            <v>73.3</v>
          </cell>
          <cell r="W1511">
            <v>7.4</v>
          </cell>
          <cell r="X1511">
            <v>53.9</v>
          </cell>
          <cell r="Y1511">
            <v>7</v>
          </cell>
          <cell r="Z1511" t="str">
            <v>NA</v>
          </cell>
          <cell r="AA1511" t="str">
            <v>NA</v>
          </cell>
        </row>
        <row r="1512">
          <cell r="A1512">
            <v>45168</v>
          </cell>
          <cell r="B1512" t="str">
            <v>A1</v>
          </cell>
          <cell r="C1512">
            <v>1</v>
          </cell>
          <cell r="D1512">
            <v>2</v>
          </cell>
          <cell r="E1512" t="str">
            <v>ARIS.A1.Aim2.Bin1.LB</v>
          </cell>
          <cell r="F1512">
            <v>4</v>
          </cell>
          <cell r="G1512" t="str">
            <v>Unweighted</v>
          </cell>
          <cell r="H1512" t="str">
            <v>N</v>
          </cell>
          <cell r="I1512" t="str">
            <v>Y</v>
          </cell>
          <cell r="J1512">
            <v>163</v>
          </cell>
          <cell r="K1512">
            <v>1</v>
          </cell>
          <cell r="L1512">
            <v>0.28389999999999999</v>
          </cell>
          <cell r="M1512">
            <v>24.1</v>
          </cell>
          <cell r="N1512">
            <v>6.6</v>
          </cell>
          <cell r="O1512">
            <v>0.71609999999999996</v>
          </cell>
          <cell r="P1512">
            <v>0</v>
          </cell>
          <cell r="Q1512">
            <v>7.7000000000000002E-3</v>
          </cell>
          <cell r="R1512">
            <v>0.70840000000000003</v>
          </cell>
          <cell r="S1512" t="str">
            <v>NA</v>
          </cell>
          <cell r="T1512">
            <v>59</v>
          </cell>
          <cell r="U1512">
            <v>4.8</v>
          </cell>
          <cell r="V1512">
            <v>73.3</v>
          </cell>
          <cell r="W1512">
            <v>7.4</v>
          </cell>
          <cell r="X1512">
            <v>53.9</v>
          </cell>
          <cell r="Y1512">
            <v>7</v>
          </cell>
          <cell r="Z1512" t="str">
            <v>NA</v>
          </cell>
          <cell r="AA1512" t="str">
            <v>NA</v>
          </cell>
        </row>
        <row r="1513">
          <cell r="A1513">
            <v>45168</v>
          </cell>
          <cell r="B1513" t="str">
            <v>A1</v>
          </cell>
          <cell r="C1513">
            <v>1</v>
          </cell>
          <cell r="D1513" t="str">
            <v>1&amp;2</v>
          </cell>
          <cell r="E1513" t="str">
            <v>ARIS.A1.Aim1&amp;Aim2.Bin1.LB</v>
          </cell>
          <cell r="F1513">
            <v>4</v>
          </cell>
          <cell r="G1513" t="str">
            <v>Unweighted</v>
          </cell>
          <cell r="H1513" t="str">
            <v>N</v>
          </cell>
          <cell r="I1513" t="str">
            <v>Y</v>
          </cell>
          <cell r="J1513">
            <v>293</v>
          </cell>
          <cell r="K1513">
            <v>1</v>
          </cell>
          <cell r="L1513">
            <v>0.5464</v>
          </cell>
          <cell r="M1513">
            <v>22.5</v>
          </cell>
          <cell r="N1513">
            <v>6.4</v>
          </cell>
          <cell r="O1513">
            <v>0.4536</v>
          </cell>
          <cell r="P1513">
            <v>0</v>
          </cell>
          <cell r="Q1513">
            <v>5.7000000000000002E-3</v>
          </cell>
          <cell r="R1513">
            <v>0.44790000000000002</v>
          </cell>
          <cell r="S1513" t="str">
            <v>NA</v>
          </cell>
          <cell r="T1513">
            <v>59</v>
          </cell>
          <cell r="U1513">
            <v>4.8</v>
          </cell>
          <cell r="V1513">
            <v>73.3</v>
          </cell>
          <cell r="W1513">
            <v>7.4</v>
          </cell>
          <cell r="X1513">
            <v>53.9</v>
          </cell>
          <cell r="Y1513">
            <v>7</v>
          </cell>
          <cell r="Z1513" t="str">
            <v>NA</v>
          </cell>
          <cell r="AA1513" t="str">
            <v>NA</v>
          </cell>
        </row>
        <row r="1514">
          <cell r="A1514">
            <v>45168</v>
          </cell>
          <cell r="B1514" t="str">
            <v>A1</v>
          </cell>
          <cell r="C1514">
            <v>2</v>
          </cell>
          <cell r="D1514">
            <v>3</v>
          </cell>
          <cell r="E1514" t="str">
            <v>ARIS.A1.Aim3.Bin2.LB</v>
          </cell>
          <cell r="F1514">
            <v>4</v>
          </cell>
          <cell r="G1514" t="str">
            <v>Unweighted</v>
          </cell>
          <cell r="H1514" t="str">
            <v>N</v>
          </cell>
          <cell r="I1514" t="str">
            <v>Y</v>
          </cell>
          <cell r="J1514">
            <v>175</v>
          </cell>
          <cell r="K1514">
            <v>1</v>
          </cell>
          <cell r="L1514">
            <v>4.41E-2</v>
          </cell>
          <cell r="M1514">
            <v>28.8</v>
          </cell>
          <cell r="N1514">
            <v>2</v>
          </cell>
          <cell r="O1514">
            <v>0.95589999999999997</v>
          </cell>
          <cell r="P1514">
            <v>0</v>
          </cell>
          <cell r="Q1514">
            <v>7.2800000000000004E-2</v>
          </cell>
          <cell r="R1514">
            <v>0.8831</v>
          </cell>
          <cell r="S1514" t="str">
            <v>NA</v>
          </cell>
          <cell r="T1514">
            <v>59</v>
          </cell>
          <cell r="U1514">
            <v>4.8</v>
          </cell>
          <cell r="V1514">
            <v>73.3</v>
          </cell>
          <cell r="W1514">
            <v>7.4</v>
          </cell>
          <cell r="X1514">
            <v>53.9</v>
          </cell>
          <cell r="Y1514">
            <v>7</v>
          </cell>
          <cell r="Z1514" t="str">
            <v>NA</v>
          </cell>
          <cell r="AA1514" t="str">
            <v>NA</v>
          </cell>
        </row>
        <row r="1515">
          <cell r="A1515">
            <v>45168</v>
          </cell>
          <cell r="B1515" t="str">
            <v>A1</v>
          </cell>
          <cell r="C1515">
            <v>3</v>
          </cell>
          <cell r="D1515">
            <v>3</v>
          </cell>
          <cell r="E1515" t="str">
            <v>ARIS.A1.Aim3.Bin3.LB</v>
          </cell>
          <cell r="F1515">
            <v>4</v>
          </cell>
          <cell r="G1515" t="str">
            <v>Unweighted</v>
          </cell>
          <cell r="H1515" t="str">
            <v>N</v>
          </cell>
          <cell r="I1515" t="str">
            <v>Y</v>
          </cell>
          <cell r="J1515">
            <v>172</v>
          </cell>
          <cell r="K1515">
            <v>1</v>
          </cell>
          <cell r="L1515">
            <v>2.3199999999999998E-2</v>
          </cell>
          <cell r="M1515">
            <v>28.6</v>
          </cell>
          <cell r="N1515">
            <v>2.2000000000000002</v>
          </cell>
          <cell r="O1515">
            <v>0.9768</v>
          </cell>
          <cell r="P1515">
            <v>0</v>
          </cell>
          <cell r="Q1515">
            <v>0.26910000000000001</v>
          </cell>
          <cell r="R1515">
            <v>0.7077</v>
          </cell>
          <cell r="S1515" t="str">
            <v>NA</v>
          </cell>
          <cell r="T1515">
            <v>59</v>
          </cell>
          <cell r="U1515">
            <v>4.8</v>
          </cell>
          <cell r="V1515">
            <v>73.3</v>
          </cell>
          <cell r="W1515">
            <v>7.4</v>
          </cell>
          <cell r="X1515">
            <v>53.9</v>
          </cell>
          <cell r="Y1515">
            <v>7</v>
          </cell>
          <cell r="Z1515" t="str">
            <v>NA</v>
          </cell>
          <cell r="AA1515" t="str">
            <v>NA</v>
          </cell>
        </row>
        <row r="1516">
          <cell r="A1516">
            <v>45168</v>
          </cell>
          <cell r="B1516" t="str">
            <v>A1</v>
          </cell>
          <cell r="C1516">
            <v>4</v>
          </cell>
          <cell r="D1516">
            <v>3</v>
          </cell>
          <cell r="E1516" t="str">
            <v>ARIS.A1.Aim3.Bin4.LB</v>
          </cell>
          <cell r="F1516">
            <v>4</v>
          </cell>
          <cell r="G1516" t="str">
            <v>Unweighted</v>
          </cell>
          <cell r="H1516" t="str">
            <v>N</v>
          </cell>
          <cell r="I1516" t="str">
            <v>Y</v>
          </cell>
          <cell r="J1516">
            <v>172</v>
          </cell>
          <cell r="K1516">
            <v>1</v>
          </cell>
          <cell r="L1516">
            <v>2.3199999999999998E-2</v>
          </cell>
          <cell r="M1516">
            <v>28.6</v>
          </cell>
          <cell r="N1516">
            <v>2.2000000000000002</v>
          </cell>
          <cell r="O1516">
            <v>0.9768</v>
          </cell>
          <cell r="P1516">
            <v>0</v>
          </cell>
          <cell r="Q1516">
            <v>0.26910000000000001</v>
          </cell>
          <cell r="R1516">
            <v>0.7077</v>
          </cell>
          <cell r="S1516" t="str">
            <v>NA</v>
          </cell>
          <cell r="T1516">
            <v>59</v>
          </cell>
          <cell r="U1516">
            <v>4.8</v>
          </cell>
          <cell r="V1516">
            <v>73.3</v>
          </cell>
          <cell r="W1516">
            <v>7.4</v>
          </cell>
          <cell r="X1516">
            <v>53.9</v>
          </cell>
          <cell r="Y1516">
            <v>7</v>
          </cell>
          <cell r="Z1516" t="str">
            <v>NA</v>
          </cell>
          <cell r="AA1516" t="str">
            <v>NA</v>
          </cell>
        </row>
        <row r="1517">
          <cell r="A1517">
            <v>45168</v>
          </cell>
          <cell r="B1517" t="str">
            <v>A2</v>
          </cell>
          <cell r="C1517">
            <v>1</v>
          </cell>
          <cell r="D1517">
            <v>1</v>
          </cell>
          <cell r="E1517" t="str">
            <v>ARIS.A2.Aim1.Bin1.RB</v>
          </cell>
          <cell r="F1517">
            <v>4</v>
          </cell>
          <cell r="G1517" t="str">
            <v>Unweighted</v>
          </cell>
          <cell r="H1517" t="str">
            <v>N</v>
          </cell>
          <cell r="I1517" t="str">
            <v>Y</v>
          </cell>
          <cell r="J1517">
            <v>146</v>
          </cell>
          <cell r="K1517">
            <v>1</v>
          </cell>
          <cell r="L1517">
            <v>0.37980000000000003</v>
          </cell>
          <cell r="M1517">
            <v>22</v>
          </cell>
          <cell r="N1517">
            <v>7.9</v>
          </cell>
          <cell r="O1517">
            <v>0.62019999999999997</v>
          </cell>
          <cell r="P1517">
            <v>0</v>
          </cell>
          <cell r="Q1517">
            <v>1.21E-2</v>
          </cell>
          <cell r="R1517">
            <v>0.60809999999999997</v>
          </cell>
          <cell r="S1517" t="str">
            <v>NA</v>
          </cell>
          <cell r="T1517">
            <v>59</v>
          </cell>
          <cell r="U1517">
            <v>4.8</v>
          </cell>
          <cell r="V1517">
            <v>73.3</v>
          </cell>
          <cell r="W1517">
            <v>7.4</v>
          </cell>
          <cell r="X1517">
            <v>53.9</v>
          </cell>
          <cell r="Y1517">
            <v>7</v>
          </cell>
          <cell r="Z1517" t="str">
            <v>NA</v>
          </cell>
          <cell r="AA1517" t="str">
            <v>NA</v>
          </cell>
        </row>
        <row r="1518">
          <cell r="A1518">
            <v>45168</v>
          </cell>
          <cell r="B1518" t="str">
            <v>A2</v>
          </cell>
          <cell r="C1518">
            <v>2</v>
          </cell>
          <cell r="D1518">
            <v>1</v>
          </cell>
          <cell r="E1518" t="str">
            <v>ARIS.A2.Aim1.Bin2.RB</v>
          </cell>
          <cell r="F1518">
            <v>4</v>
          </cell>
          <cell r="G1518" t="str">
            <v>Unweighted</v>
          </cell>
          <cell r="H1518" t="str">
            <v>N</v>
          </cell>
          <cell r="I1518" t="str">
            <v>Y</v>
          </cell>
          <cell r="J1518">
            <v>158</v>
          </cell>
          <cell r="K1518">
            <v>1</v>
          </cell>
          <cell r="L1518">
            <v>0.2777</v>
          </cell>
          <cell r="M1518">
            <v>23.7</v>
          </cell>
          <cell r="N1518">
            <v>11.2</v>
          </cell>
          <cell r="O1518">
            <v>0.72230000000000005</v>
          </cell>
          <cell r="P1518">
            <v>5.3100000000000001E-2</v>
          </cell>
          <cell r="Q1518">
            <v>0.24210000000000001</v>
          </cell>
          <cell r="R1518">
            <v>0.42709999999999998</v>
          </cell>
          <cell r="S1518" t="str">
            <v>NA</v>
          </cell>
          <cell r="T1518">
            <v>59</v>
          </cell>
          <cell r="U1518">
            <v>4.8</v>
          </cell>
          <cell r="V1518">
            <v>73.3</v>
          </cell>
          <cell r="W1518">
            <v>7.4</v>
          </cell>
          <cell r="X1518">
            <v>53.9</v>
          </cell>
          <cell r="Y1518">
            <v>7</v>
          </cell>
          <cell r="Z1518" t="str">
            <v>NA</v>
          </cell>
          <cell r="AA1518" t="str">
            <v>NA</v>
          </cell>
        </row>
        <row r="1519">
          <cell r="A1519">
            <v>45168</v>
          </cell>
          <cell r="B1519" t="str">
            <v>A2</v>
          </cell>
          <cell r="C1519">
            <v>3</v>
          </cell>
          <cell r="D1519">
            <v>1</v>
          </cell>
          <cell r="E1519" t="str">
            <v>ARIS.A2.Aim1.Bin3.RB</v>
          </cell>
          <cell r="F1519">
            <v>4</v>
          </cell>
          <cell r="G1519" t="str">
            <v>Unweighted</v>
          </cell>
          <cell r="H1519" t="str">
            <v>N</v>
          </cell>
          <cell r="I1519" t="str">
            <v>Y</v>
          </cell>
          <cell r="J1519">
            <v>146</v>
          </cell>
          <cell r="K1519">
            <v>1</v>
          </cell>
          <cell r="L1519">
            <v>6.9900000000000004E-2</v>
          </cell>
          <cell r="M1519">
            <v>23.7</v>
          </cell>
          <cell r="N1519">
            <v>5.5</v>
          </cell>
          <cell r="O1519">
            <v>0.93010000000000004</v>
          </cell>
          <cell r="P1519">
            <v>0</v>
          </cell>
          <cell r="Q1519">
            <v>0.62829999999999997</v>
          </cell>
          <cell r="R1519">
            <v>0.30180000000000001</v>
          </cell>
          <cell r="S1519" t="str">
            <v>NA</v>
          </cell>
          <cell r="T1519">
            <v>59</v>
          </cell>
          <cell r="U1519">
            <v>4.8</v>
          </cell>
          <cell r="V1519">
            <v>73.3</v>
          </cell>
          <cell r="W1519">
            <v>7.4</v>
          </cell>
          <cell r="X1519">
            <v>53.9</v>
          </cell>
          <cell r="Y1519">
            <v>7</v>
          </cell>
          <cell r="Z1519" t="str">
            <v>NA</v>
          </cell>
          <cell r="AA1519" t="str">
            <v>NA</v>
          </cell>
        </row>
        <row r="1520">
          <cell r="A1520">
            <v>45168</v>
          </cell>
          <cell r="B1520" t="str">
            <v>A2</v>
          </cell>
          <cell r="C1520">
            <v>4</v>
          </cell>
          <cell r="D1520">
            <v>1</v>
          </cell>
          <cell r="E1520" t="str">
            <v>ARIS.A2.Aim1.Bin4.RB</v>
          </cell>
          <cell r="F1520">
            <v>4</v>
          </cell>
          <cell r="G1520" t="str">
            <v>Unweighted</v>
          </cell>
          <cell r="H1520" t="str">
            <v>N</v>
          </cell>
          <cell r="I1520" t="str">
            <v>Y</v>
          </cell>
          <cell r="J1520">
            <v>146</v>
          </cell>
          <cell r="K1520">
            <v>1</v>
          </cell>
          <cell r="L1520">
            <v>6.9900000000000004E-2</v>
          </cell>
          <cell r="M1520">
            <v>23.7</v>
          </cell>
          <cell r="N1520">
            <v>5.5</v>
          </cell>
          <cell r="O1520">
            <v>0.93010000000000004</v>
          </cell>
          <cell r="P1520">
            <v>0</v>
          </cell>
          <cell r="Q1520">
            <v>0.62829999999999997</v>
          </cell>
          <cell r="R1520">
            <v>0.30180000000000001</v>
          </cell>
          <cell r="S1520" t="str">
            <v>NA</v>
          </cell>
          <cell r="T1520">
            <v>59</v>
          </cell>
          <cell r="U1520">
            <v>4.8</v>
          </cell>
          <cell r="V1520">
            <v>73.3</v>
          </cell>
          <cell r="W1520">
            <v>7.4</v>
          </cell>
          <cell r="X1520">
            <v>53.9</v>
          </cell>
          <cell r="Y1520">
            <v>7</v>
          </cell>
          <cell r="Z1520" t="str">
            <v>NA</v>
          </cell>
          <cell r="AA1520" t="str">
            <v>NA</v>
          </cell>
        </row>
        <row r="1521">
          <cell r="A1521">
            <v>45168</v>
          </cell>
          <cell r="B1521" t="str">
            <v>A1</v>
          </cell>
          <cell r="C1521">
            <v>1</v>
          </cell>
          <cell r="D1521">
            <v>1</v>
          </cell>
          <cell r="E1521" t="str">
            <v>ARIS.A1.Aim1.Bin1.LB</v>
          </cell>
          <cell r="F1521">
            <v>4</v>
          </cell>
          <cell r="G1521" t="str">
            <v>SplineDFA</v>
          </cell>
          <cell r="H1521" t="str">
            <v>Y</v>
          </cell>
          <cell r="I1521" t="str">
            <v>N</v>
          </cell>
          <cell r="J1521">
            <v>130</v>
          </cell>
          <cell r="K1521">
            <v>0.99990000000000001</v>
          </cell>
          <cell r="L1521">
            <v>0.75849999999999995</v>
          </cell>
          <cell r="M1521">
            <v>23.7</v>
          </cell>
          <cell r="N1521">
            <v>2.7</v>
          </cell>
          <cell r="O1521">
            <v>0.2414</v>
          </cell>
          <cell r="P1521">
            <v>2.1399999999999999E-2</v>
          </cell>
          <cell r="Q1521">
            <v>4.7999999999999996E-3</v>
          </cell>
          <cell r="R1521">
            <v>0.2152</v>
          </cell>
          <cell r="S1521" t="str">
            <v>NA</v>
          </cell>
          <cell r="T1521">
            <v>59</v>
          </cell>
          <cell r="U1521">
            <v>4.8</v>
          </cell>
          <cell r="V1521">
            <v>73.3</v>
          </cell>
          <cell r="W1521">
            <v>7.4</v>
          </cell>
          <cell r="X1521">
            <v>53.9</v>
          </cell>
          <cell r="Y1521">
            <v>7</v>
          </cell>
          <cell r="Z1521" t="str">
            <v>NA</v>
          </cell>
          <cell r="AA1521" t="str">
            <v>NA</v>
          </cell>
        </row>
        <row r="1522">
          <cell r="A1522">
            <v>45168</v>
          </cell>
          <cell r="B1522" t="str">
            <v>A1</v>
          </cell>
          <cell r="C1522">
            <v>1</v>
          </cell>
          <cell r="D1522">
            <v>2</v>
          </cell>
          <cell r="E1522" t="str">
            <v>ARIS.A1.Aim2.Bin1.LB</v>
          </cell>
          <cell r="F1522">
            <v>4</v>
          </cell>
          <cell r="G1522" t="str">
            <v>SplineDFA</v>
          </cell>
          <cell r="H1522" t="str">
            <v>Y</v>
          </cell>
          <cell r="I1522" t="str">
            <v>N</v>
          </cell>
          <cell r="J1522">
            <v>163</v>
          </cell>
          <cell r="K1522">
            <v>1</v>
          </cell>
          <cell r="L1522">
            <v>0.1066</v>
          </cell>
          <cell r="M1522">
            <v>23.7</v>
          </cell>
          <cell r="N1522">
            <v>2.7</v>
          </cell>
          <cell r="O1522">
            <v>0.89339999999999997</v>
          </cell>
          <cell r="P1522">
            <v>0.23710000000000001</v>
          </cell>
          <cell r="Q1522">
            <v>1.12E-2</v>
          </cell>
          <cell r="R1522">
            <v>0.64510000000000001</v>
          </cell>
          <cell r="S1522" t="str">
            <v>NA</v>
          </cell>
          <cell r="T1522">
            <v>59</v>
          </cell>
          <cell r="U1522">
            <v>4.8</v>
          </cell>
          <cell r="V1522">
            <v>73.3</v>
          </cell>
          <cell r="W1522">
            <v>7.4</v>
          </cell>
          <cell r="X1522">
            <v>53.9</v>
          </cell>
          <cell r="Y1522">
            <v>7</v>
          </cell>
          <cell r="Z1522" t="str">
            <v>NA</v>
          </cell>
          <cell r="AA1522" t="str">
            <v>NA</v>
          </cell>
        </row>
        <row r="1523">
          <cell r="A1523">
            <v>45168</v>
          </cell>
          <cell r="B1523" t="str">
            <v>A1</v>
          </cell>
          <cell r="C1523">
            <v>2</v>
          </cell>
          <cell r="D1523">
            <v>3</v>
          </cell>
          <cell r="E1523" t="str">
            <v>ARIS.A1.Aim3.Bin2.LB</v>
          </cell>
          <cell r="F1523">
            <v>4</v>
          </cell>
          <cell r="G1523" t="str">
            <v>SplineDFA</v>
          </cell>
          <cell r="H1523" t="str">
            <v>Y</v>
          </cell>
          <cell r="I1523" t="str">
            <v>N</v>
          </cell>
          <cell r="J1523">
            <v>175</v>
          </cell>
          <cell r="K1523">
            <v>0.99990000000000001</v>
          </cell>
          <cell r="L1523">
            <v>4.82E-2</v>
          </cell>
          <cell r="M1523">
            <v>23.7</v>
          </cell>
          <cell r="N1523">
            <v>2.7</v>
          </cell>
          <cell r="O1523">
            <v>0.95169999999999999</v>
          </cell>
          <cell r="P1523">
            <v>0.34920000000000001</v>
          </cell>
          <cell r="Q1523">
            <v>0.12889999999999999</v>
          </cell>
          <cell r="R1523">
            <v>0.47360000000000002</v>
          </cell>
          <cell r="S1523" t="str">
            <v>NA</v>
          </cell>
          <cell r="T1523">
            <v>59</v>
          </cell>
          <cell r="U1523">
            <v>4.8</v>
          </cell>
          <cell r="V1523">
            <v>73.3</v>
          </cell>
          <cell r="W1523">
            <v>7.4</v>
          </cell>
          <cell r="X1523">
            <v>53.9</v>
          </cell>
          <cell r="Y1523">
            <v>7</v>
          </cell>
          <cell r="Z1523" t="str">
            <v>NA</v>
          </cell>
          <cell r="AA1523" t="str">
            <v>NA</v>
          </cell>
        </row>
        <row r="1524">
          <cell r="A1524">
            <v>45168</v>
          </cell>
          <cell r="B1524" t="str">
            <v>A1</v>
          </cell>
          <cell r="C1524">
            <v>3</v>
          </cell>
          <cell r="D1524">
            <v>3</v>
          </cell>
          <cell r="E1524" t="str">
            <v>ARIS.A1.Aim3.Bin3.LB</v>
          </cell>
          <cell r="F1524">
            <v>4</v>
          </cell>
          <cell r="G1524" t="str">
            <v>SplineDFA</v>
          </cell>
          <cell r="H1524" t="str">
            <v>Y</v>
          </cell>
          <cell r="I1524" t="str">
            <v>N</v>
          </cell>
          <cell r="J1524">
            <v>172</v>
          </cell>
          <cell r="K1524">
            <v>1</v>
          </cell>
          <cell r="L1524">
            <v>1.54E-2</v>
          </cell>
          <cell r="M1524">
            <v>23.7</v>
          </cell>
          <cell r="N1524">
            <v>2.7</v>
          </cell>
          <cell r="O1524">
            <v>0.98460000000000003</v>
          </cell>
          <cell r="P1524">
            <v>0.31530000000000002</v>
          </cell>
          <cell r="Q1524">
            <v>0.24390000000000001</v>
          </cell>
          <cell r="R1524">
            <v>0.4254</v>
          </cell>
          <cell r="S1524" t="str">
            <v>NA</v>
          </cell>
          <cell r="T1524">
            <v>59</v>
          </cell>
          <cell r="U1524">
            <v>4.8</v>
          </cell>
          <cell r="V1524">
            <v>73.3</v>
          </cell>
          <cell r="W1524">
            <v>7.4</v>
          </cell>
          <cell r="X1524">
            <v>53.9</v>
          </cell>
          <cell r="Y1524">
            <v>7</v>
          </cell>
          <cell r="Z1524" t="str">
            <v>NA</v>
          </cell>
          <cell r="AA1524" t="str">
            <v>NA</v>
          </cell>
        </row>
        <row r="1525">
          <cell r="A1525">
            <v>45168</v>
          </cell>
          <cell r="B1525" t="str">
            <v>A1</v>
          </cell>
          <cell r="C1525">
            <v>4</v>
          </cell>
          <cell r="D1525">
            <v>3</v>
          </cell>
          <cell r="E1525" t="str">
            <v>ARIS.A1.Aim3.Bin4.LB</v>
          </cell>
          <cell r="F1525">
            <v>4</v>
          </cell>
          <cell r="G1525" t="str">
            <v>SplineDFA</v>
          </cell>
          <cell r="H1525" t="str">
            <v>Y</v>
          </cell>
          <cell r="I1525" t="str">
            <v>N</v>
          </cell>
          <cell r="J1525">
            <v>172</v>
          </cell>
          <cell r="K1525">
            <v>1</v>
          </cell>
          <cell r="L1525">
            <v>1.54E-2</v>
          </cell>
          <cell r="M1525">
            <v>23.7</v>
          </cell>
          <cell r="N1525">
            <v>2.7</v>
          </cell>
          <cell r="O1525">
            <v>0.98460000000000003</v>
          </cell>
          <cell r="P1525">
            <v>0.31530000000000002</v>
          </cell>
          <cell r="Q1525">
            <v>0.24390000000000001</v>
          </cell>
          <cell r="R1525">
            <v>0.4254</v>
          </cell>
          <cell r="S1525" t="str">
            <v>NA</v>
          </cell>
          <cell r="T1525">
            <v>59</v>
          </cell>
          <cell r="U1525">
            <v>4.8</v>
          </cell>
          <cell r="V1525">
            <v>73.3</v>
          </cell>
          <cell r="W1525">
            <v>7.4</v>
          </cell>
          <cell r="X1525">
            <v>53.9</v>
          </cell>
          <cell r="Y1525">
            <v>7</v>
          </cell>
          <cell r="Z1525" t="str">
            <v>NA</v>
          </cell>
          <cell r="AA1525" t="str">
            <v>NA</v>
          </cell>
        </row>
        <row r="1526">
          <cell r="A1526">
            <v>45168</v>
          </cell>
          <cell r="B1526" t="str">
            <v>A2</v>
          </cell>
          <cell r="C1526">
            <v>1</v>
          </cell>
          <cell r="D1526">
            <v>1</v>
          </cell>
          <cell r="E1526" t="str">
            <v>ARIS.A2.Aim1.Bin1.RB</v>
          </cell>
          <cell r="F1526">
            <v>4</v>
          </cell>
          <cell r="G1526" t="str">
            <v>SplineDFA</v>
          </cell>
          <cell r="H1526" t="str">
            <v>Y</v>
          </cell>
          <cell r="I1526" t="str">
            <v>N</v>
          </cell>
          <cell r="J1526">
            <v>146</v>
          </cell>
          <cell r="K1526">
            <v>0.99990000000000001</v>
          </cell>
          <cell r="L1526">
            <v>0.21809999999999999</v>
          </cell>
          <cell r="M1526">
            <v>23.7</v>
          </cell>
          <cell r="N1526">
            <v>2.7</v>
          </cell>
          <cell r="O1526">
            <v>0.78180000000000005</v>
          </cell>
          <cell r="P1526">
            <v>0.23499999999999999</v>
          </cell>
          <cell r="Q1526">
            <v>2.1299999999999999E-2</v>
          </cell>
          <cell r="R1526">
            <v>0.52549999999999997</v>
          </cell>
          <cell r="S1526" t="str">
            <v>NA</v>
          </cell>
          <cell r="T1526">
            <v>59</v>
          </cell>
          <cell r="U1526">
            <v>4.8</v>
          </cell>
          <cell r="V1526">
            <v>73.3</v>
          </cell>
          <cell r="W1526">
            <v>7.4</v>
          </cell>
          <cell r="X1526">
            <v>53.9</v>
          </cell>
          <cell r="Y1526">
            <v>7</v>
          </cell>
          <cell r="Z1526" t="str">
            <v>NA</v>
          </cell>
          <cell r="AA1526" t="str">
            <v>NA</v>
          </cell>
        </row>
        <row r="1527">
          <cell r="A1527">
            <v>45168</v>
          </cell>
          <cell r="B1527" t="str">
            <v>A2</v>
          </cell>
          <cell r="C1527">
            <v>2</v>
          </cell>
          <cell r="D1527">
            <v>1</v>
          </cell>
          <cell r="E1527" t="str">
            <v>ARIS.A2.Aim1.Bin2.RB</v>
          </cell>
          <cell r="F1527">
            <v>4</v>
          </cell>
          <cell r="G1527" t="str">
            <v>SplineDFA</v>
          </cell>
          <cell r="H1527" t="str">
            <v>Y</v>
          </cell>
          <cell r="I1527" t="str">
            <v>N</v>
          </cell>
          <cell r="J1527">
            <v>158</v>
          </cell>
          <cell r="K1527">
            <v>1</v>
          </cell>
          <cell r="L1527">
            <v>0.14710000000000001</v>
          </cell>
          <cell r="M1527">
            <v>23.7</v>
          </cell>
          <cell r="N1527">
            <v>2.7</v>
          </cell>
          <cell r="O1527">
            <v>0.85289999999999999</v>
          </cell>
          <cell r="P1527">
            <v>0.27860000000000001</v>
          </cell>
          <cell r="Q1527">
            <v>0.1772</v>
          </cell>
          <cell r="R1527">
            <v>0.39710000000000001</v>
          </cell>
          <cell r="S1527" t="str">
            <v>NA</v>
          </cell>
          <cell r="T1527">
            <v>59</v>
          </cell>
          <cell r="U1527">
            <v>4.8</v>
          </cell>
          <cell r="V1527">
            <v>73.3</v>
          </cell>
          <cell r="W1527">
            <v>7.4</v>
          </cell>
          <cell r="X1527">
            <v>53.9</v>
          </cell>
          <cell r="Y1527">
            <v>7</v>
          </cell>
          <cell r="Z1527" t="str">
            <v>NA</v>
          </cell>
          <cell r="AA1527" t="str">
            <v>NA</v>
          </cell>
        </row>
        <row r="1528">
          <cell r="A1528">
            <v>45168</v>
          </cell>
          <cell r="B1528" t="str">
            <v>A2</v>
          </cell>
          <cell r="C1528">
            <v>3</v>
          </cell>
          <cell r="D1528">
            <v>1</v>
          </cell>
          <cell r="E1528" t="str">
            <v>ARIS.A2.Aim1.Bin3.RB</v>
          </cell>
          <cell r="F1528">
            <v>4</v>
          </cell>
          <cell r="G1528" t="str">
            <v>SplineDFA</v>
          </cell>
          <cell r="H1528" t="str">
            <v>Y</v>
          </cell>
          <cell r="I1528" t="str">
            <v>N</v>
          </cell>
          <cell r="J1528">
            <v>146</v>
          </cell>
          <cell r="K1528">
            <v>1</v>
          </cell>
          <cell r="L1528">
            <v>4.9099999999999998E-2</v>
          </cell>
          <cell r="M1528">
            <v>23.7</v>
          </cell>
          <cell r="N1528">
            <v>2.7</v>
          </cell>
          <cell r="O1528">
            <v>0.95089999999999997</v>
          </cell>
          <cell r="P1528">
            <v>0.14580000000000001</v>
          </cell>
          <cell r="Q1528">
            <v>0.50109999999999999</v>
          </cell>
          <cell r="R1528">
            <v>0.30399999999999999</v>
          </cell>
          <cell r="S1528" t="str">
            <v>NA</v>
          </cell>
          <cell r="T1528">
            <v>59</v>
          </cell>
          <cell r="U1528">
            <v>4.8</v>
          </cell>
          <cell r="V1528">
            <v>73.3</v>
          </cell>
          <cell r="W1528">
            <v>7.4</v>
          </cell>
          <cell r="X1528">
            <v>53.9</v>
          </cell>
          <cell r="Y1528">
            <v>7</v>
          </cell>
          <cell r="Z1528" t="str">
            <v>NA</v>
          </cell>
          <cell r="AA1528" t="str">
            <v>NA</v>
          </cell>
        </row>
        <row r="1529">
          <cell r="A1529">
            <v>45168</v>
          </cell>
          <cell r="B1529" t="str">
            <v>A2</v>
          </cell>
          <cell r="C1529">
            <v>4</v>
          </cell>
          <cell r="D1529">
            <v>1</v>
          </cell>
          <cell r="E1529" t="str">
            <v>ARIS.A2.Aim1.Bin4.RB</v>
          </cell>
          <cell r="F1529">
            <v>4</v>
          </cell>
          <cell r="G1529" t="str">
            <v>SplineDFA</v>
          </cell>
          <cell r="H1529" t="str">
            <v>Y</v>
          </cell>
          <cell r="I1529" t="str">
            <v>N</v>
          </cell>
          <cell r="J1529">
            <v>146</v>
          </cell>
          <cell r="K1529">
            <v>1</v>
          </cell>
          <cell r="L1529">
            <v>4.9099999999999998E-2</v>
          </cell>
          <cell r="M1529">
            <v>23.7</v>
          </cell>
          <cell r="N1529">
            <v>2.7</v>
          </cell>
          <cell r="O1529">
            <v>0.95089999999999997</v>
          </cell>
          <cell r="P1529">
            <v>0.14580000000000001</v>
          </cell>
          <cell r="Q1529">
            <v>0.50109999999999999</v>
          </cell>
          <cell r="R1529">
            <v>0.30399999999999999</v>
          </cell>
          <cell r="S1529" t="str">
            <v>NA</v>
          </cell>
          <cell r="T1529">
            <v>59</v>
          </cell>
          <cell r="U1529">
            <v>4.8</v>
          </cell>
          <cell r="V1529">
            <v>73.3</v>
          </cell>
          <cell r="W1529">
            <v>7.4</v>
          </cell>
          <cell r="X1529">
            <v>53.9</v>
          </cell>
          <cell r="Y1529">
            <v>7</v>
          </cell>
          <cell r="Z1529" t="str">
            <v>NA</v>
          </cell>
          <cell r="AA1529" t="str">
            <v>NA</v>
          </cell>
        </row>
        <row r="1530">
          <cell r="A1530">
            <v>45168</v>
          </cell>
          <cell r="B1530" t="str">
            <v>D6</v>
          </cell>
          <cell r="C1530">
            <v>1</v>
          </cell>
          <cell r="D1530">
            <v>1</v>
          </cell>
          <cell r="E1530" t="str">
            <v>DIDSON.D5.Aim1.Bin1.Mobile</v>
          </cell>
          <cell r="F1530">
            <v>4</v>
          </cell>
          <cell r="G1530" t="str">
            <v>SplineDFA</v>
          </cell>
          <cell r="H1530" t="str">
            <v>Y</v>
          </cell>
          <cell r="I1530" t="str">
            <v>N</v>
          </cell>
          <cell r="J1530">
            <v>146</v>
          </cell>
          <cell r="K1530">
            <v>1</v>
          </cell>
          <cell r="L1530">
            <v>4.9099999999999998E-2</v>
          </cell>
          <cell r="M1530">
            <v>23.7</v>
          </cell>
          <cell r="N1530">
            <v>2.7</v>
          </cell>
          <cell r="O1530">
            <v>1</v>
          </cell>
          <cell r="P1530">
            <v>0.2</v>
          </cell>
          <cell r="Q1530">
            <v>0.5</v>
          </cell>
          <cell r="R1530">
            <v>0.3</v>
          </cell>
          <cell r="S1530" t="str">
            <v>NA</v>
          </cell>
          <cell r="T1530">
            <v>59</v>
          </cell>
          <cell r="U1530">
            <v>4.8</v>
          </cell>
          <cell r="V1530">
            <v>73.3</v>
          </cell>
          <cell r="W1530">
            <v>7.4</v>
          </cell>
          <cell r="X1530">
            <v>53.9</v>
          </cell>
          <cell r="Y1530">
            <v>7</v>
          </cell>
          <cell r="Z1530" t="str">
            <v>NA</v>
          </cell>
          <cell r="AA1530" t="str">
            <v>NA</v>
          </cell>
        </row>
        <row r="1531">
          <cell r="A1531">
            <v>45169</v>
          </cell>
          <cell r="B1531" t="str">
            <v>A1</v>
          </cell>
          <cell r="C1531">
            <v>1</v>
          </cell>
          <cell r="D1531">
            <v>1</v>
          </cell>
          <cell r="E1531" t="str">
            <v>ARIS.A1.Aim1.Bin1.LB</v>
          </cell>
          <cell r="F1531">
            <v>4</v>
          </cell>
          <cell r="G1531" t="str">
            <v>Unweighted</v>
          </cell>
          <cell r="H1531" t="str">
            <v>N</v>
          </cell>
          <cell r="I1531" t="str">
            <v>Y</v>
          </cell>
          <cell r="J1531">
            <v>139</v>
          </cell>
          <cell r="K1531">
            <v>1</v>
          </cell>
          <cell r="L1531">
            <v>0.76249999999999996</v>
          </cell>
          <cell r="M1531">
            <v>23.4</v>
          </cell>
          <cell r="N1531">
            <v>5.0999999999999996</v>
          </cell>
          <cell r="O1531">
            <v>0.23749999999999999</v>
          </cell>
          <cell r="P1531">
            <v>3.5000000000000003E-2</v>
          </cell>
          <cell r="Q1531">
            <v>0</v>
          </cell>
          <cell r="R1531">
            <v>0.20250000000000001</v>
          </cell>
          <cell r="S1531" t="str">
            <v>NA</v>
          </cell>
          <cell r="T1531">
            <v>59</v>
          </cell>
          <cell r="U1531">
            <v>4.8</v>
          </cell>
          <cell r="V1531">
            <v>73.3</v>
          </cell>
          <cell r="W1531">
            <v>7.4</v>
          </cell>
          <cell r="X1531">
            <v>53.9</v>
          </cell>
          <cell r="Y1531">
            <v>7</v>
          </cell>
          <cell r="Z1531" t="str">
            <v>NA</v>
          </cell>
          <cell r="AA1531" t="str">
            <v>NA</v>
          </cell>
        </row>
        <row r="1532">
          <cell r="A1532">
            <v>45169</v>
          </cell>
          <cell r="B1532" t="str">
            <v>A1</v>
          </cell>
          <cell r="C1532">
            <v>1</v>
          </cell>
          <cell r="D1532">
            <v>2</v>
          </cell>
          <cell r="E1532" t="str">
            <v>ARIS.A1.Aim2.Bin1.LB</v>
          </cell>
          <cell r="F1532">
            <v>4</v>
          </cell>
          <cell r="G1532" t="str">
            <v>Unweighted</v>
          </cell>
          <cell r="H1532" t="str">
            <v>N</v>
          </cell>
          <cell r="I1532" t="str">
            <v>Y</v>
          </cell>
          <cell r="J1532">
            <v>201</v>
          </cell>
          <cell r="K1532">
            <v>1</v>
          </cell>
          <cell r="L1532">
            <v>0.38</v>
          </cell>
          <cell r="M1532">
            <v>25.5</v>
          </cell>
          <cell r="N1532">
            <v>6.9</v>
          </cell>
          <cell r="O1532">
            <v>0.62</v>
          </cell>
          <cell r="P1532">
            <v>0</v>
          </cell>
          <cell r="Q1532">
            <v>2.5999999999999999E-3</v>
          </cell>
          <cell r="R1532">
            <v>0.61739999999999995</v>
          </cell>
          <cell r="S1532" t="str">
            <v>NA</v>
          </cell>
          <cell r="T1532">
            <v>59</v>
          </cell>
          <cell r="U1532">
            <v>4.8</v>
          </cell>
          <cell r="V1532">
            <v>73.3</v>
          </cell>
          <cell r="W1532">
            <v>7.4</v>
          </cell>
          <cell r="X1532">
            <v>53.9</v>
          </cell>
          <cell r="Y1532">
            <v>7</v>
          </cell>
          <cell r="Z1532" t="str">
            <v>NA</v>
          </cell>
          <cell r="AA1532" t="str">
            <v>NA</v>
          </cell>
        </row>
        <row r="1533">
          <cell r="A1533">
            <v>45169</v>
          </cell>
          <cell r="B1533" t="str">
            <v>A1</v>
          </cell>
          <cell r="C1533">
            <v>1</v>
          </cell>
          <cell r="D1533" t="str">
            <v>1&amp;2</v>
          </cell>
          <cell r="E1533" t="str">
            <v>ARIS.A1.Aim1&amp;Aim2.Bin1.LB</v>
          </cell>
          <cell r="F1533">
            <v>4</v>
          </cell>
          <cell r="G1533" t="str">
            <v>Unweighted</v>
          </cell>
          <cell r="H1533" t="str">
            <v>N</v>
          </cell>
          <cell r="I1533" t="str">
            <v>Y</v>
          </cell>
          <cell r="J1533">
            <v>340</v>
          </cell>
          <cell r="K1533">
            <v>1</v>
          </cell>
          <cell r="L1533">
            <v>0.53539999999999999</v>
          </cell>
          <cell r="M1533">
            <v>24</v>
          </cell>
          <cell r="N1533">
            <v>6</v>
          </cell>
          <cell r="O1533">
            <v>0.46460000000000001</v>
          </cell>
          <cell r="P1533">
            <v>0</v>
          </cell>
          <cell r="Q1533">
            <v>9.4000000000000004E-3</v>
          </cell>
          <cell r="R1533">
            <v>0.45519999999999999</v>
          </cell>
          <cell r="S1533" t="str">
            <v>NA</v>
          </cell>
          <cell r="T1533">
            <v>59</v>
          </cell>
          <cell r="U1533">
            <v>4.8</v>
          </cell>
          <cell r="V1533">
            <v>73.3</v>
          </cell>
          <cell r="W1533">
            <v>7.4</v>
          </cell>
          <cell r="X1533">
            <v>53.9</v>
          </cell>
          <cell r="Y1533">
            <v>7</v>
          </cell>
          <cell r="Z1533" t="str">
            <v>NA</v>
          </cell>
          <cell r="AA1533" t="str">
            <v>NA</v>
          </cell>
        </row>
        <row r="1534">
          <cell r="A1534">
            <v>45169</v>
          </cell>
          <cell r="B1534" t="str">
            <v>A1</v>
          </cell>
          <cell r="C1534">
            <v>2</v>
          </cell>
          <cell r="D1534">
            <v>3</v>
          </cell>
          <cell r="E1534" t="str">
            <v>ARIS.A1.Aim3.Bin2.LB</v>
          </cell>
          <cell r="F1534">
            <v>4</v>
          </cell>
          <cell r="G1534" t="str">
            <v>Unweighted</v>
          </cell>
          <cell r="H1534" t="str">
            <v>N</v>
          </cell>
          <cell r="I1534" t="str">
            <v>Y</v>
          </cell>
          <cell r="J1534">
            <v>263</v>
          </cell>
          <cell r="K1534">
            <v>1</v>
          </cell>
          <cell r="L1534">
            <v>0.18709999999999999</v>
          </cell>
          <cell r="M1534">
            <v>29.4</v>
          </cell>
          <cell r="N1534">
            <v>3.9</v>
          </cell>
          <cell r="O1534">
            <v>0.81289999999999996</v>
          </cell>
          <cell r="P1534">
            <v>0</v>
          </cell>
          <cell r="Q1534">
            <v>8.7599999999999997E-2</v>
          </cell>
          <cell r="R1534">
            <v>0.72529999999999994</v>
          </cell>
          <cell r="S1534" t="str">
            <v>NA</v>
          </cell>
          <cell r="T1534">
            <v>59</v>
          </cell>
          <cell r="U1534">
            <v>4.8</v>
          </cell>
          <cell r="V1534">
            <v>73.3</v>
          </cell>
          <cell r="W1534">
            <v>7.4</v>
          </cell>
          <cell r="X1534">
            <v>53.9</v>
          </cell>
          <cell r="Y1534">
            <v>7</v>
          </cell>
          <cell r="Z1534" t="str">
            <v>NA</v>
          </cell>
          <cell r="AA1534" t="str">
            <v>NA</v>
          </cell>
        </row>
        <row r="1535">
          <cell r="A1535">
            <v>45169</v>
          </cell>
          <cell r="B1535" t="str">
            <v>A1</v>
          </cell>
          <cell r="C1535">
            <v>3</v>
          </cell>
          <cell r="D1535">
            <v>3</v>
          </cell>
          <cell r="E1535" t="str">
            <v>ARIS.A1.Aim3.Bin3.LB</v>
          </cell>
          <cell r="F1535">
            <v>4</v>
          </cell>
          <cell r="G1535" t="str">
            <v>Unweighted</v>
          </cell>
          <cell r="H1535" t="str">
            <v>N</v>
          </cell>
          <cell r="I1535" t="str">
            <v>Y</v>
          </cell>
          <cell r="J1535">
            <v>165</v>
          </cell>
          <cell r="K1535">
            <v>0.99990000000000001</v>
          </cell>
          <cell r="L1535">
            <v>2.9600000000000001E-2</v>
          </cell>
          <cell r="M1535">
            <v>30.8</v>
          </cell>
          <cell r="N1535">
            <v>1.7</v>
          </cell>
          <cell r="O1535">
            <v>0.97030000000000005</v>
          </cell>
          <cell r="P1535">
            <v>0</v>
          </cell>
          <cell r="Q1535">
            <v>0.39689999999999998</v>
          </cell>
          <cell r="R1535">
            <v>0.57340000000000002</v>
          </cell>
          <cell r="S1535" t="str">
            <v>NA</v>
          </cell>
          <cell r="T1535">
            <v>59</v>
          </cell>
          <cell r="U1535">
            <v>4.8</v>
          </cell>
          <cell r="V1535">
            <v>73.3</v>
          </cell>
          <cell r="W1535">
            <v>7.4</v>
          </cell>
          <cell r="X1535">
            <v>53.9</v>
          </cell>
          <cell r="Y1535">
            <v>7</v>
          </cell>
          <cell r="Z1535" t="str">
            <v>NA</v>
          </cell>
          <cell r="AA1535" t="str">
            <v>NA</v>
          </cell>
        </row>
        <row r="1536">
          <cell r="A1536">
            <v>45169</v>
          </cell>
          <cell r="B1536" t="str">
            <v>A1</v>
          </cell>
          <cell r="C1536">
            <v>4</v>
          </cell>
          <cell r="D1536">
            <v>3</v>
          </cell>
          <cell r="E1536" t="str">
            <v>ARIS.A1.Aim3.Bin4.LB</v>
          </cell>
          <cell r="F1536">
            <v>4</v>
          </cell>
          <cell r="G1536" t="str">
            <v>Unweighted</v>
          </cell>
          <cell r="H1536" t="str">
            <v>N</v>
          </cell>
          <cell r="I1536" t="str">
            <v>Y</v>
          </cell>
          <cell r="J1536">
            <v>165</v>
          </cell>
          <cell r="K1536">
            <v>0.99990000000000001</v>
          </cell>
          <cell r="L1536">
            <v>2.9600000000000001E-2</v>
          </cell>
          <cell r="M1536">
            <v>30.8</v>
          </cell>
          <cell r="N1536">
            <v>1.7</v>
          </cell>
          <cell r="O1536">
            <v>0.97030000000000005</v>
          </cell>
          <cell r="P1536">
            <v>0</v>
          </cell>
          <cell r="Q1536">
            <v>0.39689999999999998</v>
          </cell>
          <cell r="R1536">
            <v>0.57340000000000002</v>
          </cell>
          <cell r="S1536" t="str">
            <v>NA</v>
          </cell>
          <cell r="T1536">
            <v>59</v>
          </cell>
          <cell r="U1536">
            <v>4.8</v>
          </cell>
          <cell r="V1536">
            <v>73.3</v>
          </cell>
          <cell r="W1536">
            <v>7.4</v>
          </cell>
          <cell r="X1536">
            <v>53.9</v>
          </cell>
          <cell r="Y1536">
            <v>7</v>
          </cell>
          <cell r="Z1536" t="str">
            <v>NA</v>
          </cell>
          <cell r="AA1536" t="str">
            <v>NA</v>
          </cell>
        </row>
        <row r="1537">
          <cell r="A1537">
            <v>45169</v>
          </cell>
          <cell r="B1537" t="str">
            <v>A2</v>
          </cell>
          <cell r="C1537">
            <v>1</v>
          </cell>
          <cell r="D1537">
            <v>1</v>
          </cell>
          <cell r="E1537" t="str">
            <v>ARIS.A2.Aim1.Bin1.RB</v>
          </cell>
          <cell r="F1537">
            <v>4</v>
          </cell>
          <cell r="G1537" t="str">
            <v>Unweighted</v>
          </cell>
          <cell r="H1537" t="str">
            <v>N</v>
          </cell>
          <cell r="I1537" t="str">
            <v>Y</v>
          </cell>
          <cell r="J1537">
            <v>192</v>
          </cell>
          <cell r="K1537">
            <v>0.99990000000000001</v>
          </cell>
          <cell r="L1537">
            <v>0.36</v>
          </cell>
          <cell r="M1537">
            <v>24.3</v>
          </cell>
          <cell r="N1537">
            <v>6.6</v>
          </cell>
          <cell r="O1537">
            <v>0.63990000000000002</v>
          </cell>
          <cell r="P1537">
            <v>0</v>
          </cell>
          <cell r="Q1537">
            <v>1.78E-2</v>
          </cell>
          <cell r="R1537">
            <v>0.62209999999999999</v>
          </cell>
          <cell r="S1537" t="str">
            <v>NA</v>
          </cell>
          <cell r="T1537">
            <v>59</v>
          </cell>
          <cell r="U1537">
            <v>4.8</v>
          </cell>
          <cell r="V1537">
            <v>73.3</v>
          </cell>
          <cell r="W1537">
            <v>7.4</v>
          </cell>
          <cell r="X1537">
            <v>53.9</v>
          </cell>
          <cell r="Y1537">
            <v>7</v>
          </cell>
          <cell r="Z1537" t="str">
            <v>NA</v>
          </cell>
          <cell r="AA1537" t="str">
            <v>NA</v>
          </cell>
        </row>
        <row r="1538">
          <cell r="A1538">
            <v>45169</v>
          </cell>
          <cell r="B1538" t="str">
            <v>A2</v>
          </cell>
          <cell r="C1538">
            <v>2</v>
          </cell>
          <cell r="D1538">
            <v>1</v>
          </cell>
          <cell r="E1538" t="str">
            <v>ARIS.A2.Aim1.Bin2.RB</v>
          </cell>
          <cell r="F1538">
            <v>4</v>
          </cell>
          <cell r="G1538" t="str">
            <v>Unweighted</v>
          </cell>
          <cell r="H1538" t="str">
            <v>N</v>
          </cell>
          <cell r="I1538" t="str">
            <v>Y</v>
          </cell>
          <cell r="J1538">
            <v>186</v>
          </cell>
          <cell r="K1538">
            <v>1</v>
          </cell>
          <cell r="L1538">
            <v>0.28289999999999998</v>
          </cell>
          <cell r="M1538">
            <v>26.9</v>
          </cell>
          <cell r="N1538">
            <v>4.2</v>
          </cell>
          <cell r="O1538">
            <v>0.71709999999999996</v>
          </cell>
          <cell r="P1538">
            <v>0</v>
          </cell>
          <cell r="Q1538">
            <v>0.16159999999999999</v>
          </cell>
          <cell r="R1538">
            <v>0.55549999999999999</v>
          </cell>
          <cell r="S1538" t="str">
            <v>NA</v>
          </cell>
          <cell r="T1538">
            <v>59</v>
          </cell>
          <cell r="U1538">
            <v>4.8</v>
          </cell>
          <cell r="V1538">
            <v>73.3</v>
          </cell>
          <cell r="W1538">
            <v>7.4</v>
          </cell>
          <cell r="X1538">
            <v>53.9</v>
          </cell>
          <cell r="Y1538">
            <v>7</v>
          </cell>
          <cell r="Z1538" t="str">
            <v>NA</v>
          </cell>
          <cell r="AA1538" t="str">
            <v>NA</v>
          </cell>
        </row>
        <row r="1539">
          <cell r="A1539">
            <v>45169</v>
          </cell>
          <cell r="B1539" t="str">
            <v>A2</v>
          </cell>
          <cell r="C1539">
            <v>3</v>
          </cell>
          <cell r="D1539">
            <v>1</v>
          </cell>
          <cell r="E1539" t="str">
            <v>ARIS.A2.Aim1.Bin3.RB</v>
          </cell>
          <cell r="F1539">
            <v>4</v>
          </cell>
          <cell r="G1539" t="str">
            <v>Unweighted</v>
          </cell>
          <cell r="H1539" t="str">
            <v>N</v>
          </cell>
          <cell r="I1539" t="str">
            <v>Y</v>
          </cell>
          <cell r="J1539">
            <v>162</v>
          </cell>
          <cell r="K1539">
            <v>1</v>
          </cell>
          <cell r="L1539">
            <v>9.1800000000000007E-2</v>
          </cell>
          <cell r="M1539">
            <v>31.1</v>
          </cell>
          <cell r="N1539">
            <v>3.6</v>
          </cell>
          <cell r="O1539">
            <v>0.90820000000000001</v>
          </cell>
          <cell r="P1539">
            <v>0</v>
          </cell>
          <cell r="Q1539">
            <v>0.44469999999999998</v>
          </cell>
          <cell r="R1539">
            <v>0.46350000000000002</v>
          </cell>
          <cell r="S1539" t="str">
            <v>NA</v>
          </cell>
          <cell r="T1539">
            <v>59</v>
          </cell>
          <cell r="U1539">
            <v>4.8</v>
          </cell>
          <cell r="V1539">
            <v>73.3</v>
          </cell>
          <cell r="W1539">
            <v>7.4</v>
          </cell>
          <cell r="X1539">
            <v>53.9</v>
          </cell>
          <cell r="Y1539">
            <v>7</v>
          </cell>
          <cell r="Z1539" t="str">
            <v>NA</v>
          </cell>
          <cell r="AA1539" t="str">
            <v>NA</v>
          </cell>
        </row>
        <row r="1540">
          <cell r="A1540">
            <v>45169</v>
          </cell>
          <cell r="B1540" t="str">
            <v>A2</v>
          </cell>
          <cell r="C1540">
            <v>4</v>
          </cell>
          <cell r="D1540">
            <v>1</v>
          </cell>
          <cell r="E1540" t="str">
            <v>ARIS.A2.Aim1.Bin4.RB</v>
          </cell>
          <cell r="F1540">
            <v>4</v>
          </cell>
          <cell r="G1540" t="str">
            <v>Unweighted</v>
          </cell>
          <cell r="H1540" t="str">
            <v>N</v>
          </cell>
          <cell r="I1540" t="str">
            <v>Y</v>
          </cell>
          <cell r="J1540">
            <v>162</v>
          </cell>
          <cell r="K1540">
            <v>1</v>
          </cell>
          <cell r="L1540">
            <v>9.1800000000000007E-2</v>
          </cell>
          <cell r="M1540">
            <v>31.1</v>
          </cell>
          <cell r="N1540">
            <v>3.6</v>
          </cell>
          <cell r="O1540">
            <v>0.90820000000000001</v>
          </cell>
          <cell r="P1540">
            <v>0</v>
          </cell>
          <cell r="Q1540">
            <v>0.44469999999999998</v>
          </cell>
          <cell r="R1540">
            <v>0.46350000000000002</v>
          </cell>
          <cell r="S1540" t="str">
            <v>NA</v>
          </cell>
          <cell r="T1540">
            <v>59</v>
          </cell>
          <cell r="U1540">
            <v>4.8</v>
          </cell>
          <cell r="V1540">
            <v>73.3</v>
          </cell>
          <cell r="W1540">
            <v>7.4</v>
          </cell>
          <cell r="X1540">
            <v>53.9</v>
          </cell>
          <cell r="Y1540">
            <v>7</v>
          </cell>
          <cell r="Z1540" t="str">
            <v>NA</v>
          </cell>
          <cell r="AA1540" t="str">
            <v>NA</v>
          </cell>
        </row>
        <row r="1541">
          <cell r="A1541">
            <v>45169</v>
          </cell>
          <cell r="B1541" t="str">
            <v>A1</v>
          </cell>
          <cell r="C1541">
            <v>1</v>
          </cell>
          <cell r="D1541">
            <v>1</v>
          </cell>
          <cell r="E1541" t="str">
            <v>ARIS.A1.Aim1.Bin1.LB</v>
          </cell>
          <cell r="F1541">
            <v>4</v>
          </cell>
          <cell r="G1541" t="str">
            <v>SplineDFA</v>
          </cell>
          <cell r="H1541" t="str">
            <v>Y</v>
          </cell>
          <cell r="I1541" t="str">
            <v>N</v>
          </cell>
          <cell r="J1541">
            <v>139</v>
          </cell>
          <cell r="K1541">
            <v>1</v>
          </cell>
          <cell r="L1541">
            <v>0.73429999999999995</v>
          </cell>
          <cell r="M1541">
            <v>23.7</v>
          </cell>
          <cell r="N1541">
            <v>2.7</v>
          </cell>
          <cell r="O1541">
            <v>0.26569999999999999</v>
          </cell>
          <cell r="P1541">
            <v>2.1499999999999998E-2</v>
          </cell>
          <cell r="Q1541">
            <v>3.7000000000000002E-3</v>
          </cell>
          <cell r="R1541">
            <v>0.24049999999999999</v>
          </cell>
          <cell r="S1541" t="str">
            <v>NA</v>
          </cell>
          <cell r="T1541">
            <v>59</v>
          </cell>
          <cell r="U1541">
            <v>4.8</v>
          </cell>
          <cell r="V1541">
            <v>73.3</v>
          </cell>
          <cell r="W1541">
            <v>7.4</v>
          </cell>
          <cell r="X1541">
            <v>53.9</v>
          </cell>
          <cell r="Y1541">
            <v>7</v>
          </cell>
          <cell r="Z1541" t="str">
            <v>NA</v>
          </cell>
          <cell r="AA1541" t="str">
            <v>NA</v>
          </cell>
        </row>
        <row r="1542">
          <cell r="A1542">
            <v>45169</v>
          </cell>
          <cell r="B1542" t="str">
            <v>A1</v>
          </cell>
          <cell r="C1542">
            <v>1</v>
          </cell>
          <cell r="D1542">
            <v>2</v>
          </cell>
          <cell r="E1542" t="str">
            <v>ARIS.A1.Aim2.Bin1.LB</v>
          </cell>
          <cell r="F1542">
            <v>4</v>
          </cell>
          <cell r="G1542" t="str">
            <v>SplineDFA</v>
          </cell>
          <cell r="H1542" t="str">
            <v>Y</v>
          </cell>
          <cell r="I1542" t="str">
            <v>N</v>
          </cell>
          <cell r="J1542">
            <v>201</v>
          </cell>
          <cell r="K1542">
            <v>1</v>
          </cell>
          <cell r="L1542">
            <v>0.1789</v>
          </cell>
          <cell r="M1542">
            <v>23.7</v>
          </cell>
          <cell r="N1542">
            <v>2.7</v>
          </cell>
          <cell r="O1542">
            <v>0.82110000000000005</v>
          </cell>
          <cell r="P1542">
            <v>0.19700000000000001</v>
          </cell>
          <cell r="Q1542">
            <v>4.4999999999999997E-3</v>
          </cell>
          <cell r="R1542">
            <v>0.61960000000000004</v>
          </cell>
          <cell r="S1542" t="str">
            <v>NA</v>
          </cell>
          <cell r="T1542">
            <v>59</v>
          </cell>
          <cell r="U1542">
            <v>4.8</v>
          </cell>
          <cell r="V1542">
            <v>73.3</v>
          </cell>
          <cell r="W1542">
            <v>7.4</v>
          </cell>
          <cell r="X1542">
            <v>53.9</v>
          </cell>
          <cell r="Y1542">
            <v>7</v>
          </cell>
          <cell r="Z1542" t="str">
            <v>NA</v>
          </cell>
          <cell r="AA1542" t="str">
            <v>NA</v>
          </cell>
        </row>
        <row r="1543">
          <cell r="A1543">
            <v>45169</v>
          </cell>
          <cell r="B1543" t="str">
            <v>A1</v>
          </cell>
          <cell r="C1543">
            <v>2</v>
          </cell>
          <cell r="D1543">
            <v>3</v>
          </cell>
          <cell r="E1543" t="str">
            <v>ARIS.A1.Aim3.Bin2.LB</v>
          </cell>
          <cell r="F1543">
            <v>4</v>
          </cell>
          <cell r="G1543" t="str">
            <v>SplineDFA</v>
          </cell>
          <cell r="H1543" t="str">
            <v>Y</v>
          </cell>
          <cell r="I1543" t="str">
            <v>N</v>
          </cell>
          <cell r="J1543">
            <v>263</v>
          </cell>
          <cell r="K1543">
            <v>1</v>
          </cell>
          <cell r="L1543">
            <v>3.6200000000000003E-2</v>
          </cell>
          <cell r="M1543">
            <v>23.7</v>
          </cell>
          <cell r="N1543">
            <v>2.7</v>
          </cell>
          <cell r="O1543">
            <v>0.96379999999999999</v>
          </cell>
          <cell r="P1543">
            <v>0.36109999999999998</v>
          </cell>
          <cell r="Q1543">
            <v>8.4699999999999998E-2</v>
          </cell>
          <cell r="R1543">
            <v>0.51800000000000002</v>
          </cell>
          <cell r="S1543" t="str">
            <v>NA</v>
          </cell>
          <cell r="T1543">
            <v>59</v>
          </cell>
          <cell r="U1543">
            <v>4.8</v>
          </cell>
          <cell r="V1543">
            <v>73.3</v>
          </cell>
          <cell r="W1543">
            <v>7.4</v>
          </cell>
          <cell r="X1543">
            <v>53.9</v>
          </cell>
          <cell r="Y1543">
            <v>7</v>
          </cell>
          <cell r="Z1543" t="str">
            <v>NA</v>
          </cell>
          <cell r="AA1543" t="str">
            <v>NA</v>
          </cell>
        </row>
        <row r="1544">
          <cell r="A1544">
            <v>45169</v>
          </cell>
          <cell r="B1544" t="str">
            <v>A1</v>
          </cell>
          <cell r="C1544">
            <v>3</v>
          </cell>
          <cell r="D1544">
            <v>3</v>
          </cell>
          <cell r="E1544" t="str">
            <v>ARIS.A1.Aim3.Bin3.LB</v>
          </cell>
          <cell r="F1544">
            <v>4</v>
          </cell>
          <cell r="G1544" t="str">
            <v>SplineDFA</v>
          </cell>
          <cell r="H1544" t="str">
            <v>Y</v>
          </cell>
          <cell r="I1544" t="str">
            <v>N</v>
          </cell>
          <cell r="J1544">
            <v>165</v>
          </cell>
          <cell r="K1544">
            <v>1.0001</v>
          </cell>
          <cell r="L1544">
            <v>1.7399999999999999E-2</v>
          </cell>
          <cell r="M1544">
            <v>23.7</v>
          </cell>
          <cell r="N1544">
            <v>2.7</v>
          </cell>
          <cell r="O1544">
            <v>0.98270000000000002</v>
          </cell>
          <cell r="P1544">
            <v>0.25580000000000003</v>
          </cell>
          <cell r="Q1544">
            <v>0.314</v>
          </cell>
          <cell r="R1544">
            <v>0.41289999999999999</v>
          </cell>
          <cell r="S1544" t="str">
            <v>NA</v>
          </cell>
          <cell r="T1544">
            <v>59</v>
          </cell>
          <cell r="U1544">
            <v>4.8</v>
          </cell>
          <cell r="V1544">
            <v>73.3</v>
          </cell>
          <cell r="W1544">
            <v>7.4</v>
          </cell>
          <cell r="X1544">
            <v>53.9</v>
          </cell>
          <cell r="Y1544">
            <v>7</v>
          </cell>
          <cell r="Z1544" t="str">
            <v>NA</v>
          </cell>
          <cell r="AA1544" t="str">
            <v>NA</v>
          </cell>
        </row>
        <row r="1545">
          <cell r="A1545">
            <v>45169</v>
          </cell>
          <cell r="B1545" t="str">
            <v>A1</v>
          </cell>
          <cell r="C1545">
            <v>4</v>
          </cell>
          <cell r="D1545">
            <v>3</v>
          </cell>
          <cell r="E1545" t="str">
            <v>ARIS.A1.Aim3.Bin4.LB</v>
          </cell>
          <cell r="F1545">
            <v>4</v>
          </cell>
          <cell r="G1545" t="str">
            <v>SplineDFA</v>
          </cell>
          <cell r="H1545" t="str">
            <v>Y</v>
          </cell>
          <cell r="I1545" t="str">
            <v>N</v>
          </cell>
          <cell r="J1545">
            <v>165</v>
          </cell>
          <cell r="K1545">
            <v>1.0001</v>
          </cell>
          <cell r="L1545">
            <v>1.7399999999999999E-2</v>
          </cell>
          <cell r="M1545">
            <v>23.7</v>
          </cell>
          <cell r="N1545">
            <v>2.7</v>
          </cell>
          <cell r="O1545">
            <v>0.98270000000000002</v>
          </cell>
          <cell r="P1545">
            <v>0.25580000000000003</v>
          </cell>
          <cell r="Q1545">
            <v>0.314</v>
          </cell>
          <cell r="R1545">
            <v>0.41289999999999999</v>
          </cell>
          <cell r="S1545" t="str">
            <v>NA</v>
          </cell>
          <cell r="T1545">
            <v>59</v>
          </cell>
          <cell r="U1545">
            <v>4.8</v>
          </cell>
          <cell r="V1545">
            <v>73.3</v>
          </cell>
          <cell r="W1545">
            <v>7.4</v>
          </cell>
          <cell r="X1545">
            <v>53.9</v>
          </cell>
          <cell r="Y1545">
            <v>7</v>
          </cell>
          <cell r="Z1545" t="str">
            <v>NA</v>
          </cell>
          <cell r="AA1545" t="str">
            <v>NA</v>
          </cell>
        </row>
        <row r="1546">
          <cell r="A1546">
            <v>45169</v>
          </cell>
          <cell r="B1546" t="str">
            <v>A2</v>
          </cell>
          <cell r="C1546">
            <v>1</v>
          </cell>
          <cell r="D1546">
            <v>1</v>
          </cell>
          <cell r="E1546" t="str">
            <v>ARIS.A2.Aim1.Bin1.RB</v>
          </cell>
          <cell r="F1546">
            <v>4</v>
          </cell>
          <cell r="G1546" t="str">
            <v>SplineDFA</v>
          </cell>
          <cell r="H1546" t="str">
            <v>Y</v>
          </cell>
          <cell r="I1546" t="str">
            <v>N</v>
          </cell>
          <cell r="J1546">
            <v>192</v>
          </cell>
          <cell r="K1546">
            <v>1.0001</v>
          </cell>
          <cell r="L1546">
            <v>0.2261</v>
          </cell>
          <cell r="M1546">
            <v>23.7</v>
          </cell>
          <cell r="N1546">
            <v>2.7</v>
          </cell>
          <cell r="O1546">
            <v>0.77400000000000002</v>
          </cell>
          <cell r="P1546">
            <v>0.21929999999999999</v>
          </cell>
          <cell r="Q1546">
            <v>2.3800000000000002E-2</v>
          </cell>
          <cell r="R1546">
            <v>0.53090000000000004</v>
          </cell>
          <cell r="S1546" t="str">
            <v>NA</v>
          </cell>
          <cell r="T1546">
            <v>59</v>
          </cell>
          <cell r="U1546">
            <v>4.8</v>
          </cell>
          <cell r="V1546">
            <v>73.3</v>
          </cell>
          <cell r="W1546">
            <v>7.5</v>
          </cell>
          <cell r="X1546">
            <v>53.9</v>
          </cell>
          <cell r="Y1546">
            <v>7</v>
          </cell>
          <cell r="Z1546" t="str">
            <v>NA</v>
          </cell>
          <cell r="AA1546" t="str">
            <v>NA</v>
          </cell>
        </row>
        <row r="1547">
          <cell r="A1547">
            <v>45169</v>
          </cell>
          <cell r="B1547" t="str">
            <v>A2</v>
          </cell>
          <cell r="C1547">
            <v>2</v>
          </cell>
          <cell r="D1547">
            <v>1</v>
          </cell>
          <cell r="E1547" t="str">
            <v>ARIS.A2.Aim1.Bin2.RB</v>
          </cell>
          <cell r="F1547">
            <v>4</v>
          </cell>
          <cell r="G1547" t="str">
            <v>SplineDFA</v>
          </cell>
          <cell r="H1547" t="str">
            <v>Y</v>
          </cell>
          <cell r="I1547" t="str">
            <v>N</v>
          </cell>
          <cell r="J1547">
            <v>186</v>
          </cell>
          <cell r="K1547">
            <v>1</v>
          </cell>
          <cell r="L1547">
            <v>0.14000000000000001</v>
          </cell>
          <cell r="M1547">
            <v>23.7</v>
          </cell>
          <cell r="N1547">
            <v>2.7</v>
          </cell>
          <cell r="O1547">
            <v>0.86</v>
          </cell>
          <cell r="P1547">
            <v>0.20130000000000001</v>
          </cell>
          <cell r="Q1547">
            <v>0.20780000000000001</v>
          </cell>
          <cell r="R1547">
            <v>0.45090000000000002</v>
          </cell>
          <cell r="S1547" t="str">
            <v>NA</v>
          </cell>
          <cell r="T1547">
            <v>59</v>
          </cell>
          <cell r="U1547">
            <v>4.8</v>
          </cell>
          <cell r="V1547">
            <v>73.3</v>
          </cell>
          <cell r="W1547">
            <v>7.4</v>
          </cell>
          <cell r="X1547">
            <v>53.9</v>
          </cell>
          <cell r="Y1547">
            <v>7</v>
          </cell>
          <cell r="Z1547" t="str">
            <v>NA</v>
          </cell>
          <cell r="AA1547" t="str">
            <v>NA</v>
          </cell>
        </row>
        <row r="1548">
          <cell r="A1548">
            <v>45169</v>
          </cell>
          <cell r="B1548" t="str">
            <v>A2</v>
          </cell>
          <cell r="C1548">
            <v>3</v>
          </cell>
          <cell r="D1548">
            <v>1</v>
          </cell>
          <cell r="E1548" t="str">
            <v>ARIS.A2.Aim1.Bin3.RB</v>
          </cell>
          <cell r="F1548">
            <v>4</v>
          </cell>
          <cell r="G1548" t="str">
            <v>SplineDFA</v>
          </cell>
          <cell r="H1548" t="str">
            <v>Y</v>
          </cell>
          <cell r="I1548" t="str">
            <v>N</v>
          </cell>
          <cell r="J1548">
            <v>162</v>
          </cell>
          <cell r="K1548">
            <v>1</v>
          </cell>
          <cell r="L1548">
            <v>2.47E-2</v>
          </cell>
          <cell r="M1548">
            <v>23.7</v>
          </cell>
          <cell r="N1548">
            <v>2.7</v>
          </cell>
          <cell r="O1548">
            <v>0.97529999999999994</v>
          </cell>
          <cell r="P1548">
            <v>0.2316</v>
          </cell>
          <cell r="Q1548">
            <v>0.40050000000000002</v>
          </cell>
          <cell r="R1548">
            <v>0.34320000000000001</v>
          </cell>
          <cell r="S1548" t="str">
            <v>NA</v>
          </cell>
          <cell r="T1548">
            <v>59</v>
          </cell>
          <cell r="U1548">
            <v>4.8</v>
          </cell>
          <cell r="V1548">
            <v>73.3</v>
          </cell>
          <cell r="W1548">
            <v>7.4</v>
          </cell>
          <cell r="X1548">
            <v>53.9</v>
          </cell>
          <cell r="Y1548">
            <v>7</v>
          </cell>
          <cell r="Z1548" t="str">
            <v>NA</v>
          </cell>
          <cell r="AA1548" t="str">
            <v>NA</v>
          </cell>
        </row>
        <row r="1549">
          <cell r="A1549">
            <v>45169</v>
          </cell>
          <cell r="B1549" t="str">
            <v>A2</v>
          </cell>
          <cell r="C1549">
            <v>4</v>
          </cell>
          <cell r="D1549">
            <v>1</v>
          </cell>
          <cell r="E1549" t="str">
            <v>ARIS.A2.Aim1.Bin4.RB</v>
          </cell>
          <cell r="F1549">
            <v>4</v>
          </cell>
          <cell r="G1549" t="str">
            <v>SplineDFA</v>
          </cell>
          <cell r="H1549" t="str">
            <v>Y</v>
          </cell>
          <cell r="I1549" t="str">
            <v>N</v>
          </cell>
          <cell r="J1549">
            <v>162</v>
          </cell>
          <cell r="K1549">
            <v>1</v>
          </cell>
          <cell r="L1549">
            <v>2.47E-2</v>
          </cell>
          <cell r="M1549">
            <v>23.7</v>
          </cell>
          <cell r="N1549">
            <v>2.7</v>
          </cell>
          <cell r="O1549">
            <v>0.97529999999999994</v>
          </cell>
          <cell r="P1549">
            <v>0.2316</v>
          </cell>
          <cell r="Q1549">
            <v>0.40050000000000002</v>
          </cell>
          <cell r="R1549">
            <v>0.34320000000000001</v>
          </cell>
          <cell r="S1549" t="str">
            <v>NA</v>
          </cell>
          <cell r="T1549">
            <v>59</v>
          </cell>
          <cell r="U1549">
            <v>4.8</v>
          </cell>
          <cell r="V1549">
            <v>73.3</v>
          </cell>
          <cell r="W1549">
            <v>7.4</v>
          </cell>
          <cell r="X1549">
            <v>53.9</v>
          </cell>
          <cell r="Y1549">
            <v>7</v>
          </cell>
          <cell r="Z1549" t="str">
            <v>NA</v>
          </cell>
          <cell r="AA1549" t="str">
            <v>NA</v>
          </cell>
        </row>
        <row r="1550">
          <cell r="A1550">
            <v>45170</v>
          </cell>
          <cell r="B1550" t="str">
            <v>A1</v>
          </cell>
          <cell r="C1550">
            <v>1</v>
          </cell>
          <cell r="D1550">
            <v>1</v>
          </cell>
          <cell r="E1550" t="str">
            <v>ARIS.A1.Aim1.Bin1.LB</v>
          </cell>
          <cell r="F1550">
            <v>4</v>
          </cell>
          <cell r="G1550" t="str">
            <v>Unweighted</v>
          </cell>
          <cell r="H1550" t="str">
            <v>N</v>
          </cell>
          <cell r="I1550" t="str">
            <v>Y</v>
          </cell>
          <cell r="J1550">
            <v>180</v>
          </cell>
          <cell r="K1550">
            <v>1.0001</v>
          </cell>
          <cell r="L1550">
            <v>0.83230000000000004</v>
          </cell>
          <cell r="M1550">
            <v>24.2</v>
          </cell>
          <cell r="N1550">
            <v>5.0999999999999996</v>
          </cell>
          <cell r="O1550">
            <v>0.1678</v>
          </cell>
          <cell r="P1550">
            <v>0</v>
          </cell>
          <cell r="Q1550">
            <v>4.0000000000000002E-4</v>
          </cell>
          <cell r="R1550">
            <v>0.16739999999999999</v>
          </cell>
          <cell r="S1550" t="str">
            <v>NA</v>
          </cell>
          <cell r="T1550">
            <v>59</v>
          </cell>
          <cell r="U1550">
            <v>4.8</v>
          </cell>
          <cell r="V1550">
            <v>73.3</v>
          </cell>
          <cell r="W1550">
            <v>7.4</v>
          </cell>
          <cell r="X1550">
            <v>53.9</v>
          </cell>
          <cell r="Y1550">
            <v>7</v>
          </cell>
          <cell r="Z1550" t="str">
            <v>NA</v>
          </cell>
          <cell r="AA1550" t="str">
            <v>NA</v>
          </cell>
        </row>
        <row r="1551">
          <cell r="A1551">
            <v>45170</v>
          </cell>
          <cell r="B1551" t="str">
            <v>A1</v>
          </cell>
          <cell r="C1551">
            <v>1</v>
          </cell>
          <cell r="D1551">
            <v>2</v>
          </cell>
          <cell r="E1551" t="str">
            <v>ARIS.A1.Aim2.Bin1.LB</v>
          </cell>
          <cell r="F1551">
            <v>4</v>
          </cell>
          <cell r="G1551" t="str">
            <v>Unweighted</v>
          </cell>
          <cell r="H1551" t="str">
            <v>N</v>
          </cell>
          <cell r="I1551" t="str">
            <v>Y</v>
          </cell>
          <cell r="J1551">
            <v>223</v>
          </cell>
          <cell r="K1551">
            <v>0.99990000000000001</v>
          </cell>
          <cell r="L1551">
            <v>0.30769999999999997</v>
          </cell>
          <cell r="M1551">
            <v>22.5</v>
          </cell>
          <cell r="N1551">
            <v>6</v>
          </cell>
          <cell r="O1551">
            <v>0.69220000000000004</v>
          </cell>
          <cell r="P1551">
            <v>0.1951</v>
          </cell>
          <cell r="Q1551">
            <v>0</v>
          </cell>
          <cell r="R1551">
            <v>0.49709999999999999</v>
          </cell>
          <cell r="S1551" t="str">
            <v>NA</v>
          </cell>
          <cell r="T1551">
            <v>59</v>
          </cell>
          <cell r="U1551">
            <v>4.8</v>
          </cell>
          <cell r="V1551">
            <v>73.3</v>
          </cell>
          <cell r="W1551">
            <v>7.4</v>
          </cell>
          <cell r="X1551">
            <v>53.9</v>
          </cell>
          <cell r="Y1551">
            <v>7</v>
          </cell>
          <cell r="Z1551" t="str">
            <v>NA</v>
          </cell>
          <cell r="AA1551" t="str">
            <v>NA</v>
          </cell>
        </row>
        <row r="1552">
          <cell r="A1552">
            <v>45170</v>
          </cell>
          <cell r="B1552" t="str">
            <v>A1</v>
          </cell>
          <cell r="C1552">
            <v>1</v>
          </cell>
          <cell r="D1552" t="str">
            <v>1&amp;2</v>
          </cell>
          <cell r="E1552" t="str">
            <v>ARIS.A1.Aim1&amp;Aim2.Bin1.LB</v>
          </cell>
          <cell r="F1552">
            <v>4</v>
          </cell>
          <cell r="G1552" t="str">
            <v>Unweighted</v>
          </cell>
          <cell r="H1552" t="str">
            <v>N</v>
          </cell>
          <cell r="I1552" t="str">
            <v>Y</v>
          </cell>
          <cell r="J1552">
            <v>403</v>
          </cell>
          <cell r="K1552">
            <v>1</v>
          </cell>
          <cell r="L1552">
            <v>0.53559999999999997</v>
          </cell>
          <cell r="M1552">
            <v>23.7</v>
          </cell>
          <cell r="N1552">
            <v>5.5</v>
          </cell>
          <cell r="O1552">
            <v>0.46439999999999998</v>
          </cell>
          <cell r="P1552">
            <v>0.1123</v>
          </cell>
          <cell r="Q1552">
            <v>0</v>
          </cell>
          <cell r="R1552">
            <v>0.35210000000000002</v>
          </cell>
          <cell r="S1552" t="str">
            <v>NA</v>
          </cell>
          <cell r="T1552">
            <v>59</v>
          </cell>
          <cell r="U1552">
            <v>4.8</v>
          </cell>
          <cell r="V1552">
            <v>73.3</v>
          </cell>
          <cell r="W1552">
            <v>7.4</v>
          </cell>
          <cell r="X1552">
            <v>53.9</v>
          </cell>
          <cell r="Y1552">
            <v>7</v>
          </cell>
          <cell r="Z1552" t="str">
            <v>NA</v>
          </cell>
          <cell r="AA1552" t="str">
            <v>NA</v>
          </cell>
        </row>
        <row r="1553">
          <cell r="A1553">
            <v>45170</v>
          </cell>
          <cell r="B1553" t="str">
            <v>A1</v>
          </cell>
          <cell r="C1553">
            <v>2</v>
          </cell>
          <cell r="D1553">
            <v>3</v>
          </cell>
          <cell r="E1553" t="str">
            <v>ARIS.A1.Aim3.Bin2.LB</v>
          </cell>
          <cell r="F1553">
            <v>4</v>
          </cell>
          <cell r="G1553" t="str">
            <v>Unweighted</v>
          </cell>
          <cell r="H1553" t="str">
            <v>N</v>
          </cell>
          <cell r="I1553" t="str">
            <v>Y</v>
          </cell>
          <cell r="J1553">
            <v>188</v>
          </cell>
          <cell r="K1553">
            <v>1.0001</v>
          </cell>
          <cell r="L1553">
            <v>0.2059</v>
          </cell>
          <cell r="M1553">
            <v>28.9</v>
          </cell>
          <cell r="N1553">
            <v>3.8</v>
          </cell>
          <cell r="O1553">
            <v>0.79420000000000002</v>
          </cell>
          <cell r="P1553">
            <v>0</v>
          </cell>
          <cell r="Q1553">
            <v>7.1499999999999994E-2</v>
          </cell>
          <cell r="R1553">
            <v>0.72270000000000001</v>
          </cell>
          <cell r="S1553" t="str">
            <v>NA</v>
          </cell>
          <cell r="T1553">
            <v>59</v>
          </cell>
          <cell r="U1553">
            <v>4.8</v>
          </cell>
          <cell r="V1553">
            <v>73.3</v>
          </cell>
          <cell r="W1553">
            <v>7.4</v>
          </cell>
          <cell r="X1553">
            <v>53.9</v>
          </cell>
          <cell r="Y1553">
            <v>7</v>
          </cell>
          <cell r="Z1553" t="str">
            <v>NA</v>
          </cell>
          <cell r="AA1553" t="str">
            <v>NA</v>
          </cell>
        </row>
        <row r="1554">
          <cell r="A1554">
            <v>45170</v>
          </cell>
          <cell r="B1554" t="str">
            <v>A1</v>
          </cell>
          <cell r="C1554">
            <v>3</v>
          </cell>
          <cell r="D1554">
            <v>3</v>
          </cell>
          <cell r="E1554" t="str">
            <v>ARIS.A1.Aim3.Bin3.LB</v>
          </cell>
          <cell r="F1554">
            <v>4</v>
          </cell>
          <cell r="G1554" t="str">
            <v>Unweighted</v>
          </cell>
          <cell r="H1554" t="str">
            <v>N</v>
          </cell>
          <cell r="I1554" t="str">
            <v>Y</v>
          </cell>
          <cell r="J1554">
            <v>203</v>
          </cell>
          <cell r="K1554">
            <v>1</v>
          </cell>
          <cell r="L1554">
            <v>4.4999999999999998E-2</v>
          </cell>
          <cell r="M1554">
            <v>29.9</v>
          </cell>
          <cell r="N1554">
            <v>4.7</v>
          </cell>
          <cell r="O1554">
            <v>0.95499999999999996</v>
          </cell>
          <cell r="P1554">
            <v>0</v>
          </cell>
          <cell r="Q1554">
            <v>0.38279999999999997</v>
          </cell>
          <cell r="R1554">
            <v>0.57220000000000004</v>
          </cell>
          <cell r="S1554" t="str">
            <v>NA</v>
          </cell>
          <cell r="T1554">
            <v>59</v>
          </cell>
          <cell r="U1554">
            <v>4.8</v>
          </cell>
          <cell r="V1554">
            <v>73.3</v>
          </cell>
          <cell r="W1554">
            <v>7.4</v>
          </cell>
          <cell r="X1554">
            <v>53.9</v>
          </cell>
          <cell r="Y1554">
            <v>7</v>
          </cell>
          <cell r="Z1554" t="str">
            <v>NA</v>
          </cell>
          <cell r="AA1554" t="str">
            <v>NA</v>
          </cell>
        </row>
        <row r="1555">
          <cell r="A1555">
            <v>45170</v>
          </cell>
          <cell r="B1555" t="str">
            <v>A1</v>
          </cell>
          <cell r="C1555">
            <v>4</v>
          </cell>
          <cell r="D1555">
            <v>3</v>
          </cell>
          <cell r="E1555" t="str">
            <v>ARIS.A1.Aim3.Bin4.LB</v>
          </cell>
          <cell r="F1555">
            <v>4</v>
          </cell>
          <cell r="G1555" t="str">
            <v>Unweighted</v>
          </cell>
          <cell r="H1555" t="str">
            <v>N</v>
          </cell>
          <cell r="I1555" t="str">
            <v>Y</v>
          </cell>
          <cell r="J1555">
            <v>203</v>
          </cell>
          <cell r="K1555">
            <v>1</v>
          </cell>
          <cell r="L1555">
            <v>4.4999999999999998E-2</v>
          </cell>
          <cell r="M1555">
            <v>29.9</v>
          </cell>
          <cell r="N1555">
            <v>4.7</v>
          </cell>
          <cell r="O1555">
            <v>0.95499999999999996</v>
          </cell>
          <cell r="P1555">
            <v>0</v>
          </cell>
          <cell r="Q1555">
            <v>0.38279999999999997</v>
          </cell>
          <cell r="R1555">
            <v>0.57220000000000004</v>
          </cell>
          <cell r="S1555" t="str">
            <v>NA</v>
          </cell>
          <cell r="T1555">
            <v>59</v>
          </cell>
          <cell r="U1555">
            <v>4.8</v>
          </cell>
          <cell r="V1555">
            <v>73.3</v>
          </cell>
          <cell r="W1555">
            <v>7.4</v>
          </cell>
          <cell r="X1555">
            <v>53.9</v>
          </cell>
          <cell r="Y1555">
            <v>7</v>
          </cell>
          <cell r="Z1555" t="str">
            <v>NA</v>
          </cell>
          <cell r="AA1555" t="str">
            <v>NA</v>
          </cell>
        </row>
        <row r="1556">
          <cell r="A1556">
            <v>45170</v>
          </cell>
          <cell r="B1556" t="str">
            <v>A2</v>
          </cell>
          <cell r="C1556">
            <v>1</v>
          </cell>
          <cell r="D1556">
            <v>1</v>
          </cell>
          <cell r="E1556" t="str">
            <v>ARIS.A2.Aim1.Bin1.RB</v>
          </cell>
          <cell r="F1556">
            <v>4</v>
          </cell>
          <cell r="G1556" t="str">
            <v>Unweighted</v>
          </cell>
          <cell r="H1556" t="str">
            <v>N</v>
          </cell>
          <cell r="I1556" t="str">
            <v>Y</v>
          </cell>
          <cell r="J1556">
            <v>180</v>
          </cell>
          <cell r="K1556">
            <v>1.0001</v>
          </cell>
          <cell r="L1556">
            <v>0.83230000000000004</v>
          </cell>
          <cell r="M1556">
            <v>24.2</v>
          </cell>
          <cell r="N1556">
            <v>5.0999999999999996</v>
          </cell>
          <cell r="O1556">
            <v>0.1678</v>
          </cell>
          <cell r="P1556">
            <v>0</v>
          </cell>
          <cell r="Q1556">
            <v>4.0000000000000002E-4</v>
          </cell>
          <cell r="R1556">
            <v>0.16739999999999999</v>
          </cell>
          <cell r="S1556" t="str">
            <v>NA</v>
          </cell>
          <cell r="T1556">
            <v>59</v>
          </cell>
          <cell r="U1556">
            <v>4.8</v>
          </cell>
          <cell r="V1556">
            <v>73.3</v>
          </cell>
          <cell r="W1556">
            <v>7.4</v>
          </cell>
          <cell r="X1556">
            <v>53.9</v>
          </cell>
          <cell r="Y1556">
            <v>7</v>
          </cell>
          <cell r="Z1556" t="str">
            <v>NA</v>
          </cell>
          <cell r="AA1556" t="str">
            <v>NA</v>
          </cell>
        </row>
        <row r="1557">
          <cell r="A1557">
            <v>45170</v>
          </cell>
          <cell r="B1557" t="str">
            <v>A2</v>
          </cell>
          <cell r="C1557">
            <v>2</v>
          </cell>
          <cell r="D1557">
            <v>1</v>
          </cell>
          <cell r="E1557" t="str">
            <v>ARIS.A2.Aim1.Bin2.RB</v>
          </cell>
          <cell r="F1557">
            <v>4</v>
          </cell>
          <cell r="G1557" t="str">
            <v>Unweighted</v>
          </cell>
          <cell r="H1557" t="str">
            <v>N</v>
          </cell>
          <cell r="I1557" t="str">
            <v>Y</v>
          </cell>
          <cell r="J1557">
            <v>178</v>
          </cell>
          <cell r="K1557">
            <v>1</v>
          </cell>
          <cell r="L1557">
            <v>0.1696</v>
          </cell>
          <cell r="M1557">
            <v>27.4</v>
          </cell>
          <cell r="N1557">
            <v>4.0999999999999996</v>
          </cell>
          <cell r="O1557">
            <v>0.83040000000000003</v>
          </cell>
          <cell r="P1557">
            <v>0</v>
          </cell>
          <cell r="Q1557">
            <v>0.24060000000000001</v>
          </cell>
          <cell r="R1557">
            <v>0.58979999999999999</v>
          </cell>
          <cell r="S1557" t="str">
            <v>NA</v>
          </cell>
          <cell r="T1557">
            <v>59</v>
          </cell>
          <cell r="U1557">
            <v>4.8</v>
          </cell>
          <cell r="V1557">
            <v>73.3</v>
          </cell>
          <cell r="W1557">
            <v>7.4</v>
          </cell>
          <cell r="X1557">
            <v>53.9</v>
          </cell>
          <cell r="Y1557">
            <v>7</v>
          </cell>
          <cell r="Z1557" t="str">
            <v>NA</v>
          </cell>
          <cell r="AA1557" t="str">
            <v>NA</v>
          </cell>
        </row>
        <row r="1558">
          <cell r="A1558">
            <v>45170</v>
          </cell>
          <cell r="B1558" t="str">
            <v>A2</v>
          </cell>
          <cell r="C1558">
            <v>3</v>
          </cell>
          <cell r="D1558">
            <v>1</v>
          </cell>
          <cell r="E1558" t="str">
            <v>ARIS.A2.Aim1.Bin3.RB</v>
          </cell>
          <cell r="F1558">
            <v>4</v>
          </cell>
          <cell r="G1558" t="str">
            <v>Unweighted</v>
          </cell>
          <cell r="H1558" t="str">
            <v>N</v>
          </cell>
          <cell r="I1558" t="str">
            <v>Y</v>
          </cell>
          <cell r="J1558">
            <v>175</v>
          </cell>
          <cell r="K1558">
            <v>1.0001</v>
          </cell>
          <cell r="L1558">
            <v>5.4699999999999999E-2</v>
          </cell>
          <cell r="M1558">
            <v>28.4</v>
          </cell>
          <cell r="N1558">
            <v>3</v>
          </cell>
          <cell r="O1558">
            <v>0.94540000000000002</v>
          </cell>
          <cell r="P1558">
            <v>0</v>
          </cell>
          <cell r="Q1558">
            <v>0.42130000000000001</v>
          </cell>
          <cell r="R1558">
            <v>0.52410000000000001</v>
          </cell>
          <cell r="S1558" t="str">
            <v>NA</v>
          </cell>
          <cell r="T1558">
            <v>59</v>
          </cell>
          <cell r="U1558">
            <v>4.8</v>
          </cell>
          <cell r="V1558">
            <v>73.3</v>
          </cell>
          <cell r="W1558">
            <v>7.4</v>
          </cell>
          <cell r="X1558">
            <v>53.9</v>
          </cell>
          <cell r="Y1558">
            <v>7</v>
          </cell>
          <cell r="Z1558" t="str">
            <v>NA</v>
          </cell>
          <cell r="AA1558" t="str">
            <v>NA</v>
          </cell>
        </row>
        <row r="1559">
          <cell r="A1559">
            <v>45170</v>
          </cell>
          <cell r="B1559" t="str">
            <v>A2</v>
          </cell>
          <cell r="C1559">
            <v>4</v>
          </cell>
          <cell r="D1559">
            <v>1</v>
          </cell>
          <cell r="E1559" t="str">
            <v>ARIS.A2.Aim1.Bin4.RB</v>
          </cell>
          <cell r="F1559">
            <v>4</v>
          </cell>
          <cell r="G1559" t="str">
            <v>Unweighted</v>
          </cell>
          <cell r="H1559" t="str">
            <v>N</v>
          </cell>
          <cell r="I1559" t="str">
            <v>Y</v>
          </cell>
          <cell r="J1559">
            <v>175</v>
          </cell>
          <cell r="K1559">
            <v>1.0001</v>
          </cell>
          <cell r="L1559">
            <v>5.4699999999999999E-2</v>
          </cell>
          <cell r="M1559">
            <v>28.4</v>
          </cell>
          <cell r="N1559">
            <v>3</v>
          </cell>
          <cell r="O1559">
            <v>0.94540000000000002</v>
          </cell>
          <cell r="P1559">
            <v>0</v>
          </cell>
          <cell r="Q1559">
            <v>0.42130000000000001</v>
          </cell>
          <cell r="R1559">
            <v>0.52410000000000001</v>
          </cell>
          <cell r="S1559" t="str">
            <v>NA</v>
          </cell>
          <cell r="T1559">
            <v>59</v>
          </cell>
          <cell r="U1559">
            <v>4.8</v>
          </cell>
          <cell r="V1559">
            <v>73.3</v>
          </cell>
          <cell r="W1559">
            <v>7.4</v>
          </cell>
          <cell r="X1559">
            <v>53.9</v>
          </cell>
          <cell r="Y1559">
            <v>7</v>
          </cell>
          <cell r="Z1559" t="str">
            <v>NA</v>
          </cell>
          <cell r="AA1559" t="str">
            <v>NA</v>
          </cell>
        </row>
        <row r="1560">
          <cell r="A1560">
            <v>45170</v>
          </cell>
          <cell r="B1560" t="str">
            <v>A1</v>
          </cell>
          <cell r="C1560">
            <v>1</v>
          </cell>
          <cell r="D1560">
            <v>1</v>
          </cell>
          <cell r="E1560" t="str">
            <v>ARIS.A1.Aim1.Bin1.LB</v>
          </cell>
          <cell r="F1560">
            <v>4</v>
          </cell>
          <cell r="G1560" t="str">
            <v>SplineDFA</v>
          </cell>
          <cell r="H1560" t="str">
            <v>Y</v>
          </cell>
          <cell r="I1560" t="str">
            <v>N</v>
          </cell>
          <cell r="J1560">
            <v>180</v>
          </cell>
          <cell r="K1560">
            <v>1</v>
          </cell>
          <cell r="L1560">
            <v>0.87619999999999998</v>
          </cell>
          <cell r="M1560">
            <v>23.7</v>
          </cell>
          <cell r="N1560">
            <v>2.7</v>
          </cell>
          <cell r="O1560">
            <v>0.12379999999999999</v>
          </cell>
          <cell r="P1560">
            <v>1.41E-2</v>
          </cell>
          <cell r="Q1560">
            <v>1.4999999999999999E-2</v>
          </cell>
          <cell r="R1560">
            <v>9.4700000000000006E-2</v>
          </cell>
          <cell r="S1560" t="str">
            <v>NA</v>
          </cell>
          <cell r="T1560">
            <v>59</v>
          </cell>
          <cell r="U1560">
            <v>4.8</v>
          </cell>
          <cell r="V1560">
            <v>73.3</v>
          </cell>
          <cell r="W1560">
            <v>7.4</v>
          </cell>
          <cell r="X1560">
            <v>53.9</v>
          </cell>
          <cell r="Y1560">
            <v>7</v>
          </cell>
          <cell r="Z1560" t="str">
            <v>NA</v>
          </cell>
          <cell r="AA1560" t="str">
            <v>NA</v>
          </cell>
        </row>
        <row r="1561">
          <cell r="A1561">
            <v>45170</v>
          </cell>
          <cell r="B1561" t="str">
            <v>A1</v>
          </cell>
          <cell r="C1561">
            <v>1</v>
          </cell>
          <cell r="D1561">
            <v>2</v>
          </cell>
          <cell r="E1561" t="str">
            <v>ARIS.A1.Aim2.Bin1.LB</v>
          </cell>
          <cell r="F1561">
            <v>4</v>
          </cell>
          <cell r="G1561" t="str">
            <v>SplineDFA</v>
          </cell>
          <cell r="H1561" t="str">
            <v>Y</v>
          </cell>
          <cell r="I1561" t="str">
            <v>N</v>
          </cell>
          <cell r="J1561">
            <v>223</v>
          </cell>
          <cell r="K1561">
            <v>1.0001</v>
          </cell>
          <cell r="L1561">
            <v>0.3357</v>
          </cell>
          <cell r="M1561">
            <v>23.7</v>
          </cell>
          <cell r="N1561">
            <v>2.7</v>
          </cell>
          <cell r="O1561">
            <v>0.66439999999999999</v>
          </cell>
          <cell r="P1561">
            <v>0.1457</v>
          </cell>
          <cell r="Q1561">
            <v>2.75E-2</v>
          </cell>
          <cell r="R1561">
            <v>0.49120000000000003</v>
          </cell>
          <cell r="S1561" t="str">
            <v>NA</v>
          </cell>
          <cell r="T1561">
            <v>59</v>
          </cell>
          <cell r="U1561">
            <v>4.8</v>
          </cell>
          <cell r="V1561">
            <v>73.3</v>
          </cell>
          <cell r="W1561">
            <v>7.4</v>
          </cell>
          <cell r="X1561">
            <v>53.9</v>
          </cell>
          <cell r="Y1561">
            <v>7</v>
          </cell>
          <cell r="Z1561" t="str">
            <v>NA</v>
          </cell>
          <cell r="AA1561" t="str">
            <v>NA</v>
          </cell>
        </row>
        <row r="1562">
          <cell r="A1562">
            <v>45170</v>
          </cell>
          <cell r="B1562" t="str">
            <v>A1</v>
          </cell>
          <cell r="C1562">
            <v>2</v>
          </cell>
          <cell r="D1562">
            <v>3</v>
          </cell>
          <cell r="E1562" t="str">
            <v>ARIS.A1.Aim3.Bin2.LB</v>
          </cell>
          <cell r="F1562">
            <v>4</v>
          </cell>
          <cell r="G1562" t="str">
            <v>SplineDFA</v>
          </cell>
          <cell r="H1562" t="str">
            <v>Y</v>
          </cell>
          <cell r="I1562" t="str">
            <v>N</v>
          </cell>
          <cell r="J1562">
            <v>188</v>
          </cell>
          <cell r="K1562">
            <v>1</v>
          </cell>
          <cell r="L1562">
            <v>7.2599999999999998E-2</v>
          </cell>
          <cell r="M1562">
            <v>23.7</v>
          </cell>
          <cell r="N1562">
            <v>2.7</v>
          </cell>
          <cell r="O1562">
            <v>0.9274</v>
          </cell>
          <cell r="P1562">
            <v>0.26590000000000003</v>
          </cell>
          <cell r="Q1562">
            <v>9.6299999999999997E-2</v>
          </cell>
          <cell r="R1562">
            <v>0.56520000000000004</v>
          </cell>
          <cell r="S1562" t="str">
            <v>NA</v>
          </cell>
          <cell r="T1562">
            <v>59</v>
          </cell>
          <cell r="U1562">
            <v>4.8</v>
          </cell>
          <cell r="V1562">
            <v>73.3</v>
          </cell>
          <cell r="W1562">
            <v>7.4</v>
          </cell>
          <cell r="X1562">
            <v>53.9</v>
          </cell>
          <cell r="Y1562">
            <v>7</v>
          </cell>
          <cell r="Z1562" t="str">
            <v>NA</v>
          </cell>
          <cell r="AA1562" t="str">
            <v>NA</v>
          </cell>
        </row>
        <row r="1563">
          <cell r="A1563">
            <v>45170</v>
          </cell>
          <cell r="B1563" t="str">
            <v>A1</v>
          </cell>
          <cell r="C1563">
            <v>3</v>
          </cell>
          <cell r="D1563">
            <v>3</v>
          </cell>
          <cell r="E1563" t="str">
            <v>ARIS.A1.Aim3.Bin3.LB</v>
          </cell>
          <cell r="F1563">
            <v>4</v>
          </cell>
          <cell r="G1563" t="str">
            <v>SplineDFA</v>
          </cell>
          <cell r="H1563" t="str">
            <v>Y</v>
          </cell>
          <cell r="I1563" t="str">
            <v>N</v>
          </cell>
          <cell r="J1563">
            <v>203</v>
          </cell>
          <cell r="K1563">
            <v>1</v>
          </cell>
          <cell r="L1563">
            <v>8.3999999999999995E-3</v>
          </cell>
          <cell r="M1563">
            <v>23.7</v>
          </cell>
          <cell r="N1563">
            <v>2.7</v>
          </cell>
          <cell r="O1563">
            <v>0.99160000000000004</v>
          </cell>
          <cell r="P1563">
            <v>0.30890000000000001</v>
          </cell>
          <cell r="Q1563">
            <v>0.30170000000000002</v>
          </cell>
          <cell r="R1563">
            <v>0.38100000000000001</v>
          </cell>
          <cell r="S1563" t="str">
            <v>NA</v>
          </cell>
          <cell r="T1563">
            <v>59</v>
          </cell>
          <cell r="U1563">
            <v>4.8</v>
          </cell>
          <cell r="V1563">
            <v>73.3</v>
          </cell>
          <cell r="W1563">
            <v>7.4</v>
          </cell>
          <cell r="X1563">
            <v>53.9</v>
          </cell>
          <cell r="Y1563">
            <v>7</v>
          </cell>
          <cell r="Z1563" t="str">
            <v>NA</v>
          </cell>
          <cell r="AA1563" t="str">
            <v>NA</v>
          </cell>
        </row>
        <row r="1564">
          <cell r="A1564">
            <v>45170</v>
          </cell>
          <cell r="B1564" t="str">
            <v>A1</v>
          </cell>
          <cell r="C1564">
            <v>4</v>
          </cell>
          <cell r="D1564">
            <v>3</v>
          </cell>
          <cell r="E1564" t="str">
            <v>ARIS.A1.Aim3.Bin4.LB</v>
          </cell>
          <cell r="F1564">
            <v>4</v>
          </cell>
          <cell r="G1564" t="str">
            <v>SplineDFA</v>
          </cell>
          <cell r="H1564" t="str">
            <v>Y</v>
          </cell>
          <cell r="I1564" t="str">
            <v>N</v>
          </cell>
          <cell r="J1564">
            <v>203</v>
          </cell>
          <cell r="K1564">
            <v>1</v>
          </cell>
          <cell r="L1564">
            <v>8.3999999999999995E-3</v>
          </cell>
          <cell r="M1564">
            <v>23.7</v>
          </cell>
          <cell r="N1564">
            <v>2.7</v>
          </cell>
          <cell r="O1564">
            <v>0.99160000000000004</v>
          </cell>
          <cell r="P1564">
            <v>0.30890000000000001</v>
          </cell>
          <cell r="Q1564">
            <v>0.30170000000000002</v>
          </cell>
          <cell r="R1564">
            <v>0.38100000000000001</v>
          </cell>
          <cell r="S1564" t="str">
            <v>NA</v>
          </cell>
          <cell r="T1564">
            <v>59</v>
          </cell>
          <cell r="U1564">
            <v>4.8</v>
          </cell>
          <cell r="V1564">
            <v>73.3</v>
          </cell>
          <cell r="W1564">
            <v>7.4</v>
          </cell>
          <cell r="X1564">
            <v>53.9</v>
          </cell>
          <cell r="Y1564">
            <v>7</v>
          </cell>
          <cell r="Z1564" t="str">
            <v>NA</v>
          </cell>
          <cell r="AA1564" t="str">
            <v>NA</v>
          </cell>
        </row>
        <row r="1565">
          <cell r="A1565">
            <v>45170</v>
          </cell>
          <cell r="B1565" t="str">
            <v>A2</v>
          </cell>
          <cell r="C1565">
            <v>1</v>
          </cell>
          <cell r="D1565">
            <v>1</v>
          </cell>
          <cell r="E1565" t="str">
            <v>ARIS.A2.Aim1.Bin1.RB</v>
          </cell>
          <cell r="F1565">
            <v>4</v>
          </cell>
          <cell r="G1565" t="str">
            <v>SplineDFA</v>
          </cell>
          <cell r="H1565" t="str">
            <v>Y</v>
          </cell>
          <cell r="I1565" t="str">
            <v>N</v>
          </cell>
          <cell r="J1565">
            <v>180</v>
          </cell>
          <cell r="K1565">
            <v>1</v>
          </cell>
          <cell r="L1565">
            <v>0.8821</v>
          </cell>
          <cell r="M1565">
            <v>23.7</v>
          </cell>
          <cell r="N1565">
            <v>2.7</v>
          </cell>
          <cell r="O1565">
            <v>0.1179</v>
          </cell>
          <cell r="P1565">
            <v>1.49E-2</v>
          </cell>
          <cell r="Q1565">
            <v>1.3599999999999999E-2</v>
          </cell>
          <cell r="R1565">
            <v>8.9399999999999993E-2</v>
          </cell>
          <cell r="S1565" t="str">
            <v>NA</v>
          </cell>
          <cell r="T1565">
            <v>59</v>
          </cell>
          <cell r="U1565">
            <v>4.8</v>
          </cell>
          <cell r="V1565">
            <v>73.3</v>
          </cell>
          <cell r="W1565">
            <v>7.4</v>
          </cell>
          <cell r="X1565">
            <v>53.9</v>
          </cell>
          <cell r="Y1565">
            <v>7</v>
          </cell>
          <cell r="Z1565" t="str">
            <v>NA</v>
          </cell>
          <cell r="AA1565" t="str">
            <v>NA</v>
          </cell>
        </row>
        <row r="1566">
          <cell r="A1566">
            <v>45170</v>
          </cell>
          <cell r="B1566" t="str">
            <v>A2</v>
          </cell>
          <cell r="C1566">
            <v>2</v>
          </cell>
          <cell r="D1566">
            <v>1</v>
          </cell>
          <cell r="E1566" t="str">
            <v>ARIS.A2.Aim1.Bin2.RB</v>
          </cell>
          <cell r="F1566">
            <v>4</v>
          </cell>
          <cell r="G1566" t="str">
            <v>SplineDFA</v>
          </cell>
          <cell r="H1566" t="str">
            <v>Y</v>
          </cell>
          <cell r="I1566" t="str">
            <v>N</v>
          </cell>
          <cell r="J1566">
            <v>178</v>
          </cell>
          <cell r="K1566">
            <v>1.0001</v>
          </cell>
          <cell r="L1566">
            <v>0.1144</v>
          </cell>
          <cell r="M1566">
            <v>23.7</v>
          </cell>
          <cell r="N1566">
            <v>2.7</v>
          </cell>
          <cell r="O1566">
            <v>0.88570000000000004</v>
          </cell>
          <cell r="P1566">
            <v>0.24970000000000001</v>
          </cell>
          <cell r="Q1566">
            <v>0.20319999999999999</v>
          </cell>
          <cell r="R1566">
            <v>0.43280000000000002</v>
          </cell>
          <cell r="S1566" t="str">
            <v>NA</v>
          </cell>
          <cell r="T1566">
            <v>59</v>
          </cell>
          <cell r="U1566">
            <v>4.8</v>
          </cell>
          <cell r="V1566">
            <v>73.3</v>
          </cell>
          <cell r="W1566">
            <v>7.4</v>
          </cell>
          <cell r="X1566">
            <v>53.9</v>
          </cell>
          <cell r="Y1566">
            <v>7</v>
          </cell>
          <cell r="Z1566" t="str">
            <v>NA</v>
          </cell>
          <cell r="AA1566" t="str">
            <v>NA</v>
          </cell>
        </row>
        <row r="1567">
          <cell r="A1567">
            <v>45170</v>
          </cell>
          <cell r="B1567" t="str">
            <v>A2</v>
          </cell>
          <cell r="C1567">
            <v>3</v>
          </cell>
          <cell r="D1567">
            <v>1</v>
          </cell>
          <cell r="E1567" t="str">
            <v>ARIS.A2.Aim1.Bin3.RB</v>
          </cell>
          <cell r="F1567">
            <v>4</v>
          </cell>
          <cell r="G1567" t="str">
            <v>SplineDFA</v>
          </cell>
          <cell r="H1567" t="str">
            <v>Y</v>
          </cell>
          <cell r="I1567" t="str">
            <v>N</v>
          </cell>
          <cell r="J1567">
            <v>175</v>
          </cell>
          <cell r="K1567">
            <v>1</v>
          </cell>
          <cell r="L1567">
            <v>2.4199999999999999E-2</v>
          </cell>
          <cell r="M1567">
            <v>23.7</v>
          </cell>
          <cell r="N1567">
            <v>2.7</v>
          </cell>
          <cell r="O1567">
            <v>0.9758</v>
          </cell>
          <cell r="P1567">
            <v>0.25069999999999998</v>
          </cell>
          <cell r="Q1567">
            <v>0.36799999999999999</v>
          </cell>
          <cell r="R1567">
            <v>0.35709999999999997</v>
          </cell>
          <cell r="S1567" t="str">
            <v>NA</v>
          </cell>
          <cell r="T1567">
            <v>59</v>
          </cell>
          <cell r="U1567">
            <v>4.8</v>
          </cell>
          <cell r="V1567">
            <v>73.3</v>
          </cell>
          <cell r="W1567">
            <v>7.4</v>
          </cell>
          <cell r="X1567">
            <v>53.9</v>
          </cell>
          <cell r="Y1567">
            <v>7</v>
          </cell>
          <cell r="Z1567" t="str">
            <v>NA</v>
          </cell>
          <cell r="AA1567" t="str">
            <v>NA</v>
          </cell>
        </row>
        <row r="1568">
          <cell r="A1568">
            <v>45170</v>
          </cell>
          <cell r="B1568" t="str">
            <v>A2</v>
          </cell>
          <cell r="C1568">
            <v>4</v>
          </cell>
          <cell r="D1568">
            <v>1</v>
          </cell>
          <cell r="E1568" t="str">
            <v>ARIS.A2.Aim1.Bin4.RB</v>
          </cell>
          <cell r="F1568">
            <v>4</v>
          </cell>
          <cell r="G1568" t="str">
            <v>SplineDFA</v>
          </cell>
          <cell r="H1568" t="str">
            <v>N</v>
          </cell>
          <cell r="I1568" t="str">
            <v>Y</v>
          </cell>
          <cell r="J1568">
            <v>175</v>
          </cell>
          <cell r="K1568">
            <v>1</v>
          </cell>
          <cell r="L1568">
            <v>2.4199999999999999E-2</v>
          </cell>
          <cell r="M1568">
            <v>23.7</v>
          </cell>
          <cell r="N1568">
            <v>2.7</v>
          </cell>
          <cell r="O1568">
            <v>0.9758</v>
          </cell>
          <cell r="P1568">
            <v>0.25069999999999998</v>
          </cell>
          <cell r="Q1568">
            <v>0.36799999999999999</v>
          </cell>
          <cell r="R1568">
            <v>0.35709999999999997</v>
          </cell>
          <cell r="S1568" t="str">
            <v>NA</v>
          </cell>
          <cell r="T1568">
            <v>59</v>
          </cell>
          <cell r="U1568">
            <v>4.8</v>
          </cell>
          <cell r="V1568">
            <v>73.3</v>
          </cell>
          <cell r="W1568">
            <v>7.4</v>
          </cell>
          <cell r="X1568">
            <v>53.9</v>
          </cell>
          <cell r="Y1568">
            <v>7</v>
          </cell>
          <cell r="Z1568" t="str">
            <v>NA</v>
          </cell>
          <cell r="AA1568" t="str">
            <v>NA</v>
          </cell>
        </row>
        <row r="1569">
          <cell r="A1569">
            <v>45171</v>
          </cell>
          <cell r="B1569" t="str">
            <v>A1</v>
          </cell>
          <cell r="C1569">
            <v>1</v>
          </cell>
          <cell r="D1569">
            <v>1</v>
          </cell>
          <cell r="E1569" t="str">
            <v>ARIS.A1.Aim1.Bin1.LB</v>
          </cell>
          <cell r="F1569">
            <v>4</v>
          </cell>
          <cell r="G1569" t="str">
            <v>Unweighted</v>
          </cell>
          <cell r="H1569" t="str">
            <v>N</v>
          </cell>
          <cell r="I1569" t="str">
            <v>Y</v>
          </cell>
          <cell r="J1569">
            <v>195</v>
          </cell>
          <cell r="K1569">
            <v>1</v>
          </cell>
          <cell r="L1569">
            <v>0.6109</v>
          </cell>
          <cell r="M1569">
            <v>23.6</v>
          </cell>
          <cell r="N1569">
            <v>6</v>
          </cell>
          <cell r="O1569">
            <v>0.3891</v>
          </cell>
          <cell r="P1569">
            <v>0</v>
          </cell>
          <cell r="Q1569">
            <v>8.0999999999999996E-3</v>
          </cell>
          <cell r="R1569">
            <v>0.38100000000000001</v>
          </cell>
          <cell r="S1569" t="str">
            <v>NA</v>
          </cell>
          <cell r="T1569">
            <v>59</v>
          </cell>
          <cell r="U1569">
            <v>4.8</v>
          </cell>
          <cell r="V1569">
            <v>73.3</v>
          </cell>
          <cell r="W1569">
            <v>7.4</v>
          </cell>
          <cell r="X1569">
            <v>53.9</v>
          </cell>
          <cell r="Y1569">
            <v>7</v>
          </cell>
          <cell r="Z1569" t="str">
            <v>NA</v>
          </cell>
          <cell r="AA1569" t="str">
            <v>NA</v>
          </cell>
        </row>
        <row r="1570">
          <cell r="A1570">
            <v>45171</v>
          </cell>
          <cell r="B1570" t="str">
            <v>A1</v>
          </cell>
          <cell r="C1570">
            <v>1</v>
          </cell>
          <cell r="D1570">
            <v>2</v>
          </cell>
          <cell r="E1570" t="str">
            <v>ARIS.A1.Aim2.Bin1.LB</v>
          </cell>
          <cell r="F1570">
            <v>4</v>
          </cell>
          <cell r="G1570" t="str">
            <v>Unweighted</v>
          </cell>
          <cell r="H1570" t="str">
            <v>N</v>
          </cell>
          <cell r="I1570" t="str">
            <v>Y</v>
          </cell>
          <cell r="J1570">
            <v>202</v>
          </cell>
          <cell r="K1570">
            <v>1</v>
          </cell>
          <cell r="L1570">
            <v>0.3765</v>
          </cell>
          <cell r="M1570">
            <v>19.2</v>
          </cell>
          <cell r="N1570">
            <v>6.6</v>
          </cell>
          <cell r="O1570">
            <v>0.62350000000000005</v>
          </cell>
          <cell r="P1570">
            <v>0.15160000000000001</v>
          </cell>
          <cell r="Q1570">
            <v>0</v>
          </cell>
          <cell r="R1570">
            <v>0.47189999999999999</v>
          </cell>
          <cell r="S1570" t="str">
            <v>NA</v>
          </cell>
          <cell r="T1570">
            <v>59</v>
          </cell>
          <cell r="U1570">
            <v>4.8</v>
          </cell>
          <cell r="V1570">
            <v>73.3</v>
          </cell>
          <cell r="W1570">
            <v>7.4</v>
          </cell>
          <cell r="X1570">
            <v>53.9</v>
          </cell>
          <cell r="Y1570">
            <v>7</v>
          </cell>
          <cell r="Z1570" t="str">
            <v>NA</v>
          </cell>
          <cell r="AA1570" t="str">
            <v>NA</v>
          </cell>
        </row>
        <row r="1571">
          <cell r="A1571">
            <v>45171</v>
          </cell>
          <cell r="B1571" t="str">
            <v>A1</v>
          </cell>
          <cell r="C1571">
            <v>1</v>
          </cell>
          <cell r="D1571" t="str">
            <v>1&amp;2</v>
          </cell>
          <cell r="E1571" t="str">
            <v>ARIS.A1.Aim1&amp;Aim2.Bin1.LB</v>
          </cell>
          <cell r="F1571">
            <v>4</v>
          </cell>
          <cell r="G1571" t="str">
            <v>Unweighted</v>
          </cell>
          <cell r="H1571" t="str">
            <v>N</v>
          </cell>
          <cell r="I1571" t="str">
            <v>Y</v>
          </cell>
          <cell r="J1571">
            <v>397</v>
          </cell>
          <cell r="K1571">
            <v>1</v>
          </cell>
          <cell r="L1571">
            <v>0.52380000000000004</v>
          </cell>
          <cell r="M1571">
            <v>21.8</v>
          </cell>
          <cell r="N1571">
            <v>6.8</v>
          </cell>
          <cell r="O1571">
            <v>0.47620000000000001</v>
          </cell>
          <cell r="P1571">
            <v>0</v>
          </cell>
          <cell r="Q1571">
            <v>8.9999999999999998E-4</v>
          </cell>
          <cell r="R1571">
            <v>0.4753</v>
          </cell>
          <cell r="S1571" t="str">
            <v>NA</v>
          </cell>
          <cell r="T1571">
            <v>59</v>
          </cell>
          <cell r="U1571">
            <v>4.8</v>
          </cell>
          <cell r="V1571">
            <v>73.3</v>
          </cell>
          <cell r="W1571">
            <v>7.4</v>
          </cell>
          <cell r="X1571">
            <v>53.9</v>
          </cell>
          <cell r="Y1571">
            <v>7</v>
          </cell>
          <cell r="Z1571" t="str">
            <v>NA</v>
          </cell>
          <cell r="AA1571" t="str">
            <v>NA</v>
          </cell>
        </row>
        <row r="1572">
          <cell r="A1572">
            <v>45171</v>
          </cell>
          <cell r="B1572" t="str">
            <v>A1</v>
          </cell>
          <cell r="C1572">
            <v>2</v>
          </cell>
          <cell r="D1572">
            <v>3</v>
          </cell>
          <cell r="E1572" t="str">
            <v>ARIS.A1.Aim3.Bin2.LB</v>
          </cell>
          <cell r="F1572">
            <v>4</v>
          </cell>
          <cell r="G1572" t="str">
            <v>Unweighted</v>
          </cell>
          <cell r="H1572" t="str">
            <v>N</v>
          </cell>
          <cell r="I1572" t="str">
            <v>Y</v>
          </cell>
          <cell r="J1572">
            <v>196</v>
          </cell>
          <cell r="K1572">
            <v>1</v>
          </cell>
          <cell r="L1572">
            <v>0.21740000000000001</v>
          </cell>
          <cell r="M1572">
            <v>29.5</v>
          </cell>
          <cell r="N1572">
            <v>3.8</v>
          </cell>
          <cell r="O1572">
            <v>0.78259999999999996</v>
          </cell>
          <cell r="P1572">
            <v>0</v>
          </cell>
          <cell r="Q1572">
            <v>0.10829999999999999</v>
          </cell>
          <cell r="R1572">
            <v>0.67430000000000001</v>
          </cell>
          <cell r="S1572" t="str">
            <v>NA</v>
          </cell>
          <cell r="T1572">
            <v>59</v>
          </cell>
          <cell r="U1572">
            <v>4.8</v>
          </cell>
          <cell r="V1572">
            <v>73.3</v>
          </cell>
          <cell r="W1572">
            <v>7.4</v>
          </cell>
          <cell r="X1572">
            <v>53.9</v>
          </cell>
          <cell r="Y1572">
            <v>7</v>
          </cell>
          <cell r="Z1572" t="str">
            <v>NA</v>
          </cell>
          <cell r="AA1572" t="str">
            <v>NA</v>
          </cell>
        </row>
        <row r="1573">
          <cell r="A1573">
            <v>45171</v>
          </cell>
          <cell r="B1573" t="str">
            <v>A1</v>
          </cell>
          <cell r="C1573">
            <v>3</v>
          </cell>
          <cell r="D1573">
            <v>3</v>
          </cell>
          <cell r="E1573" t="str">
            <v>ARIS.A1.Aim3.Bin3.LB</v>
          </cell>
          <cell r="F1573">
            <v>4</v>
          </cell>
          <cell r="G1573" t="str">
            <v>Unweighted</v>
          </cell>
          <cell r="H1573" t="str">
            <v>N</v>
          </cell>
          <cell r="I1573" t="str">
            <v>Y</v>
          </cell>
          <cell r="J1573">
            <v>191</v>
          </cell>
          <cell r="K1573">
            <v>0.99990000000000001</v>
          </cell>
          <cell r="L1573">
            <v>2.5000000000000001E-3</v>
          </cell>
          <cell r="M1573">
            <v>29.6</v>
          </cell>
          <cell r="N1573">
            <v>2</v>
          </cell>
          <cell r="O1573">
            <v>0.99739999999999995</v>
          </cell>
          <cell r="P1573">
            <v>0</v>
          </cell>
          <cell r="Q1573">
            <v>0.23050000000000001</v>
          </cell>
          <cell r="R1573">
            <v>0.76690000000000003</v>
          </cell>
          <cell r="S1573" t="str">
            <v>NA</v>
          </cell>
          <cell r="T1573">
            <v>59</v>
          </cell>
          <cell r="U1573">
            <v>4.8</v>
          </cell>
          <cell r="V1573">
            <v>73.3</v>
          </cell>
          <cell r="W1573">
            <v>7.4</v>
          </cell>
          <cell r="X1573">
            <v>53.9</v>
          </cell>
          <cell r="Y1573">
            <v>7</v>
          </cell>
          <cell r="Z1573" t="str">
            <v>NA</v>
          </cell>
          <cell r="AA1573" t="str">
            <v>NA</v>
          </cell>
        </row>
        <row r="1574">
          <cell r="A1574">
            <v>45171</v>
          </cell>
          <cell r="B1574" t="str">
            <v>A1</v>
          </cell>
          <cell r="C1574">
            <v>4</v>
          </cell>
          <cell r="D1574">
            <v>3</v>
          </cell>
          <cell r="E1574" t="str">
            <v>ARIS.A1.Aim3.Bin4.LB</v>
          </cell>
          <cell r="F1574">
            <v>4</v>
          </cell>
          <cell r="G1574" t="str">
            <v>Unweighted</v>
          </cell>
          <cell r="H1574" t="str">
            <v>N</v>
          </cell>
          <cell r="I1574" t="str">
            <v>Y</v>
          </cell>
          <cell r="J1574">
            <v>191</v>
          </cell>
          <cell r="K1574">
            <v>0.99990000000000001</v>
          </cell>
          <cell r="L1574">
            <v>2.5000000000000001E-3</v>
          </cell>
          <cell r="M1574">
            <v>29.6</v>
          </cell>
          <cell r="N1574">
            <v>2</v>
          </cell>
          <cell r="O1574">
            <v>0.99739999999999995</v>
          </cell>
          <cell r="P1574">
            <v>0</v>
          </cell>
          <cell r="Q1574">
            <v>0.23050000000000001</v>
          </cell>
          <cell r="R1574">
            <v>0.76690000000000003</v>
          </cell>
          <cell r="S1574" t="str">
            <v>NA</v>
          </cell>
          <cell r="T1574">
            <v>59</v>
          </cell>
          <cell r="U1574">
            <v>4.8</v>
          </cell>
          <cell r="V1574">
            <v>73.3</v>
          </cell>
          <cell r="W1574">
            <v>7.4</v>
          </cell>
          <cell r="X1574">
            <v>53.9</v>
          </cell>
          <cell r="Y1574">
            <v>7</v>
          </cell>
          <cell r="Z1574" t="str">
            <v>NA</v>
          </cell>
          <cell r="AA1574" t="str">
            <v>NA</v>
          </cell>
        </row>
        <row r="1575">
          <cell r="A1575">
            <v>45171</v>
          </cell>
          <cell r="B1575" t="str">
            <v>A2</v>
          </cell>
          <cell r="C1575">
            <v>1</v>
          </cell>
          <cell r="D1575">
            <v>1</v>
          </cell>
          <cell r="E1575" t="str">
            <v>ARIS.A2.Aim1.Bin1.RB</v>
          </cell>
          <cell r="F1575">
            <v>4</v>
          </cell>
          <cell r="G1575" t="str">
            <v>Unweighted</v>
          </cell>
          <cell r="H1575" t="str">
            <v>N</v>
          </cell>
          <cell r="I1575" t="str">
            <v>Y</v>
          </cell>
          <cell r="J1575">
            <v>180</v>
          </cell>
          <cell r="K1575">
            <v>1.0001</v>
          </cell>
          <cell r="L1575">
            <v>0.83230000000000004</v>
          </cell>
          <cell r="M1575">
            <v>24.2</v>
          </cell>
          <cell r="N1575">
            <v>5.0999999999999996</v>
          </cell>
          <cell r="O1575">
            <v>0.1678</v>
          </cell>
          <cell r="P1575">
            <v>0</v>
          </cell>
          <cell r="Q1575">
            <v>4.0000000000000002E-4</v>
          </cell>
          <cell r="R1575">
            <v>0.16739999999999999</v>
          </cell>
          <cell r="S1575" t="str">
            <v>NA</v>
          </cell>
          <cell r="T1575">
            <v>59</v>
          </cell>
          <cell r="U1575">
            <v>4.8</v>
          </cell>
          <cell r="V1575">
            <v>73.3</v>
          </cell>
          <cell r="W1575">
            <v>7.4</v>
          </cell>
          <cell r="X1575">
            <v>53.9</v>
          </cell>
          <cell r="Y1575">
            <v>7</v>
          </cell>
          <cell r="Z1575" t="str">
            <v>NA</v>
          </cell>
          <cell r="AA1575" t="str">
            <v>NA</v>
          </cell>
        </row>
        <row r="1576">
          <cell r="A1576">
            <v>45171</v>
          </cell>
          <cell r="B1576" t="str">
            <v>A2</v>
          </cell>
          <cell r="C1576">
            <v>2</v>
          </cell>
          <cell r="D1576">
            <v>1</v>
          </cell>
          <cell r="E1576" t="str">
            <v>ARIS.A2.Aim1.Bin2.RB</v>
          </cell>
          <cell r="F1576">
            <v>4</v>
          </cell>
          <cell r="G1576" t="str">
            <v>Unweighted</v>
          </cell>
          <cell r="H1576" t="str">
            <v>N</v>
          </cell>
          <cell r="I1576" t="str">
            <v>Y</v>
          </cell>
          <cell r="J1576">
            <v>178</v>
          </cell>
          <cell r="K1576">
            <v>1</v>
          </cell>
          <cell r="L1576">
            <v>0.1696</v>
          </cell>
          <cell r="M1576">
            <v>27.4</v>
          </cell>
          <cell r="N1576">
            <v>4.0999999999999996</v>
          </cell>
          <cell r="O1576">
            <v>0.83040000000000003</v>
          </cell>
          <cell r="P1576">
            <v>0</v>
          </cell>
          <cell r="Q1576">
            <v>0.24060000000000001</v>
          </cell>
          <cell r="R1576">
            <v>0.58979999999999999</v>
          </cell>
          <cell r="S1576" t="str">
            <v>NA</v>
          </cell>
          <cell r="T1576">
            <v>59</v>
          </cell>
          <cell r="U1576">
            <v>4.8</v>
          </cell>
          <cell r="V1576">
            <v>73.3</v>
          </cell>
          <cell r="W1576">
            <v>7.4</v>
          </cell>
          <cell r="X1576">
            <v>53.9</v>
          </cell>
          <cell r="Y1576">
            <v>7</v>
          </cell>
          <cell r="Z1576" t="str">
            <v>NA</v>
          </cell>
          <cell r="AA1576" t="str">
            <v>NA</v>
          </cell>
        </row>
        <row r="1577">
          <cell r="A1577">
            <v>45171</v>
          </cell>
          <cell r="B1577" t="str">
            <v>A2</v>
          </cell>
          <cell r="C1577">
            <v>3</v>
          </cell>
          <cell r="D1577">
            <v>1</v>
          </cell>
          <cell r="E1577" t="str">
            <v>ARIS.A2.Aim1.Bin3.RB</v>
          </cell>
          <cell r="F1577">
            <v>4</v>
          </cell>
          <cell r="G1577" t="str">
            <v>Unweighted</v>
          </cell>
          <cell r="H1577" t="str">
            <v>N</v>
          </cell>
          <cell r="I1577" t="str">
            <v>Y</v>
          </cell>
          <cell r="J1577">
            <v>175</v>
          </cell>
          <cell r="K1577">
            <v>1.0001</v>
          </cell>
          <cell r="L1577">
            <v>5.4699999999999999E-2</v>
          </cell>
          <cell r="M1577">
            <v>28.4</v>
          </cell>
          <cell r="N1577">
            <v>3</v>
          </cell>
          <cell r="O1577">
            <v>0.94540000000000002</v>
          </cell>
          <cell r="P1577">
            <v>0</v>
          </cell>
          <cell r="Q1577">
            <v>0.42130000000000001</v>
          </cell>
          <cell r="R1577">
            <v>0.52410000000000001</v>
          </cell>
          <cell r="S1577" t="str">
            <v>NA</v>
          </cell>
          <cell r="T1577">
            <v>59</v>
          </cell>
          <cell r="U1577">
            <v>4.8</v>
          </cell>
          <cell r="V1577">
            <v>73.3</v>
          </cell>
          <cell r="W1577">
            <v>7.4</v>
          </cell>
          <cell r="X1577">
            <v>53.9</v>
          </cell>
          <cell r="Y1577">
            <v>7</v>
          </cell>
          <cell r="Z1577" t="str">
            <v>NA</v>
          </cell>
          <cell r="AA1577" t="str">
            <v>NA</v>
          </cell>
        </row>
        <row r="1578">
          <cell r="A1578">
            <v>45171</v>
          </cell>
          <cell r="B1578" t="str">
            <v>A2</v>
          </cell>
          <cell r="C1578">
            <v>4</v>
          </cell>
          <cell r="D1578">
            <v>1</v>
          </cell>
          <cell r="E1578" t="str">
            <v>ARIS.A2.Aim1.Bin4.RB</v>
          </cell>
          <cell r="F1578">
            <v>4</v>
          </cell>
          <cell r="G1578" t="str">
            <v>Unweighted</v>
          </cell>
          <cell r="H1578" t="str">
            <v>N</v>
          </cell>
          <cell r="I1578" t="str">
            <v>Y</v>
          </cell>
          <cell r="J1578">
            <v>175</v>
          </cell>
          <cell r="K1578">
            <v>1.0001</v>
          </cell>
          <cell r="L1578">
            <v>5.4699999999999999E-2</v>
          </cell>
          <cell r="M1578">
            <v>28.4</v>
          </cell>
          <cell r="N1578">
            <v>3</v>
          </cell>
          <cell r="O1578">
            <v>0.94540000000000002</v>
          </cell>
          <cell r="P1578">
            <v>0</v>
          </cell>
          <cell r="Q1578">
            <v>0.42130000000000001</v>
          </cell>
          <cell r="R1578">
            <v>0.52410000000000001</v>
          </cell>
          <cell r="S1578" t="str">
            <v>NA</v>
          </cell>
          <cell r="T1578">
            <v>59</v>
          </cell>
          <cell r="U1578">
            <v>4.8</v>
          </cell>
          <cell r="V1578">
            <v>73.3</v>
          </cell>
          <cell r="W1578">
            <v>7.4</v>
          </cell>
          <cell r="X1578">
            <v>53.9</v>
          </cell>
          <cell r="Y1578">
            <v>7</v>
          </cell>
          <cell r="Z1578" t="str">
            <v>NA</v>
          </cell>
          <cell r="AA1578" t="str">
            <v>NA</v>
          </cell>
        </row>
        <row r="1579">
          <cell r="A1579">
            <v>45171</v>
          </cell>
          <cell r="B1579" t="str">
            <v>A1</v>
          </cell>
          <cell r="C1579">
            <v>1</v>
          </cell>
          <cell r="D1579">
            <v>1</v>
          </cell>
          <cell r="E1579" t="str">
            <v>ARIS.A1.Aim1.Bin1.LB</v>
          </cell>
          <cell r="F1579">
            <v>4</v>
          </cell>
          <cell r="G1579" t="str">
            <v>SplineDFA</v>
          </cell>
          <cell r="H1579" t="str">
            <v>Y</v>
          </cell>
          <cell r="I1579" t="str">
            <v>N</v>
          </cell>
          <cell r="J1579">
            <v>195</v>
          </cell>
          <cell r="K1579">
            <v>1</v>
          </cell>
          <cell r="L1579">
            <v>0.3901</v>
          </cell>
          <cell r="M1579">
            <v>23.7</v>
          </cell>
          <cell r="N1579">
            <v>2.7</v>
          </cell>
          <cell r="O1579">
            <v>0.6099</v>
          </cell>
          <cell r="P1579">
            <v>8.6099999999999996E-2</v>
          </cell>
          <cell r="Q1579">
            <v>1.7999999999999999E-2</v>
          </cell>
          <cell r="R1579">
            <v>0.50580000000000003</v>
          </cell>
          <cell r="S1579" t="str">
            <v>NA</v>
          </cell>
          <cell r="T1579">
            <v>59</v>
          </cell>
          <cell r="U1579">
            <v>4.8</v>
          </cell>
          <cell r="V1579">
            <v>73.3</v>
          </cell>
          <cell r="W1579">
            <v>7.4</v>
          </cell>
          <cell r="X1579">
            <v>53.9</v>
          </cell>
          <cell r="Y1579">
            <v>7</v>
          </cell>
          <cell r="Z1579" t="str">
            <v>NA</v>
          </cell>
          <cell r="AA1579" t="str">
            <v>NA</v>
          </cell>
        </row>
        <row r="1580">
          <cell r="A1580">
            <v>45171</v>
          </cell>
          <cell r="B1580" t="str">
            <v>A1</v>
          </cell>
          <cell r="C1580">
            <v>1</v>
          </cell>
          <cell r="D1580">
            <v>2</v>
          </cell>
          <cell r="E1580" t="str">
            <v>ARIS.A1.Aim2.Bin1.LB</v>
          </cell>
          <cell r="F1580">
            <v>4</v>
          </cell>
          <cell r="G1580" t="str">
            <v>SplineDFA</v>
          </cell>
          <cell r="H1580" t="str">
            <v>Y</v>
          </cell>
          <cell r="I1580" t="str">
            <v>N</v>
          </cell>
          <cell r="J1580">
            <v>202</v>
          </cell>
          <cell r="K1580">
            <v>1.0001</v>
          </cell>
          <cell r="L1580">
            <v>0.23569999999999999</v>
          </cell>
          <cell r="M1580">
            <v>23.7</v>
          </cell>
          <cell r="N1580">
            <v>2.7</v>
          </cell>
          <cell r="O1580">
            <v>0.76439999999999997</v>
          </cell>
          <cell r="P1580">
            <v>0.1129</v>
          </cell>
          <cell r="Q1580">
            <v>3.8699999999999998E-2</v>
          </cell>
          <cell r="R1580">
            <v>0.61280000000000001</v>
          </cell>
          <cell r="S1580" t="str">
            <v>NA</v>
          </cell>
          <cell r="T1580">
            <v>59</v>
          </cell>
          <cell r="U1580">
            <v>4.8</v>
          </cell>
          <cell r="V1580">
            <v>73.3</v>
          </cell>
          <cell r="W1580">
            <v>7.4</v>
          </cell>
          <cell r="X1580">
            <v>53.9</v>
          </cell>
          <cell r="Y1580">
            <v>7</v>
          </cell>
          <cell r="Z1580" t="str">
            <v>NA</v>
          </cell>
          <cell r="AA1580" t="str">
            <v>NA</v>
          </cell>
        </row>
        <row r="1581">
          <cell r="A1581">
            <v>45171</v>
          </cell>
          <cell r="B1581" t="str">
            <v>A1</v>
          </cell>
          <cell r="C1581">
            <v>2</v>
          </cell>
          <cell r="D1581">
            <v>3</v>
          </cell>
          <cell r="E1581" t="str">
            <v>ARIS.A1.Aim3.Bin2.LB</v>
          </cell>
          <cell r="F1581">
            <v>4</v>
          </cell>
          <cell r="G1581" t="str">
            <v>SplineDFA</v>
          </cell>
          <cell r="H1581" t="str">
            <v>Y</v>
          </cell>
          <cell r="I1581" t="str">
            <v>N</v>
          </cell>
          <cell r="J1581">
            <v>196</v>
          </cell>
          <cell r="K1581">
            <v>1</v>
          </cell>
          <cell r="L1581">
            <v>0.1101</v>
          </cell>
          <cell r="M1581">
            <v>23.7</v>
          </cell>
          <cell r="N1581">
            <v>2.7</v>
          </cell>
          <cell r="O1581">
            <v>0.88990000000000002</v>
          </cell>
          <cell r="P1581">
            <v>0.23569999999999999</v>
          </cell>
          <cell r="Q1581">
            <v>0.14249999999999999</v>
          </cell>
          <cell r="R1581">
            <v>0.51170000000000004</v>
          </cell>
          <cell r="S1581" t="str">
            <v>NA</v>
          </cell>
          <cell r="T1581">
            <v>59</v>
          </cell>
          <cell r="U1581">
            <v>4.8</v>
          </cell>
          <cell r="V1581">
            <v>73.3</v>
          </cell>
          <cell r="W1581">
            <v>7.4</v>
          </cell>
          <cell r="X1581">
            <v>53.9</v>
          </cell>
          <cell r="Y1581">
            <v>7</v>
          </cell>
          <cell r="Z1581" t="str">
            <v>NA</v>
          </cell>
          <cell r="AA1581" t="str">
            <v>NA</v>
          </cell>
        </row>
        <row r="1582">
          <cell r="A1582">
            <v>45171</v>
          </cell>
          <cell r="B1582" t="str">
            <v>A1</v>
          </cell>
          <cell r="C1582">
            <v>3</v>
          </cell>
          <cell r="D1582">
            <v>3</v>
          </cell>
          <cell r="E1582" t="str">
            <v>ARIS.A1.Aim3.Bin3.LB</v>
          </cell>
          <cell r="F1582">
            <v>4</v>
          </cell>
          <cell r="G1582" t="str">
            <v>SplineDFA</v>
          </cell>
          <cell r="H1582" t="str">
            <v>Y</v>
          </cell>
          <cell r="I1582" t="str">
            <v>N</v>
          </cell>
          <cell r="J1582">
            <v>191</v>
          </cell>
          <cell r="K1582">
            <v>1</v>
          </cell>
          <cell r="L1582">
            <v>2.2000000000000001E-3</v>
          </cell>
          <cell r="M1582">
            <v>23.7</v>
          </cell>
          <cell r="N1582">
            <v>2.7</v>
          </cell>
          <cell r="O1582">
            <v>0.99780000000000002</v>
          </cell>
          <cell r="P1582">
            <v>0.29830000000000001</v>
          </cell>
          <cell r="Q1582">
            <v>0.1217</v>
          </cell>
          <cell r="R1582">
            <v>0.57779999999999998</v>
          </cell>
          <cell r="S1582" t="str">
            <v>NA</v>
          </cell>
          <cell r="T1582">
            <v>59</v>
          </cell>
          <cell r="U1582">
            <v>4.8</v>
          </cell>
          <cell r="V1582">
            <v>73.3</v>
          </cell>
          <cell r="W1582">
            <v>7.4</v>
          </cell>
          <cell r="X1582">
            <v>53.9</v>
          </cell>
          <cell r="Y1582">
            <v>7</v>
          </cell>
          <cell r="Z1582" t="str">
            <v>NA</v>
          </cell>
          <cell r="AA1582" t="str">
            <v>NA</v>
          </cell>
        </row>
        <row r="1583">
          <cell r="A1583">
            <v>45171</v>
          </cell>
          <cell r="B1583" t="str">
            <v>A1</v>
          </cell>
          <cell r="C1583">
            <v>4</v>
          </cell>
          <cell r="D1583">
            <v>3</v>
          </cell>
          <cell r="E1583" t="str">
            <v>ARIS.A1.Aim3.Bin4.LB</v>
          </cell>
          <cell r="F1583">
            <v>4</v>
          </cell>
          <cell r="G1583" t="str">
            <v>SplineDFA</v>
          </cell>
          <cell r="H1583" t="str">
            <v>Y</v>
          </cell>
          <cell r="I1583" t="str">
            <v>N</v>
          </cell>
          <cell r="J1583">
            <v>191</v>
          </cell>
          <cell r="K1583">
            <v>1</v>
          </cell>
          <cell r="L1583">
            <v>2.2000000000000001E-3</v>
          </cell>
          <cell r="M1583">
            <v>23.7</v>
          </cell>
          <cell r="N1583">
            <v>2.7</v>
          </cell>
          <cell r="O1583">
            <v>0.99780000000000002</v>
          </cell>
          <cell r="P1583">
            <v>0.29830000000000001</v>
          </cell>
          <cell r="Q1583">
            <v>0.1217</v>
          </cell>
          <cell r="R1583">
            <v>0.57779999999999998</v>
          </cell>
          <cell r="S1583" t="str">
            <v>NA</v>
          </cell>
          <cell r="T1583">
            <v>59</v>
          </cell>
          <cell r="U1583">
            <v>4.8</v>
          </cell>
          <cell r="V1583">
            <v>73.3</v>
          </cell>
          <cell r="W1583">
            <v>7.4</v>
          </cell>
          <cell r="X1583">
            <v>53.9</v>
          </cell>
          <cell r="Y1583">
            <v>7</v>
          </cell>
          <cell r="Z1583" t="str">
            <v>NA</v>
          </cell>
          <cell r="AA1583" t="str">
            <v>NA</v>
          </cell>
        </row>
        <row r="1584">
          <cell r="A1584">
            <v>45171</v>
          </cell>
          <cell r="B1584" t="str">
            <v>A2</v>
          </cell>
          <cell r="C1584">
            <v>1</v>
          </cell>
          <cell r="D1584">
            <v>1</v>
          </cell>
          <cell r="E1584" t="str">
            <v>ARIS.A2.Aim1.Bin1.RB</v>
          </cell>
          <cell r="F1584">
            <v>4</v>
          </cell>
          <cell r="G1584" t="str">
            <v>SplineDFA</v>
          </cell>
          <cell r="H1584" t="str">
            <v>Y</v>
          </cell>
          <cell r="I1584" t="str">
            <v>N</v>
          </cell>
          <cell r="J1584">
            <v>180</v>
          </cell>
          <cell r="K1584">
            <v>1</v>
          </cell>
          <cell r="L1584">
            <v>0.8821</v>
          </cell>
          <cell r="M1584">
            <v>23.7</v>
          </cell>
          <cell r="N1584">
            <v>2.7</v>
          </cell>
          <cell r="O1584">
            <v>0.1179</v>
          </cell>
          <cell r="P1584">
            <v>1.49E-2</v>
          </cell>
          <cell r="Q1584">
            <v>1.3599999999999999E-2</v>
          </cell>
          <cell r="R1584">
            <v>8.9399999999999993E-2</v>
          </cell>
          <cell r="S1584" t="str">
            <v>NA</v>
          </cell>
          <cell r="T1584">
            <v>59</v>
          </cell>
          <cell r="U1584">
            <v>4.8</v>
          </cell>
          <cell r="V1584">
            <v>73.3</v>
          </cell>
          <cell r="W1584">
            <v>7.4</v>
          </cell>
          <cell r="X1584">
            <v>53.9</v>
          </cell>
          <cell r="Y1584">
            <v>7</v>
          </cell>
          <cell r="Z1584" t="str">
            <v>NA</v>
          </cell>
          <cell r="AA1584" t="str">
            <v>NA</v>
          </cell>
        </row>
        <row r="1585">
          <cell r="A1585">
            <v>45171</v>
          </cell>
          <cell r="B1585" t="str">
            <v>A2</v>
          </cell>
          <cell r="C1585">
            <v>2</v>
          </cell>
          <cell r="D1585">
            <v>1</v>
          </cell>
          <cell r="E1585" t="str">
            <v>ARIS.A2.Aim1.Bin2.RB</v>
          </cell>
          <cell r="F1585">
            <v>4</v>
          </cell>
          <cell r="G1585" t="str">
            <v>SplineDFA</v>
          </cell>
          <cell r="H1585" t="str">
            <v>Y</v>
          </cell>
          <cell r="I1585" t="str">
            <v>N</v>
          </cell>
          <cell r="J1585">
            <v>178</v>
          </cell>
          <cell r="K1585">
            <v>1.0001</v>
          </cell>
          <cell r="L1585">
            <v>0.1144</v>
          </cell>
          <cell r="M1585">
            <v>23.7</v>
          </cell>
          <cell r="N1585">
            <v>2.7</v>
          </cell>
          <cell r="O1585">
            <v>0.88570000000000004</v>
          </cell>
          <cell r="P1585">
            <v>0.24970000000000001</v>
          </cell>
          <cell r="Q1585">
            <v>0.20319999999999999</v>
          </cell>
          <cell r="R1585">
            <v>0.43280000000000002</v>
          </cell>
          <cell r="S1585" t="str">
            <v>NA</v>
          </cell>
          <cell r="T1585">
            <v>59</v>
          </cell>
          <cell r="U1585">
            <v>4.8</v>
          </cell>
          <cell r="V1585">
            <v>73.3</v>
          </cell>
          <cell r="W1585">
            <v>7.4</v>
          </cell>
          <cell r="X1585">
            <v>53.9</v>
          </cell>
          <cell r="Y1585">
            <v>7</v>
          </cell>
          <cell r="Z1585" t="str">
            <v>NA</v>
          </cell>
          <cell r="AA1585" t="str">
            <v>NA</v>
          </cell>
        </row>
        <row r="1586">
          <cell r="A1586">
            <v>45171</v>
          </cell>
          <cell r="B1586" t="str">
            <v>A2</v>
          </cell>
          <cell r="C1586">
            <v>3</v>
          </cell>
          <cell r="D1586">
            <v>1</v>
          </cell>
          <cell r="E1586" t="str">
            <v>ARIS.A2.Aim1.Bin3.RB</v>
          </cell>
          <cell r="F1586">
            <v>4</v>
          </cell>
          <cell r="G1586" t="str">
            <v>SplineDFA</v>
          </cell>
          <cell r="H1586" t="str">
            <v>Y</v>
          </cell>
          <cell r="I1586" t="str">
            <v>N</v>
          </cell>
          <cell r="J1586">
            <v>175</v>
          </cell>
          <cell r="K1586">
            <v>1</v>
          </cell>
          <cell r="L1586">
            <v>2.4199999999999999E-2</v>
          </cell>
          <cell r="M1586">
            <v>23.7</v>
          </cell>
          <cell r="N1586">
            <v>2.7</v>
          </cell>
          <cell r="O1586">
            <v>0.9758</v>
          </cell>
          <cell r="P1586">
            <v>0.25069999999999998</v>
          </cell>
          <cell r="Q1586">
            <v>0.36799999999999999</v>
          </cell>
          <cell r="R1586">
            <v>0.35709999999999997</v>
          </cell>
          <cell r="S1586" t="str">
            <v>NA</v>
          </cell>
          <cell r="T1586">
            <v>59</v>
          </cell>
          <cell r="U1586">
            <v>4.8</v>
          </cell>
          <cell r="V1586">
            <v>73.3</v>
          </cell>
          <cell r="W1586">
            <v>7.4</v>
          </cell>
          <cell r="X1586">
            <v>53.9</v>
          </cell>
          <cell r="Y1586">
            <v>7</v>
          </cell>
          <cell r="Z1586" t="str">
            <v>NA</v>
          </cell>
          <cell r="AA1586" t="str">
            <v>NA</v>
          </cell>
        </row>
        <row r="1587">
          <cell r="A1587">
            <v>45171</v>
          </cell>
          <cell r="B1587" t="str">
            <v>A2</v>
          </cell>
          <cell r="C1587">
            <v>4</v>
          </cell>
          <cell r="D1587">
            <v>1</v>
          </cell>
          <cell r="E1587" t="str">
            <v>ARIS.A2.Aim1.Bin4.RB</v>
          </cell>
          <cell r="F1587">
            <v>4</v>
          </cell>
          <cell r="G1587" t="str">
            <v>SplineDFA</v>
          </cell>
          <cell r="H1587" t="str">
            <v>Y</v>
          </cell>
          <cell r="I1587" t="str">
            <v>N</v>
          </cell>
          <cell r="J1587">
            <v>175</v>
          </cell>
          <cell r="K1587">
            <v>1</v>
          </cell>
          <cell r="L1587">
            <v>2.4199999999999999E-2</v>
          </cell>
          <cell r="M1587">
            <v>23.7</v>
          </cell>
          <cell r="N1587">
            <v>2.7</v>
          </cell>
          <cell r="O1587">
            <v>0.9758</v>
          </cell>
          <cell r="P1587">
            <v>0.25069999999999998</v>
          </cell>
          <cell r="Q1587">
            <v>0.36799999999999999</v>
          </cell>
          <cell r="R1587">
            <v>0.35709999999999997</v>
          </cell>
          <cell r="S1587" t="str">
            <v>NA</v>
          </cell>
          <cell r="T1587">
            <v>59</v>
          </cell>
          <cell r="U1587">
            <v>4.8</v>
          </cell>
          <cell r="V1587">
            <v>73.3</v>
          </cell>
          <cell r="W1587">
            <v>7.4</v>
          </cell>
          <cell r="X1587">
            <v>53.9</v>
          </cell>
          <cell r="Y1587">
            <v>7</v>
          </cell>
          <cell r="Z1587" t="str">
            <v>NA</v>
          </cell>
          <cell r="AA1587" t="str">
            <v>NA</v>
          </cell>
        </row>
        <row r="1588">
          <cell r="A1588">
            <v>45172</v>
          </cell>
          <cell r="B1588" t="str">
            <v>A1</v>
          </cell>
          <cell r="C1588">
            <v>1</v>
          </cell>
          <cell r="D1588">
            <v>1</v>
          </cell>
          <cell r="E1588" t="str">
            <v>ARIS.A1.Aim1.Bin1.LB</v>
          </cell>
          <cell r="F1588">
            <v>4</v>
          </cell>
          <cell r="G1588" t="str">
            <v>Unweighted</v>
          </cell>
          <cell r="H1588" t="str">
            <v>N</v>
          </cell>
          <cell r="I1588" t="str">
            <v>Y</v>
          </cell>
          <cell r="J1588">
            <v>205</v>
          </cell>
          <cell r="K1588">
            <v>1</v>
          </cell>
          <cell r="L1588">
            <v>0.52590000000000003</v>
          </cell>
          <cell r="M1588">
            <v>24.7</v>
          </cell>
          <cell r="N1588">
            <v>5</v>
          </cell>
          <cell r="O1588">
            <v>0.47410000000000002</v>
          </cell>
          <cell r="P1588">
            <v>8.3199999999999996E-2</v>
          </cell>
          <cell r="Q1588">
            <v>0</v>
          </cell>
          <cell r="R1588">
            <v>0.39090000000000003</v>
          </cell>
          <cell r="S1588" t="str">
            <v>NA</v>
          </cell>
          <cell r="T1588">
            <v>59</v>
          </cell>
          <cell r="U1588">
            <v>4.8</v>
          </cell>
          <cell r="V1588">
            <v>73.3</v>
          </cell>
          <cell r="W1588">
            <v>7.4</v>
          </cell>
          <cell r="X1588">
            <v>53.9</v>
          </cell>
          <cell r="Y1588">
            <v>7</v>
          </cell>
          <cell r="Z1588" t="str">
            <v>NA</v>
          </cell>
          <cell r="AA1588" t="str">
            <v>NA</v>
          </cell>
        </row>
        <row r="1589">
          <cell r="A1589">
            <v>45172</v>
          </cell>
          <cell r="B1589" t="str">
            <v>A1</v>
          </cell>
          <cell r="C1589">
            <v>1</v>
          </cell>
          <cell r="D1589">
            <v>2</v>
          </cell>
          <cell r="E1589" t="str">
            <v>ARIS.A1.Aim2.Bin1.LB</v>
          </cell>
          <cell r="F1589">
            <v>4</v>
          </cell>
          <cell r="G1589" t="str">
            <v>Unweighted</v>
          </cell>
          <cell r="H1589" t="str">
            <v>N</v>
          </cell>
          <cell r="I1589" t="str">
            <v>Y</v>
          </cell>
          <cell r="J1589">
            <v>197</v>
          </cell>
          <cell r="K1589">
            <v>1</v>
          </cell>
          <cell r="L1589">
            <v>0.28689999999999999</v>
          </cell>
          <cell r="M1589">
            <v>21.1</v>
          </cell>
          <cell r="N1589">
            <v>6.6</v>
          </cell>
          <cell r="O1589">
            <v>0.71309999999999996</v>
          </cell>
          <cell r="P1589">
            <v>0.13300000000000001</v>
          </cell>
          <cell r="Q1589">
            <v>0</v>
          </cell>
          <cell r="R1589">
            <v>0.58009999999999995</v>
          </cell>
          <cell r="S1589" t="str">
            <v>NA</v>
          </cell>
          <cell r="T1589">
            <v>59</v>
          </cell>
          <cell r="U1589">
            <v>4.8</v>
          </cell>
          <cell r="V1589">
            <v>73.3</v>
          </cell>
          <cell r="W1589">
            <v>7.4</v>
          </cell>
          <cell r="X1589">
            <v>53.9</v>
          </cell>
          <cell r="Y1589">
            <v>7</v>
          </cell>
          <cell r="Z1589" t="str">
            <v>NA</v>
          </cell>
          <cell r="AA1589" t="str">
            <v>NA</v>
          </cell>
        </row>
        <row r="1590">
          <cell r="A1590">
            <v>45172</v>
          </cell>
          <cell r="B1590" t="str">
            <v>A1</v>
          </cell>
          <cell r="C1590">
            <v>1</v>
          </cell>
          <cell r="D1590" t="str">
            <v>1&amp;2</v>
          </cell>
          <cell r="E1590" t="str">
            <v>ARIS.A1.Aim1&amp;Aim2.Bin1.LB</v>
          </cell>
          <cell r="F1590">
            <v>4</v>
          </cell>
          <cell r="G1590" t="str">
            <v>Unweighted</v>
          </cell>
          <cell r="H1590" t="str">
            <v>N</v>
          </cell>
          <cell r="I1590" t="str">
            <v>Y</v>
          </cell>
          <cell r="J1590">
            <v>402</v>
          </cell>
          <cell r="K1590">
            <v>1</v>
          </cell>
          <cell r="L1590">
            <v>0.40570000000000001</v>
          </cell>
          <cell r="M1590">
            <v>23.6</v>
          </cell>
          <cell r="N1590">
            <v>5.8</v>
          </cell>
          <cell r="O1590">
            <v>0.59430000000000005</v>
          </cell>
          <cell r="P1590">
            <v>0.12670000000000001</v>
          </cell>
          <cell r="Q1590">
            <v>0</v>
          </cell>
          <cell r="R1590">
            <v>0.46760000000000002</v>
          </cell>
          <cell r="S1590" t="str">
            <v>NA</v>
          </cell>
          <cell r="T1590">
            <v>59</v>
          </cell>
          <cell r="U1590">
            <v>4.8</v>
          </cell>
          <cell r="V1590">
            <v>73.3</v>
          </cell>
          <cell r="W1590">
            <v>7.4</v>
          </cell>
          <cell r="X1590">
            <v>53.9</v>
          </cell>
          <cell r="Y1590">
            <v>7</v>
          </cell>
          <cell r="Z1590" t="str">
            <v>NA</v>
          </cell>
          <cell r="AA1590" t="str">
            <v>NA</v>
          </cell>
        </row>
        <row r="1591">
          <cell r="A1591">
            <v>45172</v>
          </cell>
          <cell r="B1591" t="str">
            <v>A1</v>
          </cell>
          <cell r="C1591">
            <v>2</v>
          </cell>
          <cell r="D1591">
            <v>3</v>
          </cell>
          <cell r="E1591" t="str">
            <v>ARIS.A1.Aim3.Bin2.LB</v>
          </cell>
          <cell r="F1591">
            <v>4</v>
          </cell>
          <cell r="G1591" t="str">
            <v>Unweighted</v>
          </cell>
          <cell r="H1591" t="str">
            <v>N</v>
          </cell>
          <cell r="I1591" t="str">
            <v>Y</v>
          </cell>
          <cell r="J1591">
            <v>218</v>
          </cell>
          <cell r="K1591">
            <v>1.0001</v>
          </cell>
          <cell r="L1591">
            <v>0.14169999999999999</v>
          </cell>
          <cell r="M1591">
            <v>25.9</v>
          </cell>
          <cell r="N1591">
            <v>4.9000000000000004</v>
          </cell>
          <cell r="O1591">
            <v>0.85840000000000005</v>
          </cell>
          <cell r="P1591">
            <v>0</v>
          </cell>
          <cell r="Q1591">
            <v>0.21</v>
          </cell>
          <cell r="R1591">
            <v>0.64839999999999998</v>
          </cell>
          <cell r="S1591" t="str">
            <v>NA</v>
          </cell>
          <cell r="T1591">
            <v>59</v>
          </cell>
          <cell r="U1591">
            <v>4.8</v>
          </cell>
          <cell r="V1591">
            <v>73.3</v>
          </cell>
          <cell r="W1591">
            <v>7.4</v>
          </cell>
          <cell r="X1591">
            <v>53.9</v>
          </cell>
          <cell r="Y1591">
            <v>7</v>
          </cell>
          <cell r="Z1591" t="str">
            <v>NA</v>
          </cell>
          <cell r="AA1591" t="str">
            <v>NA</v>
          </cell>
        </row>
        <row r="1592">
          <cell r="A1592">
            <v>45172</v>
          </cell>
          <cell r="B1592" t="str">
            <v>A1</v>
          </cell>
          <cell r="C1592">
            <v>3</v>
          </cell>
          <cell r="D1592">
            <v>3</v>
          </cell>
          <cell r="E1592" t="str">
            <v>ARIS.A1.Aim3.Bin3.LB</v>
          </cell>
          <cell r="F1592">
            <v>4</v>
          </cell>
          <cell r="G1592" t="str">
            <v>Unweighted</v>
          </cell>
          <cell r="H1592" t="str">
            <v>N</v>
          </cell>
          <cell r="I1592" t="str">
            <v>Y</v>
          </cell>
          <cell r="J1592">
            <v>187</v>
          </cell>
          <cell r="K1592">
            <v>1.0001</v>
          </cell>
          <cell r="L1592">
            <v>3.7699999999999997E-2</v>
          </cell>
          <cell r="M1592">
            <v>23.7</v>
          </cell>
          <cell r="N1592">
            <v>15.7</v>
          </cell>
          <cell r="O1592">
            <v>0.96240000000000003</v>
          </cell>
          <cell r="P1592">
            <v>0.1183</v>
          </cell>
          <cell r="Q1592">
            <v>0.42149999999999999</v>
          </cell>
          <cell r="R1592">
            <v>0.42259999999999998</v>
          </cell>
          <cell r="S1592" t="str">
            <v>NA</v>
          </cell>
          <cell r="T1592">
            <v>59</v>
          </cell>
          <cell r="U1592">
            <v>4.8</v>
          </cell>
          <cell r="V1592">
            <v>73.3</v>
          </cell>
          <cell r="W1592">
            <v>7.4</v>
          </cell>
          <cell r="X1592">
            <v>53.9</v>
          </cell>
          <cell r="Y1592">
            <v>7</v>
          </cell>
          <cell r="Z1592" t="str">
            <v>NA</v>
          </cell>
          <cell r="AA1592" t="str">
            <v>NA</v>
          </cell>
        </row>
        <row r="1593">
          <cell r="A1593">
            <v>45172</v>
          </cell>
          <cell r="B1593" t="str">
            <v>A1</v>
          </cell>
          <cell r="C1593">
            <v>4</v>
          </cell>
          <cell r="D1593">
            <v>3</v>
          </cell>
          <cell r="E1593" t="str">
            <v>ARIS.A1.Aim3.Bin4.LB</v>
          </cell>
          <cell r="F1593">
            <v>4</v>
          </cell>
          <cell r="G1593" t="str">
            <v>Unweighted</v>
          </cell>
          <cell r="H1593" t="str">
            <v>N</v>
          </cell>
          <cell r="I1593" t="str">
            <v>Y</v>
          </cell>
          <cell r="J1593">
            <v>187</v>
          </cell>
          <cell r="K1593">
            <v>1.0001</v>
          </cell>
          <cell r="L1593">
            <v>3.7699999999999997E-2</v>
          </cell>
          <cell r="M1593">
            <v>23.7</v>
          </cell>
          <cell r="N1593">
            <v>15.7</v>
          </cell>
          <cell r="O1593">
            <v>0.96240000000000003</v>
          </cell>
          <cell r="P1593">
            <v>0.1183</v>
          </cell>
          <cell r="Q1593">
            <v>0.42149999999999999</v>
          </cell>
          <cell r="R1593">
            <v>0.42259999999999998</v>
          </cell>
          <cell r="S1593" t="str">
            <v>NA</v>
          </cell>
          <cell r="T1593">
            <v>59</v>
          </cell>
          <cell r="U1593">
            <v>4.8</v>
          </cell>
          <cell r="V1593">
            <v>73.3</v>
          </cell>
          <cell r="W1593">
            <v>7.4</v>
          </cell>
          <cell r="X1593">
            <v>53.9</v>
          </cell>
          <cell r="Y1593">
            <v>7</v>
          </cell>
          <cell r="Z1593" t="str">
            <v>NA</v>
          </cell>
          <cell r="AA1593" t="str">
            <v>NA</v>
          </cell>
        </row>
        <row r="1594">
          <cell r="A1594">
            <v>45172</v>
          </cell>
          <cell r="B1594" t="str">
            <v>A2</v>
          </cell>
          <cell r="C1594">
            <v>1</v>
          </cell>
          <cell r="D1594">
            <v>1</v>
          </cell>
          <cell r="E1594" t="str">
            <v>ARIS.A2.Aim1.Bin1.RB</v>
          </cell>
          <cell r="F1594">
            <v>4</v>
          </cell>
          <cell r="G1594" t="str">
            <v>Unweighted</v>
          </cell>
          <cell r="H1594" t="str">
            <v>N</v>
          </cell>
          <cell r="I1594" t="str">
            <v>Y</v>
          </cell>
          <cell r="J1594">
            <v>204</v>
          </cell>
          <cell r="K1594">
            <v>1</v>
          </cell>
          <cell r="L1594">
            <v>0.21149999999999999</v>
          </cell>
          <cell r="M1594">
            <v>24.9</v>
          </cell>
          <cell r="N1594">
            <v>6.2</v>
          </cell>
          <cell r="O1594">
            <v>0.78849999999999998</v>
          </cell>
          <cell r="P1594">
            <v>0</v>
          </cell>
          <cell r="Q1594">
            <v>1.6500000000000001E-2</v>
          </cell>
          <cell r="R1594">
            <v>0.77200000000000002</v>
          </cell>
          <cell r="S1594" t="str">
            <v>NA</v>
          </cell>
          <cell r="T1594">
            <v>59</v>
          </cell>
          <cell r="U1594">
            <v>4.8</v>
          </cell>
          <cell r="V1594">
            <v>73.3</v>
          </cell>
          <cell r="W1594">
            <v>7.4</v>
          </cell>
          <cell r="X1594">
            <v>53.9</v>
          </cell>
          <cell r="Y1594">
            <v>7</v>
          </cell>
          <cell r="Z1594" t="str">
            <v>NA</v>
          </cell>
          <cell r="AA1594" t="str">
            <v>NA</v>
          </cell>
        </row>
        <row r="1595">
          <cell r="A1595">
            <v>45172</v>
          </cell>
          <cell r="B1595" t="str">
            <v>A2</v>
          </cell>
          <cell r="C1595">
            <v>2</v>
          </cell>
          <cell r="D1595">
            <v>1</v>
          </cell>
          <cell r="E1595" t="str">
            <v>ARIS.A2.Aim1.Bin2.RB</v>
          </cell>
          <cell r="F1595">
            <v>4</v>
          </cell>
          <cell r="G1595" t="str">
            <v>Unweighted</v>
          </cell>
          <cell r="H1595" t="str">
            <v>N</v>
          </cell>
          <cell r="I1595" t="str">
            <v>Y</v>
          </cell>
          <cell r="J1595">
            <v>215</v>
          </cell>
          <cell r="K1595">
            <v>1</v>
          </cell>
          <cell r="L1595">
            <v>0.124</v>
          </cell>
          <cell r="M1595">
            <v>27.9</v>
          </cell>
          <cell r="N1595">
            <v>5.6</v>
          </cell>
          <cell r="O1595">
            <v>0.876</v>
          </cell>
          <cell r="P1595">
            <v>0</v>
          </cell>
          <cell r="Q1595">
            <v>0.33879999999999999</v>
          </cell>
          <cell r="R1595">
            <v>0.53720000000000001</v>
          </cell>
          <cell r="S1595" t="str">
            <v>NA</v>
          </cell>
          <cell r="T1595">
            <v>59</v>
          </cell>
          <cell r="U1595">
            <v>4.8</v>
          </cell>
          <cell r="V1595">
            <v>73.3</v>
          </cell>
          <cell r="W1595">
            <v>7.4</v>
          </cell>
          <cell r="X1595">
            <v>53.9</v>
          </cell>
          <cell r="Y1595">
            <v>7</v>
          </cell>
          <cell r="Z1595" t="str">
            <v>NA</v>
          </cell>
          <cell r="AA1595" t="str">
            <v>NA</v>
          </cell>
        </row>
        <row r="1596">
          <cell r="A1596">
            <v>45172</v>
          </cell>
          <cell r="B1596" t="str">
            <v>A2</v>
          </cell>
          <cell r="C1596">
            <v>3</v>
          </cell>
          <cell r="D1596">
            <v>1</v>
          </cell>
          <cell r="E1596" t="str">
            <v>ARIS.A2.Aim1.Bin3.RB</v>
          </cell>
          <cell r="F1596">
            <v>4</v>
          </cell>
          <cell r="G1596" t="str">
            <v>Unweighted</v>
          </cell>
          <cell r="H1596" t="str">
            <v>N</v>
          </cell>
          <cell r="I1596" t="str">
            <v>Y</v>
          </cell>
          <cell r="J1596">
            <v>168</v>
          </cell>
          <cell r="K1596">
            <v>1</v>
          </cell>
          <cell r="L1596">
            <v>2.98E-2</v>
          </cell>
          <cell r="M1596">
            <v>23.7</v>
          </cell>
          <cell r="N1596">
            <v>12.8</v>
          </cell>
          <cell r="O1596">
            <v>0.97019999999999995</v>
          </cell>
          <cell r="P1596">
            <v>8.0699999999999994E-2</v>
          </cell>
          <cell r="Q1596">
            <v>0.55210000000000004</v>
          </cell>
          <cell r="R1596">
            <v>0.33739999999999998</v>
          </cell>
          <cell r="S1596" t="str">
            <v>NA</v>
          </cell>
          <cell r="T1596">
            <v>59</v>
          </cell>
          <cell r="U1596">
            <v>4.8</v>
          </cell>
          <cell r="V1596">
            <v>73.3</v>
          </cell>
          <cell r="W1596">
            <v>7.4</v>
          </cell>
          <cell r="X1596">
            <v>53.9</v>
          </cell>
          <cell r="Y1596">
            <v>7</v>
          </cell>
          <cell r="Z1596" t="str">
            <v>NA</v>
          </cell>
          <cell r="AA1596" t="str">
            <v>NA</v>
          </cell>
        </row>
        <row r="1597">
          <cell r="A1597">
            <v>45172</v>
          </cell>
          <cell r="B1597" t="str">
            <v>A2</v>
          </cell>
          <cell r="C1597">
            <v>4</v>
          </cell>
          <cell r="D1597">
            <v>1</v>
          </cell>
          <cell r="E1597" t="str">
            <v>ARIS.A2.Aim1.Bin4.RB</v>
          </cell>
          <cell r="F1597">
            <v>4</v>
          </cell>
          <cell r="G1597" t="str">
            <v>Unweighted</v>
          </cell>
          <cell r="H1597" t="str">
            <v>N</v>
          </cell>
          <cell r="I1597" t="str">
            <v>Y</v>
          </cell>
          <cell r="J1597">
            <v>168</v>
          </cell>
          <cell r="K1597">
            <v>1</v>
          </cell>
          <cell r="L1597">
            <v>2.98E-2</v>
          </cell>
          <cell r="M1597">
            <v>23.7</v>
          </cell>
          <cell r="N1597">
            <v>12.8</v>
          </cell>
          <cell r="O1597">
            <v>0.97019999999999995</v>
          </cell>
          <cell r="P1597">
            <v>8.0699999999999994E-2</v>
          </cell>
          <cell r="Q1597">
            <v>0.55210000000000004</v>
          </cell>
          <cell r="R1597">
            <v>0.33739999999999998</v>
          </cell>
          <cell r="S1597" t="str">
            <v>NA</v>
          </cell>
          <cell r="T1597">
            <v>59</v>
          </cell>
          <cell r="U1597">
            <v>4.8</v>
          </cell>
          <cell r="V1597">
            <v>73.3</v>
          </cell>
          <cell r="W1597">
            <v>7.4</v>
          </cell>
          <cell r="X1597">
            <v>53.9</v>
          </cell>
          <cell r="Y1597">
            <v>7</v>
          </cell>
          <cell r="Z1597" t="str">
            <v>NA</v>
          </cell>
          <cell r="AA1597" t="str">
            <v>NA</v>
          </cell>
        </row>
        <row r="1598">
          <cell r="A1598">
            <v>45172</v>
          </cell>
          <cell r="B1598" t="str">
            <v>A1</v>
          </cell>
          <cell r="C1598">
            <v>1</v>
          </cell>
          <cell r="D1598">
            <v>1</v>
          </cell>
          <cell r="E1598" t="str">
            <v>ARIS.A1.Aim1.Bin1.LB</v>
          </cell>
          <cell r="F1598">
            <v>4</v>
          </cell>
          <cell r="G1598" t="str">
            <v>SplineDFA</v>
          </cell>
          <cell r="H1598" t="str">
            <v>Y</v>
          </cell>
          <cell r="I1598" t="str">
            <v>N</v>
          </cell>
          <cell r="J1598">
            <v>205</v>
          </cell>
          <cell r="K1598">
            <v>1</v>
          </cell>
          <cell r="L1598">
            <v>0.25540000000000002</v>
          </cell>
          <cell r="M1598">
            <v>23.7</v>
          </cell>
          <cell r="N1598">
            <v>2.7</v>
          </cell>
          <cell r="O1598">
            <v>0.74460000000000004</v>
          </cell>
          <cell r="P1598">
            <v>7.5600000000000001E-2</v>
          </cell>
          <cell r="Q1598">
            <v>0</v>
          </cell>
          <cell r="R1598">
            <v>0.66900000000000004</v>
          </cell>
          <cell r="S1598" t="str">
            <v>NA</v>
          </cell>
          <cell r="T1598">
            <v>59</v>
          </cell>
          <cell r="U1598">
            <v>4.8</v>
          </cell>
          <cell r="V1598">
            <v>73.3</v>
          </cell>
          <cell r="W1598">
            <v>7.4</v>
          </cell>
          <cell r="X1598">
            <v>53.9</v>
          </cell>
          <cell r="Y1598">
            <v>7</v>
          </cell>
          <cell r="Z1598" t="str">
            <v>NA</v>
          </cell>
          <cell r="AA1598" t="str">
            <v>NA</v>
          </cell>
        </row>
        <row r="1599">
          <cell r="A1599">
            <v>45172</v>
          </cell>
          <cell r="B1599" t="str">
            <v>A1</v>
          </cell>
          <cell r="C1599">
            <v>1</v>
          </cell>
          <cell r="D1599">
            <v>2</v>
          </cell>
          <cell r="E1599" t="str">
            <v>ARIS.A1.Aim2.Bin1.LB</v>
          </cell>
          <cell r="F1599">
            <v>4</v>
          </cell>
          <cell r="G1599" t="str">
            <v>SplineDFA</v>
          </cell>
          <cell r="H1599" t="str">
            <v>Y</v>
          </cell>
          <cell r="I1599" t="str">
            <v>N</v>
          </cell>
          <cell r="J1599">
            <v>197</v>
          </cell>
          <cell r="K1599">
            <v>1</v>
          </cell>
          <cell r="L1599">
            <v>7.3999999999999996E-2</v>
          </cell>
          <cell r="M1599">
            <v>23.7</v>
          </cell>
          <cell r="N1599">
            <v>2.7</v>
          </cell>
          <cell r="O1599">
            <v>0.92600000000000005</v>
          </cell>
          <cell r="P1599">
            <v>0.14549999999999999</v>
          </cell>
          <cell r="Q1599">
            <v>3.0300000000000001E-2</v>
          </cell>
          <cell r="R1599">
            <v>0.75019999999999998</v>
          </cell>
          <cell r="S1599" t="str">
            <v>NA</v>
          </cell>
          <cell r="T1599">
            <v>59</v>
          </cell>
          <cell r="U1599">
            <v>4.8</v>
          </cell>
          <cell r="V1599">
            <v>73.3</v>
          </cell>
          <cell r="W1599">
            <v>7.4</v>
          </cell>
          <cell r="X1599">
            <v>53.9</v>
          </cell>
          <cell r="Y1599">
            <v>7</v>
          </cell>
          <cell r="Z1599" t="str">
            <v>NA</v>
          </cell>
          <cell r="AA1599" t="str">
            <v>NA</v>
          </cell>
        </row>
        <row r="1600">
          <cell r="A1600">
            <v>45172</v>
          </cell>
          <cell r="B1600" t="str">
            <v>A1</v>
          </cell>
          <cell r="C1600">
            <v>2</v>
          </cell>
          <cell r="D1600">
            <v>3</v>
          </cell>
          <cell r="E1600" t="str">
            <v>ARIS.A1.Aim3.Bin2.LB</v>
          </cell>
          <cell r="F1600">
            <v>4</v>
          </cell>
          <cell r="G1600" t="str">
            <v>SplineDFA</v>
          </cell>
          <cell r="H1600" t="str">
            <v>Y</v>
          </cell>
          <cell r="I1600" t="str">
            <v>N</v>
          </cell>
          <cell r="J1600">
            <v>218</v>
          </cell>
          <cell r="K1600">
            <v>1</v>
          </cell>
          <cell r="L1600">
            <v>3.56E-2</v>
          </cell>
          <cell r="M1600">
            <v>23.7</v>
          </cell>
          <cell r="N1600">
            <v>2.7</v>
          </cell>
          <cell r="O1600">
            <v>0.96440000000000003</v>
          </cell>
          <cell r="P1600">
            <v>0.30909999999999999</v>
          </cell>
          <cell r="Q1600">
            <v>0.23549999999999999</v>
          </cell>
          <cell r="R1600">
            <v>0.41980000000000001</v>
          </cell>
          <cell r="S1600" t="str">
            <v>NA</v>
          </cell>
          <cell r="T1600">
            <v>59</v>
          </cell>
          <cell r="U1600">
            <v>4.8</v>
          </cell>
          <cell r="V1600">
            <v>73.3</v>
          </cell>
          <cell r="W1600">
            <v>7.4</v>
          </cell>
          <cell r="X1600">
            <v>53.9</v>
          </cell>
          <cell r="Y1600">
            <v>7</v>
          </cell>
          <cell r="Z1600" t="str">
            <v>NA</v>
          </cell>
          <cell r="AA1600" t="str">
            <v>NA</v>
          </cell>
        </row>
        <row r="1601">
          <cell r="A1601">
            <v>45172</v>
          </cell>
          <cell r="B1601" t="str">
            <v>A1</v>
          </cell>
          <cell r="C1601">
            <v>3</v>
          </cell>
          <cell r="D1601">
            <v>3</v>
          </cell>
          <cell r="E1601" t="str">
            <v>ARIS.A1.Aim3.Bin3.LB</v>
          </cell>
          <cell r="F1601">
            <v>4</v>
          </cell>
          <cell r="G1601" t="str">
            <v>SplineDFA</v>
          </cell>
          <cell r="H1601" t="str">
            <v>Y</v>
          </cell>
          <cell r="I1601" t="str">
            <v>N</v>
          </cell>
          <cell r="J1601">
            <v>187</v>
          </cell>
          <cell r="K1601">
            <v>1.0001</v>
          </cell>
          <cell r="L1601">
            <v>4.1000000000000003E-3</v>
          </cell>
          <cell r="M1601">
            <v>23.7</v>
          </cell>
          <cell r="N1601">
            <v>2.7</v>
          </cell>
          <cell r="O1601">
            <v>0.996</v>
          </cell>
          <cell r="P1601">
            <v>0.31040000000000001</v>
          </cell>
          <cell r="Q1601">
            <v>0.38030000000000003</v>
          </cell>
          <cell r="R1601">
            <v>0.30530000000000002</v>
          </cell>
          <cell r="S1601" t="str">
            <v>NA</v>
          </cell>
          <cell r="T1601">
            <v>59</v>
          </cell>
          <cell r="U1601">
            <v>4.8</v>
          </cell>
          <cell r="V1601">
            <v>73.3</v>
          </cell>
          <cell r="W1601">
            <v>7.4</v>
          </cell>
          <cell r="X1601">
            <v>53.9</v>
          </cell>
          <cell r="Y1601">
            <v>7</v>
          </cell>
          <cell r="Z1601" t="str">
            <v>NA</v>
          </cell>
          <cell r="AA1601" t="str">
            <v>NA</v>
          </cell>
        </row>
        <row r="1602">
          <cell r="A1602">
            <v>45172</v>
          </cell>
          <cell r="B1602" t="str">
            <v>A1</v>
          </cell>
          <cell r="C1602">
            <v>4</v>
          </cell>
          <cell r="D1602">
            <v>3</v>
          </cell>
          <cell r="E1602" t="str">
            <v>ARIS.A1.Aim3.Bin4.LB</v>
          </cell>
          <cell r="F1602">
            <v>4</v>
          </cell>
          <cell r="G1602" t="str">
            <v>SplineDFA</v>
          </cell>
          <cell r="H1602" t="str">
            <v>Y</v>
          </cell>
          <cell r="I1602" t="str">
            <v>N</v>
          </cell>
          <cell r="J1602">
            <v>187</v>
          </cell>
          <cell r="K1602">
            <v>1.0001</v>
          </cell>
          <cell r="L1602">
            <v>4.1000000000000003E-3</v>
          </cell>
          <cell r="M1602">
            <v>23.7</v>
          </cell>
          <cell r="N1602">
            <v>2.7</v>
          </cell>
          <cell r="O1602">
            <v>0.996</v>
          </cell>
          <cell r="P1602">
            <v>0.31040000000000001</v>
          </cell>
          <cell r="Q1602">
            <v>0.38030000000000003</v>
          </cell>
          <cell r="R1602">
            <v>0.30530000000000002</v>
          </cell>
          <cell r="S1602" t="str">
            <v>NA</v>
          </cell>
          <cell r="T1602">
            <v>59</v>
          </cell>
          <cell r="U1602">
            <v>4.8</v>
          </cell>
          <cell r="V1602">
            <v>73.3</v>
          </cell>
          <cell r="W1602">
            <v>7.4</v>
          </cell>
          <cell r="X1602">
            <v>53.9</v>
          </cell>
          <cell r="Y1602">
            <v>7</v>
          </cell>
          <cell r="Z1602" t="str">
            <v>NA</v>
          </cell>
          <cell r="AA1602" t="str">
            <v>NA</v>
          </cell>
        </row>
        <row r="1603">
          <cell r="A1603">
            <v>45172</v>
          </cell>
          <cell r="B1603" t="str">
            <v>A2</v>
          </cell>
          <cell r="C1603">
            <v>1</v>
          </cell>
          <cell r="D1603">
            <v>1</v>
          </cell>
          <cell r="E1603" t="str">
            <v>ARIS.A2.Aim1.Bin1.RB</v>
          </cell>
          <cell r="F1603">
            <v>4</v>
          </cell>
          <cell r="G1603" t="str">
            <v>SplineDFA</v>
          </cell>
          <cell r="H1603" t="str">
            <v>Y</v>
          </cell>
          <cell r="I1603" t="str">
            <v>N</v>
          </cell>
          <cell r="J1603">
            <v>204</v>
          </cell>
          <cell r="K1603">
            <v>1</v>
          </cell>
          <cell r="L1603">
            <v>8.0399999999999999E-2</v>
          </cell>
          <cell r="M1603">
            <v>23.7</v>
          </cell>
          <cell r="N1603">
            <v>2.7</v>
          </cell>
          <cell r="O1603">
            <v>0.91959999999999997</v>
          </cell>
          <cell r="P1603">
            <v>0.27029999999999998</v>
          </cell>
          <cell r="Q1603">
            <v>4.3999999999999997E-2</v>
          </cell>
          <cell r="R1603">
            <v>0.60529999999999995</v>
          </cell>
          <cell r="S1603" t="str">
            <v>NA</v>
          </cell>
          <cell r="T1603">
            <v>59</v>
          </cell>
          <cell r="U1603">
            <v>4.8</v>
          </cell>
          <cell r="V1603">
            <v>73.3</v>
          </cell>
          <cell r="W1603">
            <v>7.4</v>
          </cell>
          <cell r="X1603">
            <v>53.9</v>
          </cell>
          <cell r="Y1603">
            <v>7</v>
          </cell>
          <cell r="Z1603" t="str">
            <v>NA</v>
          </cell>
          <cell r="AA1603" t="str">
            <v>NA</v>
          </cell>
        </row>
        <row r="1604">
          <cell r="A1604">
            <v>45172</v>
          </cell>
          <cell r="B1604" t="str">
            <v>A2</v>
          </cell>
          <cell r="C1604">
            <v>2</v>
          </cell>
          <cell r="D1604">
            <v>1</v>
          </cell>
          <cell r="E1604" t="str">
            <v>ARIS.A2.Aim1.Bin2.RB</v>
          </cell>
          <cell r="F1604">
            <v>4</v>
          </cell>
          <cell r="G1604" t="str">
            <v>SplineDFA</v>
          </cell>
          <cell r="H1604" t="str">
            <v>Y</v>
          </cell>
          <cell r="I1604" t="str">
            <v>N</v>
          </cell>
          <cell r="J1604">
            <v>215</v>
          </cell>
          <cell r="K1604">
            <v>1</v>
          </cell>
          <cell r="L1604">
            <v>3.5799999999999998E-2</v>
          </cell>
          <cell r="M1604">
            <v>23.7</v>
          </cell>
          <cell r="N1604">
            <v>2.7</v>
          </cell>
          <cell r="O1604">
            <v>0.96419999999999995</v>
          </cell>
          <cell r="P1604">
            <v>0.26819999999999999</v>
          </cell>
          <cell r="Q1604">
            <v>0.29330000000000001</v>
          </cell>
          <cell r="R1604">
            <v>0.4027</v>
          </cell>
          <cell r="S1604" t="str">
            <v>NA</v>
          </cell>
          <cell r="T1604">
            <v>59</v>
          </cell>
          <cell r="U1604">
            <v>4.8</v>
          </cell>
          <cell r="V1604">
            <v>73.3</v>
          </cell>
          <cell r="W1604">
            <v>7.4</v>
          </cell>
          <cell r="X1604">
            <v>53.9</v>
          </cell>
          <cell r="Y1604">
            <v>7</v>
          </cell>
          <cell r="Z1604" t="str">
            <v>NA</v>
          </cell>
          <cell r="AA1604" t="str">
            <v>NA</v>
          </cell>
        </row>
        <row r="1605">
          <cell r="A1605">
            <v>45172</v>
          </cell>
          <cell r="B1605" t="str">
            <v>A2</v>
          </cell>
          <cell r="C1605">
            <v>3</v>
          </cell>
          <cell r="D1605">
            <v>1</v>
          </cell>
          <cell r="E1605" t="str">
            <v>ARIS.A2.Aim1.Bin3.RB</v>
          </cell>
          <cell r="F1605">
            <v>4</v>
          </cell>
          <cell r="G1605" t="str">
            <v>SplineDFA</v>
          </cell>
          <cell r="H1605" t="str">
            <v>Y</v>
          </cell>
          <cell r="I1605" t="str">
            <v>N</v>
          </cell>
          <cell r="J1605">
            <v>168</v>
          </cell>
          <cell r="K1605">
            <v>1</v>
          </cell>
          <cell r="L1605">
            <v>3.2000000000000002E-3</v>
          </cell>
          <cell r="M1605">
            <v>23.7</v>
          </cell>
          <cell r="N1605">
            <v>2.7</v>
          </cell>
          <cell r="O1605">
            <v>0.99680000000000002</v>
          </cell>
          <cell r="P1605">
            <v>0.49220000000000003</v>
          </cell>
          <cell r="Q1605">
            <v>0.26900000000000002</v>
          </cell>
          <cell r="R1605">
            <v>0.2356</v>
          </cell>
          <cell r="S1605" t="str">
            <v>NA</v>
          </cell>
          <cell r="T1605">
            <v>59</v>
          </cell>
          <cell r="U1605">
            <v>4.8</v>
          </cell>
          <cell r="V1605">
            <v>73.3</v>
          </cell>
          <cell r="W1605">
            <v>7.4</v>
          </cell>
          <cell r="X1605">
            <v>53.9</v>
          </cell>
          <cell r="Y1605">
            <v>7</v>
          </cell>
          <cell r="Z1605" t="str">
            <v>NA</v>
          </cell>
          <cell r="AA1605" t="str">
            <v>NA</v>
          </cell>
        </row>
        <row r="1606">
          <cell r="A1606">
            <v>45172</v>
          </cell>
          <cell r="B1606" t="str">
            <v>A2</v>
          </cell>
          <cell r="C1606">
            <v>4</v>
          </cell>
          <cell r="D1606">
            <v>1</v>
          </cell>
          <cell r="E1606" t="str">
            <v>ARIS.A2.Aim1.Bin4.RB</v>
          </cell>
          <cell r="F1606">
            <v>4</v>
          </cell>
          <cell r="G1606" t="str">
            <v>SplineDFA</v>
          </cell>
          <cell r="H1606" t="str">
            <v>Y</v>
          </cell>
          <cell r="I1606" t="str">
            <v>N</v>
          </cell>
          <cell r="J1606">
            <v>168</v>
          </cell>
          <cell r="K1606">
            <v>1</v>
          </cell>
          <cell r="L1606">
            <v>3.2000000000000002E-3</v>
          </cell>
          <cell r="M1606">
            <v>23.7</v>
          </cell>
          <cell r="N1606">
            <v>2.7</v>
          </cell>
          <cell r="O1606">
            <v>0.99680000000000002</v>
          </cell>
          <cell r="P1606">
            <v>0.49220000000000003</v>
          </cell>
          <cell r="Q1606">
            <v>0.26900000000000002</v>
          </cell>
          <cell r="R1606">
            <v>0.2356</v>
          </cell>
          <cell r="S1606" t="str">
            <v>NA</v>
          </cell>
          <cell r="T1606">
            <v>59</v>
          </cell>
          <cell r="U1606">
            <v>4.8</v>
          </cell>
          <cell r="V1606">
            <v>73.3</v>
          </cell>
          <cell r="W1606">
            <v>7.4</v>
          </cell>
          <cell r="X1606">
            <v>53.9</v>
          </cell>
          <cell r="Y1606">
            <v>7</v>
          </cell>
          <cell r="Z1606" t="str">
            <v>NA</v>
          </cell>
          <cell r="AA1606" t="str">
            <v>NA</v>
          </cell>
        </row>
        <row r="1607">
          <cell r="A1607">
            <v>45173</v>
          </cell>
          <cell r="B1607" t="str">
            <v>A1</v>
          </cell>
          <cell r="C1607">
            <v>1</v>
          </cell>
          <cell r="D1607">
            <v>1</v>
          </cell>
          <cell r="E1607" t="str">
            <v>ARIS.A1.Aim1.Bin1.LB</v>
          </cell>
          <cell r="F1607">
            <v>4</v>
          </cell>
          <cell r="G1607" t="str">
            <v>Unweighted</v>
          </cell>
          <cell r="H1607" t="str">
            <v>N</v>
          </cell>
          <cell r="I1607" t="str">
            <v>Y</v>
          </cell>
          <cell r="J1607">
            <v>169</v>
          </cell>
          <cell r="K1607">
            <v>1</v>
          </cell>
          <cell r="L1607">
            <v>0.72850000000000004</v>
          </cell>
          <cell r="M1607">
            <v>23.8</v>
          </cell>
          <cell r="N1607">
            <v>5.5</v>
          </cell>
          <cell r="O1607">
            <v>0.27150000000000002</v>
          </cell>
          <cell r="P1607">
            <v>0</v>
          </cell>
          <cell r="Q1607">
            <v>5.0000000000000001E-3</v>
          </cell>
          <cell r="R1607">
            <v>0.26650000000000001</v>
          </cell>
          <cell r="S1607" t="str">
            <v>NA</v>
          </cell>
          <cell r="T1607">
            <v>59</v>
          </cell>
          <cell r="U1607">
            <v>4.8</v>
          </cell>
          <cell r="V1607">
            <v>73.3</v>
          </cell>
          <cell r="W1607">
            <v>7.4</v>
          </cell>
          <cell r="X1607">
            <v>53.9</v>
          </cell>
          <cell r="Y1607">
            <v>7</v>
          </cell>
          <cell r="Z1607" t="str">
            <v>NA</v>
          </cell>
          <cell r="AA1607" t="str">
            <v>NA</v>
          </cell>
        </row>
        <row r="1608">
          <cell r="A1608">
            <v>45173</v>
          </cell>
          <cell r="B1608" t="str">
            <v>A1</v>
          </cell>
          <cell r="C1608">
            <v>1</v>
          </cell>
          <cell r="D1608">
            <v>2</v>
          </cell>
          <cell r="E1608" t="str">
            <v>ARIS.A1.Aim2.Bin1.LB</v>
          </cell>
          <cell r="F1608">
            <v>4</v>
          </cell>
          <cell r="G1608" t="str">
            <v>Unweighted</v>
          </cell>
          <cell r="H1608" t="str">
            <v>N</v>
          </cell>
          <cell r="I1608" t="str">
            <v>Y</v>
          </cell>
          <cell r="J1608">
            <v>179</v>
          </cell>
          <cell r="K1608">
            <v>0.99990000000000001</v>
          </cell>
          <cell r="L1608">
            <v>0.60319999999999996</v>
          </cell>
          <cell r="M1608">
            <v>18.399999999999999</v>
          </cell>
          <cell r="N1608">
            <v>8.4</v>
          </cell>
          <cell r="O1608">
            <v>0.3967</v>
          </cell>
          <cell r="P1608">
            <v>0</v>
          </cell>
          <cell r="Q1608">
            <v>8.0999999999999996E-3</v>
          </cell>
          <cell r="R1608">
            <v>0.3886</v>
          </cell>
          <cell r="S1608" t="str">
            <v>NA</v>
          </cell>
          <cell r="T1608">
            <v>59</v>
          </cell>
          <cell r="U1608">
            <v>4.8</v>
          </cell>
          <cell r="V1608">
            <v>73.3</v>
          </cell>
          <cell r="W1608">
            <v>7.4</v>
          </cell>
          <cell r="X1608">
            <v>53.9</v>
          </cell>
          <cell r="Y1608">
            <v>7</v>
          </cell>
          <cell r="Z1608" t="str">
            <v>NA</v>
          </cell>
          <cell r="AA1608" t="str">
            <v>NA</v>
          </cell>
        </row>
        <row r="1609">
          <cell r="A1609">
            <v>45173</v>
          </cell>
          <cell r="B1609" t="str">
            <v>A1</v>
          </cell>
          <cell r="C1609">
            <v>1</v>
          </cell>
          <cell r="D1609" t="str">
            <v>1&amp;2</v>
          </cell>
          <cell r="E1609" t="str">
            <v>ARIS.A1.Aim1&amp;Aim2.Bin1.LB</v>
          </cell>
          <cell r="F1609">
            <v>4</v>
          </cell>
          <cell r="G1609" t="str">
            <v>Unweighted</v>
          </cell>
          <cell r="H1609" t="str">
            <v>N</v>
          </cell>
          <cell r="I1609" t="str">
            <v>Y</v>
          </cell>
          <cell r="J1609">
            <v>348</v>
          </cell>
          <cell r="K1609">
            <v>1</v>
          </cell>
          <cell r="L1609">
            <v>0.69020000000000004</v>
          </cell>
          <cell r="M1609">
            <v>21.4</v>
          </cell>
          <cell r="N1609">
            <v>7.4</v>
          </cell>
          <cell r="O1609">
            <v>0.30980000000000002</v>
          </cell>
          <cell r="P1609">
            <v>0</v>
          </cell>
          <cell r="Q1609">
            <v>5.7999999999999996E-3</v>
          </cell>
          <cell r="R1609">
            <v>0.30399999999999999</v>
          </cell>
          <cell r="S1609" t="str">
            <v>NA</v>
          </cell>
          <cell r="T1609">
            <v>59</v>
          </cell>
          <cell r="U1609">
            <v>4.8</v>
          </cell>
          <cell r="V1609">
            <v>73.3</v>
          </cell>
          <cell r="W1609">
            <v>7.4</v>
          </cell>
          <cell r="X1609">
            <v>53.9</v>
          </cell>
          <cell r="Y1609">
            <v>7</v>
          </cell>
          <cell r="Z1609" t="str">
            <v>NA</v>
          </cell>
          <cell r="AA1609" t="str">
            <v>NA</v>
          </cell>
        </row>
        <row r="1610">
          <cell r="A1610">
            <v>45173</v>
          </cell>
          <cell r="B1610" t="str">
            <v>A1</v>
          </cell>
          <cell r="C1610">
            <v>2</v>
          </cell>
          <cell r="D1610">
            <v>3</v>
          </cell>
          <cell r="E1610" t="str">
            <v>ARIS.A1.Aim3.Bin2.LB</v>
          </cell>
          <cell r="F1610">
            <v>4</v>
          </cell>
          <cell r="G1610" t="str">
            <v>Unweighted</v>
          </cell>
          <cell r="H1610" t="str">
            <v>N</v>
          </cell>
          <cell r="I1610" t="str">
            <v>Y</v>
          </cell>
          <cell r="J1610">
            <v>185</v>
          </cell>
          <cell r="K1610">
            <v>1</v>
          </cell>
          <cell r="L1610">
            <v>2.8000000000000001E-2</v>
          </cell>
          <cell r="M1610">
            <v>28.5</v>
          </cell>
          <cell r="N1610">
            <v>3.3</v>
          </cell>
          <cell r="O1610">
            <v>0.97199999999999998</v>
          </cell>
          <cell r="P1610">
            <v>0</v>
          </cell>
          <cell r="Q1610">
            <v>0.21690000000000001</v>
          </cell>
          <cell r="R1610">
            <v>0.75509999999999999</v>
          </cell>
          <cell r="S1610" t="str">
            <v>NA</v>
          </cell>
          <cell r="T1610">
            <v>59</v>
          </cell>
          <cell r="U1610">
            <v>4.8</v>
          </cell>
          <cell r="V1610">
            <v>73.3</v>
          </cell>
          <cell r="W1610">
            <v>7.4</v>
          </cell>
          <cell r="X1610">
            <v>53.9</v>
          </cell>
          <cell r="Y1610">
            <v>7</v>
          </cell>
          <cell r="Z1610" t="str">
            <v>NA</v>
          </cell>
          <cell r="AA1610" t="str">
            <v>NA</v>
          </cell>
        </row>
        <row r="1611">
          <cell r="A1611">
            <v>45173</v>
          </cell>
          <cell r="B1611" t="str">
            <v>A1</v>
          </cell>
          <cell r="C1611">
            <v>3</v>
          </cell>
          <cell r="D1611">
            <v>3</v>
          </cell>
          <cell r="E1611" t="str">
            <v>ARIS.A1.Aim3.Bin3.LB</v>
          </cell>
          <cell r="F1611">
            <v>4</v>
          </cell>
          <cell r="G1611" t="str">
            <v>Unweighted</v>
          </cell>
          <cell r="H1611" t="str">
            <v>N</v>
          </cell>
          <cell r="I1611" t="str">
            <v>Y</v>
          </cell>
          <cell r="J1611">
            <v>176</v>
          </cell>
          <cell r="K1611">
            <v>1</v>
          </cell>
          <cell r="L1611">
            <v>3.0999999999999999E-3</v>
          </cell>
          <cell r="M1611">
            <v>29.3</v>
          </cell>
          <cell r="N1611">
            <v>2.2000000000000002</v>
          </cell>
          <cell r="O1611">
            <v>0.99690000000000001</v>
          </cell>
          <cell r="P1611">
            <v>0</v>
          </cell>
          <cell r="Q1611">
            <v>0.42699999999999999</v>
          </cell>
          <cell r="R1611">
            <v>0.56989999999999996</v>
          </cell>
          <cell r="S1611" t="str">
            <v>NA</v>
          </cell>
          <cell r="T1611">
            <v>59</v>
          </cell>
          <cell r="U1611">
            <v>4.8</v>
          </cell>
          <cell r="V1611">
            <v>73.3</v>
          </cell>
          <cell r="W1611">
            <v>7.4</v>
          </cell>
          <cell r="X1611">
            <v>53.9</v>
          </cell>
          <cell r="Y1611">
            <v>7</v>
          </cell>
          <cell r="Z1611" t="str">
            <v>NA</v>
          </cell>
          <cell r="AA1611" t="str">
            <v>NA</v>
          </cell>
        </row>
        <row r="1612">
          <cell r="A1612">
            <v>45173</v>
          </cell>
          <cell r="B1612" t="str">
            <v>A1</v>
          </cell>
          <cell r="C1612">
            <v>4</v>
          </cell>
          <cell r="D1612">
            <v>3</v>
          </cell>
          <cell r="E1612" t="str">
            <v>ARIS.A1.Aim3.Bin4.LB</v>
          </cell>
          <cell r="F1612">
            <v>4</v>
          </cell>
          <cell r="G1612" t="str">
            <v>Unweighted</v>
          </cell>
          <cell r="H1612" t="str">
            <v>N</v>
          </cell>
          <cell r="I1612" t="str">
            <v>Y</v>
          </cell>
          <cell r="J1612">
            <v>176</v>
          </cell>
          <cell r="K1612">
            <v>1</v>
          </cell>
          <cell r="L1612">
            <v>3.0999999999999999E-3</v>
          </cell>
          <cell r="M1612">
            <v>29.3</v>
          </cell>
          <cell r="N1612">
            <v>2.2000000000000002</v>
          </cell>
          <cell r="O1612">
            <v>0.99690000000000001</v>
          </cell>
          <cell r="P1612">
            <v>0</v>
          </cell>
          <cell r="Q1612">
            <v>0.42699999999999999</v>
          </cell>
          <cell r="R1612">
            <v>0.56989999999999996</v>
          </cell>
          <cell r="S1612" t="str">
            <v>NA</v>
          </cell>
          <cell r="T1612">
            <v>59</v>
          </cell>
          <cell r="U1612">
            <v>4.8</v>
          </cell>
          <cell r="V1612">
            <v>73.3</v>
          </cell>
          <cell r="W1612">
            <v>7.4</v>
          </cell>
          <cell r="X1612">
            <v>53.9</v>
          </cell>
          <cell r="Y1612">
            <v>7</v>
          </cell>
          <cell r="Z1612" t="str">
            <v>NA</v>
          </cell>
          <cell r="AA1612" t="str">
            <v>NA</v>
          </cell>
        </row>
        <row r="1613">
          <cell r="A1613">
            <v>45173</v>
          </cell>
          <cell r="B1613" t="str">
            <v>A2</v>
          </cell>
          <cell r="C1613">
            <v>1</v>
          </cell>
          <cell r="D1613">
            <v>1</v>
          </cell>
          <cell r="E1613" t="str">
            <v>ARIS.A2.Aim1.Bin1.RB</v>
          </cell>
          <cell r="F1613">
            <v>4</v>
          </cell>
          <cell r="G1613" t="str">
            <v>Unweighted</v>
          </cell>
          <cell r="H1613" t="str">
            <v>N</v>
          </cell>
          <cell r="I1613" t="str">
            <v>Y</v>
          </cell>
          <cell r="J1613">
            <v>204</v>
          </cell>
          <cell r="K1613">
            <v>1</v>
          </cell>
          <cell r="L1613">
            <v>0.21149999999999999</v>
          </cell>
          <cell r="M1613">
            <v>24.9</v>
          </cell>
          <cell r="N1613">
            <v>6.2</v>
          </cell>
          <cell r="O1613">
            <v>0.78849999999999998</v>
          </cell>
          <cell r="P1613">
            <v>0</v>
          </cell>
          <cell r="Q1613">
            <v>1.6500000000000001E-2</v>
          </cell>
          <cell r="R1613">
            <v>0.77200000000000002</v>
          </cell>
          <cell r="S1613" t="str">
            <v>NA</v>
          </cell>
          <cell r="T1613">
            <v>59</v>
          </cell>
          <cell r="U1613">
            <v>4.8</v>
          </cell>
          <cell r="V1613">
            <v>73.3</v>
          </cell>
          <cell r="W1613">
            <v>7.4</v>
          </cell>
          <cell r="X1613">
            <v>53.9</v>
          </cell>
          <cell r="Y1613">
            <v>7</v>
          </cell>
          <cell r="Z1613" t="str">
            <v>NA</v>
          </cell>
          <cell r="AA1613" t="str">
            <v>NA</v>
          </cell>
        </row>
        <row r="1614">
          <cell r="A1614">
            <v>45173</v>
          </cell>
          <cell r="B1614" t="str">
            <v>A2</v>
          </cell>
          <cell r="C1614">
            <v>2</v>
          </cell>
          <cell r="D1614">
            <v>1</v>
          </cell>
          <cell r="E1614" t="str">
            <v>ARIS.A2.Aim1.Bin2.RB</v>
          </cell>
          <cell r="F1614">
            <v>4</v>
          </cell>
          <cell r="G1614" t="str">
            <v>Unweighted</v>
          </cell>
          <cell r="H1614" t="str">
            <v>N</v>
          </cell>
          <cell r="I1614" t="str">
            <v>Y</v>
          </cell>
          <cell r="J1614">
            <v>215</v>
          </cell>
          <cell r="K1614">
            <v>1</v>
          </cell>
          <cell r="L1614">
            <v>0.124</v>
          </cell>
          <cell r="M1614">
            <v>27.9</v>
          </cell>
          <cell r="N1614">
            <v>5.6</v>
          </cell>
          <cell r="O1614">
            <v>0.876</v>
          </cell>
          <cell r="P1614">
            <v>0</v>
          </cell>
          <cell r="Q1614">
            <v>0.33879999999999999</v>
          </cell>
          <cell r="R1614">
            <v>0.53720000000000001</v>
          </cell>
          <cell r="S1614" t="str">
            <v>NA</v>
          </cell>
          <cell r="T1614">
            <v>59</v>
          </cell>
          <cell r="U1614">
            <v>4.8</v>
          </cell>
          <cell r="V1614">
            <v>73.3</v>
          </cell>
          <cell r="W1614">
            <v>7.4</v>
          </cell>
          <cell r="X1614">
            <v>53.9</v>
          </cell>
          <cell r="Y1614">
            <v>7</v>
          </cell>
          <cell r="Z1614" t="str">
            <v>NA</v>
          </cell>
          <cell r="AA1614" t="str">
            <v>NA</v>
          </cell>
        </row>
        <row r="1615">
          <cell r="A1615">
            <v>45173</v>
          </cell>
          <cell r="B1615" t="str">
            <v>A2</v>
          </cell>
          <cell r="C1615">
            <v>3</v>
          </cell>
          <cell r="D1615">
            <v>1</v>
          </cell>
          <cell r="E1615" t="str">
            <v>ARIS.A2.Aim1.Bin3.RB</v>
          </cell>
          <cell r="F1615">
            <v>4</v>
          </cell>
          <cell r="G1615" t="str">
            <v>Unweighted</v>
          </cell>
          <cell r="H1615" t="str">
            <v>N</v>
          </cell>
          <cell r="I1615" t="str">
            <v>Y</v>
          </cell>
          <cell r="J1615">
            <v>168</v>
          </cell>
          <cell r="K1615">
            <v>1</v>
          </cell>
          <cell r="L1615">
            <v>2.98E-2</v>
          </cell>
          <cell r="M1615">
            <v>23.7</v>
          </cell>
          <cell r="N1615">
            <v>12.8</v>
          </cell>
          <cell r="O1615">
            <v>0.97019999999999995</v>
          </cell>
          <cell r="P1615">
            <v>8.0699999999999994E-2</v>
          </cell>
          <cell r="Q1615">
            <v>0.55210000000000004</v>
          </cell>
          <cell r="R1615">
            <v>0.33739999999999998</v>
          </cell>
          <cell r="S1615" t="str">
            <v>NA</v>
          </cell>
          <cell r="T1615">
            <v>59</v>
          </cell>
          <cell r="U1615">
            <v>4.8</v>
          </cell>
          <cell r="V1615">
            <v>73.3</v>
          </cell>
          <cell r="W1615">
            <v>7.4</v>
          </cell>
          <cell r="X1615">
            <v>53.9</v>
          </cell>
          <cell r="Y1615">
            <v>7</v>
          </cell>
          <cell r="Z1615" t="str">
            <v>NA</v>
          </cell>
          <cell r="AA1615" t="str">
            <v>NA</v>
          </cell>
        </row>
        <row r="1616">
          <cell r="A1616">
            <v>45173</v>
          </cell>
          <cell r="B1616" t="str">
            <v>A2</v>
          </cell>
          <cell r="C1616">
            <v>4</v>
          </cell>
          <cell r="D1616">
            <v>1</v>
          </cell>
          <cell r="E1616" t="str">
            <v>ARIS.A2.Aim1.Bin4.RB</v>
          </cell>
          <cell r="F1616">
            <v>4</v>
          </cell>
          <cell r="G1616" t="str">
            <v>Unweighted</v>
          </cell>
          <cell r="H1616" t="str">
            <v>N</v>
          </cell>
          <cell r="I1616" t="str">
            <v>Y</v>
          </cell>
          <cell r="J1616">
            <v>168</v>
          </cell>
          <cell r="K1616">
            <v>1</v>
          </cell>
          <cell r="L1616">
            <v>2.98E-2</v>
          </cell>
          <cell r="M1616">
            <v>23.7</v>
          </cell>
          <cell r="N1616">
            <v>12.8</v>
          </cell>
          <cell r="O1616">
            <v>0.97019999999999995</v>
          </cell>
          <cell r="P1616">
            <v>8.0699999999999994E-2</v>
          </cell>
          <cell r="Q1616">
            <v>0.55210000000000004</v>
          </cell>
          <cell r="R1616">
            <v>0.33739999999999998</v>
          </cell>
          <cell r="S1616" t="str">
            <v>NA</v>
          </cell>
          <cell r="T1616">
            <v>59</v>
          </cell>
          <cell r="U1616">
            <v>4.8</v>
          </cell>
          <cell r="V1616">
            <v>73.3</v>
          </cell>
          <cell r="W1616">
            <v>7.4</v>
          </cell>
          <cell r="X1616">
            <v>53.9</v>
          </cell>
          <cell r="Y1616">
            <v>7</v>
          </cell>
          <cell r="Z1616" t="str">
            <v>NA</v>
          </cell>
          <cell r="AA1616" t="str">
            <v>NA</v>
          </cell>
        </row>
        <row r="1617">
          <cell r="A1617">
            <v>45173</v>
          </cell>
          <cell r="B1617" t="str">
            <v>A1</v>
          </cell>
          <cell r="C1617">
            <v>1</v>
          </cell>
          <cell r="D1617">
            <v>1</v>
          </cell>
          <cell r="E1617" t="str">
            <v>ARIS.A1.Aim1.Bin1.LB</v>
          </cell>
          <cell r="F1617">
            <v>4</v>
          </cell>
          <cell r="G1617" t="str">
            <v>SplineDFA</v>
          </cell>
          <cell r="H1617" t="str">
            <v>Y</v>
          </cell>
          <cell r="I1617" t="str">
            <v>N</v>
          </cell>
          <cell r="J1617">
            <v>169</v>
          </cell>
          <cell r="K1617">
            <v>0.99990000000000001</v>
          </cell>
          <cell r="L1617">
            <v>0.62719999999999998</v>
          </cell>
          <cell r="M1617">
            <v>23.7</v>
          </cell>
          <cell r="N1617">
            <v>2.7</v>
          </cell>
          <cell r="O1617">
            <v>0.37269999999999998</v>
          </cell>
          <cell r="P1617">
            <v>3.4299999999999997E-2</v>
          </cell>
          <cell r="Q1617">
            <v>1.43E-2</v>
          </cell>
          <cell r="R1617">
            <v>0.3241</v>
          </cell>
          <cell r="S1617" t="str">
            <v>NA</v>
          </cell>
          <cell r="T1617">
            <v>59</v>
          </cell>
          <cell r="U1617">
            <v>4.8</v>
          </cell>
          <cell r="V1617">
            <v>73.3</v>
          </cell>
          <cell r="W1617">
            <v>7.4</v>
          </cell>
          <cell r="X1617">
            <v>53.9</v>
          </cell>
          <cell r="Y1617">
            <v>7</v>
          </cell>
          <cell r="Z1617" t="str">
            <v>NA</v>
          </cell>
          <cell r="AA1617" t="str">
            <v>NA</v>
          </cell>
        </row>
        <row r="1618">
          <cell r="A1618">
            <v>45173</v>
          </cell>
          <cell r="B1618" t="str">
            <v>A1</v>
          </cell>
          <cell r="C1618">
            <v>1</v>
          </cell>
          <cell r="D1618">
            <v>2</v>
          </cell>
          <cell r="E1618" t="str">
            <v>ARIS.A1.Aim2.Bin1.LB</v>
          </cell>
          <cell r="F1618">
            <v>4</v>
          </cell>
          <cell r="G1618" t="str">
            <v>SplineDFA</v>
          </cell>
          <cell r="H1618" t="str">
            <v>Y</v>
          </cell>
          <cell r="I1618" t="str">
            <v>N</v>
          </cell>
          <cell r="J1618">
            <v>179</v>
          </cell>
          <cell r="K1618">
            <v>1</v>
          </cell>
          <cell r="L1618">
            <v>0.28599999999999998</v>
          </cell>
          <cell r="M1618">
            <v>23.7</v>
          </cell>
          <cell r="N1618">
            <v>2.7</v>
          </cell>
          <cell r="O1618">
            <v>0.71399999999999997</v>
          </cell>
          <cell r="P1618">
            <v>0.28839999999999999</v>
          </cell>
          <cell r="Q1618">
            <v>3.7400000000000003E-2</v>
          </cell>
          <cell r="R1618">
            <v>0.38819999999999999</v>
          </cell>
          <cell r="S1618" t="str">
            <v>NA</v>
          </cell>
          <cell r="T1618">
            <v>59</v>
          </cell>
          <cell r="U1618">
            <v>4.8</v>
          </cell>
          <cell r="V1618">
            <v>73.3</v>
          </cell>
          <cell r="W1618">
            <v>7.4</v>
          </cell>
          <cell r="X1618">
            <v>53.9</v>
          </cell>
          <cell r="Y1618">
            <v>7</v>
          </cell>
          <cell r="Z1618" t="str">
            <v>NA</v>
          </cell>
          <cell r="AA1618" t="str">
            <v>NA</v>
          </cell>
        </row>
        <row r="1619">
          <cell r="A1619">
            <v>45173</v>
          </cell>
          <cell r="B1619" t="str">
            <v>A1</v>
          </cell>
          <cell r="C1619">
            <v>2</v>
          </cell>
          <cell r="D1619">
            <v>3</v>
          </cell>
          <cell r="E1619" t="str">
            <v>ARIS.A1.Aim3.Bin2.LB</v>
          </cell>
          <cell r="F1619">
            <v>4</v>
          </cell>
          <cell r="G1619" t="str">
            <v>SplineDFA</v>
          </cell>
          <cell r="H1619" t="str">
            <v>Y</v>
          </cell>
          <cell r="I1619" t="str">
            <v>N</v>
          </cell>
          <cell r="J1619">
            <v>185</v>
          </cell>
          <cell r="K1619">
            <v>1</v>
          </cell>
          <cell r="L1619">
            <v>1.9300000000000001E-2</v>
          </cell>
          <cell r="M1619">
            <v>23.7</v>
          </cell>
          <cell r="N1619">
            <v>2.7</v>
          </cell>
          <cell r="O1619">
            <v>0.98070000000000002</v>
          </cell>
          <cell r="P1619">
            <v>0.26090000000000002</v>
          </cell>
          <cell r="Q1619">
            <v>0.17419999999999999</v>
          </cell>
          <cell r="R1619">
            <v>0.54559999999999997</v>
          </cell>
          <cell r="S1619" t="str">
            <v>NA</v>
          </cell>
          <cell r="T1619">
            <v>59</v>
          </cell>
          <cell r="U1619">
            <v>4.8</v>
          </cell>
          <cell r="V1619">
            <v>73.3</v>
          </cell>
          <cell r="W1619">
            <v>7.4</v>
          </cell>
          <cell r="X1619">
            <v>53.9</v>
          </cell>
          <cell r="Y1619">
            <v>7</v>
          </cell>
          <cell r="Z1619" t="str">
            <v>NA</v>
          </cell>
          <cell r="AA1619" t="str">
            <v>NA</v>
          </cell>
        </row>
        <row r="1620">
          <cell r="A1620">
            <v>45173</v>
          </cell>
          <cell r="B1620" t="str">
            <v>A1</v>
          </cell>
          <cell r="C1620">
            <v>3</v>
          </cell>
          <cell r="D1620">
            <v>3</v>
          </cell>
          <cell r="E1620" t="str">
            <v>ARIS.A1.Aim3.Bin3.LB</v>
          </cell>
          <cell r="F1620">
            <v>4</v>
          </cell>
          <cell r="G1620" t="str">
            <v>SplineDFA</v>
          </cell>
          <cell r="H1620" t="str">
            <v>Y</v>
          </cell>
          <cell r="I1620" t="str">
            <v>N</v>
          </cell>
          <cell r="J1620">
            <v>176</v>
          </cell>
          <cell r="K1620">
            <v>1</v>
          </cell>
          <cell r="L1620">
            <v>0</v>
          </cell>
          <cell r="M1620">
            <v>23.7</v>
          </cell>
          <cell r="N1620">
            <v>2.7</v>
          </cell>
          <cell r="O1620">
            <v>1</v>
          </cell>
          <cell r="P1620">
            <v>0.27189999999999998</v>
          </cell>
          <cell r="Q1620">
            <v>0.31109999999999999</v>
          </cell>
          <cell r="R1620">
            <v>0.41699999999999998</v>
          </cell>
          <cell r="S1620" t="str">
            <v>NA</v>
          </cell>
          <cell r="T1620">
            <v>59</v>
          </cell>
          <cell r="U1620">
            <v>4.8</v>
          </cell>
          <cell r="V1620">
            <v>73.3</v>
          </cell>
          <cell r="W1620">
            <v>7.4</v>
          </cell>
          <cell r="X1620">
            <v>53.9</v>
          </cell>
          <cell r="Y1620">
            <v>7</v>
          </cell>
          <cell r="Z1620" t="str">
            <v>NA</v>
          </cell>
          <cell r="AA1620" t="str">
            <v>NA</v>
          </cell>
        </row>
        <row r="1621">
          <cell r="A1621">
            <v>45173</v>
          </cell>
          <cell r="B1621" t="str">
            <v>A1</v>
          </cell>
          <cell r="C1621">
            <v>4</v>
          </cell>
          <cell r="D1621">
            <v>3</v>
          </cell>
          <cell r="E1621" t="str">
            <v>ARIS.A1.Aim3.Bin4.LB</v>
          </cell>
          <cell r="F1621">
            <v>4</v>
          </cell>
          <cell r="G1621" t="str">
            <v>SplineDFA</v>
          </cell>
          <cell r="H1621" t="str">
            <v>Y</v>
          </cell>
          <cell r="I1621" t="str">
            <v>N</v>
          </cell>
          <cell r="J1621">
            <v>176</v>
          </cell>
          <cell r="K1621">
            <v>1</v>
          </cell>
          <cell r="L1621">
            <v>0</v>
          </cell>
          <cell r="M1621">
            <v>23.7</v>
          </cell>
          <cell r="N1621">
            <v>2.7</v>
          </cell>
          <cell r="O1621">
            <v>1</v>
          </cell>
          <cell r="P1621">
            <v>0.27189999999999998</v>
          </cell>
          <cell r="Q1621">
            <v>0.31109999999999999</v>
          </cell>
          <cell r="R1621">
            <v>0.41699999999999998</v>
          </cell>
          <cell r="S1621" t="str">
            <v>NA</v>
          </cell>
          <cell r="T1621">
            <v>59</v>
          </cell>
          <cell r="U1621">
            <v>4.8</v>
          </cell>
          <cell r="V1621">
            <v>73.3</v>
          </cell>
          <cell r="W1621">
            <v>7.4</v>
          </cell>
          <cell r="X1621">
            <v>53.9</v>
          </cell>
          <cell r="Y1621">
            <v>7</v>
          </cell>
          <cell r="Z1621" t="str">
            <v>NA</v>
          </cell>
          <cell r="AA1621" t="str">
            <v>NA</v>
          </cell>
        </row>
        <row r="1622">
          <cell r="A1622">
            <v>45173</v>
          </cell>
          <cell r="B1622" t="str">
            <v>A2</v>
          </cell>
          <cell r="C1622">
            <v>1</v>
          </cell>
          <cell r="D1622">
            <v>1</v>
          </cell>
          <cell r="E1622" t="str">
            <v>ARIS.A2.Aim1.Bin1.RB</v>
          </cell>
          <cell r="F1622">
            <v>4</v>
          </cell>
          <cell r="G1622" t="str">
            <v>SplineDFA</v>
          </cell>
          <cell r="H1622" t="str">
            <v>Y</v>
          </cell>
          <cell r="I1622" t="str">
            <v>N</v>
          </cell>
          <cell r="J1622">
            <v>204</v>
          </cell>
          <cell r="K1622">
            <v>1</v>
          </cell>
          <cell r="L1622">
            <v>8.0399999999999999E-2</v>
          </cell>
          <cell r="M1622">
            <v>23.7</v>
          </cell>
          <cell r="N1622">
            <v>2.7</v>
          </cell>
          <cell r="O1622">
            <v>0.91959999999999997</v>
          </cell>
          <cell r="P1622">
            <v>0.27029999999999998</v>
          </cell>
          <cell r="Q1622">
            <v>4.3999999999999997E-2</v>
          </cell>
          <cell r="R1622">
            <v>0.60529999999999995</v>
          </cell>
          <cell r="S1622" t="str">
            <v>NA</v>
          </cell>
          <cell r="T1622">
            <v>59</v>
          </cell>
          <cell r="U1622">
            <v>4.8</v>
          </cell>
          <cell r="V1622">
            <v>73.3</v>
          </cell>
          <cell r="W1622">
            <v>7.4</v>
          </cell>
          <cell r="X1622">
            <v>53.9</v>
          </cell>
          <cell r="Y1622">
            <v>7</v>
          </cell>
          <cell r="Z1622" t="str">
            <v>NA</v>
          </cell>
          <cell r="AA1622" t="str">
            <v>NA</v>
          </cell>
        </row>
        <row r="1623">
          <cell r="A1623">
            <v>45173</v>
          </cell>
          <cell r="B1623" t="str">
            <v>A2</v>
          </cell>
          <cell r="C1623">
            <v>2</v>
          </cell>
          <cell r="D1623">
            <v>1</v>
          </cell>
          <cell r="E1623" t="str">
            <v>ARIS.A2.Aim1.Bin2.RB</v>
          </cell>
          <cell r="F1623">
            <v>4</v>
          </cell>
          <cell r="G1623" t="str">
            <v>SplineDFA</v>
          </cell>
          <cell r="H1623" t="str">
            <v>Y</v>
          </cell>
          <cell r="I1623" t="str">
            <v>N</v>
          </cell>
          <cell r="J1623">
            <v>215</v>
          </cell>
          <cell r="K1623">
            <v>1</v>
          </cell>
          <cell r="L1623">
            <v>3.5799999999999998E-2</v>
          </cell>
          <cell r="M1623">
            <v>23.7</v>
          </cell>
          <cell r="N1623">
            <v>2.7</v>
          </cell>
          <cell r="O1623">
            <v>0.96419999999999995</v>
          </cell>
          <cell r="P1623">
            <v>0.26819999999999999</v>
          </cell>
          <cell r="Q1623">
            <v>0.29330000000000001</v>
          </cell>
          <cell r="R1623">
            <v>0.4027</v>
          </cell>
          <cell r="S1623" t="str">
            <v>NA</v>
          </cell>
          <cell r="T1623">
            <v>59</v>
          </cell>
          <cell r="U1623">
            <v>4.8</v>
          </cell>
          <cell r="V1623">
            <v>73.3</v>
          </cell>
          <cell r="W1623">
            <v>7.4</v>
          </cell>
          <cell r="X1623">
            <v>53.9</v>
          </cell>
          <cell r="Y1623">
            <v>7</v>
          </cell>
          <cell r="Z1623" t="str">
            <v>NA</v>
          </cell>
          <cell r="AA1623" t="str">
            <v>NA</v>
          </cell>
        </row>
        <row r="1624">
          <cell r="A1624">
            <v>45173</v>
          </cell>
          <cell r="B1624" t="str">
            <v>A2</v>
          </cell>
          <cell r="C1624">
            <v>3</v>
          </cell>
          <cell r="D1624">
            <v>1</v>
          </cell>
          <cell r="E1624" t="str">
            <v>ARIS.A2.Aim1.Bin3.RB</v>
          </cell>
          <cell r="F1624">
            <v>4</v>
          </cell>
          <cell r="G1624" t="str">
            <v>SplineDFA</v>
          </cell>
          <cell r="H1624" t="str">
            <v>Y</v>
          </cell>
          <cell r="I1624" t="str">
            <v>N</v>
          </cell>
          <cell r="J1624">
            <v>168</v>
          </cell>
          <cell r="K1624">
            <v>1</v>
          </cell>
          <cell r="L1624">
            <v>3.2000000000000002E-3</v>
          </cell>
          <cell r="M1624">
            <v>23.7</v>
          </cell>
          <cell r="N1624">
            <v>2.7</v>
          </cell>
          <cell r="O1624">
            <v>0.99680000000000002</v>
          </cell>
          <cell r="P1624">
            <v>0.49220000000000003</v>
          </cell>
          <cell r="Q1624">
            <v>0.26900000000000002</v>
          </cell>
          <cell r="R1624">
            <v>0.2356</v>
          </cell>
          <cell r="S1624" t="str">
            <v>NA</v>
          </cell>
          <cell r="T1624">
            <v>59</v>
          </cell>
          <cell r="U1624">
            <v>4.8</v>
          </cell>
          <cell r="V1624">
            <v>73.3</v>
          </cell>
          <cell r="W1624">
            <v>7.4</v>
          </cell>
          <cell r="X1624">
            <v>53.9</v>
          </cell>
          <cell r="Y1624">
            <v>7</v>
          </cell>
          <cell r="Z1624" t="str">
            <v>NA</v>
          </cell>
          <cell r="AA1624" t="str">
            <v>NA</v>
          </cell>
        </row>
        <row r="1625">
          <cell r="A1625">
            <v>45173</v>
          </cell>
          <cell r="B1625" t="str">
            <v>A2</v>
          </cell>
          <cell r="C1625">
            <v>4</v>
          </cell>
          <cell r="D1625">
            <v>1</v>
          </cell>
          <cell r="E1625" t="str">
            <v>ARIS.A2.Aim1.Bin4.RB</v>
          </cell>
          <cell r="F1625">
            <v>4</v>
          </cell>
          <cell r="G1625" t="str">
            <v>SplineDFA</v>
          </cell>
          <cell r="H1625" t="str">
            <v>Y</v>
          </cell>
          <cell r="I1625" t="str">
            <v>N</v>
          </cell>
          <cell r="J1625">
            <v>168</v>
          </cell>
          <cell r="K1625">
            <v>1</v>
          </cell>
          <cell r="L1625">
            <v>3.2000000000000002E-3</v>
          </cell>
          <cell r="M1625">
            <v>23.7</v>
          </cell>
          <cell r="N1625">
            <v>2.7</v>
          </cell>
          <cell r="O1625">
            <v>0.99680000000000002</v>
          </cell>
          <cell r="P1625">
            <v>0.49220000000000003</v>
          </cell>
          <cell r="Q1625">
            <v>0.26900000000000002</v>
          </cell>
          <cell r="R1625">
            <v>0.2356</v>
          </cell>
          <cell r="S1625" t="str">
            <v>NA</v>
          </cell>
          <cell r="T1625">
            <v>59</v>
          </cell>
          <cell r="U1625">
            <v>4.8</v>
          </cell>
          <cell r="V1625">
            <v>73.3</v>
          </cell>
          <cell r="W1625">
            <v>7.4</v>
          </cell>
          <cell r="X1625">
            <v>53.9</v>
          </cell>
          <cell r="Y1625">
            <v>7</v>
          </cell>
          <cell r="Z1625" t="str">
            <v>NA</v>
          </cell>
          <cell r="AA1625" t="str">
            <v>NA</v>
          </cell>
        </row>
        <row r="1626">
          <cell r="A1626">
            <v>45174</v>
          </cell>
          <cell r="B1626" t="str">
            <v>A1</v>
          </cell>
          <cell r="C1626">
            <v>1</v>
          </cell>
          <cell r="D1626">
            <v>1</v>
          </cell>
          <cell r="E1626" t="str">
            <v>ARIS.A1.Aim1.Bin1.LB</v>
          </cell>
          <cell r="F1626">
            <v>4</v>
          </cell>
          <cell r="G1626" t="str">
            <v>Unweighted</v>
          </cell>
          <cell r="H1626" t="str">
            <v>N</v>
          </cell>
          <cell r="I1626" t="str">
            <v>Y</v>
          </cell>
          <cell r="J1626">
            <v>157</v>
          </cell>
          <cell r="K1626">
            <v>1</v>
          </cell>
          <cell r="L1626">
            <v>0.67330000000000001</v>
          </cell>
          <cell r="M1626">
            <v>24</v>
          </cell>
          <cell r="N1626">
            <v>6.3</v>
          </cell>
          <cell r="O1626">
            <v>0.32669999999999999</v>
          </cell>
          <cell r="P1626">
            <v>0</v>
          </cell>
          <cell r="Q1626">
            <v>2.01E-2</v>
          </cell>
          <cell r="R1626">
            <v>0.30659999999999998</v>
          </cell>
          <cell r="S1626" t="str">
            <v>NA</v>
          </cell>
          <cell r="T1626">
            <v>59</v>
          </cell>
          <cell r="U1626">
            <v>4.8</v>
          </cell>
          <cell r="V1626">
            <v>73.3</v>
          </cell>
          <cell r="W1626">
            <v>7.4</v>
          </cell>
          <cell r="X1626">
            <v>53.9</v>
          </cell>
          <cell r="Y1626">
            <v>7</v>
          </cell>
          <cell r="Z1626" t="str">
            <v>NA</v>
          </cell>
          <cell r="AA1626" t="str">
            <v>NA</v>
          </cell>
        </row>
        <row r="1627">
          <cell r="A1627">
            <v>45174</v>
          </cell>
          <cell r="B1627" t="str">
            <v>A1</v>
          </cell>
          <cell r="C1627">
            <v>1</v>
          </cell>
          <cell r="D1627">
            <v>2</v>
          </cell>
          <cell r="E1627" t="str">
            <v>ARIS.A1.Aim2.Bin1.LB</v>
          </cell>
          <cell r="F1627">
            <v>4</v>
          </cell>
          <cell r="G1627" t="str">
            <v>Unweighted</v>
          </cell>
          <cell r="H1627" t="str">
            <v>N</v>
          </cell>
          <cell r="I1627" t="str">
            <v>Y</v>
          </cell>
          <cell r="J1627">
            <v>167</v>
          </cell>
          <cell r="K1627">
            <v>1</v>
          </cell>
          <cell r="L1627">
            <v>0.53390000000000004</v>
          </cell>
          <cell r="M1627">
            <v>19</v>
          </cell>
          <cell r="N1627">
            <v>6.2</v>
          </cell>
          <cell r="O1627">
            <v>0.46610000000000001</v>
          </cell>
          <cell r="P1627">
            <v>0</v>
          </cell>
          <cell r="Q1627">
            <v>8.9999999999999998E-4</v>
          </cell>
          <cell r="R1627">
            <v>0.4652</v>
          </cell>
          <cell r="S1627" t="str">
            <v>NA</v>
          </cell>
          <cell r="T1627">
            <v>59</v>
          </cell>
          <cell r="U1627">
            <v>4.8</v>
          </cell>
          <cell r="V1627">
            <v>73.3</v>
          </cell>
          <cell r="W1627">
            <v>7.4</v>
          </cell>
          <cell r="X1627">
            <v>53.9</v>
          </cell>
          <cell r="Y1627">
            <v>7</v>
          </cell>
          <cell r="Z1627" t="str">
            <v>NA</v>
          </cell>
          <cell r="AA1627" t="str">
            <v>NA</v>
          </cell>
        </row>
        <row r="1628">
          <cell r="A1628">
            <v>45174</v>
          </cell>
          <cell r="B1628" t="str">
            <v>A1</v>
          </cell>
          <cell r="C1628">
            <v>1</v>
          </cell>
          <cell r="D1628" t="str">
            <v>1&amp;2</v>
          </cell>
          <cell r="E1628" t="str">
            <v>ARIS.A1.Aim1&amp;Aim2.Bin1.LB</v>
          </cell>
          <cell r="F1628">
            <v>4</v>
          </cell>
          <cell r="G1628" t="str">
            <v>Unweighted</v>
          </cell>
          <cell r="H1628" t="str">
            <v>N</v>
          </cell>
          <cell r="I1628" t="str">
            <v>Y</v>
          </cell>
          <cell r="J1628">
            <v>324</v>
          </cell>
          <cell r="K1628">
            <v>1</v>
          </cell>
          <cell r="L1628">
            <v>0.61409999999999998</v>
          </cell>
          <cell r="M1628">
            <v>21.6</v>
          </cell>
          <cell r="N1628">
            <v>7</v>
          </cell>
          <cell r="O1628">
            <v>0.38590000000000002</v>
          </cell>
          <cell r="P1628">
            <v>0</v>
          </cell>
          <cell r="Q1628">
            <v>8.0999999999999996E-3</v>
          </cell>
          <cell r="R1628">
            <v>0.37780000000000002</v>
          </cell>
          <cell r="S1628" t="str">
            <v>NA</v>
          </cell>
          <cell r="T1628">
            <v>59</v>
          </cell>
          <cell r="U1628">
            <v>4.8</v>
          </cell>
          <cell r="V1628">
            <v>73.3</v>
          </cell>
          <cell r="W1628">
            <v>7.4</v>
          </cell>
          <cell r="X1628">
            <v>53.9</v>
          </cell>
          <cell r="Y1628">
            <v>7</v>
          </cell>
          <cell r="Z1628" t="str">
            <v>NA</v>
          </cell>
          <cell r="AA1628" t="str">
            <v>NA</v>
          </cell>
        </row>
        <row r="1629">
          <cell r="A1629">
            <v>45174</v>
          </cell>
          <cell r="B1629" t="str">
            <v>A1</v>
          </cell>
          <cell r="C1629">
            <v>2</v>
          </cell>
          <cell r="D1629">
            <v>3</v>
          </cell>
          <cell r="E1629" t="str">
            <v>ARIS.A1.Aim3.Bin2.LB</v>
          </cell>
          <cell r="F1629">
            <v>4</v>
          </cell>
          <cell r="G1629" t="str">
            <v>Unweighted</v>
          </cell>
          <cell r="H1629" t="str">
            <v>N</v>
          </cell>
          <cell r="I1629" t="str">
            <v>Y</v>
          </cell>
          <cell r="J1629">
            <v>166</v>
          </cell>
          <cell r="K1629">
            <v>1</v>
          </cell>
          <cell r="L1629">
            <v>0.15029999999999999</v>
          </cell>
          <cell r="M1629">
            <v>28</v>
          </cell>
          <cell r="N1629">
            <v>6.2</v>
          </cell>
          <cell r="O1629">
            <v>0.84970000000000001</v>
          </cell>
          <cell r="P1629">
            <v>0</v>
          </cell>
          <cell r="Q1629">
            <v>7.3999999999999996E-2</v>
          </cell>
          <cell r="R1629">
            <v>0.77569999999999995</v>
          </cell>
          <cell r="S1629" t="str">
            <v>NA</v>
          </cell>
          <cell r="T1629">
            <v>59</v>
          </cell>
          <cell r="U1629">
            <v>4.8</v>
          </cell>
          <cell r="V1629">
            <v>73.3</v>
          </cell>
          <cell r="W1629">
            <v>7.4</v>
          </cell>
          <cell r="X1629">
            <v>53.9</v>
          </cell>
          <cell r="Y1629">
            <v>7</v>
          </cell>
          <cell r="Z1629" t="str">
            <v>NA</v>
          </cell>
          <cell r="AA1629" t="str">
            <v>NA</v>
          </cell>
        </row>
        <row r="1630">
          <cell r="A1630">
            <v>45174</v>
          </cell>
          <cell r="B1630" t="str">
            <v>A1</v>
          </cell>
          <cell r="C1630">
            <v>3</v>
          </cell>
          <cell r="D1630">
            <v>3</v>
          </cell>
          <cell r="E1630" t="str">
            <v>ARIS.A1.Aim3.Bin3.LB</v>
          </cell>
          <cell r="F1630">
            <v>4</v>
          </cell>
          <cell r="G1630" t="str">
            <v>Unweighted</v>
          </cell>
          <cell r="H1630" t="str">
            <v>N</v>
          </cell>
          <cell r="I1630" t="str">
            <v>Y</v>
          </cell>
          <cell r="J1630">
            <v>159</v>
          </cell>
          <cell r="K1630">
            <v>1</v>
          </cell>
          <cell r="L1630">
            <v>1.1299999999999999E-2</v>
          </cell>
          <cell r="M1630">
            <v>29.9</v>
          </cell>
          <cell r="N1630">
            <v>0.9</v>
          </cell>
          <cell r="O1630">
            <v>0.98870000000000002</v>
          </cell>
          <cell r="P1630">
            <v>0.30120000000000002</v>
          </cell>
          <cell r="Q1630">
            <v>0.31809999999999999</v>
          </cell>
          <cell r="R1630">
            <v>0.36940000000000001</v>
          </cell>
          <cell r="S1630" t="str">
            <v>NA</v>
          </cell>
          <cell r="T1630">
            <v>59</v>
          </cell>
          <cell r="U1630">
            <v>4.8</v>
          </cell>
          <cell r="V1630">
            <v>73.3</v>
          </cell>
          <cell r="W1630">
            <v>7.4</v>
          </cell>
          <cell r="X1630">
            <v>53.9</v>
          </cell>
          <cell r="Y1630">
            <v>7</v>
          </cell>
          <cell r="Z1630" t="str">
            <v>NA</v>
          </cell>
          <cell r="AA1630" t="str">
            <v>NA</v>
          </cell>
        </row>
        <row r="1631">
          <cell r="A1631">
            <v>45174</v>
          </cell>
          <cell r="B1631" t="str">
            <v>A1</v>
          </cell>
          <cell r="C1631">
            <v>4</v>
          </cell>
          <cell r="D1631">
            <v>3</v>
          </cell>
          <cell r="E1631" t="str">
            <v>ARIS.A1.Aim3.Bin4.LB</v>
          </cell>
          <cell r="F1631">
            <v>4</v>
          </cell>
          <cell r="G1631" t="str">
            <v>Unweighted</v>
          </cell>
          <cell r="H1631" t="str">
            <v>N</v>
          </cell>
          <cell r="I1631" t="str">
            <v>Y</v>
          </cell>
          <cell r="J1631">
            <v>159</v>
          </cell>
          <cell r="K1631">
            <v>1</v>
          </cell>
          <cell r="L1631">
            <v>1.1299999999999999E-2</v>
          </cell>
          <cell r="M1631">
            <v>29.9</v>
          </cell>
          <cell r="N1631">
            <v>0.9</v>
          </cell>
          <cell r="O1631">
            <v>0.98870000000000002</v>
          </cell>
          <cell r="P1631">
            <v>0.30120000000000002</v>
          </cell>
          <cell r="Q1631">
            <v>0.31809999999999999</v>
          </cell>
          <cell r="R1631">
            <v>0.36940000000000001</v>
          </cell>
          <cell r="S1631" t="str">
            <v>NA</v>
          </cell>
          <cell r="T1631">
            <v>59</v>
          </cell>
          <cell r="U1631">
            <v>4.8</v>
          </cell>
          <cell r="V1631">
            <v>73.3</v>
          </cell>
          <cell r="W1631">
            <v>7.4</v>
          </cell>
          <cell r="X1631">
            <v>53.9</v>
          </cell>
          <cell r="Y1631">
            <v>7</v>
          </cell>
          <cell r="Z1631" t="str">
            <v>NA</v>
          </cell>
          <cell r="AA1631" t="str">
            <v>NA</v>
          </cell>
        </row>
        <row r="1632">
          <cell r="A1632">
            <v>45174</v>
          </cell>
          <cell r="B1632" t="str">
            <v>A2</v>
          </cell>
          <cell r="C1632">
            <v>1</v>
          </cell>
          <cell r="D1632">
            <v>1</v>
          </cell>
          <cell r="E1632" t="str">
            <v>ARIS.A2.Aim1.Bin1.RB</v>
          </cell>
          <cell r="F1632">
            <v>4</v>
          </cell>
          <cell r="G1632" t="str">
            <v>Unweighted</v>
          </cell>
          <cell r="H1632" t="str">
            <v>N</v>
          </cell>
          <cell r="I1632" t="str">
            <v>Y</v>
          </cell>
          <cell r="J1632">
            <v>167</v>
          </cell>
          <cell r="K1632">
            <v>1</v>
          </cell>
          <cell r="L1632">
            <v>0.12989999999999999</v>
          </cell>
          <cell r="M1632">
            <v>24.7</v>
          </cell>
          <cell r="N1632">
            <v>7.3</v>
          </cell>
          <cell r="O1632">
            <v>0.87009999999999998</v>
          </cell>
          <cell r="P1632">
            <v>0</v>
          </cell>
          <cell r="Q1632">
            <v>2.98E-2</v>
          </cell>
          <cell r="R1632">
            <v>0.84030000000000005</v>
          </cell>
          <cell r="S1632" t="str">
            <v>NA</v>
          </cell>
          <cell r="T1632">
            <v>59</v>
          </cell>
          <cell r="U1632">
            <v>4.8</v>
          </cell>
          <cell r="V1632">
            <v>73.3</v>
          </cell>
          <cell r="W1632">
            <v>7.4</v>
          </cell>
          <cell r="X1632">
            <v>53.9</v>
          </cell>
          <cell r="Y1632">
            <v>7</v>
          </cell>
          <cell r="Z1632" t="str">
            <v>NA</v>
          </cell>
          <cell r="AA1632" t="str">
            <v>NA</v>
          </cell>
        </row>
        <row r="1633">
          <cell r="A1633">
            <v>45174</v>
          </cell>
          <cell r="B1633" t="str">
            <v>A2</v>
          </cell>
          <cell r="C1633">
            <v>2</v>
          </cell>
          <cell r="D1633">
            <v>1</v>
          </cell>
          <cell r="E1633" t="str">
            <v>ARIS.A2.Aim1.Bin2.RB</v>
          </cell>
          <cell r="F1633">
            <v>4</v>
          </cell>
          <cell r="G1633" t="str">
            <v>Unweighted</v>
          </cell>
          <cell r="H1633" t="str">
            <v>N</v>
          </cell>
          <cell r="I1633" t="str">
            <v>Y</v>
          </cell>
          <cell r="J1633">
            <v>167</v>
          </cell>
          <cell r="K1633">
            <v>1</v>
          </cell>
          <cell r="L1633">
            <v>0.1507</v>
          </cell>
          <cell r="M1633">
            <v>25.6</v>
          </cell>
          <cell r="N1633">
            <v>6.4</v>
          </cell>
          <cell r="O1633">
            <v>0.84930000000000005</v>
          </cell>
          <cell r="P1633">
            <v>0</v>
          </cell>
          <cell r="Q1633">
            <v>0.20580000000000001</v>
          </cell>
          <cell r="R1633">
            <v>0.64349999999999996</v>
          </cell>
          <cell r="S1633" t="str">
            <v>NA</v>
          </cell>
          <cell r="T1633">
            <v>59</v>
          </cell>
          <cell r="U1633">
            <v>4.8</v>
          </cell>
          <cell r="V1633">
            <v>73.3</v>
          </cell>
          <cell r="W1633">
            <v>7.4</v>
          </cell>
          <cell r="X1633">
            <v>53.9</v>
          </cell>
          <cell r="Y1633">
            <v>7</v>
          </cell>
          <cell r="Z1633" t="str">
            <v>NA</v>
          </cell>
          <cell r="AA1633" t="str">
            <v>NA</v>
          </cell>
        </row>
        <row r="1634">
          <cell r="A1634">
            <v>45174</v>
          </cell>
          <cell r="B1634" t="str">
            <v>A2</v>
          </cell>
          <cell r="C1634">
            <v>3</v>
          </cell>
          <cell r="D1634">
            <v>1</v>
          </cell>
          <cell r="E1634" t="str">
            <v>ARIS.A2.Aim1.Bin3.RB</v>
          </cell>
          <cell r="F1634">
            <v>4</v>
          </cell>
          <cell r="G1634" t="str">
            <v>Unweighted</v>
          </cell>
          <cell r="H1634" t="str">
            <v>N</v>
          </cell>
          <cell r="I1634" t="str">
            <v>Y</v>
          </cell>
          <cell r="J1634">
            <v>169</v>
          </cell>
          <cell r="K1634">
            <v>1</v>
          </cell>
          <cell r="L1634">
            <v>7.6700000000000004E-2</v>
          </cell>
          <cell r="M1634">
            <v>29.2</v>
          </cell>
          <cell r="N1634">
            <v>4.5</v>
          </cell>
          <cell r="O1634">
            <v>0.92330000000000001</v>
          </cell>
          <cell r="P1634">
            <v>0</v>
          </cell>
          <cell r="Q1634">
            <v>0.45369999999999999</v>
          </cell>
          <cell r="R1634">
            <v>0.46960000000000002</v>
          </cell>
          <cell r="S1634" t="str">
            <v>NA</v>
          </cell>
          <cell r="T1634">
            <v>59</v>
          </cell>
          <cell r="U1634">
            <v>4.8</v>
          </cell>
          <cell r="V1634">
            <v>73.3</v>
          </cell>
          <cell r="W1634">
            <v>7.4</v>
          </cell>
          <cell r="X1634">
            <v>53.9</v>
          </cell>
          <cell r="Y1634">
            <v>7</v>
          </cell>
          <cell r="Z1634" t="str">
            <v>NA</v>
          </cell>
          <cell r="AA1634" t="str">
            <v>NA</v>
          </cell>
        </row>
        <row r="1635">
          <cell r="A1635">
            <v>45174</v>
          </cell>
          <cell r="B1635" t="str">
            <v>A2</v>
          </cell>
          <cell r="C1635">
            <v>4</v>
          </cell>
          <cell r="D1635">
            <v>1</v>
          </cell>
          <cell r="E1635" t="str">
            <v>ARIS.A2.Aim1.Bin4.RB</v>
          </cell>
          <cell r="F1635">
            <v>4</v>
          </cell>
          <cell r="G1635" t="str">
            <v>Unweighted</v>
          </cell>
          <cell r="H1635" t="str">
            <v>N</v>
          </cell>
          <cell r="I1635" t="str">
            <v>Y</v>
          </cell>
          <cell r="J1635">
            <v>169</v>
          </cell>
          <cell r="K1635">
            <v>1</v>
          </cell>
          <cell r="L1635">
            <v>7.6700000000000004E-2</v>
          </cell>
          <cell r="M1635">
            <v>29.2</v>
          </cell>
          <cell r="N1635">
            <v>4.5</v>
          </cell>
          <cell r="O1635">
            <v>0.92330000000000001</v>
          </cell>
          <cell r="P1635">
            <v>0</v>
          </cell>
          <cell r="Q1635">
            <v>0.45369999999999999</v>
          </cell>
          <cell r="R1635">
            <v>0.46960000000000002</v>
          </cell>
          <cell r="S1635" t="str">
            <v>NA</v>
          </cell>
          <cell r="T1635">
            <v>59</v>
          </cell>
          <cell r="U1635">
            <v>4.8</v>
          </cell>
          <cell r="V1635">
            <v>73.3</v>
          </cell>
          <cell r="W1635">
            <v>7.4</v>
          </cell>
          <cell r="X1635">
            <v>53.9</v>
          </cell>
          <cell r="Y1635">
            <v>7</v>
          </cell>
          <cell r="Z1635" t="str">
            <v>NA</v>
          </cell>
          <cell r="AA1635" t="str">
            <v>NA</v>
          </cell>
        </row>
        <row r="1636">
          <cell r="A1636">
            <v>45174</v>
          </cell>
          <cell r="B1636" t="str">
            <v>A1</v>
          </cell>
          <cell r="C1636">
            <v>1</v>
          </cell>
          <cell r="D1636">
            <v>1</v>
          </cell>
          <cell r="E1636" t="str">
            <v>ARIS.A1.Aim1.Bin1.LB</v>
          </cell>
          <cell r="F1636">
            <v>4</v>
          </cell>
          <cell r="G1636" t="str">
            <v>SplineDFA</v>
          </cell>
          <cell r="H1636" t="str">
            <v>Y</v>
          </cell>
          <cell r="I1636" t="str">
            <v>N</v>
          </cell>
          <cell r="J1636">
            <v>157</v>
          </cell>
          <cell r="K1636">
            <v>1</v>
          </cell>
          <cell r="L1636">
            <v>0.48180000000000001</v>
          </cell>
          <cell r="M1636">
            <v>23.7</v>
          </cell>
          <cell r="N1636">
            <v>2.7</v>
          </cell>
          <cell r="O1636">
            <v>0.51819999999999999</v>
          </cell>
          <cell r="P1636">
            <v>0.1376</v>
          </cell>
          <cell r="Q1636">
            <v>4.8999999999999998E-3</v>
          </cell>
          <cell r="R1636">
            <v>0.37569999999999998</v>
          </cell>
          <cell r="S1636" t="str">
            <v>NA</v>
          </cell>
          <cell r="T1636">
            <v>59</v>
          </cell>
          <cell r="U1636">
            <v>4.8</v>
          </cell>
          <cell r="V1636">
            <v>73.3</v>
          </cell>
          <cell r="W1636">
            <v>7.4</v>
          </cell>
          <cell r="X1636">
            <v>53.9</v>
          </cell>
          <cell r="Y1636">
            <v>7</v>
          </cell>
          <cell r="Z1636" t="str">
            <v>NA</v>
          </cell>
          <cell r="AA1636" t="str">
            <v>NA</v>
          </cell>
        </row>
        <row r="1637">
          <cell r="A1637">
            <v>45174</v>
          </cell>
          <cell r="B1637" t="str">
            <v>A1</v>
          </cell>
          <cell r="C1637">
            <v>1</v>
          </cell>
          <cell r="D1637">
            <v>2</v>
          </cell>
          <cell r="E1637" t="str">
            <v>ARIS.A1.Aim2.Bin1.LB</v>
          </cell>
          <cell r="F1637">
            <v>4</v>
          </cell>
          <cell r="G1637" t="str">
            <v>SplineDFA</v>
          </cell>
          <cell r="H1637" t="str">
            <v>Y</v>
          </cell>
          <cell r="I1637" t="str">
            <v>N</v>
          </cell>
          <cell r="J1637">
            <v>167</v>
          </cell>
          <cell r="K1637">
            <v>1</v>
          </cell>
          <cell r="L1637">
            <v>0.31090000000000001</v>
          </cell>
          <cell r="M1637">
            <v>23.7</v>
          </cell>
          <cell r="N1637">
            <v>2.7</v>
          </cell>
          <cell r="O1637">
            <v>0.68910000000000005</v>
          </cell>
          <cell r="P1637">
            <v>0.1048</v>
          </cell>
          <cell r="Q1637">
            <v>4.0899999999999999E-2</v>
          </cell>
          <cell r="R1637">
            <v>0.54339999999999999</v>
          </cell>
          <cell r="S1637" t="str">
            <v>NA</v>
          </cell>
          <cell r="T1637">
            <v>59</v>
          </cell>
          <cell r="U1637">
            <v>4.8</v>
          </cell>
          <cell r="V1637">
            <v>73.3</v>
          </cell>
          <cell r="W1637">
            <v>7.4</v>
          </cell>
          <cell r="X1637">
            <v>53.9</v>
          </cell>
          <cell r="Y1637">
            <v>7</v>
          </cell>
          <cell r="Z1637" t="str">
            <v>NA</v>
          </cell>
          <cell r="AA1637" t="str">
            <v>NA</v>
          </cell>
        </row>
        <row r="1638">
          <cell r="A1638">
            <v>45174</v>
          </cell>
          <cell r="B1638" t="str">
            <v>A1</v>
          </cell>
          <cell r="C1638">
            <v>2</v>
          </cell>
          <cell r="D1638">
            <v>3</v>
          </cell>
          <cell r="E1638" t="str">
            <v>ARIS.A1.Aim3.Bin2.LB</v>
          </cell>
          <cell r="F1638">
            <v>4</v>
          </cell>
          <cell r="G1638" t="str">
            <v>SplineDFA</v>
          </cell>
          <cell r="H1638" t="str">
            <v>Y</v>
          </cell>
          <cell r="I1638" t="str">
            <v>N</v>
          </cell>
          <cell r="J1638">
            <v>166</v>
          </cell>
          <cell r="K1638">
            <v>0.99990000000000001</v>
          </cell>
          <cell r="L1638">
            <v>2.5600000000000001E-2</v>
          </cell>
          <cell r="M1638">
            <v>23.7</v>
          </cell>
          <cell r="N1638">
            <v>2.7</v>
          </cell>
          <cell r="O1638">
            <v>0.97430000000000005</v>
          </cell>
          <cell r="P1638">
            <v>0.35249999999999998</v>
          </cell>
          <cell r="Q1638">
            <v>6.4500000000000002E-2</v>
          </cell>
          <cell r="R1638">
            <v>0.55730000000000002</v>
          </cell>
          <cell r="S1638" t="str">
            <v>NA</v>
          </cell>
          <cell r="T1638">
            <v>59</v>
          </cell>
          <cell r="U1638">
            <v>4.8</v>
          </cell>
          <cell r="V1638">
            <v>73.3</v>
          </cell>
          <cell r="W1638">
            <v>7.4</v>
          </cell>
          <cell r="X1638">
            <v>53.9</v>
          </cell>
          <cell r="Y1638">
            <v>7</v>
          </cell>
          <cell r="Z1638" t="str">
            <v>NA</v>
          </cell>
          <cell r="AA1638" t="str">
            <v>NA</v>
          </cell>
        </row>
        <row r="1639">
          <cell r="A1639">
            <v>45174</v>
          </cell>
          <cell r="B1639" t="str">
            <v>A1</v>
          </cell>
          <cell r="C1639">
            <v>3</v>
          </cell>
          <cell r="D1639">
            <v>3</v>
          </cell>
          <cell r="E1639" t="str">
            <v>ARIS.A1.Aim3.Bin3.LB</v>
          </cell>
          <cell r="F1639">
            <v>4</v>
          </cell>
          <cell r="G1639" t="str">
            <v>SplineDFA</v>
          </cell>
          <cell r="H1639" t="str">
            <v>Y</v>
          </cell>
          <cell r="I1639" t="str">
            <v>N</v>
          </cell>
          <cell r="J1639">
            <v>159</v>
          </cell>
          <cell r="K1639">
            <v>1</v>
          </cell>
          <cell r="L1639">
            <v>1.21E-2</v>
          </cell>
          <cell r="M1639">
            <v>23.7</v>
          </cell>
          <cell r="N1639">
            <v>2.7</v>
          </cell>
          <cell r="O1639">
            <v>0.9879</v>
          </cell>
          <cell r="P1639">
            <v>0.41339999999999999</v>
          </cell>
          <cell r="Q1639">
            <v>0.30649999999999999</v>
          </cell>
          <cell r="R1639">
            <v>0.26800000000000002</v>
          </cell>
          <cell r="S1639" t="str">
            <v>NA</v>
          </cell>
          <cell r="T1639">
            <v>59</v>
          </cell>
          <cell r="U1639">
            <v>4.8</v>
          </cell>
          <cell r="V1639">
            <v>73.3</v>
          </cell>
          <cell r="W1639">
            <v>7.4</v>
          </cell>
          <cell r="X1639">
            <v>53.9</v>
          </cell>
          <cell r="Y1639">
            <v>7</v>
          </cell>
          <cell r="Z1639" t="str">
            <v>NA</v>
          </cell>
          <cell r="AA1639" t="str">
            <v>NA</v>
          </cell>
        </row>
        <row r="1640">
          <cell r="A1640">
            <v>45174</v>
          </cell>
          <cell r="B1640" t="str">
            <v>A1</v>
          </cell>
          <cell r="C1640">
            <v>4</v>
          </cell>
          <cell r="D1640">
            <v>3</v>
          </cell>
          <cell r="E1640" t="str">
            <v>ARIS.A1.Aim3.Bin4.LB</v>
          </cell>
          <cell r="F1640">
            <v>4</v>
          </cell>
          <cell r="G1640" t="str">
            <v>SplineDFA</v>
          </cell>
          <cell r="H1640" t="str">
            <v>Y</v>
          </cell>
          <cell r="I1640" t="str">
            <v>N</v>
          </cell>
          <cell r="J1640">
            <v>159</v>
          </cell>
          <cell r="K1640">
            <v>1</v>
          </cell>
          <cell r="L1640">
            <v>1.21E-2</v>
          </cell>
          <cell r="M1640">
            <v>23.7</v>
          </cell>
          <cell r="N1640">
            <v>2.7</v>
          </cell>
          <cell r="O1640">
            <v>0.9879</v>
          </cell>
          <cell r="P1640">
            <v>0.41339999999999999</v>
          </cell>
          <cell r="Q1640">
            <v>0.30649999999999999</v>
          </cell>
          <cell r="R1640">
            <v>0.26800000000000002</v>
          </cell>
          <cell r="S1640" t="str">
            <v>NA</v>
          </cell>
          <cell r="T1640">
            <v>59</v>
          </cell>
          <cell r="U1640">
            <v>4.8</v>
          </cell>
          <cell r="V1640">
            <v>73.3</v>
          </cell>
          <cell r="W1640">
            <v>7.4</v>
          </cell>
          <cell r="X1640">
            <v>53.9</v>
          </cell>
          <cell r="Y1640">
            <v>7</v>
          </cell>
          <cell r="Z1640" t="str">
            <v>NA</v>
          </cell>
          <cell r="AA1640" t="str">
            <v>NA</v>
          </cell>
        </row>
        <row r="1641">
          <cell r="A1641">
            <v>45174</v>
          </cell>
          <cell r="B1641" t="str">
            <v>A2</v>
          </cell>
          <cell r="C1641">
            <v>1</v>
          </cell>
          <cell r="D1641">
            <v>1</v>
          </cell>
          <cell r="E1641" t="str">
            <v>ARIS.A2.Aim1.Bin1.RB</v>
          </cell>
          <cell r="F1641">
            <v>4</v>
          </cell>
          <cell r="G1641" t="str">
            <v>SplineDFA</v>
          </cell>
          <cell r="H1641" t="str">
            <v>Y</v>
          </cell>
          <cell r="I1641" t="str">
            <v>N</v>
          </cell>
          <cell r="J1641">
            <v>167</v>
          </cell>
          <cell r="K1641">
            <v>1</v>
          </cell>
          <cell r="L1641">
            <v>4.6300000000000001E-2</v>
          </cell>
          <cell r="M1641">
            <v>23.7</v>
          </cell>
          <cell r="N1641">
            <v>2.7</v>
          </cell>
          <cell r="O1641">
            <v>0.95369999999999999</v>
          </cell>
          <cell r="P1641">
            <v>0.30990000000000001</v>
          </cell>
          <cell r="Q1641">
            <v>9.3399999999999997E-2</v>
          </cell>
          <cell r="R1641">
            <v>0.5504</v>
          </cell>
          <cell r="S1641" t="str">
            <v>NA</v>
          </cell>
          <cell r="T1641">
            <v>59</v>
          </cell>
          <cell r="U1641">
            <v>4.8</v>
          </cell>
          <cell r="V1641">
            <v>73.3</v>
          </cell>
          <cell r="W1641">
            <v>7.4</v>
          </cell>
          <cell r="X1641">
            <v>53.9</v>
          </cell>
          <cell r="Y1641">
            <v>7</v>
          </cell>
          <cell r="Z1641" t="str">
            <v>NA</v>
          </cell>
          <cell r="AA1641" t="str">
            <v>NA</v>
          </cell>
        </row>
        <row r="1642">
          <cell r="A1642">
            <v>45174</v>
          </cell>
          <cell r="B1642" t="str">
            <v>A2</v>
          </cell>
          <cell r="C1642">
            <v>2</v>
          </cell>
          <cell r="D1642">
            <v>1</v>
          </cell>
          <cell r="E1642" t="str">
            <v>ARIS.A2.Aim1.Bin2.RB</v>
          </cell>
          <cell r="F1642">
            <v>4</v>
          </cell>
          <cell r="G1642" t="str">
            <v>SplineDFA</v>
          </cell>
          <cell r="H1642" t="str">
            <v>Y</v>
          </cell>
          <cell r="I1642" t="str">
            <v>N</v>
          </cell>
          <cell r="J1642">
            <v>167</v>
          </cell>
          <cell r="K1642">
            <v>1.0001</v>
          </cell>
          <cell r="L1642">
            <v>4.2599999999999999E-2</v>
          </cell>
          <cell r="M1642">
            <v>23.7</v>
          </cell>
          <cell r="N1642">
            <v>2.7</v>
          </cell>
          <cell r="O1642">
            <v>0.95750000000000002</v>
          </cell>
          <cell r="P1642">
            <v>0.1971</v>
          </cell>
          <cell r="Q1642">
            <v>0.2079</v>
          </cell>
          <cell r="R1642">
            <v>0.55249999999999999</v>
          </cell>
          <cell r="S1642" t="str">
            <v>NA</v>
          </cell>
          <cell r="T1642">
            <v>59</v>
          </cell>
          <cell r="U1642">
            <v>4.8</v>
          </cell>
          <cell r="V1642">
            <v>73.3</v>
          </cell>
          <cell r="W1642">
            <v>7.4</v>
          </cell>
          <cell r="X1642">
            <v>53.9</v>
          </cell>
          <cell r="Y1642">
            <v>7</v>
          </cell>
          <cell r="Z1642" t="str">
            <v>NA</v>
          </cell>
          <cell r="AA1642" t="str">
            <v>NA</v>
          </cell>
        </row>
        <row r="1643">
          <cell r="A1643">
            <v>45174</v>
          </cell>
          <cell r="B1643" t="str">
            <v>A2</v>
          </cell>
          <cell r="C1643">
            <v>3</v>
          </cell>
          <cell r="D1643">
            <v>1</v>
          </cell>
          <cell r="E1643" t="str">
            <v>ARIS.A2.Aim1.Bin3.RB</v>
          </cell>
          <cell r="F1643">
            <v>4</v>
          </cell>
          <cell r="G1643" t="str">
            <v>SplineDFA</v>
          </cell>
          <cell r="H1643" t="str">
            <v>Y</v>
          </cell>
          <cell r="I1643" t="str">
            <v>N</v>
          </cell>
          <cell r="J1643">
            <v>169</v>
          </cell>
          <cell r="K1643">
            <v>1</v>
          </cell>
          <cell r="L1643">
            <v>5.0599999999999999E-2</v>
          </cell>
          <cell r="M1643">
            <v>23.7</v>
          </cell>
          <cell r="N1643">
            <v>2.7</v>
          </cell>
          <cell r="O1643">
            <v>0.94940000000000002</v>
          </cell>
          <cell r="P1643">
            <v>0.2878</v>
          </cell>
          <cell r="Q1643">
            <v>0.41339999999999999</v>
          </cell>
          <cell r="R1643">
            <v>0.2482</v>
          </cell>
          <cell r="S1643" t="str">
            <v>NA</v>
          </cell>
          <cell r="T1643">
            <v>59</v>
          </cell>
          <cell r="U1643">
            <v>4.8</v>
          </cell>
          <cell r="V1643">
            <v>73.3</v>
          </cell>
          <cell r="W1643">
            <v>7.4</v>
          </cell>
          <cell r="X1643">
            <v>53.9</v>
          </cell>
          <cell r="Y1643">
            <v>7</v>
          </cell>
          <cell r="Z1643" t="str">
            <v>NA</v>
          </cell>
          <cell r="AA1643" t="str">
            <v>NA</v>
          </cell>
        </row>
        <row r="1644">
          <cell r="A1644">
            <v>45174</v>
          </cell>
          <cell r="B1644" t="str">
            <v>A2</v>
          </cell>
          <cell r="C1644">
            <v>4</v>
          </cell>
          <cell r="D1644">
            <v>1</v>
          </cell>
          <cell r="E1644" t="str">
            <v>ARIS.A2.Aim1.Bin4.RB</v>
          </cell>
          <cell r="F1644">
            <v>4</v>
          </cell>
          <cell r="G1644" t="str">
            <v>SplineDFA</v>
          </cell>
          <cell r="H1644" t="str">
            <v>Y</v>
          </cell>
          <cell r="I1644" t="str">
            <v>N</v>
          </cell>
          <cell r="J1644">
            <v>169</v>
          </cell>
          <cell r="K1644">
            <v>1</v>
          </cell>
          <cell r="L1644">
            <v>5.0599999999999999E-2</v>
          </cell>
          <cell r="M1644">
            <v>23.7</v>
          </cell>
          <cell r="N1644">
            <v>2.7</v>
          </cell>
          <cell r="O1644">
            <v>0.94940000000000002</v>
          </cell>
          <cell r="P1644">
            <v>0.2878</v>
          </cell>
          <cell r="Q1644">
            <v>0.41339999999999999</v>
          </cell>
          <cell r="R1644">
            <v>0.2482</v>
          </cell>
          <cell r="S1644" t="str">
            <v>NA</v>
          </cell>
          <cell r="T1644">
            <v>59</v>
          </cell>
          <cell r="U1644">
            <v>4.8</v>
          </cell>
          <cell r="V1644">
            <v>73.3</v>
          </cell>
          <cell r="W1644">
            <v>7.4</v>
          </cell>
          <cell r="X1644">
            <v>53.9</v>
          </cell>
          <cell r="Y1644">
            <v>7</v>
          </cell>
          <cell r="Z1644" t="str">
            <v>NA</v>
          </cell>
          <cell r="AA1644" t="str">
            <v>NA</v>
          </cell>
        </row>
        <row r="1645">
          <cell r="A1645">
            <v>45175</v>
          </cell>
          <cell r="B1645" t="str">
            <v>A1</v>
          </cell>
          <cell r="C1645">
            <v>1</v>
          </cell>
          <cell r="D1645">
            <v>1</v>
          </cell>
          <cell r="E1645" t="str">
            <v>ARIS.A1.Aim1.Bin1.LB</v>
          </cell>
          <cell r="F1645">
            <v>4</v>
          </cell>
          <cell r="G1645" t="str">
            <v>Unweighted</v>
          </cell>
          <cell r="H1645" t="str">
            <v>N</v>
          </cell>
          <cell r="I1645" t="str">
            <v>Y</v>
          </cell>
          <cell r="J1645">
            <v>169</v>
          </cell>
          <cell r="K1645">
            <v>1.0001</v>
          </cell>
          <cell r="L1645">
            <v>0.87129999999999996</v>
          </cell>
          <cell r="M1645">
            <v>23.8</v>
          </cell>
          <cell r="N1645">
            <v>5.3</v>
          </cell>
          <cell r="O1645">
            <v>0.1288</v>
          </cell>
          <cell r="P1645">
            <v>0</v>
          </cell>
          <cell r="Q1645">
            <v>1.49E-2</v>
          </cell>
          <cell r="R1645">
            <v>0.1139</v>
          </cell>
          <cell r="S1645" t="str">
            <v>NA</v>
          </cell>
          <cell r="T1645">
            <v>59.7</v>
          </cell>
          <cell r="U1645">
            <v>4.8</v>
          </cell>
          <cell r="V1645">
            <v>72.900000000000006</v>
          </cell>
          <cell r="W1645">
            <v>7.4</v>
          </cell>
          <cell r="X1645">
            <v>54.2</v>
          </cell>
          <cell r="Y1645">
            <v>7</v>
          </cell>
          <cell r="Z1645" t="str">
            <v>NA</v>
          </cell>
          <cell r="AA1645" t="str">
            <v>NA</v>
          </cell>
        </row>
        <row r="1646">
          <cell r="A1646">
            <v>45175</v>
          </cell>
          <cell r="B1646" t="str">
            <v>A1</v>
          </cell>
          <cell r="C1646">
            <v>1</v>
          </cell>
          <cell r="D1646">
            <v>2</v>
          </cell>
          <cell r="E1646" t="str">
            <v>ARIS.A1.Aim2.Bin1.LB</v>
          </cell>
          <cell r="F1646">
            <v>4</v>
          </cell>
          <cell r="G1646" t="str">
            <v>Unweighted</v>
          </cell>
          <cell r="H1646" t="str">
            <v>N</v>
          </cell>
          <cell r="I1646" t="str">
            <v>Y</v>
          </cell>
          <cell r="J1646">
            <v>161</v>
          </cell>
          <cell r="K1646">
            <v>1.0001</v>
          </cell>
          <cell r="L1646">
            <v>0.34739999999999999</v>
          </cell>
          <cell r="M1646">
            <v>23</v>
          </cell>
          <cell r="N1646">
            <v>7.1</v>
          </cell>
          <cell r="O1646">
            <v>0.65269999999999995</v>
          </cell>
          <cell r="P1646">
            <v>0</v>
          </cell>
          <cell r="Q1646">
            <v>2.5999999999999999E-3</v>
          </cell>
          <cell r="R1646">
            <v>0.65010000000000001</v>
          </cell>
          <cell r="S1646" t="str">
            <v>NA</v>
          </cell>
          <cell r="T1646">
            <v>59.7</v>
          </cell>
          <cell r="U1646">
            <v>4.8</v>
          </cell>
          <cell r="V1646">
            <v>72.900000000000006</v>
          </cell>
          <cell r="W1646">
            <v>7.4</v>
          </cell>
          <cell r="X1646">
            <v>54.2</v>
          </cell>
          <cell r="Y1646">
            <v>7</v>
          </cell>
          <cell r="Z1646" t="str">
            <v>NA</v>
          </cell>
          <cell r="AA1646" t="str">
            <v>NA</v>
          </cell>
        </row>
        <row r="1647">
          <cell r="A1647">
            <v>45175</v>
          </cell>
          <cell r="B1647" t="str">
            <v>A1</v>
          </cell>
          <cell r="C1647">
            <v>1</v>
          </cell>
          <cell r="D1647" t="str">
            <v>1&amp;2</v>
          </cell>
          <cell r="E1647" t="str">
            <v>ARIS.A1.Aim1&amp;Aim2.Bin1.LB</v>
          </cell>
          <cell r="F1647">
            <v>4</v>
          </cell>
          <cell r="G1647" t="str">
            <v>Unweighted</v>
          </cell>
          <cell r="H1647" t="str">
            <v>N</v>
          </cell>
          <cell r="I1647" t="str">
            <v>Y</v>
          </cell>
          <cell r="J1647">
            <v>330</v>
          </cell>
          <cell r="K1647">
            <v>0.99990000000000001</v>
          </cell>
          <cell r="L1647">
            <v>0.65290000000000004</v>
          </cell>
          <cell r="M1647">
            <v>23.7</v>
          </cell>
          <cell r="N1647">
            <v>6</v>
          </cell>
          <cell r="O1647">
            <v>0.34699999999999998</v>
          </cell>
          <cell r="P1647">
            <v>0</v>
          </cell>
          <cell r="Q1647">
            <v>4.0000000000000001E-3</v>
          </cell>
          <cell r="R1647">
            <v>0.34300000000000003</v>
          </cell>
          <cell r="S1647" t="str">
            <v>NA</v>
          </cell>
          <cell r="T1647">
            <v>59.7</v>
          </cell>
          <cell r="U1647">
            <v>4.8</v>
          </cell>
          <cell r="V1647">
            <v>72.900000000000006</v>
          </cell>
          <cell r="W1647">
            <v>7.4</v>
          </cell>
          <cell r="X1647">
            <v>54.2</v>
          </cell>
          <cell r="Y1647">
            <v>7</v>
          </cell>
          <cell r="Z1647" t="str">
            <v>NA</v>
          </cell>
          <cell r="AA1647" t="str">
            <v>NA</v>
          </cell>
        </row>
        <row r="1648">
          <cell r="A1648">
            <v>45175</v>
          </cell>
          <cell r="B1648" t="str">
            <v>A1</v>
          </cell>
          <cell r="C1648">
            <v>2</v>
          </cell>
          <cell r="D1648">
            <v>3</v>
          </cell>
          <cell r="E1648" t="str">
            <v>ARIS.A1.Aim3.Bin2.LB</v>
          </cell>
          <cell r="F1648">
            <v>4</v>
          </cell>
          <cell r="G1648" t="str">
            <v>Unweighted</v>
          </cell>
          <cell r="H1648" t="str">
            <v>N</v>
          </cell>
          <cell r="I1648" t="str">
            <v>Y</v>
          </cell>
          <cell r="J1648">
            <v>166</v>
          </cell>
          <cell r="K1648">
            <v>1.0001</v>
          </cell>
          <cell r="L1648">
            <v>6.0699999999999997E-2</v>
          </cell>
          <cell r="M1648">
            <v>30.9</v>
          </cell>
          <cell r="N1648">
            <v>7</v>
          </cell>
          <cell r="O1648">
            <v>0.93940000000000001</v>
          </cell>
          <cell r="P1648">
            <v>0.1258</v>
          </cell>
          <cell r="Q1648">
            <v>9.0999999999999998E-2</v>
          </cell>
          <cell r="R1648">
            <v>0.72260000000000002</v>
          </cell>
          <cell r="S1648" t="str">
            <v>NA</v>
          </cell>
          <cell r="T1648">
            <v>59.7</v>
          </cell>
          <cell r="U1648">
            <v>4.8</v>
          </cell>
          <cell r="V1648">
            <v>72.900000000000006</v>
          </cell>
          <cell r="W1648">
            <v>7.4</v>
          </cell>
          <cell r="X1648">
            <v>54.2</v>
          </cell>
          <cell r="Y1648">
            <v>7</v>
          </cell>
          <cell r="Z1648" t="str">
            <v>NA</v>
          </cell>
          <cell r="AA1648" t="str">
            <v>NA</v>
          </cell>
        </row>
        <row r="1649">
          <cell r="A1649">
            <v>45175</v>
          </cell>
          <cell r="B1649" t="str">
            <v>A1</v>
          </cell>
          <cell r="C1649">
            <v>3</v>
          </cell>
          <cell r="D1649">
            <v>3</v>
          </cell>
          <cell r="E1649" t="str">
            <v>ARIS.A1.Aim3.Bin3.LB</v>
          </cell>
          <cell r="F1649">
            <v>4</v>
          </cell>
          <cell r="G1649" t="str">
            <v>Unweighted</v>
          </cell>
          <cell r="H1649" t="str">
            <v>N</v>
          </cell>
          <cell r="I1649" t="str">
            <v>Y</v>
          </cell>
          <cell r="J1649">
            <v>177</v>
          </cell>
          <cell r="K1649">
            <v>1</v>
          </cell>
          <cell r="L1649">
            <v>2.52E-2</v>
          </cell>
          <cell r="M1649">
            <v>28.6</v>
          </cell>
          <cell r="N1649">
            <v>5.2</v>
          </cell>
          <cell r="O1649">
            <v>0.9748</v>
          </cell>
          <cell r="P1649">
            <v>5.6399999999999999E-2</v>
          </cell>
          <cell r="Q1649">
            <v>0.42920000000000003</v>
          </cell>
          <cell r="R1649">
            <v>0.48920000000000002</v>
          </cell>
          <cell r="S1649" t="str">
            <v>NA</v>
          </cell>
          <cell r="T1649">
            <v>59.7</v>
          </cell>
          <cell r="U1649">
            <v>4.8</v>
          </cell>
          <cell r="V1649">
            <v>72.900000000000006</v>
          </cell>
          <cell r="W1649">
            <v>7.4</v>
          </cell>
          <cell r="X1649">
            <v>54.2</v>
          </cell>
          <cell r="Y1649">
            <v>7</v>
          </cell>
          <cell r="Z1649" t="str">
            <v>NA</v>
          </cell>
          <cell r="AA1649" t="str">
            <v>NA</v>
          </cell>
        </row>
        <row r="1650">
          <cell r="A1650">
            <v>45175</v>
          </cell>
          <cell r="B1650" t="str">
            <v>A1</v>
          </cell>
          <cell r="C1650">
            <v>4</v>
          </cell>
          <cell r="D1650">
            <v>3</v>
          </cell>
          <cell r="E1650" t="str">
            <v>ARIS.A1.Aim3.Bin4.LB</v>
          </cell>
          <cell r="F1650">
            <v>4</v>
          </cell>
          <cell r="G1650" t="str">
            <v>Unweighted</v>
          </cell>
          <cell r="H1650" t="str">
            <v>N</v>
          </cell>
          <cell r="I1650" t="str">
            <v>Y</v>
          </cell>
          <cell r="J1650">
            <v>177</v>
          </cell>
          <cell r="K1650">
            <v>1</v>
          </cell>
          <cell r="L1650">
            <v>2.52E-2</v>
          </cell>
          <cell r="M1650">
            <v>28.6</v>
          </cell>
          <cell r="N1650">
            <v>5.2</v>
          </cell>
          <cell r="O1650">
            <v>0.9748</v>
          </cell>
          <cell r="P1650">
            <v>5.6399999999999999E-2</v>
          </cell>
          <cell r="Q1650">
            <v>0.42920000000000003</v>
          </cell>
          <cell r="R1650">
            <v>0.48920000000000002</v>
          </cell>
          <cell r="S1650" t="str">
            <v>NA</v>
          </cell>
          <cell r="T1650">
            <v>59.7</v>
          </cell>
          <cell r="U1650">
            <v>4.8</v>
          </cell>
          <cell r="V1650">
            <v>72.900000000000006</v>
          </cell>
          <cell r="W1650">
            <v>7.4</v>
          </cell>
          <cell r="X1650">
            <v>54.2</v>
          </cell>
          <cell r="Y1650">
            <v>7</v>
          </cell>
          <cell r="Z1650" t="str">
            <v>NA</v>
          </cell>
          <cell r="AA1650" t="str">
            <v>NA</v>
          </cell>
        </row>
        <row r="1651">
          <cell r="A1651">
            <v>45175</v>
          </cell>
          <cell r="B1651" t="str">
            <v>A2</v>
          </cell>
          <cell r="C1651">
            <v>1</v>
          </cell>
          <cell r="D1651">
            <v>1</v>
          </cell>
          <cell r="E1651" t="str">
            <v>ARIS.A2.Aim1.Bin1.RB</v>
          </cell>
          <cell r="F1651">
            <v>4</v>
          </cell>
          <cell r="G1651" t="str">
            <v>Unweighted</v>
          </cell>
          <cell r="H1651" t="str">
            <v>N</v>
          </cell>
          <cell r="I1651" t="str">
            <v>Y</v>
          </cell>
          <cell r="J1651">
            <v>167</v>
          </cell>
          <cell r="K1651">
            <v>1</v>
          </cell>
          <cell r="L1651">
            <v>0.12989999999999999</v>
          </cell>
          <cell r="M1651">
            <v>24.7</v>
          </cell>
          <cell r="N1651">
            <v>7.3</v>
          </cell>
          <cell r="O1651">
            <v>0.87009999999999998</v>
          </cell>
          <cell r="P1651">
            <v>0</v>
          </cell>
          <cell r="Q1651">
            <v>2.98E-2</v>
          </cell>
          <cell r="R1651">
            <v>0.84030000000000005</v>
          </cell>
          <cell r="S1651" t="str">
            <v>NA</v>
          </cell>
          <cell r="T1651">
            <v>59</v>
          </cell>
          <cell r="U1651">
            <v>4.8</v>
          </cell>
          <cell r="V1651">
            <v>73.3</v>
          </cell>
          <cell r="W1651">
            <v>7.4</v>
          </cell>
          <cell r="X1651">
            <v>53.9</v>
          </cell>
          <cell r="Y1651">
            <v>7</v>
          </cell>
          <cell r="Z1651" t="str">
            <v>NA</v>
          </cell>
          <cell r="AA1651" t="str">
            <v>NA</v>
          </cell>
        </row>
        <row r="1652">
          <cell r="A1652">
            <v>45175</v>
          </cell>
          <cell r="B1652" t="str">
            <v>A2</v>
          </cell>
          <cell r="C1652">
            <v>2</v>
          </cell>
          <cell r="D1652">
            <v>1</v>
          </cell>
          <cell r="E1652" t="str">
            <v>ARIS.A2.Aim1.Bin2.RB</v>
          </cell>
          <cell r="F1652">
            <v>4</v>
          </cell>
          <cell r="G1652" t="str">
            <v>Unweighted</v>
          </cell>
          <cell r="H1652" t="str">
            <v>N</v>
          </cell>
          <cell r="I1652" t="str">
            <v>Y</v>
          </cell>
          <cell r="J1652">
            <v>167</v>
          </cell>
          <cell r="K1652">
            <v>1</v>
          </cell>
          <cell r="L1652">
            <v>0.1507</v>
          </cell>
          <cell r="M1652">
            <v>25.6</v>
          </cell>
          <cell r="N1652">
            <v>6.4</v>
          </cell>
          <cell r="O1652">
            <v>0.84930000000000005</v>
          </cell>
          <cell r="P1652">
            <v>0</v>
          </cell>
          <cell r="Q1652">
            <v>0.20580000000000001</v>
          </cell>
          <cell r="R1652">
            <v>0.64349999999999996</v>
          </cell>
          <cell r="S1652" t="str">
            <v>NA</v>
          </cell>
          <cell r="T1652">
            <v>59</v>
          </cell>
          <cell r="U1652">
            <v>4.8</v>
          </cell>
          <cell r="V1652">
            <v>73.3</v>
          </cell>
          <cell r="W1652">
            <v>7.4</v>
          </cell>
          <cell r="X1652">
            <v>53.9</v>
          </cell>
          <cell r="Y1652">
            <v>7</v>
          </cell>
          <cell r="Z1652" t="str">
            <v>NA</v>
          </cell>
          <cell r="AA1652" t="str">
            <v>NA</v>
          </cell>
        </row>
        <row r="1653">
          <cell r="A1653">
            <v>45175</v>
          </cell>
          <cell r="B1653" t="str">
            <v>A2</v>
          </cell>
          <cell r="C1653">
            <v>3</v>
          </cell>
          <cell r="D1653">
            <v>1</v>
          </cell>
          <cell r="E1653" t="str">
            <v>ARIS.A2.Aim1.Bin3.RB</v>
          </cell>
          <cell r="F1653">
            <v>4</v>
          </cell>
          <cell r="G1653" t="str">
            <v>Unweighted</v>
          </cell>
          <cell r="H1653" t="str">
            <v>N</v>
          </cell>
          <cell r="I1653" t="str">
            <v>Y</v>
          </cell>
          <cell r="J1653">
            <v>169</v>
          </cell>
          <cell r="K1653">
            <v>1</v>
          </cell>
          <cell r="L1653">
            <v>7.6700000000000004E-2</v>
          </cell>
          <cell r="M1653">
            <v>29.2</v>
          </cell>
          <cell r="N1653">
            <v>4.5</v>
          </cell>
          <cell r="O1653">
            <v>0.92330000000000001</v>
          </cell>
          <cell r="P1653">
            <v>0</v>
          </cell>
          <cell r="Q1653">
            <v>0.45369999999999999</v>
          </cell>
          <cell r="R1653">
            <v>0.46960000000000002</v>
          </cell>
          <cell r="S1653" t="str">
            <v>NA</v>
          </cell>
          <cell r="T1653">
            <v>59</v>
          </cell>
          <cell r="U1653">
            <v>4.8</v>
          </cell>
          <cell r="V1653">
            <v>73.3</v>
          </cell>
          <cell r="W1653">
            <v>7.4</v>
          </cell>
          <cell r="X1653">
            <v>53.9</v>
          </cell>
          <cell r="Y1653">
            <v>7</v>
          </cell>
          <cell r="Z1653" t="str">
            <v>NA</v>
          </cell>
          <cell r="AA1653" t="str">
            <v>NA</v>
          </cell>
        </row>
        <row r="1654">
          <cell r="A1654">
            <v>45175</v>
          </cell>
          <cell r="B1654" t="str">
            <v>A2</v>
          </cell>
          <cell r="C1654">
            <v>4</v>
          </cell>
          <cell r="D1654">
            <v>1</v>
          </cell>
          <cell r="E1654" t="str">
            <v>ARIS.A2.Aim1.Bin4.RB</v>
          </cell>
          <cell r="F1654">
            <v>4</v>
          </cell>
          <cell r="G1654" t="str">
            <v>Unweighted</v>
          </cell>
          <cell r="H1654" t="str">
            <v>N</v>
          </cell>
          <cell r="I1654" t="str">
            <v>Y</v>
          </cell>
          <cell r="J1654">
            <v>169</v>
          </cell>
          <cell r="K1654">
            <v>1</v>
          </cell>
          <cell r="L1654">
            <v>7.6700000000000004E-2</v>
          </cell>
          <cell r="M1654">
            <v>29.2</v>
          </cell>
          <cell r="N1654">
            <v>4.5</v>
          </cell>
          <cell r="O1654">
            <v>0.92330000000000001</v>
          </cell>
          <cell r="P1654">
            <v>0</v>
          </cell>
          <cell r="Q1654">
            <v>0.45369999999999999</v>
          </cell>
          <cell r="R1654">
            <v>0.46960000000000002</v>
          </cell>
          <cell r="S1654" t="str">
            <v>NA</v>
          </cell>
          <cell r="T1654">
            <v>59</v>
          </cell>
          <cell r="U1654">
            <v>4.8</v>
          </cell>
          <cell r="V1654">
            <v>73.3</v>
          </cell>
          <cell r="W1654">
            <v>7.4</v>
          </cell>
          <cell r="X1654">
            <v>53.9</v>
          </cell>
          <cell r="Y1654">
            <v>7</v>
          </cell>
          <cell r="Z1654" t="str">
            <v>NA</v>
          </cell>
          <cell r="AA1654" t="str">
            <v>NA</v>
          </cell>
        </row>
        <row r="1655">
          <cell r="A1655">
            <v>45175</v>
          </cell>
          <cell r="B1655" t="str">
            <v>A1</v>
          </cell>
          <cell r="C1655">
            <v>1</v>
          </cell>
          <cell r="D1655">
            <v>1</v>
          </cell>
          <cell r="E1655" t="str">
            <v>ARIS.A1.Aim1.Bin1.LB</v>
          </cell>
          <cell r="F1655">
            <v>4</v>
          </cell>
          <cell r="G1655" t="str">
            <v>SplineDFA</v>
          </cell>
          <cell r="H1655" t="str">
            <v>Y</v>
          </cell>
          <cell r="I1655" t="str">
            <v>N</v>
          </cell>
          <cell r="J1655">
            <v>169</v>
          </cell>
          <cell r="K1655">
            <v>1</v>
          </cell>
          <cell r="L1655">
            <v>0.75690000000000002</v>
          </cell>
          <cell r="M1655">
            <v>23.7</v>
          </cell>
          <cell r="N1655">
            <v>2.7</v>
          </cell>
          <cell r="O1655">
            <v>0.24310000000000001</v>
          </cell>
          <cell r="P1655">
            <v>2.3E-3</v>
          </cell>
          <cell r="Q1655">
            <v>2.8999999999999998E-3</v>
          </cell>
          <cell r="R1655">
            <v>0.2379</v>
          </cell>
          <cell r="S1655" t="str">
            <v>NA</v>
          </cell>
          <cell r="T1655">
            <v>59.7</v>
          </cell>
          <cell r="U1655">
            <v>4.8</v>
          </cell>
          <cell r="V1655">
            <v>72.900000000000006</v>
          </cell>
          <cell r="W1655">
            <v>7.4</v>
          </cell>
          <cell r="X1655">
            <v>54.2</v>
          </cell>
          <cell r="Y1655">
            <v>7</v>
          </cell>
          <cell r="Z1655" t="str">
            <v>NA</v>
          </cell>
          <cell r="AA1655" t="str">
            <v>NA</v>
          </cell>
        </row>
        <row r="1656">
          <cell r="A1656">
            <v>45175</v>
          </cell>
          <cell r="B1656" t="str">
            <v>A1</v>
          </cell>
          <cell r="C1656">
            <v>1</v>
          </cell>
          <cell r="D1656">
            <v>2</v>
          </cell>
          <cell r="E1656" t="str">
            <v>ARIS.A1.Aim2.Bin1.LB</v>
          </cell>
          <cell r="F1656">
            <v>4</v>
          </cell>
          <cell r="G1656" t="str">
            <v>SplineDFA</v>
          </cell>
          <cell r="H1656" t="str">
            <v>Y</v>
          </cell>
          <cell r="I1656" t="str">
            <v>N</v>
          </cell>
          <cell r="J1656">
            <v>161</v>
          </cell>
          <cell r="K1656">
            <v>1</v>
          </cell>
          <cell r="L1656">
            <v>0.11700000000000001</v>
          </cell>
          <cell r="M1656">
            <v>23.7</v>
          </cell>
          <cell r="N1656">
            <v>2.7</v>
          </cell>
          <cell r="O1656">
            <v>0.88300000000000001</v>
          </cell>
          <cell r="P1656">
            <v>0.27650000000000002</v>
          </cell>
          <cell r="Q1656">
            <v>8.8999999999999999E-3</v>
          </cell>
          <cell r="R1656">
            <v>0.59760000000000002</v>
          </cell>
          <cell r="S1656" t="str">
            <v>NA</v>
          </cell>
          <cell r="T1656">
            <v>59.7</v>
          </cell>
          <cell r="U1656">
            <v>4.8</v>
          </cell>
          <cell r="V1656">
            <v>72.900000000000006</v>
          </cell>
          <cell r="W1656">
            <v>7.4</v>
          </cell>
          <cell r="X1656">
            <v>54.2</v>
          </cell>
          <cell r="Y1656">
            <v>7</v>
          </cell>
          <cell r="Z1656" t="str">
            <v>NA</v>
          </cell>
          <cell r="AA1656" t="str">
            <v>NA</v>
          </cell>
        </row>
        <row r="1657">
          <cell r="A1657">
            <v>45175</v>
          </cell>
          <cell r="B1657" t="str">
            <v>A1</v>
          </cell>
          <cell r="C1657">
            <v>2</v>
          </cell>
          <cell r="D1657">
            <v>3</v>
          </cell>
          <cell r="E1657" t="str">
            <v>ARIS.A1.Aim3.Bin2.LB</v>
          </cell>
          <cell r="F1657">
            <v>4</v>
          </cell>
          <cell r="G1657" t="str">
            <v>SplineDFA</v>
          </cell>
          <cell r="H1657" t="str">
            <v>Y</v>
          </cell>
          <cell r="I1657" t="str">
            <v>N</v>
          </cell>
          <cell r="J1657">
            <v>166</v>
          </cell>
          <cell r="K1657">
            <v>1</v>
          </cell>
          <cell r="L1657">
            <v>6.1000000000000004E-3</v>
          </cell>
          <cell r="M1657">
            <v>23.7</v>
          </cell>
          <cell r="N1657">
            <v>2.7</v>
          </cell>
          <cell r="O1657">
            <v>0.99390000000000001</v>
          </cell>
          <cell r="P1657">
            <v>0.3417</v>
          </cell>
          <cell r="Q1657">
            <v>0.14899999999999999</v>
          </cell>
          <cell r="R1657">
            <v>0.50319999999999998</v>
          </cell>
          <cell r="S1657" t="str">
            <v>NA</v>
          </cell>
          <cell r="T1657">
            <v>59.7</v>
          </cell>
          <cell r="U1657">
            <v>4.8</v>
          </cell>
          <cell r="V1657">
            <v>72.900000000000006</v>
          </cell>
          <cell r="W1657">
            <v>7.4</v>
          </cell>
          <cell r="X1657">
            <v>54.2</v>
          </cell>
          <cell r="Y1657">
            <v>7</v>
          </cell>
          <cell r="Z1657" t="str">
            <v>NA</v>
          </cell>
          <cell r="AA1657" t="str">
            <v>NA</v>
          </cell>
        </row>
        <row r="1658">
          <cell r="A1658">
            <v>45175</v>
          </cell>
          <cell r="B1658" t="str">
            <v>A1</v>
          </cell>
          <cell r="C1658">
            <v>3</v>
          </cell>
          <cell r="D1658">
            <v>3</v>
          </cell>
          <cell r="E1658" t="str">
            <v>ARIS.A1.Aim3.Bin3.LB</v>
          </cell>
          <cell r="F1658">
            <v>4</v>
          </cell>
          <cell r="G1658" t="str">
            <v>SplineDFA</v>
          </cell>
          <cell r="H1658" t="str">
            <v>Y</v>
          </cell>
          <cell r="I1658" t="str">
            <v>N</v>
          </cell>
          <cell r="J1658">
            <v>177</v>
          </cell>
          <cell r="K1658">
            <v>1</v>
          </cell>
          <cell r="L1658">
            <v>8.3000000000000001E-3</v>
          </cell>
          <cell r="M1658">
            <v>23.7</v>
          </cell>
          <cell r="N1658">
            <v>2.7</v>
          </cell>
          <cell r="O1658">
            <v>0.99170000000000003</v>
          </cell>
          <cell r="P1658">
            <v>0.28599999999999998</v>
          </cell>
          <cell r="Q1658">
            <v>0.38129999999999997</v>
          </cell>
          <cell r="R1658">
            <v>0.32440000000000002</v>
          </cell>
          <cell r="S1658" t="str">
            <v>NA</v>
          </cell>
          <cell r="T1658">
            <v>59.7</v>
          </cell>
          <cell r="U1658">
            <v>4.8</v>
          </cell>
          <cell r="V1658">
            <v>72.900000000000006</v>
          </cell>
          <cell r="W1658">
            <v>7.4</v>
          </cell>
          <cell r="X1658">
            <v>54.2</v>
          </cell>
          <cell r="Y1658">
            <v>7</v>
          </cell>
          <cell r="Z1658" t="str">
            <v>NA</v>
          </cell>
          <cell r="AA1658" t="str">
            <v>NA</v>
          </cell>
        </row>
        <row r="1659">
          <cell r="A1659">
            <v>45175</v>
          </cell>
          <cell r="B1659" t="str">
            <v>A1</v>
          </cell>
          <cell r="C1659">
            <v>4</v>
          </cell>
          <cell r="D1659">
            <v>3</v>
          </cell>
          <cell r="E1659" t="str">
            <v>ARIS.A1.Aim3.Bin4.LB</v>
          </cell>
          <cell r="F1659">
            <v>4</v>
          </cell>
          <cell r="G1659" t="str">
            <v>SplineDFA</v>
          </cell>
          <cell r="H1659" t="str">
            <v>Y</v>
          </cell>
          <cell r="I1659" t="str">
            <v>N</v>
          </cell>
          <cell r="J1659">
            <v>177</v>
          </cell>
          <cell r="K1659">
            <v>1</v>
          </cell>
          <cell r="L1659">
            <v>8.3000000000000001E-3</v>
          </cell>
          <cell r="M1659">
            <v>23.7</v>
          </cell>
          <cell r="N1659">
            <v>2.7</v>
          </cell>
          <cell r="O1659">
            <v>0.99170000000000003</v>
          </cell>
          <cell r="P1659">
            <v>0.28599999999999998</v>
          </cell>
          <cell r="Q1659">
            <v>0.38129999999999997</v>
          </cell>
          <cell r="R1659">
            <v>0.32440000000000002</v>
          </cell>
          <cell r="S1659" t="str">
            <v>NA</v>
          </cell>
          <cell r="T1659">
            <v>59.7</v>
          </cell>
          <cell r="U1659">
            <v>4.8</v>
          </cell>
          <cell r="V1659">
            <v>72.900000000000006</v>
          </cell>
          <cell r="W1659">
            <v>7.4</v>
          </cell>
          <cell r="X1659">
            <v>54.2</v>
          </cell>
          <cell r="Y1659">
            <v>7</v>
          </cell>
          <cell r="Z1659" t="str">
            <v>NA</v>
          </cell>
          <cell r="AA1659" t="str">
            <v>NA</v>
          </cell>
        </row>
        <row r="1660">
          <cell r="A1660">
            <v>45175</v>
          </cell>
          <cell r="B1660" t="str">
            <v>A2</v>
          </cell>
          <cell r="C1660">
            <v>1</v>
          </cell>
          <cell r="D1660">
            <v>1</v>
          </cell>
          <cell r="E1660" t="str">
            <v>ARIS.A2.Aim1.Bin1.RB</v>
          </cell>
          <cell r="F1660">
            <v>4</v>
          </cell>
          <cell r="G1660" t="str">
            <v>SplineDFA</v>
          </cell>
          <cell r="H1660" t="str">
            <v>Y</v>
          </cell>
          <cell r="I1660" t="str">
            <v>N</v>
          </cell>
          <cell r="J1660">
            <v>167</v>
          </cell>
          <cell r="K1660">
            <v>1</v>
          </cell>
          <cell r="L1660">
            <v>4.6300000000000001E-2</v>
          </cell>
          <cell r="M1660">
            <v>23.7</v>
          </cell>
          <cell r="N1660">
            <v>2.7</v>
          </cell>
          <cell r="O1660">
            <v>0.95369999999999999</v>
          </cell>
          <cell r="P1660">
            <v>0.30990000000000001</v>
          </cell>
          <cell r="Q1660">
            <v>9.3399999999999997E-2</v>
          </cell>
          <cell r="R1660">
            <v>0.5504</v>
          </cell>
          <cell r="S1660" t="str">
            <v>NA</v>
          </cell>
          <cell r="T1660">
            <v>59</v>
          </cell>
          <cell r="U1660">
            <v>4.8</v>
          </cell>
          <cell r="V1660">
            <v>73.3</v>
          </cell>
          <cell r="W1660">
            <v>7.4</v>
          </cell>
          <cell r="X1660">
            <v>53.9</v>
          </cell>
          <cell r="Y1660">
            <v>7</v>
          </cell>
          <cell r="Z1660" t="str">
            <v>NA</v>
          </cell>
          <cell r="AA1660" t="str">
            <v>NA</v>
          </cell>
        </row>
        <row r="1661">
          <cell r="A1661">
            <v>45175</v>
          </cell>
          <cell r="B1661" t="str">
            <v>A2</v>
          </cell>
          <cell r="C1661">
            <v>2</v>
          </cell>
          <cell r="D1661">
            <v>1</v>
          </cell>
          <cell r="E1661" t="str">
            <v>ARIS.A2.Aim1.Bin2.RB</v>
          </cell>
          <cell r="F1661">
            <v>4</v>
          </cell>
          <cell r="G1661" t="str">
            <v>SplineDFA</v>
          </cell>
          <cell r="H1661" t="str">
            <v>Y</v>
          </cell>
          <cell r="I1661" t="str">
            <v>N</v>
          </cell>
          <cell r="J1661">
            <v>167</v>
          </cell>
          <cell r="K1661">
            <v>1.0001</v>
          </cell>
          <cell r="L1661">
            <v>4.2599999999999999E-2</v>
          </cell>
          <cell r="M1661">
            <v>23.7</v>
          </cell>
          <cell r="N1661">
            <v>2.7</v>
          </cell>
          <cell r="O1661">
            <v>0.95750000000000002</v>
          </cell>
          <cell r="P1661">
            <v>0.1971</v>
          </cell>
          <cell r="Q1661">
            <v>0.2079</v>
          </cell>
          <cell r="R1661">
            <v>0.55249999999999999</v>
          </cell>
          <cell r="S1661" t="str">
            <v>NA</v>
          </cell>
          <cell r="T1661">
            <v>59</v>
          </cell>
          <cell r="U1661">
            <v>4.8</v>
          </cell>
          <cell r="V1661">
            <v>73.3</v>
          </cell>
          <cell r="W1661">
            <v>7.4</v>
          </cell>
          <cell r="X1661">
            <v>53.9</v>
          </cell>
          <cell r="Y1661">
            <v>7</v>
          </cell>
          <cell r="Z1661" t="str">
            <v>NA</v>
          </cell>
          <cell r="AA1661" t="str">
            <v>NA</v>
          </cell>
        </row>
        <row r="1662">
          <cell r="A1662">
            <v>45175</v>
          </cell>
          <cell r="B1662" t="str">
            <v>A2</v>
          </cell>
          <cell r="C1662">
            <v>3</v>
          </cell>
          <cell r="D1662">
            <v>1</v>
          </cell>
          <cell r="E1662" t="str">
            <v>ARIS.A2.Aim1.Bin3.RB</v>
          </cell>
          <cell r="F1662">
            <v>4</v>
          </cell>
          <cell r="G1662" t="str">
            <v>SplineDFA</v>
          </cell>
          <cell r="H1662" t="str">
            <v>Y</v>
          </cell>
          <cell r="I1662" t="str">
            <v>N</v>
          </cell>
          <cell r="J1662">
            <v>169</v>
          </cell>
          <cell r="K1662">
            <v>1</v>
          </cell>
          <cell r="L1662">
            <v>5.0599999999999999E-2</v>
          </cell>
          <cell r="M1662">
            <v>23.7</v>
          </cell>
          <cell r="N1662">
            <v>2.7</v>
          </cell>
          <cell r="O1662">
            <v>0.94940000000000002</v>
          </cell>
          <cell r="P1662">
            <v>0.2878</v>
          </cell>
          <cell r="Q1662">
            <v>0.41339999999999999</v>
          </cell>
          <cell r="R1662">
            <v>0.2482</v>
          </cell>
          <cell r="S1662" t="str">
            <v>NA</v>
          </cell>
          <cell r="T1662">
            <v>59</v>
          </cell>
          <cell r="U1662">
            <v>4.8</v>
          </cell>
          <cell r="V1662">
            <v>73.3</v>
          </cell>
          <cell r="W1662">
            <v>7.4</v>
          </cell>
          <cell r="X1662">
            <v>53.9</v>
          </cell>
          <cell r="Y1662">
            <v>7</v>
          </cell>
          <cell r="Z1662" t="str">
            <v>NA</v>
          </cell>
          <cell r="AA1662" t="str">
            <v>NA</v>
          </cell>
        </row>
        <row r="1663">
          <cell r="A1663">
            <v>45175</v>
          </cell>
          <cell r="B1663" t="str">
            <v>A2</v>
          </cell>
          <cell r="C1663">
            <v>4</v>
          </cell>
          <cell r="D1663">
            <v>1</v>
          </cell>
          <cell r="E1663" t="str">
            <v>ARIS.A2.Aim1.Bin4.RB</v>
          </cell>
          <cell r="F1663">
            <v>4</v>
          </cell>
          <cell r="G1663" t="str">
            <v>SplineDFA</v>
          </cell>
          <cell r="H1663" t="str">
            <v>Y</v>
          </cell>
          <cell r="I1663" t="str">
            <v>N</v>
          </cell>
          <cell r="J1663">
            <v>169</v>
          </cell>
          <cell r="K1663">
            <v>1</v>
          </cell>
          <cell r="L1663">
            <v>5.0599999999999999E-2</v>
          </cell>
          <cell r="M1663">
            <v>23.7</v>
          </cell>
          <cell r="N1663">
            <v>2.7</v>
          </cell>
          <cell r="O1663">
            <v>0.94940000000000002</v>
          </cell>
          <cell r="P1663">
            <v>0.2878</v>
          </cell>
          <cell r="Q1663">
            <v>0.41339999999999999</v>
          </cell>
          <cell r="R1663">
            <v>0.2482</v>
          </cell>
          <cell r="S1663" t="str">
            <v>NA</v>
          </cell>
          <cell r="T1663">
            <v>59</v>
          </cell>
          <cell r="U1663">
            <v>4.8</v>
          </cell>
          <cell r="V1663">
            <v>73.3</v>
          </cell>
          <cell r="W1663">
            <v>7.4</v>
          </cell>
          <cell r="X1663">
            <v>53.9</v>
          </cell>
          <cell r="Y1663">
            <v>7</v>
          </cell>
          <cell r="Z1663" t="str">
            <v>NA</v>
          </cell>
          <cell r="AA1663" t="str">
            <v>NA</v>
          </cell>
        </row>
        <row r="1664">
          <cell r="A1664">
            <v>45176</v>
          </cell>
          <cell r="B1664" t="str">
            <v>A1</v>
          </cell>
          <cell r="C1664">
            <v>1</v>
          </cell>
          <cell r="D1664">
            <v>1</v>
          </cell>
          <cell r="E1664" t="str">
            <v>ARIS.A1.Aim1.Bin1.LB</v>
          </cell>
          <cell r="F1664">
            <v>4</v>
          </cell>
          <cell r="G1664" t="str">
            <v>Unweighted</v>
          </cell>
          <cell r="H1664" t="str">
            <v>N</v>
          </cell>
          <cell r="I1664" t="str">
            <v>Y</v>
          </cell>
          <cell r="J1664">
            <v>184</v>
          </cell>
          <cell r="K1664">
            <v>1</v>
          </cell>
          <cell r="L1664">
            <v>0.73529999999999995</v>
          </cell>
          <cell r="M1664">
            <v>22.8</v>
          </cell>
          <cell r="N1664">
            <v>6.2</v>
          </cell>
          <cell r="O1664">
            <v>0.26469999999999999</v>
          </cell>
          <cell r="P1664">
            <v>0</v>
          </cell>
          <cell r="Q1664">
            <v>1.5E-3</v>
          </cell>
          <cell r="R1664">
            <v>0.26319999999999999</v>
          </cell>
          <cell r="S1664" t="str">
            <v>NA</v>
          </cell>
          <cell r="T1664">
            <v>59.7</v>
          </cell>
          <cell r="U1664">
            <v>4.8</v>
          </cell>
          <cell r="V1664">
            <v>72.900000000000006</v>
          </cell>
          <cell r="W1664">
            <v>7.4</v>
          </cell>
          <cell r="X1664">
            <v>54.2</v>
          </cell>
          <cell r="Y1664">
            <v>7</v>
          </cell>
          <cell r="Z1664" t="str">
            <v>NA</v>
          </cell>
          <cell r="AA1664" t="str">
            <v>NA</v>
          </cell>
        </row>
        <row r="1665">
          <cell r="A1665">
            <v>45176</v>
          </cell>
          <cell r="B1665" t="str">
            <v>A1</v>
          </cell>
          <cell r="C1665">
            <v>1</v>
          </cell>
          <cell r="D1665">
            <v>2</v>
          </cell>
          <cell r="E1665" t="str">
            <v>ARIS.A1.Aim2.Bin1.LB</v>
          </cell>
          <cell r="F1665">
            <v>4</v>
          </cell>
          <cell r="G1665" t="str">
            <v>Unweighted</v>
          </cell>
          <cell r="H1665" t="str">
            <v>N</v>
          </cell>
          <cell r="I1665" t="str">
            <v>Y</v>
          </cell>
          <cell r="J1665">
            <v>201</v>
          </cell>
          <cell r="K1665">
            <v>1.0001</v>
          </cell>
          <cell r="L1665">
            <v>0.32390000000000002</v>
          </cell>
          <cell r="M1665">
            <v>18.2</v>
          </cell>
          <cell r="N1665">
            <v>10.5</v>
          </cell>
          <cell r="O1665">
            <v>0.67620000000000002</v>
          </cell>
          <cell r="P1665">
            <v>0</v>
          </cell>
          <cell r="Q1665">
            <v>6.8999999999999999E-3</v>
          </cell>
          <cell r="R1665">
            <v>0.66930000000000001</v>
          </cell>
          <cell r="S1665" t="str">
            <v>NA</v>
          </cell>
          <cell r="T1665">
            <v>59.7</v>
          </cell>
          <cell r="U1665">
            <v>4.8</v>
          </cell>
          <cell r="V1665">
            <v>72.900000000000006</v>
          </cell>
          <cell r="W1665">
            <v>7.4</v>
          </cell>
          <cell r="X1665">
            <v>54.2</v>
          </cell>
          <cell r="Y1665">
            <v>7</v>
          </cell>
          <cell r="Z1665" t="str">
            <v>NA</v>
          </cell>
          <cell r="AA1665" t="str">
            <v>NA</v>
          </cell>
        </row>
        <row r="1666">
          <cell r="A1666">
            <v>45176</v>
          </cell>
          <cell r="B1666" t="str">
            <v>A1</v>
          </cell>
          <cell r="C1666">
            <v>1</v>
          </cell>
          <cell r="D1666" t="str">
            <v>1&amp;2</v>
          </cell>
          <cell r="E1666" t="str">
            <v>ARIS.A1.Aim1&amp;Aim2.Bin1.LB</v>
          </cell>
          <cell r="F1666">
            <v>4</v>
          </cell>
          <cell r="G1666" t="str">
            <v>Unweighted</v>
          </cell>
          <cell r="H1666" t="str">
            <v>N</v>
          </cell>
          <cell r="I1666" t="str">
            <v>Y</v>
          </cell>
          <cell r="J1666">
            <v>385</v>
          </cell>
          <cell r="K1666">
            <v>1</v>
          </cell>
          <cell r="L1666">
            <v>0.55569999999999997</v>
          </cell>
          <cell r="M1666">
            <v>21.6</v>
          </cell>
          <cell r="N1666">
            <v>7.9</v>
          </cell>
          <cell r="O1666">
            <v>0.44429999999999997</v>
          </cell>
          <cell r="P1666">
            <v>0</v>
          </cell>
          <cell r="Q1666">
            <v>3.5999999999999999E-3</v>
          </cell>
          <cell r="R1666">
            <v>0.44069999999999998</v>
          </cell>
          <cell r="S1666" t="str">
            <v>NA</v>
          </cell>
          <cell r="T1666">
            <v>59.7</v>
          </cell>
          <cell r="U1666">
            <v>4.8</v>
          </cell>
          <cell r="V1666">
            <v>72.900000000000006</v>
          </cell>
          <cell r="W1666">
            <v>7.4</v>
          </cell>
          <cell r="X1666">
            <v>54.2</v>
          </cell>
          <cell r="Y1666">
            <v>7</v>
          </cell>
          <cell r="Z1666" t="str">
            <v>NA</v>
          </cell>
          <cell r="AA1666" t="str">
            <v>NA</v>
          </cell>
        </row>
        <row r="1667">
          <cell r="A1667">
            <v>45176</v>
          </cell>
          <cell r="B1667" t="str">
            <v>A1</v>
          </cell>
          <cell r="C1667">
            <v>2</v>
          </cell>
          <cell r="D1667">
            <v>3</v>
          </cell>
          <cell r="E1667" t="str">
            <v>ARIS.A1.Aim3.Bin2.LB</v>
          </cell>
          <cell r="F1667">
            <v>4</v>
          </cell>
          <cell r="G1667" t="str">
            <v>Unweighted</v>
          </cell>
          <cell r="H1667" t="str">
            <v>N</v>
          </cell>
          <cell r="I1667" t="str">
            <v>Y</v>
          </cell>
          <cell r="J1667">
            <v>212</v>
          </cell>
          <cell r="K1667">
            <v>1</v>
          </cell>
          <cell r="L1667">
            <v>3.7100000000000001E-2</v>
          </cell>
          <cell r="M1667">
            <v>23.7</v>
          </cell>
          <cell r="N1667">
            <v>8.1999999999999993</v>
          </cell>
          <cell r="O1667">
            <v>0.96289999999999998</v>
          </cell>
          <cell r="P1667">
            <v>0</v>
          </cell>
          <cell r="Q1667">
            <v>0.1588</v>
          </cell>
          <cell r="R1667">
            <v>0.80410000000000004</v>
          </cell>
          <cell r="S1667" t="str">
            <v>NA</v>
          </cell>
          <cell r="T1667">
            <v>59.7</v>
          </cell>
          <cell r="U1667">
            <v>4.8</v>
          </cell>
          <cell r="V1667">
            <v>72.900000000000006</v>
          </cell>
          <cell r="W1667">
            <v>7.4</v>
          </cell>
          <cell r="X1667">
            <v>54.2</v>
          </cell>
          <cell r="Y1667">
            <v>7</v>
          </cell>
          <cell r="Z1667" t="str">
            <v>NA</v>
          </cell>
          <cell r="AA1667" t="str">
            <v>NA</v>
          </cell>
        </row>
        <row r="1668">
          <cell r="A1668">
            <v>45176</v>
          </cell>
          <cell r="B1668" t="str">
            <v>A1</v>
          </cell>
          <cell r="C1668">
            <v>3</v>
          </cell>
          <cell r="D1668">
            <v>3</v>
          </cell>
          <cell r="E1668" t="str">
            <v>ARIS.A1.Aim3.Bin3.LB</v>
          </cell>
          <cell r="F1668">
            <v>4</v>
          </cell>
          <cell r="G1668" t="str">
            <v>Unweighted</v>
          </cell>
          <cell r="H1668" t="str">
            <v>N</v>
          </cell>
          <cell r="I1668" t="str">
            <v>Y</v>
          </cell>
          <cell r="J1668">
            <v>205</v>
          </cell>
          <cell r="K1668">
            <v>1</v>
          </cell>
          <cell r="L1668">
            <v>8.0000000000000002E-3</v>
          </cell>
          <cell r="M1668">
            <v>28.5</v>
          </cell>
          <cell r="N1668">
            <v>2.4</v>
          </cell>
          <cell r="O1668">
            <v>0.99199999999999999</v>
          </cell>
          <cell r="P1668">
            <v>0</v>
          </cell>
          <cell r="Q1668">
            <v>0.4496</v>
          </cell>
          <cell r="R1668">
            <v>0.54239999999999999</v>
          </cell>
          <cell r="S1668" t="str">
            <v>NA</v>
          </cell>
          <cell r="T1668">
            <v>59.7</v>
          </cell>
          <cell r="U1668">
            <v>4.8</v>
          </cell>
          <cell r="V1668">
            <v>72.900000000000006</v>
          </cell>
          <cell r="W1668">
            <v>7.4</v>
          </cell>
          <cell r="X1668">
            <v>54.2</v>
          </cell>
          <cell r="Y1668">
            <v>7</v>
          </cell>
          <cell r="Z1668" t="str">
            <v>NA</v>
          </cell>
          <cell r="AA1668" t="str">
            <v>NA</v>
          </cell>
        </row>
        <row r="1669">
          <cell r="A1669">
            <v>45176</v>
          </cell>
          <cell r="B1669" t="str">
            <v>A1</v>
          </cell>
          <cell r="C1669">
            <v>4</v>
          </cell>
          <cell r="D1669">
            <v>3</v>
          </cell>
          <cell r="E1669" t="str">
            <v>ARIS.A1.Aim3.Bin4.LB</v>
          </cell>
          <cell r="F1669">
            <v>4</v>
          </cell>
          <cell r="G1669" t="str">
            <v>Unweighted</v>
          </cell>
          <cell r="H1669" t="str">
            <v>N</v>
          </cell>
          <cell r="I1669" t="str">
            <v>Y</v>
          </cell>
          <cell r="J1669">
            <v>205</v>
          </cell>
          <cell r="K1669">
            <v>1</v>
          </cell>
          <cell r="L1669">
            <v>8.0000000000000002E-3</v>
          </cell>
          <cell r="M1669">
            <v>28.5</v>
          </cell>
          <cell r="N1669">
            <v>2.4</v>
          </cell>
          <cell r="O1669">
            <v>0.99199999999999999</v>
          </cell>
          <cell r="P1669">
            <v>0</v>
          </cell>
          <cell r="Q1669">
            <v>0.4496</v>
          </cell>
          <cell r="R1669">
            <v>0.54239999999999999</v>
          </cell>
          <cell r="S1669" t="str">
            <v>NA</v>
          </cell>
          <cell r="T1669">
            <v>59.7</v>
          </cell>
          <cell r="U1669">
            <v>4.8</v>
          </cell>
          <cell r="V1669">
            <v>72.900000000000006</v>
          </cell>
          <cell r="W1669">
            <v>7.4</v>
          </cell>
          <cell r="X1669">
            <v>54.2</v>
          </cell>
          <cell r="Y1669">
            <v>7</v>
          </cell>
          <cell r="Z1669" t="str">
            <v>NA</v>
          </cell>
          <cell r="AA1669" t="str">
            <v>NA</v>
          </cell>
        </row>
        <row r="1670">
          <cell r="A1670">
            <v>45176</v>
          </cell>
          <cell r="B1670" t="str">
            <v>A2</v>
          </cell>
          <cell r="C1670">
            <v>1</v>
          </cell>
          <cell r="D1670">
            <v>1</v>
          </cell>
          <cell r="E1670" t="str">
            <v>ARIS.A2.Aim1.Bin1.RB</v>
          </cell>
          <cell r="F1670">
            <v>4</v>
          </cell>
          <cell r="G1670" t="str">
            <v>Unweighted</v>
          </cell>
          <cell r="H1670" t="str">
            <v>N</v>
          </cell>
          <cell r="I1670" t="str">
            <v>Y</v>
          </cell>
          <cell r="J1670">
            <v>175</v>
          </cell>
          <cell r="K1670">
            <v>1.0001</v>
          </cell>
          <cell r="L1670">
            <v>0.18640000000000001</v>
          </cell>
          <cell r="M1670">
            <v>22.4</v>
          </cell>
          <cell r="N1670">
            <v>5.2</v>
          </cell>
          <cell r="O1670">
            <v>0.81369999999999998</v>
          </cell>
          <cell r="P1670">
            <v>0</v>
          </cell>
          <cell r="Q1670">
            <v>2.3400000000000001E-2</v>
          </cell>
          <cell r="R1670">
            <v>0.7903</v>
          </cell>
          <cell r="S1670" t="str">
            <v>NA</v>
          </cell>
          <cell r="T1670">
            <v>59.7</v>
          </cell>
          <cell r="U1670">
            <v>4.8</v>
          </cell>
          <cell r="V1670">
            <v>72.900000000000006</v>
          </cell>
          <cell r="W1670">
            <v>7.4</v>
          </cell>
          <cell r="X1670">
            <v>54.2</v>
          </cell>
          <cell r="Y1670">
            <v>7</v>
          </cell>
          <cell r="Z1670" t="str">
            <v>NA</v>
          </cell>
          <cell r="AA1670" t="str">
            <v>NA</v>
          </cell>
        </row>
        <row r="1671">
          <cell r="A1671">
            <v>45176</v>
          </cell>
          <cell r="B1671" t="str">
            <v>A2</v>
          </cell>
          <cell r="C1671">
            <v>2</v>
          </cell>
          <cell r="D1671">
            <v>1</v>
          </cell>
          <cell r="E1671" t="str">
            <v>ARIS.A2.Aim1.Bin2.RB</v>
          </cell>
          <cell r="F1671">
            <v>4</v>
          </cell>
          <cell r="G1671" t="str">
            <v>Unweighted</v>
          </cell>
          <cell r="H1671" t="str">
            <v>N</v>
          </cell>
          <cell r="I1671" t="str">
            <v>Y</v>
          </cell>
          <cell r="J1671">
            <v>175</v>
          </cell>
          <cell r="K1671">
            <v>1</v>
          </cell>
          <cell r="L1671">
            <v>0.13589999999999999</v>
          </cell>
          <cell r="M1671">
            <v>26.3</v>
          </cell>
          <cell r="N1671">
            <v>4.5</v>
          </cell>
          <cell r="O1671">
            <v>0.86409999999999998</v>
          </cell>
          <cell r="P1671">
            <v>0</v>
          </cell>
          <cell r="Q1671">
            <v>0.19570000000000001</v>
          </cell>
          <cell r="R1671">
            <v>0.66839999999999999</v>
          </cell>
          <cell r="S1671" t="str">
            <v>NA</v>
          </cell>
          <cell r="T1671">
            <v>59.7</v>
          </cell>
          <cell r="U1671">
            <v>4.8</v>
          </cell>
          <cell r="V1671">
            <v>72.900000000000006</v>
          </cell>
          <cell r="W1671">
            <v>7.4</v>
          </cell>
          <cell r="X1671">
            <v>54.2</v>
          </cell>
          <cell r="Y1671">
            <v>7</v>
          </cell>
          <cell r="Z1671" t="str">
            <v>NA</v>
          </cell>
          <cell r="AA1671" t="str">
            <v>NA</v>
          </cell>
        </row>
        <row r="1672">
          <cell r="A1672">
            <v>45176</v>
          </cell>
          <cell r="B1672" t="str">
            <v>A2</v>
          </cell>
          <cell r="C1672">
            <v>3</v>
          </cell>
          <cell r="D1672">
            <v>1</v>
          </cell>
          <cell r="E1672" t="str">
            <v>ARIS.A2.Aim1.Bin3.RB</v>
          </cell>
          <cell r="F1672">
            <v>4</v>
          </cell>
          <cell r="G1672" t="str">
            <v>Unweighted</v>
          </cell>
          <cell r="H1672" t="str">
            <v>N</v>
          </cell>
          <cell r="I1672" t="str">
            <v>Y</v>
          </cell>
          <cell r="J1672">
            <v>141</v>
          </cell>
          <cell r="K1672">
            <v>1</v>
          </cell>
          <cell r="L1672">
            <v>5.3E-3</v>
          </cell>
          <cell r="M1672">
            <v>29</v>
          </cell>
          <cell r="N1672">
            <v>2.2000000000000002</v>
          </cell>
          <cell r="O1672">
            <v>0.99470000000000003</v>
          </cell>
          <cell r="P1672">
            <v>0</v>
          </cell>
          <cell r="Q1672">
            <v>0.4274</v>
          </cell>
          <cell r="R1672">
            <v>0.56730000000000003</v>
          </cell>
          <cell r="S1672" t="str">
            <v>NA</v>
          </cell>
          <cell r="T1672">
            <v>59.7</v>
          </cell>
          <cell r="U1672">
            <v>4.8</v>
          </cell>
          <cell r="V1672">
            <v>72.900000000000006</v>
          </cell>
          <cell r="W1672">
            <v>7.4</v>
          </cell>
          <cell r="X1672">
            <v>54.2</v>
          </cell>
          <cell r="Y1672">
            <v>7</v>
          </cell>
          <cell r="Z1672" t="str">
            <v>NA</v>
          </cell>
          <cell r="AA1672" t="str">
            <v>NA</v>
          </cell>
        </row>
        <row r="1673">
          <cell r="A1673">
            <v>45176</v>
          </cell>
          <cell r="B1673" t="str">
            <v>A2</v>
          </cell>
          <cell r="C1673">
            <v>4</v>
          </cell>
          <cell r="D1673">
            <v>1</v>
          </cell>
          <cell r="E1673" t="str">
            <v>ARIS.A2.Aim1.Bin4.RB</v>
          </cell>
          <cell r="F1673">
            <v>4</v>
          </cell>
          <cell r="G1673" t="str">
            <v>Unweighted</v>
          </cell>
          <cell r="H1673" t="str">
            <v>N</v>
          </cell>
          <cell r="I1673" t="str">
            <v>Y</v>
          </cell>
          <cell r="J1673">
            <v>141</v>
          </cell>
          <cell r="K1673">
            <v>1</v>
          </cell>
          <cell r="L1673">
            <v>5.3E-3</v>
          </cell>
          <cell r="M1673">
            <v>29</v>
          </cell>
          <cell r="N1673">
            <v>2.2000000000000002</v>
          </cell>
          <cell r="O1673">
            <v>0.99470000000000003</v>
          </cell>
          <cell r="P1673">
            <v>0</v>
          </cell>
          <cell r="Q1673">
            <v>0.4274</v>
          </cell>
          <cell r="R1673">
            <v>0.56730000000000003</v>
          </cell>
          <cell r="S1673" t="str">
            <v>NA</v>
          </cell>
          <cell r="T1673">
            <v>59.7</v>
          </cell>
          <cell r="U1673">
            <v>4.8</v>
          </cell>
          <cell r="V1673">
            <v>72.900000000000006</v>
          </cell>
          <cell r="W1673">
            <v>7.4</v>
          </cell>
          <cell r="X1673">
            <v>54.2</v>
          </cell>
          <cell r="Y1673">
            <v>7</v>
          </cell>
          <cell r="Z1673" t="str">
            <v>NA</v>
          </cell>
          <cell r="AA1673" t="str">
            <v>NA</v>
          </cell>
        </row>
        <row r="1674">
          <cell r="A1674">
            <v>45176</v>
          </cell>
          <cell r="B1674" t="str">
            <v>A1</v>
          </cell>
          <cell r="C1674">
            <v>1</v>
          </cell>
          <cell r="D1674">
            <v>1</v>
          </cell>
          <cell r="E1674" t="str">
            <v>ARIS.A1.Aim1.Bin1.LB</v>
          </cell>
          <cell r="F1674">
            <v>4</v>
          </cell>
          <cell r="G1674" t="str">
            <v>SplineDFA</v>
          </cell>
          <cell r="H1674" t="str">
            <v>Y</v>
          </cell>
          <cell r="I1674" t="str">
            <v>N</v>
          </cell>
          <cell r="J1674">
            <v>184</v>
          </cell>
          <cell r="K1674">
            <v>1</v>
          </cell>
          <cell r="L1674">
            <v>0.61719999999999997</v>
          </cell>
          <cell r="M1674">
            <v>23.7</v>
          </cell>
          <cell r="N1674">
            <v>2.7</v>
          </cell>
          <cell r="O1674">
            <v>0.38279999999999997</v>
          </cell>
          <cell r="P1674">
            <v>2.75E-2</v>
          </cell>
          <cell r="Q1674">
            <v>4.5999999999999999E-3</v>
          </cell>
          <cell r="R1674">
            <v>0.35070000000000001</v>
          </cell>
          <cell r="S1674" t="str">
            <v>NA</v>
          </cell>
          <cell r="T1674">
            <v>59.7</v>
          </cell>
          <cell r="U1674">
            <v>4.8</v>
          </cell>
          <cell r="V1674">
            <v>72.900000000000006</v>
          </cell>
          <cell r="W1674">
            <v>7.4</v>
          </cell>
          <cell r="X1674">
            <v>54.2</v>
          </cell>
          <cell r="Y1674">
            <v>7</v>
          </cell>
          <cell r="Z1674" t="str">
            <v>NA</v>
          </cell>
          <cell r="AA1674" t="str">
            <v>NA</v>
          </cell>
        </row>
        <row r="1675">
          <cell r="A1675">
            <v>45176</v>
          </cell>
          <cell r="B1675" t="str">
            <v>A1</v>
          </cell>
          <cell r="C1675">
            <v>1</v>
          </cell>
          <cell r="D1675">
            <v>2</v>
          </cell>
          <cell r="E1675" t="str">
            <v>ARIS.A1.Aim2.Bin1.LB</v>
          </cell>
          <cell r="F1675">
            <v>4</v>
          </cell>
          <cell r="G1675" t="str">
            <v>SplineDFA</v>
          </cell>
          <cell r="H1675" t="str">
            <v>Y</v>
          </cell>
          <cell r="I1675" t="str">
            <v>N</v>
          </cell>
          <cell r="J1675">
            <v>201</v>
          </cell>
          <cell r="K1675">
            <v>1</v>
          </cell>
          <cell r="L1675">
            <v>0.223</v>
          </cell>
          <cell r="M1675">
            <v>23.7</v>
          </cell>
          <cell r="N1675">
            <v>2.7</v>
          </cell>
          <cell r="O1675">
            <v>0.77700000000000002</v>
          </cell>
          <cell r="P1675">
            <v>0.2056</v>
          </cell>
          <cell r="Q1675">
            <v>1.8599999999999998E-2</v>
          </cell>
          <cell r="R1675">
            <v>0.55279999999999996</v>
          </cell>
          <cell r="S1675" t="str">
            <v>NA</v>
          </cell>
          <cell r="T1675">
            <v>59.7</v>
          </cell>
          <cell r="U1675">
            <v>4.8</v>
          </cell>
          <cell r="V1675">
            <v>72.900000000000006</v>
          </cell>
          <cell r="W1675">
            <v>7.4</v>
          </cell>
          <cell r="X1675">
            <v>54.2</v>
          </cell>
          <cell r="Y1675">
            <v>7</v>
          </cell>
          <cell r="Z1675" t="str">
            <v>NA</v>
          </cell>
          <cell r="AA1675" t="str">
            <v>NA</v>
          </cell>
        </row>
        <row r="1676">
          <cell r="A1676">
            <v>45176</v>
          </cell>
          <cell r="B1676" t="str">
            <v>A1</v>
          </cell>
          <cell r="C1676">
            <v>2</v>
          </cell>
          <cell r="D1676">
            <v>3</v>
          </cell>
          <cell r="E1676" t="str">
            <v>ARIS.A1.Aim3.Bin2.LB</v>
          </cell>
          <cell r="F1676">
            <v>4</v>
          </cell>
          <cell r="G1676" t="str">
            <v>SplineDFA</v>
          </cell>
          <cell r="H1676" t="str">
            <v>Y</v>
          </cell>
          <cell r="I1676" t="str">
            <v>N</v>
          </cell>
          <cell r="J1676">
            <v>212</v>
          </cell>
          <cell r="K1676">
            <v>0.99990000000000001</v>
          </cell>
          <cell r="L1676">
            <v>2.6200000000000001E-2</v>
          </cell>
          <cell r="M1676">
            <v>23.7</v>
          </cell>
          <cell r="N1676">
            <v>2.7</v>
          </cell>
          <cell r="O1676">
            <v>0.97370000000000001</v>
          </cell>
          <cell r="P1676">
            <v>0.3397</v>
          </cell>
          <cell r="Q1676">
            <v>0.13980000000000001</v>
          </cell>
          <cell r="R1676">
            <v>0.49419999999999997</v>
          </cell>
          <cell r="S1676" t="str">
            <v>NA</v>
          </cell>
          <cell r="T1676">
            <v>59.7</v>
          </cell>
          <cell r="U1676">
            <v>4.8</v>
          </cell>
          <cell r="V1676">
            <v>72.900000000000006</v>
          </cell>
          <cell r="W1676">
            <v>7.4</v>
          </cell>
          <cell r="X1676">
            <v>54.2</v>
          </cell>
          <cell r="Y1676">
            <v>7</v>
          </cell>
          <cell r="Z1676" t="str">
            <v>NA</v>
          </cell>
          <cell r="AA1676" t="str">
            <v>NA</v>
          </cell>
        </row>
        <row r="1677">
          <cell r="A1677">
            <v>45176</v>
          </cell>
          <cell r="B1677" t="str">
            <v>A1</v>
          </cell>
          <cell r="C1677">
            <v>3</v>
          </cell>
          <cell r="D1677">
            <v>3</v>
          </cell>
          <cell r="E1677" t="str">
            <v>ARIS.A1.Aim3.Bin3.LB</v>
          </cell>
          <cell r="F1677">
            <v>4</v>
          </cell>
          <cell r="G1677" t="str">
            <v>SplineDFA</v>
          </cell>
          <cell r="H1677" t="str">
            <v>Y</v>
          </cell>
          <cell r="I1677" t="str">
            <v>N</v>
          </cell>
          <cell r="J1677">
            <v>205</v>
          </cell>
          <cell r="K1677">
            <v>1</v>
          </cell>
          <cell r="L1677">
            <v>1.2500000000000001E-2</v>
          </cell>
          <cell r="M1677">
            <v>23.7</v>
          </cell>
          <cell r="N1677">
            <v>2.7</v>
          </cell>
          <cell r="O1677">
            <v>0.98750000000000004</v>
          </cell>
          <cell r="P1677">
            <v>0.2087</v>
          </cell>
          <cell r="Q1677">
            <v>0.1739</v>
          </cell>
          <cell r="R1677">
            <v>0.60489999999999999</v>
          </cell>
          <cell r="S1677" t="str">
            <v>NA</v>
          </cell>
          <cell r="T1677">
            <v>59.7</v>
          </cell>
          <cell r="U1677">
            <v>4.8</v>
          </cell>
          <cell r="V1677">
            <v>72.900000000000006</v>
          </cell>
          <cell r="W1677">
            <v>7.4</v>
          </cell>
          <cell r="X1677">
            <v>54.2</v>
          </cell>
          <cell r="Y1677">
            <v>7</v>
          </cell>
          <cell r="Z1677" t="str">
            <v>NA</v>
          </cell>
          <cell r="AA1677" t="str">
            <v>NA</v>
          </cell>
        </row>
        <row r="1678">
          <cell r="A1678">
            <v>45176</v>
          </cell>
          <cell r="B1678" t="str">
            <v>A1</v>
          </cell>
          <cell r="C1678">
            <v>4</v>
          </cell>
          <cell r="D1678">
            <v>3</v>
          </cell>
          <cell r="E1678" t="str">
            <v>ARIS.A1.Aim3.Bin4.LB</v>
          </cell>
          <cell r="F1678">
            <v>4</v>
          </cell>
          <cell r="G1678" t="str">
            <v>SplineDFA</v>
          </cell>
          <cell r="H1678" t="str">
            <v>Y</v>
          </cell>
          <cell r="I1678" t="str">
            <v>N</v>
          </cell>
          <cell r="J1678">
            <v>205</v>
          </cell>
          <cell r="K1678">
            <v>1</v>
          </cell>
          <cell r="L1678">
            <v>1.2500000000000001E-2</v>
          </cell>
          <cell r="M1678">
            <v>23.7</v>
          </cell>
          <cell r="N1678">
            <v>2.7</v>
          </cell>
          <cell r="O1678">
            <v>0.98750000000000004</v>
          </cell>
          <cell r="P1678">
            <v>0.2087</v>
          </cell>
          <cell r="Q1678">
            <v>0.1739</v>
          </cell>
          <cell r="R1678">
            <v>0.60489999999999999</v>
          </cell>
          <cell r="S1678" t="str">
            <v>NA</v>
          </cell>
          <cell r="T1678">
            <v>59.7</v>
          </cell>
          <cell r="U1678">
            <v>4.8</v>
          </cell>
          <cell r="V1678">
            <v>72.900000000000006</v>
          </cell>
          <cell r="W1678">
            <v>7.4</v>
          </cell>
          <cell r="X1678">
            <v>54.2</v>
          </cell>
          <cell r="Y1678">
            <v>7</v>
          </cell>
          <cell r="Z1678" t="str">
            <v>NA</v>
          </cell>
          <cell r="AA1678" t="str">
            <v>NA</v>
          </cell>
        </row>
        <row r="1679">
          <cell r="A1679">
            <v>45176</v>
          </cell>
          <cell r="B1679" t="str">
            <v>A2</v>
          </cell>
          <cell r="C1679">
            <v>1</v>
          </cell>
          <cell r="D1679">
            <v>1</v>
          </cell>
          <cell r="E1679" t="str">
            <v>ARIS.A2.Aim1.Bin1.RB</v>
          </cell>
          <cell r="F1679">
            <v>4</v>
          </cell>
          <cell r="G1679" t="str">
            <v>SplineDFA</v>
          </cell>
          <cell r="H1679" t="str">
            <v>Y</v>
          </cell>
          <cell r="I1679" t="str">
            <v>N</v>
          </cell>
          <cell r="J1679">
            <v>175</v>
          </cell>
          <cell r="K1679">
            <v>1</v>
          </cell>
          <cell r="L1679">
            <v>0.1404</v>
          </cell>
          <cell r="M1679">
            <v>23.7</v>
          </cell>
          <cell r="N1679">
            <v>2.7</v>
          </cell>
          <cell r="O1679">
            <v>0.85960000000000003</v>
          </cell>
          <cell r="P1679">
            <v>0.1623</v>
          </cell>
          <cell r="Q1679">
            <v>7.6499999999999999E-2</v>
          </cell>
          <cell r="R1679">
            <v>0.62080000000000002</v>
          </cell>
          <cell r="S1679" t="str">
            <v>NA</v>
          </cell>
          <cell r="T1679">
            <v>59.7</v>
          </cell>
          <cell r="U1679">
            <v>4.8</v>
          </cell>
          <cell r="V1679">
            <v>72.900000000000006</v>
          </cell>
          <cell r="W1679">
            <v>7.4</v>
          </cell>
          <cell r="X1679">
            <v>54.2</v>
          </cell>
          <cell r="Y1679">
            <v>7</v>
          </cell>
          <cell r="Z1679" t="str">
            <v>NA</v>
          </cell>
          <cell r="AA1679" t="str">
            <v>NA</v>
          </cell>
        </row>
        <row r="1680">
          <cell r="A1680">
            <v>45176</v>
          </cell>
          <cell r="B1680" t="str">
            <v>A2</v>
          </cell>
          <cell r="C1680">
            <v>2</v>
          </cell>
          <cell r="D1680">
            <v>1</v>
          </cell>
          <cell r="E1680" t="str">
            <v>ARIS.A2.Aim1.Bin2.RB</v>
          </cell>
          <cell r="F1680">
            <v>4</v>
          </cell>
          <cell r="G1680" t="str">
            <v>SplineDFA</v>
          </cell>
          <cell r="H1680" t="str">
            <v>Y</v>
          </cell>
          <cell r="I1680" t="str">
            <v>N</v>
          </cell>
          <cell r="J1680">
            <v>175</v>
          </cell>
          <cell r="K1680">
            <v>1</v>
          </cell>
          <cell r="L1680">
            <v>0.1053</v>
          </cell>
          <cell r="M1680">
            <v>23.7</v>
          </cell>
          <cell r="N1680">
            <v>2.7</v>
          </cell>
          <cell r="O1680">
            <v>0.89470000000000005</v>
          </cell>
          <cell r="P1680">
            <v>0.24030000000000001</v>
          </cell>
          <cell r="Q1680">
            <v>0.18970000000000001</v>
          </cell>
          <cell r="R1680">
            <v>0.4647</v>
          </cell>
          <cell r="S1680" t="str">
            <v>NA</v>
          </cell>
          <cell r="T1680">
            <v>59.7</v>
          </cell>
          <cell r="U1680">
            <v>4.8</v>
          </cell>
          <cell r="V1680">
            <v>72.900000000000006</v>
          </cell>
          <cell r="W1680">
            <v>7.4</v>
          </cell>
          <cell r="X1680">
            <v>54.2</v>
          </cell>
          <cell r="Y1680">
            <v>7</v>
          </cell>
          <cell r="Z1680" t="str">
            <v>NA</v>
          </cell>
          <cell r="AA1680" t="str">
            <v>NA</v>
          </cell>
        </row>
        <row r="1681">
          <cell r="A1681">
            <v>45176</v>
          </cell>
          <cell r="B1681" t="str">
            <v>A2</v>
          </cell>
          <cell r="C1681">
            <v>3</v>
          </cell>
          <cell r="D1681">
            <v>1</v>
          </cell>
          <cell r="E1681" t="str">
            <v>ARIS.A2.Aim1.Bin3.RB</v>
          </cell>
          <cell r="F1681">
            <v>4</v>
          </cell>
          <cell r="G1681" t="str">
            <v>SplineDFA</v>
          </cell>
          <cell r="H1681" t="str">
            <v>Y</v>
          </cell>
          <cell r="I1681" t="str">
            <v>N</v>
          </cell>
          <cell r="J1681">
            <v>141</v>
          </cell>
          <cell r="K1681">
            <v>1</v>
          </cell>
          <cell r="L1681">
            <v>0</v>
          </cell>
          <cell r="M1681">
            <v>23.7</v>
          </cell>
          <cell r="N1681">
            <v>2.7</v>
          </cell>
          <cell r="O1681">
            <v>1</v>
          </cell>
          <cell r="P1681">
            <v>0.29899999999999999</v>
          </cell>
          <cell r="Q1681">
            <v>0.39040000000000002</v>
          </cell>
          <cell r="R1681">
            <v>0.31059999999999999</v>
          </cell>
          <cell r="S1681" t="str">
            <v>NA</v>
          </cell>
          <cell r="T1681">
            <v>59.7</v>
          </cell>
          <cell r="U1681">
            <v>4.8</v>
          </cell>
          <cell r="V1681">
            <v>72.900000000000006</v>
          </cell>
          <cell r="W1681">
            <v>7.4</v>
          </cell>
          <cell r="X1681">
            <v>54.2</v>
          </cell>
          <cell r="Y1681">
            <v>7</v>
          </cell>
          <cell r="Z1681" t="str">
            <v>NA</v>
          </cell>
          <cell r="AA1681" t="str">
            <v>NA</v>
          </cell>
        </row>
        <row r="1682">
          <cell r="A1682">
            <v>45176</v>
          </cell>
          <cell r="B1682" t="str">
            <v>A2</v>
          </cell>
          <cell r="C1682">
            <v>4</v>
          </cell>
          <cell r="D1682">
            <v>1</v>
          </cell>
          <cell r="E1682" t="str">
            <v>ARIS.A2.Aim1.Bin4.RB</v>
          </cell>
          <cell r="F1682">
            <v>4</v>
          </cell>
          <cell r="G1682" t="str">
            <v>SplineDFA</v>
          </cell>
          <cell r="H1682" t="str">
            <v>Y</v>
          </cell>
          <cell r="I1682" t="str">
            <v>N</v>
          </cell>
          <cell r="J1682">
            <v>141</v>
          </cell>
          <cell r="K1682">
            <v>1</v>
          </cell>
          <cell r="L1682">
            <v>0</v>
          </cell>
          <cell r="M1682">
            <v>23.7</v>
          </cell>
          <cell r="N1682">
            <v>2.7</v>
          </cell>
          <cell r="O1682">
            <v>1</v>
          </cell>
          <cell r="P1682">
            <v>0.29899999999999999</v>
          </cell>
          <cell r="Q1682">
            <v>0.39040000000000002</v>
          </cell>
          <cell r="R1682">
            <v>0.31059999999999999</v>
          </cell>
          <cell r="S1682" t="str">
            <v>NA</v>
          </cell>
          <cell r="T1682">
            <v>59.7</v>
          </cell>
          <cell r="U1682">
            <v>4.8</v>
          </cell>
          <cell r="V1682">
            <v>72.900000000000006</v>
          </cell>
          <cell r="W1682">
            <v>7.4</v>
          </cell>
          <cell r="X1682">
            <v>54.2</v>
          </cell>
          <cell r="Y1682">
            <v>7</v>
          </cell>
          <cell r="Z1682" t="str">
            <v>NA</v>
          </cell>
          <cell r="AA1682" t="str">
            <v>NA</v>
          </cell>
        </row>
        <row r="1683">
          <cell r="A1683">
            <v>45177</v>
          </cell>
          <cell r="B1683" t="str">
            <v>A1</v>
          </cell>
          <cell r="C1683">
            <v>1</v>
          </cell>
          <cell r="D1683">
            <v>1</v>
          </cell>
          <cell r="E1683" t="str">
            <v>ARIS.A1.Aim1.Bin1.LB</v>
          </cell>
          <cell r="F1683">
            <v>4</v>
          </cell>
          <cell r="G1683" t="str">
            <v>Unweighted</v>
          </cell>
          <cell r="H1683" t="str">
            <v>N</v>
          </cell>
          <cell r="I1683" t="str">
            <v>Y</v>
          </cell>
          <cell r="J1683">
            <v>190</v>
          </cell>
          <cell r="K1683">
            <v>1.0001</v>
          </cell>
          <cell r="L1683">
            <v>0.78920000000000001</v>
          </cell>
          <cell r="M1683">
            <v>22.5</v>
          </cell>
          <cell r="N1683">
            <v>6.7</v>
          </cell>
          <cell r="O1683">
            <v>0.2109</v>
          </cell>
          <cell r="P1683">
            <v>0</v>
          </cell>
          <cell r="Q1683">
            <v>2E-3</v>
          </cell>
          <cell r="R1683">
            <v>0.2089</v>
          </cell>
          <cell r="S1683" t="str">
            <v>NA</v>
          </cell>
          <cell r="T1683">
            <v>59.7</v>
          </cell>
          <cell r="U1683">
            <v>4.8</v>
          </cell>
          <cell r="V1683">
            <v>72.900000000000006</v>
          </cell>
          <cell r="W1683">
            <v>7.4</v>
          </cell>
          <cell r="X1683">
            <v>54.2</v>
          </cell>
          <cell r="Y1683">
            <v>7</v>
          </cell>
          <cell r="Z1683" t="str">
            <v>NA</v>
          </cell>
          <cell r="AA1683" t="str">
            <v>NA</v>
          </cell>
        </row>
        <row r="1684">
          <cell r="A1684">
            <v>45177</v>
          </cell>
          <cell r="B1684" t="str">
            <v>A1</v>
          </cell>
          <cell r="C1684">
            <v>1</v>
          </cell>
          <cell r="D1684">
            <v>2</v>
          </cell>
          <cell r="E1684" t="str">
            <v>ARIS.A1.Aim2.Bin1.LB</v>
          </cell>
          <cell r="F1684">
            <v>4</v>
          </cell>
          <cell r="G1684" t="str">
            <v>Unweighted</v>
          </cell>
          <cell r="H1684" t="str">
            <v>N</v>
          </cell>
          <cell r="I1684" t="str">
            <v>Y</v>
          </cell>
          <cell r="J1684">
            <v>196</v>
          </cell>
          <cell r="K1684">
            <v>1</v>
          </cell>
          <cell r="L1684">
            <v>0.28770000000000001</v>
          </cell>
          <cell r="M1684">
            <v>19.8</v>
          </cell>
          <cell r="N1684">
            <v>8.8000000000000007</v>
          </cell>
          <cell r="O1684">
            <v>0.71230000000000004</v>
          </cell>
          <cell r="P1684">
            <v>0.2054</v>
          </cell>
          <cell r="Q1684">
            <v>0</v>
          </cell>
          <cell r="R1684">
            <v>0.50690000000000002</v>
          </cell>
          <cell r="S1684" t="str">
            <v>NA</v>
          </cell>
          <cell r="T1684">
            <v>59.7</v>
          </cell>
          <cell r="U1684">
            <v>4.8</v>
          </cell>
          <cell r="V1684">
            <v>72.900000000000006</v>
          </cell>
          <cell r="W1684">
            <v>7.4</v>
          </cell>
          <cell r="X1684">
            <v>54.2</v>
          </cell>
          <cell r="Y1684">
            <v>7</v>
          </cell>
          <cell r="Z1684" t="str">
            <v>NA</v>
          </cell>
          <cell r="AA1684" t="str">
            <v>NA</v>
          </cell>
        </row>
        <row r="1685">
          <cell r="A1685">
            <v>45177</v>
          </cell>
          <cell r="B1685" t="str">
            <v>A1</v>
          </cell>
          <cell r="C1685">
            <v>1</v>
          </cell>
          <cell r="D1685" t="str">
            <v>1&amp;2</v>
          </cell>
          <cell r="E1685" t="str">
            <v>ARIS.A1.Aim1&amp;Aim2.Bin1.LB</v>
          </cell>
          <cell r="F1685">
            <v>4</v>
          </cell>
          <cell r="G1685" t="str">
            <v>Unweighted</v>
          </cell>
          <cell r="H1685" t="str">
            <v>N</v>
          </cell>
          <cell r="I1685" t="str">
            <v>Y</v>
          </cell>
          <cell r="J1685">
            <v>386</v>
          </cell>
          <cell r="K1685">
            <v>1</v>
          </cell>
          <cell r="L1685">
            <v>0.51600000000000001</v>
          </cell>
          <cell r="M1685">
            <v>21.8</v>
          </cell>
          <cell r="N1685">
            <v>7.2</v>
          </cell>
          <cell r="O1685">
            <v>0.48399999999999999</v>
          </cell>
          <cell r="P1685">
            <v>0.1227</v>
          </cell>
          <cell r="Q1685">
            <v>0</v>
          </cell>
          <cell r="R1685">
            <v>0.36130000000000001</v>
          </cell>
          <cell r="S1685" t="str">
            <v>NA</v>
          </cell>
          <cell r="T1685">
            <v>59.7</v>
          </cell>
          <cell r="U1685">
            <v>4.8</v>
          </cell>
          <cell r="V1685">
            <v>72.900000000000006</v>
          </cell>
          <cell r="W1685">
            <v>7.4</v>
          </cell>
          <cell r="X1685">
            <v>54.2</v>
          </cell>
          <cell r="Y1685">
            <v>7</v>
          </cell>
          <cell r="Z1685" t="str">
            <v>NA</v>
          </cell>
          <cell r="AA1685" t="str">
            <v>NA</v>
          </cell>
        </row>
        <row r="1686">
          <cell r="A1686">
            <v>45177</v>
          </cell>
          <cell r="B1686" t="str">
            <v>A1</v>
          </cell>
          <cell r="C1686">
            <v>2</v>
          </cell>
          <cell r="D1686">
            <v>3</v>
          </cell>
          <cell r="E1686" t="str">
            <v>ARIS.A1.Aim3.Bin2.LB</v>
          </cell>
          <cell r="F1686">
            <v>4</v>
          </cell>
          <cell r="G1686" t="str">
            <v>Unweighted</v>
          </cell>
          <cell r="H1686" t="str">
            <v>N</v>
          </cell>
          <cell r="I1686" t="str">
            <v>Y</v>
          </cell>
          <cell r="J1686">
            <v>224</v>
          </cell>
          <cell r="K1686">
            <v>1</v>
          </cell>
          <cell r="L1686">
            <v>0.11260000000000001</v>
          </cell>
          <cell r="M1686">
            <v>35.1</v>
          </cell>
          <cell r="N1686">
            <v>5.9</v>
          </cell>
          <cell r="O1686">
            <v>0.88739999999999997</v>
          </cell>
          <cell r="P1686">
            <v>0.2359</v>
          </cell>
          <cell r="Q1686">
            <v>0.21190000000000001</v>
          </cell>
          <cell r="R1686">
            <v>0.43959999999999999</v>
          </cell>
          <cell r="S1686" t="str">
            <v>NA</v>
          </cell>
          <cell r="T1686">
            <v>59.7</v>
          </cell>
          <cell r="U1686">
            <v>4.8</v>
          </cell>
          <cell r="V1686">
            <v>72.900000000000006</v>
          </cell>
          <cell r="W1686">
            <v>7.4</v>
          </cell>
          <cell r="X1686">
            <v>54.2</v>
          </cell>
          <cell r="Y1686">
            <v>7</v>
          </cell>
          <cell r="Z1686" t="str">
            <v>NA</v>
          </cell>
          <cell r="AA1686" t="str">
            <v>NA</v>
          </cell>
        </row>
        <row r="1687">
          <cell r="A1687">
            <v>45177</v>
          </cell>
          <cell r="B1687" t="str">
            <v>A1</v>
          </cell>
          <cell r="C1687">
            <v>3</v>
          </cell>
          <cell r="D1687">
            <v>3</v>
          </cell>
          <cell r="E1687" t="str">
            <v>ARIS.A1.Aim3.Bin3.LB</v>
          </cell>
          <cell r="F1687">
            <v>4</v>
          </cell>
          <cell r="G1687" t="str">
            <v>Unweighted</v>
          </cell>
          <cell r="H1687" t="str">
            <v>N</v>
          </cell>
          <cell r="I1687" t="str">
            <v>Y</v>
          </cell>
          <cell r="J1687">
            <v>208</v>
          </cell>
          <cell r="K1687">
            <v>0.99990000000000001</v>
          </cell>
          <cell r="L1687">
            <v>2.1899999999999999E-2</v>
          </cell>
          <cell r="M1687">
            <v>23.7</v>
          </cell>
          <cell r="N1687">
            <v>17.399999999999999</v>
          </cell>
          <cell r="O1687">
            <v>0.97799999999999998</v>
          </cell>
          <cell r="P1687">
            <v>0.14499999999999999</v>
          </cell>
          <cell r="Q1687">
            <v>0.45960000000000001</v>
          </cell>
          <cell r="R1687">
            <v>0.37340000000000001</v>
          </cell>
          <cell r="S1687" t="str">
            <v>NA</v>
          </cell>
          <cell r="T1687">
            <v>59.7</v>
          </cell>
          <cell r="U1687">
            <v>4.8</v>
          </cell>
          <cell r="V1687">
            <v>72.900000000000006</v>
          </cell>
          <cell r="W1687">
            <v>7.4</v>
          </cell>
          <cell r="X1687">
            <v>54.2</v>
          </cell>
          <cell r="Y1687">
            <v>7</v>
          </cell>
          <cell r="Z1687" t="str">
            <v>NA</v>
          </cell>
          <cell r="AA1687" t="str">
            <v>NA</v>
          </cell>
        </row>
        <row r="1688">
          <cell r="A1688">
            <v>45177</v>
          </cell>
          <cell r="B1688" t="str">
            <v>A1</v>
          </cell>
          <cell r="C1688">
            <v>4</v>
          </cell>
          <cell r="D1688">
            <v>3</v>
          </cell>
          <cell r="E1688" t="str">
            <v>ARIS.A1.Aim3.Bin4.LB</v>
          </cell>
          <cell r="F1688">
            <v>4</v>
          </cell>
          <cell r="G1688" t="str">
            <v>Unweighted</v>
          </cell>
          <cell r="H1688" t="str">
            <v>N</v>
          </cell>
          <cell r="I1688" t="str">
            <v>Y</v>
          </cell>
          <cell r="J1688">
            <v>208</v>
          </cell>
          <cell r="K1688">
            <v>0.99990000000000001</v>
          </cell>
          <cell r="L1688">
            <v>2.1899999999999999E-2</v>
          </cell>
          <cell r="M1688">
            <v>23.7</v>
          </cell>
          <cell r="N1688">
            <v>17.399999999999999</v>
          </cell>
          <cell r="O1688">
            <v>0.97799999999999998</v>
          </cell>
          <cell r="P1688">
            <v>0.14499999999999999</v>
          </cell>
          <cell r="Q1688">
            <v>0.45960000000000001</v>
          </cell>
          <cell r="R1688">
            <v>0.37340000000000001</v>
          </cell>
          <cell r="S1688" t="str">
            <v>NA</v>
          </cell>
          <cell r="T1688">
            <v>59.7</v>
          </cell>
          <cell r="U1688">
            <v>4.8</v>
          </cell>
          <cell r="V1688">
            <v>72.900000000000006</v>
          </cell>
          <cell r="W1688">
            <v>7.4</v>
          </cell>
          <cell r="X1688">
            <v>54.2</v>
          </cell>
          <cell r="Y1688">
            <v>7</v>
          </cell>
          <cell r="Z1688" t="str">
            <v>NA</v>
          </cell>
          <cell r="AA1688" t="str">
            <v>NA</v>
          </cell>
        </row>
        <row r="1689">
          <cell r="A1689">
            <v>45177</v>
          </cell>
          <cell r="B1689" t="str">
            <v>A2</v>
          </cell>
          <cell r="C1689">
            <v>1</v>
          </cell>
          <cell r="D1689">
            <v>1</v>
          </cell>
          <cell r="E1689" t="str">
            <v>ARIS.A2.Aim1.Bin1.RB</v>
          </cell>
          <cell r="F1689">
            <v>4</v>
          </cell>
          <cell r="G1689" t="str">
            <v>Unweighted</v>
          </cell>
          <cell r="H1689" t="str">
            <v>N</v>
          </cell>
          <cell r="I1689" t="str">
            <v>Y</v>
          </cell>
          <cell r="J1689">
            <v>175</v>
          </cell>
          <cell r="K1689">
            <v>1.0001</v>
          </cell>
          <cell r="L1689">
            <v>0.18640000000000001</v>
          </cell>
          <cell r="M1689">
            <v>22.4</v>
          </cell>
          <cell r="N1689">
            <v>5.2</v>
          </cell>
          <cell r="O1689">
            <v>0.81369999999999998</v>
          </cell>
          <cell r="P1689">
            <v>0</v>
          </cell>
          <cell r="Q1689">
            <v>2.3400000000000001E-2</v>
          </cell>
          <cell r="R1689">
            <v>0.7903</v>
          </cell>
          <cell r="S1689" t="str">
            <v>NA</v>
          </cell>
          <cell r="T1689">
            <v>59.7</v>
          </cell>
          <cell r="U1689">
            <v>4.8</v>
          </cell>
          <cell r="V1689">
            <v>72.900000000000006</v>
          </cell>
          <cell r="W1689">
            <v>7.4</v>
          </cell>
          <cell r="X1689">
            <v>54.2</v>
          </cell>
          <cell r="Y1689">
            <v>7</v>
          </cell>
          <cell r="Z1689" t="str">
            <v>NA</v>
          </cell>
          <cell r="AA1689" t="str">
            <v>NA</v>
          </cell>
        </row>
        <row r="1690">
          <cell r="A1690">
            <v>45177</v>
          </cell>
          <cell r="B1690" t="str">
            <v>A2</v>
          </cell>
          <cell r="C1690">
            <v>2</v>
          </cell>
          <cell r="D1690">
            <v>1</v>
          </cell>
          <cell r="E1690" t="str">
            <v>ARIS.A2.Aim1.Bin2.RB</v>
          </cell>
          <cell r="F1690">
            <v>4</v>
          </cell>
          <cell r="G1690" t="str">
            <v>Unweighted</v>
          </cell>
          <cell r="H1690" t="str">
            <v>N</v>
          </cell>
          <cell r="I1690" t="str">
            <v>Y</v>
          </cell>
          <cell r="J1690">
            <v>175</v>
          </cell>
          <cell r="K1690">
            <v>1</v>
          </cell>
          <cell r="L1690">
            <v>0.13589999999999999</v>
          </cell>
          <cell r="M1690">
            <v>26.3</v>
          </cell>
          <cell r="N1690">
            <v>4.5</v>
          </cell>
          <cell r="O1690">
            <v>0.86409999999999998</v>
          </cell>
          <cell r="P1690">
            <v>0</v>
          </cell>
          <cell r="Q1690">
            <v>0.19570000000000001</v>
          </cell>
          <cell r="R1690">
            <v>0.66839999999999999</v>
          </cell>
          <cell r="S1690" t="str">
            <v>NA</v>
          </cell>
          <cell r="T1690">
            <v>59.7</v>
          </cell>
          <cell r="U1690">
            <v>4.8</v>
          </cell>
          <cell r="V1690">
            <v>72.900000000000006</v>
          </cell>
          <cell r="W1690">
            <v>7.4</v>
          </cell>
          <cell r="X1690">
            <v>54.2</v>
          </cell>
          <cell r="Y1690">
            <v>7</v>
          </cell>
          <cell r="Z1690" t="str">
            <v>NA</v>
          </cell>
          <cell r="AA1690" t="str">
            <v>NA</v>
          </cell>
        </row>
        <row r="1691">
          <cell r="A1691">
            <v>45177</v>
          </cell>
          <cell r="B1691" t="str">
            <v>A2</v>
          </cell>
          <cell r="C1691">
            <v>3</v>
          </cell>
          <cell r="D1691">
            <v>1</v>
          </cell>
          <cell r="E1691" t="str">
            <v>ARIS.A2.Aim1.Bin3.RB</v>
          </cell>
          <cell r="F1691">
            <v>4</v>
          </cell>
          <cell r="G1691" t="str">
            <v>Unweighted</v>
          </cell>
          <cell r="H1691" t="str">
            <v>N</v>
          </cell>
          <cell r="I1691" t="str">
            <v>Y</v>
          </cell>
          <cell r="J1691">
            <v>141</v>
          </cell>
          <cell r="K1691">
            <v>1</v>
          </cell>
          <cell r="L1691">
            <v>5.3E-3</v>
          </cell>
          <cell r="M1691">
            <v>29</v>
          </cell>
          <cell r="N1691">
            <v>2.2000000000000002</v>
          </cell>
          <cell r="O1691">
            <v>0.99470000000000003</v>
          </cell>
          <cell r="P1691">
            <v>0</v>
          </cell>
          <cell r="Q1691">
            <v>0.4274</v>
          </cell>
          <cell r="R1691">
            <v>0.56730000000000003</v>
          </cell>
          <cell r="S1691" t="str">
            <v>NA</v>
          </cell>
          <cell r="T1691">
            <v>59.7</v>
          </cell>
          <cell r="U1691">
            <v>4.8</v>
          </cell>
          <cell r="V1691">
            <v>72.900000000000006</v>
          </cell>
          <cell r="W1691">
            <v>7.4</v>
          </cell>
          <cell r="X1691">
            <v>54.2</v>
          </cell>
          <cell r="Y1691">
            <v>7</v>
          </cell>
          <cell r="Z1691" t="str">
            <v>NA</v>
          </cell>
          <cell r="AA1691" t="str">
            <v>NA</v>
          </cell>
        </row>
        <row r="1692">
          <cell r="A1692">
            <v>45177</v>
          </cell>
          <cell r="B1692" t="str">
            <v>A2</v>
          </cell>
          <cell r="C1692">
            <v>4</v>
          </cell>
          <cell r="D1692">
            <v>1</v>
          </cell>
          <cell r="E1692" t="str">
            <v>ARIS.A2.Aim1.Bin4.RB</v>
          </cell>
          <cell r="F1692">
            <v>4</v>
          </cell>
          <cell r="G1692" t="str">
            <v>Unweighted</v>
          </cell>
          <cell r="H1692" t="str">
            <v>N</v>
          </cell>
          <cell r="I1692" t="str">
            <v>Y</v>
          </cell>
          <cell r="J1692">
            <v>141</v>
          </cell>
          <cell r="K1692">
            <v>1</v>
          </cell>
          <cell r="L1692">
            <v>5.3E-3</v>
          </cell>
          <cell r="M1692">
            <v>29</v>
          </cell>
          <cell r="N1692">
            <v>2.2000000000000002</v>
          </cell>
          <cell r="O1692">
            <v>0.99470000000000003</v>
          </cell>
          <cell r="P1692">
            <v>0</v>
          </cell>
          <cell r="Q1692">
            <v>0.4274</v>
          </cell>
          <cell r="R1692">
            <v>0.56730000000000003</v>
          </cell>
          <cell r="S1692" t="str">
            <v>NA</v>
          </cell>
          <cell r="T1692">
            <v>59.7</v>
          </cell>
          <cell r="U1692">
            <v>4.8</v>
          </cell>
          <cell r="V1692">
            <v>72.900000000000006</v>
          </cell>
          <cell r="W1692">
            <v>7.4</v>
          </cell>
          <cell r="X1692">
            <v>54.2</v>
          </cell>
          <cell r="Y1692">
            <v>7</v>
          </cell>
          <cell r="Z1692" t="str">
            <v>NA</v>
          </cell>
          <cell r="AA1692" t="str">
            <v>NA</v>
          </cell>
        </row>
        <row r="1693">
          <cell r="A1693">
            <v>45177</v>
          </cell>
          <cell r="B1693" t="str">
            <v>A1</v>
          </cell>
          <cell r="C1693">
            <v>1</v>
          </cell>
          <cell r="D1693">
            <v>1</v>
          </cell>
          <cell r="E1693" t="str">
            <v>ARIS.A1.Aim1.Bin1.LB</v>
          </cell>
          <cell r="F1693">
            <v>4</v>
          </cell>
          <cell r="G1693" t="str">
            <v>SplineDFA</v>
          </cell>
          <cell r="H1693" t="str">
            <v>Y</v>
          </cell>
          <cell r="I1693" t="str">
            <v>N</v>
          </cell>
          <cell r="J1693">
            <v>190</v>
          </cell>
          <cell r="K1693">
            <v>0.99990000000000001</v>
          </cell>
          <cell r="L1693">
            <v>0.62919999999999998</v>
          </cell>
          <cell r="M1693">
            <v>23.7</v>
          </cell>
          <cell r="N1693">
            <v>2.7</v>
          </cell>
          <cell r="O1693">
            <v>0.37069999999999997</v>
          </cell>
          <cell r="P1693">
            <v>2.3199999999999998E-2</v>
          </cell>
          <cell r="Q1693">
            <v>1.23E-2</v>
          </cell>
          <cell r="R1693">
            <v>0.3352</v>
          </cell>
          <cell r="S1693" t="str">
            <v>NA</v>
          </cell>
          <cell r="T1693">
            <v>59.7</v>
          </cell>
          <cell r="U1693">
            <v>4.8</v>
          </cell>
          <cell r="V1693">
            <v>72.900000000000006</v>
          </cell>
          <cell r="W1693">
            <v>7.4</v>
          </cell>
          <cell r="X1693">
            <v>54.2</v>
          </cell>
          <cell r="Y1693">
            <v>7</v>
          </cell>
          <cell r="Z1693" t="str">
            <v>NA</v>
          </cell>
          <cell r="AA1693" t="str">
            <v>NA</v>
          </cell>
        </row>
        <row r="1694">
          <cell r="A1694">
            <v>45177</v>
          </cell>
          <cell r="B1694" t="str">
            <v>A1</v>
          </cell>
          <cell r="C1694">
            <v>1</v>
          </cell>
          <cell r="D1694">
            <v>2</v>
          </cell>
          <cell r="E1694" t="str">
            <v>ARIS.A1.Aim2.Bin1.LB</v>
          </cell>
          <cell r="F1694">
            <v>4</v>
          </cell>
          <cell r="G1694" t="str">
            <v>SplineDFA</v>
          </cell>
          <cell r="H1694" t="str">
            <v>Y</v>
          </cell>
          <cell r="I1694" t="str">
            <v>N</v>
          </cell>
          <cell r="J1694">
            <v>196</v>
          </cell>
          <cell r="K1694">
            <v>1</v>
          </cell>
          <cell r="L1694">
            <v>0.28179999999999999</v>
          </cell>
          <cell r="M1694">
            <v>23.7</v>
          </cell>
          <cell r="N1694">
            <v>2.7</v>
          </cell>
          <cell r="O1694">
            <v>0.71819999999999995</v>
          </cell>
          <cell r="P1694">
            <v>0.14180000000000001</v>
          </cell>
          <cell r="Q1694">
            <v>2.2200000000000001E-2</v>
          </cell>
          <cell r="R1694">
            <v>0.55420000000000003</v>
          </cell>
          <cell r="S1694" t="str">
            <v>NA</v>
          </cell>
          <cell r="T1694">
            <v>59.7</v>
          </cell>
          <cell r="U1694">
            <v>4.8</v>
          </cell>
          <cell r="V1694">
            <v>72.900000000000006</v>
          </cell>
          <cell r="W1694">
            <v>7.4</v>
          </cell>
          <cell r="X1694">
            <v>54.2</v>
          </cell>
          <cell r="Y1694">
            <v>7</v>
          </cell>
          <cell r="Z1694" t="str">
            <v>NA</v>
          </cell>
          <cell r="AA1694" t="str">
            <v>NA</v>
          </cell>
        </row>
        <row r="1695">
          <cell r="A1695">
            <v>45177</v>
          </cell>
          <cell r="B1695" t="str">
            <v>A1</v>
          </cell>
          <cell r="C1695">
            <v>2</v>
          </cell>
          <cell r="D1695">
            <v>3</v>
          </cell>
          <cell r="E1695" t="str">
            <v>ARIS.A1.Aim3.Bin2.LB</v>
          </cell>
          <cell r="F1695">
            <v>4</v>
          </cell>
          <cell r="G1695" t="str">
            <v>SplineDFA</v>
          </cell>
          <cell r="H1695" t="str">
            <v>Y</v>
          </cell>
          <cell r="I1695" t="str">
            <v>N</v>
          </cell>
          <cell r="J1695">
            <v>224</v>
          </cell>
          <cell r="K1695">
            <v>1</v>
          </cell>
          <cell r="L1695">
            <v>3.8100000000000002E-2</v>
          </cell>
          <cell r="M1695">
            <v>23.7</v>
          </cell>
          <cell r="N1695">
            <v>2.7</v>
          </cell>
          <cell r="O1695">
            <v>0.96189999999999998</v>
          </cell>
          <cell r="P1695">
            <v>0.27979999999999999</v>
          </cell>
          <cell r="Q1695">
            <v>0.14699999999999999</v>
          </cell>
          <cell r="R1695">
            <v>0.53510000000000002</v>
          </cell>
          <cell r="S1695" t="str">
            <v>NA</v>
          </cell>
          <cell r="T1695">
            <v>59.7</v>
          </cell>
          <cell r="U1695">
            <v>4.8</v>
          </cell>
          <cell r="V1695">
            <v>72.900000000000006</v>
          </cell>
          <cell r="W1695">
            <v>7.4</v>
          </cell>
          <cell r="X1695">
            <v>54.2</v>
          </cell>
          <cell r="Y1695">
            <v>7</v>
          </cell>
          <cell r="Z1695" t="str">
            <v>NA</v>
          </cell>
          <cell r="AA1695" t="str">
            <v>NA</v>
          </cell>
        </row>
        <row r="1696">
          <cell r="A1696">
            <v>45177</v>
          </cell>
          <cell r="B1696" t="str">
            <v>A1</v>
          </cell>
          <cell r="C1696">
            <v>3</v>
          </cell>
          <cell r="D1696">
            <v>3</v>
          </cell>
          <cell r="E1696" t="str">
            <v>ARIS.A1.Aim3.Bin3.LB</v>
          </cell>
          <cell r="F1696">
            <v>4</v>
          </cell>
          <cell r="G1696" t="str">
            <v>SplineDFA</v>
          </cell>
          <cell r="H1696" t="str">
            <v>Y</v>
          </cell>
          <cell r="I1696" t="str">
            <v>N</v>
          </cell>
          <cell r="J1696">
            <v>208</v>
          </cell>
          <cell r="K1696">
            <v>1.0001</v>
          </cell>
          <cell r="L1696">
            <v>1.03E-2</v>
          </cell>
          <cell r="M1696">
            <v>23.7</v>
          </cell>
          <cell r="N1696">
            <v>2.7</v>
          </cell>
          <cell r="O1696">
            <v>0.98980000000000001</v>
          </cell>
          <cell r="P1696">
            <v>0.34100000000000003</v>
          </cell>
          <cell r="Q1696">
            <v>0.3745</v>
          </cell>
          <cell r="R1696">
            <v>0.27429999999999999</v>
          </cell>
          <cell r="S1696" t="str">
            <v>NA</v>
          </cell>
          <cell r="T1696">
            <v>59.7</v>
          </cell>
          <cell r="U1696">
            <v>4.8</v>
          </cell>
          <cell r="V1696">
            <v>72.900000000000006</v>
          </cell>
          <cell r="W1696">
            <v>7.4</v>
          </cell>
          <cell r="X1696">
            <v>54.2</v>
          </cell>
          <cell r="Y1696">
            <v>7</v>
          </cell>
          <cell r="Z1696" t="str">
            <v>NA</v>
          </cell>
          <cell r="AA1696" t="str">
            <v>NA</v>
          </cell>
        </row>
        <row r="1697">
          <cell r="A1697">
            <v>45177</v>
          </cell>
          <cell r="B1697" t="str">
            <v>A1</v>
          </cell>
          <cell r="C1697">
            <v>4</v>
          </cell>
          <cell r="D1697">
            <v>3</v>
          </cell>
          <cell r="E1697" t="str">
            <v>ARIS.A1.Aim3.Bin4.LB</v>
          </cell>
          <cell r="F1697">
            <v>4</v>
          </cell>
          <cell r="G1697" t="str">
            <v>SplineDFA</v>
          </cell>
          <cell r="H1697" t="str">
            <v>Y</v>
          </cell>
          <cell r="I1697" t="str">
            <v>N</v>
          </cell>
          <cell r="J1697">
            <v>208</v>
          </cell>
          <cell r="K1697">
            <v>1.0001</v>
          </cell>
          <cell r="L1697">
            <v>1.03E-2</v>
          </cell>
          <cell r="M1697">
            <v>23.7</v>
          </cell>
          <cell r="N1697">
            <v>2.7</v>
          </cell>
          <cell r="O1697">
            <v>0.98980000000000001</v>
          </cell>
          <cell r="P1697">
            <v>0.34100000000000003</v>
          </cell>
          <cell r="Q1697">
            <v>0.3745</v>
          </cell>
          <cell r="R1697">
            <v>0.27429999999999999</v>
          </cell>
          <cell r="S1697" t="str">
            <v>NA</v>
          </cell>
          <cell r="T1697">
            <v>59.7</v>
          </cell>
          <cell r="U1697">
            <v>4.8</v>
          </cell>
          <cell r="V1697">
            <v>72.900000000000006</v>
          </cell>
          <cell r="W1697">
            <v>7.4</v>
          </cell>
          <cell r="X1697">
            <v>54.2</v>
          </cell>
          <cell r="Y1697">
            <v>7</v>
          </cell>
          <cell r="Z1697" t="str">
            <v>NA</v>
          </cell>
          <cell r="AA1697" t="str">
            <v>NA</v>
          </cell>
        </row>
        <row r="1698">
          <cell r="A1698">
            <v>45177</v>
          </cell>
          <cell r="B1698" t="str">
            <v>A2</v>
          </cell>
          <cell r="C1698">
            <v>1</v>
          </cell>
          <cell r="D1698">
            <v>1</v>
          </cell>
          <cell r="E1698" t="str">
            <v>ARIS.A2.Aim1.Bin1.RB</v>
          </cell>
          <cell r="F1698">
            <v>4</v>
          </cell>
          <cell r="G1698" t="str">
            <v>SplineDFA</v>
          </cell>
          <cell r="H1698" t="str">
            <v>Y</v>
          </cell>
          <cell r="I1698" t="str">
            <v>N</v>
          </cell>
          <cell r="J1698">
            <v>175</v>
          </cell>
          <cell r="K1698">
            <v>1</v>
          </cell>
          <cell r="L1698">
            <v>0.1404</v>
          </cell>
          <cell r="M1698">
            <v>23.7</v>
          </cell>
          <cell r="N1698">
            <v>2.7</v>
          </cell>
          <cell r="O1698">
            <v>0.85960000000000003</v>
          </cell>
          <cell r="P1698">
            <v>0.1623</v>
          </cell>
          <cell r="Q1698">
            <v>7.6499999999999999E-2</v>
          </cell>
          <cell r="R1698">
            <v>0.62080000000000002</v>
          </cell>
          <cell r="S1698" t="str">
            <v>NA</v>
          </cell>
          <cell r="T1698">
            <v>59.7</v>
          </cell>
          <cell r="U1698">
            <v>4.8</v>
          </cell>
          <cell r="V1698">
            <v>72.900000000000006</v>
          </cell>
          <cell r="W1698">
            <v>7.4</v>
          </cell>
          <cell r="X1698">
            <v>54.2</v>
          </cell>
          <cell r="Y1698">
            <v>7</v>
          </cell>
          <cell r="Z1698" t="str">
            <v>NA</v>
          </cell>
          <cell r="AA1698" t="str">
            <v>NA</v>
          </cell>
        </row>
        <row r="1699">
          <cell r="A1699">
            <v>45177</v>
          </cell>
          <cell r="B1699" t="str">
            <v>A2</v>
          </cell>
          <cell r="C1699">
            <v>2</v>
          </cell>
          <cell r="D1699">
            <v>1</v>
          </cell>
          <cell r="E1699" t="str">
            <v>ARIS.A2.Aim1.Bin2.RB</v>
          </cell>
          <cell r="F1699">
            <v>4</v>
          </cell>
          <cell r="G1699" t="str">
            <v>SplineDFA</v>
          </cell>
          <cell r="H1699" t="str">
            <v>Y</v>
          </cell>
          <cell r="I1699" t="str">
            <v>N</v>
          </cell>
          <cell r="J1699">
            <v>175</v>
          </cell>
          <cell r="K1699">
            <v>1</v>
          </cell>
          <cell r="L1699">
            <v>0.1053</v>
          </cell>
          <cell r="M1699">
            <v>23.7</v>
          </cell>
          <cell r="N1699">
            <v>2.7</v>
          </cell>
          <cell r="O1699">
            <v>0.89470000000000005</v>
          </cell>
          <cell r="P1699">
            <v>0.24030000000000001</v>
          </cell>
          <cell r="Q1699">
            <v>0.18970000000000001</v>
          </cell>
          <cell r="R1699">
            <v>0.4647</v>
          </cell>
          <cell r="S1699" t="str">
            <v>NA</v>
          </cell>
          <cell r="T1699">
            <v>59.7</v>
          </cell>
          <cell r="U1699">
            <v>4.8</v>
          </cell>
          <cell r="V1699">
            <v>72.900000000000006</v>
          </cell>
          <cell r="W1699">
            <v>7.4</v>
          </cell>
          <cell r="X1699">
            <v>54.2</v>
          </cell>
          <cell r="Y1699">
            <v>7</v>
          </cell>
          <cell r="Z1699" t="str">
            <v>NA</v>
          </cell>
          <cell r="AA1699" t="str">
            <v>NA</v>
          </cell>
        </row>
        <row r="1700">
          <cell r="A1700">
            <v>45177</v>
          </cell>
          <cell r="B1700" t="str">
            <v>A2</v>
          </cell>
          <cell r="C1700">
            <v>3</v>
          </cell>
          <cell r="D1700">
            <v>1</v>
          </cell>
          <cell r="E1700" t="str">
            <v>ARIS.A2.Aim1.Bin3.RB</v>
          </cell>
          <cell r="F1700">
            <v>4</v>
          </cell>
          <cell r="G1700" t="str">
            <v>SplineDFA</v>
          </cell>
          <cell r="H1700" t="str">
            <v>Y</v>
          </cell>
          <cell r="I1700" t="str">
            <v>N</v>
          </cell>
          <cell r="J1700">
            <v>141</v>
          </cell>
          <cell r="K1700">
            <v>1</v>
          </cell>
          <cell r="L1700">
            <v>0</v>
          </cell>
          <cell r="M1700">
            <v>23.7</v>
          </cell>
          <cell r="N1700">
            <v>2.7</v>
          </cell>
          <cell r="O1700">
            <v>1</v>
          </cell>
          <cell r="P1700">
            <v>0.29899999999999999</v>
          </cell>
          <cell r="Q1700">
            <v>0.39040000000000002</v>
          </cell>
          <cell r="R1700">
            <v>0.31059999999999999</v>
          </cell>
          <cell r="S1700" t="str">
            <v>NA</v>
          </cell>
          <cell r="T1700">
            <v>59.7</v>
          </cell>
          <cell r="U1700">
            <v>4.8</v>
          </cell>
          <cell r="V1700">
            <v>72.900000000000006</v>
          </cell>
          <cell r="W1700">
            <v>7.4</v>
          </cell>
          <cell r="X1700">
            <v>54.2</v>
          </cell>
          <cell r="Y1700">
            <v>7</v>
          </cell>
          <cell r="Z1700" t="str">
            <v>NA</v>
          </cell>
          <cell r="AA1700" t="str">
            <v>NA</v>
          </cell>
        </row>
        <row r="1701">
          <cell r="A1701">
            <v>45177</v>
          </cell>
          <cell r="B1701" t="str">
            <v>A2</v>
          </cell>
          <cell r="C1701">
            <v>4</v>
          </cell>
          <cell r="D1701">
            <v>1</v>
          </cell>
          <cell r="E1701" t="str">
            <v>ARIS.A2.Aim1.Bin4.RB</v>
          </cell>
          <cell r="F1701">
            <v>4</v>
          </cell>
          <cell r="G1701" t="str">
            <v>SplineDFA</v>
          </cell>
          <cell r="H1701" t="str">
            <v>Y</v>
          </cell>
          <cell r="I1701" t="str">
            <v>N</v>
          </cell>
          <cell r="J1701">
            <v>141</v>
          </cell>
          <cell r="K1701">
            <v>1</v>
          </cell>
          <cell r="L1701">
            <v>0</v>
          </cell>
          <cell r="M1701">
            <v>23.7</v>
          </cell>
          <cell r="N1701">
            <v>2.7</v>
          </cell>
          <cell r="O1701">
            <v>1</v>
          </cell>
          <cell r="P1701">
            <v>0.29899999999999999</v>
          </cell>
          <cell r="Q1701">
            <v>0.39040000000000002</v>
          </cell>
          <cell r="R1701">
            <v>0.31059999999999999</v>
          </cell>
          <cell r="S1701" t="str">
            <v>NA</v>
          </cell>
          <cell r="T1701">
            <v>59.7</v>
          </cell>
          <cell r="U1701">
            <v>4.8</v>
          </cell>
          <cell r="V1701">
            <v>72.900000000000006</v>
          </cell>
          <cell r="W1701">
            <v>7.4</v>
          </cell>
          <cell r="X1701">
            <v>54.2</v>
          </cell>
          <cell r="Y1701">
            <v>7</v>
          </cell>
          <cell r="Z1701" t="str">
            <v>NA</v>
          </cell>
          <cell r="AA1701" t="str">
            <v>NA</v>
          </cell>
        </row>
        <row r="1702">
          <cell r="A1702">
            <v>45178</v>
          </cell>
          <cell r="B1702" t="str">
            <v>A1</v>
          </cell>
          <cell r="C1702">
            <v>1</v>
          </cell>
          <cell r="D1702">
            <v>1</v>
          </cell>
          <cell r="E1702" t="str">
            <v>ARIS.A1.Aim1.Bin1.LB</v>
          </cell>
          <cell r="F1702">
            <v>4</v>
          </cell>
          <cell r="G1702" t="str">
            <v>Unweighted</v>
          </cell>
          <cell r="H1702" t="str">
            <v>N</v>
          </cell>
          <cell r="I1702" t="str">
            <v>Y</v>
          </cell>
          <cell r="J1702">
            <v>163</v>
          </cell>
          <cell r="K1702">
            <v>1.0001</v>
          </cell>
          <cell r="L1702">
            <v>0.7339</v>
          </cell>
          <cell r="M1702">
            <v>22.5</v>
          </cell>
          <cell r="N1702">
            <v>6.2</v>
          </cell>
          <cell r="O1702">
            <v>0.26619999999999999</v>
          </cell>
          <cell r="P1702">
            <v>0</v>
          </cell>
          <cell r="Q1702">
            <v>1.1999999999999999E-3</v>
          </cell>
          <cell r="R1702">
            <v>0.26500000000000001</v>
          </cell>
          <cell r="S1702" t="str">
            <v>NA</v>
          </cell>
          <cell r="T1702">
            <v>59.7</v>
          </cell>
          <cell r="U1702">
            <v>4.8</v>
          </cell>
          <cell r="V1702">
            <v>72.900000000000006</v>
          </cell>
          <cell r="W1702">
            <v>7.4</v>
          </cell>
          <cell r="X1702">
            <v>54.2</v>
          </cell>
          <cell r="Y1702">
            <v>7</v>
          </cell>
          <cell r="Z1702" t="str">
            <v>NA</v>
          </cell>
          <cell r="AA1702" t="str">
            <v>NA</v>
          </cell>
        </row>
        <row r="1703">
          <cell r="A1703">
            <v>45178</v>
          </cell>
          <cell r="B1703" t="str">
            <v>A1</v>
          </cell>
          <cell r="C1703">
            <v>1</v>
          </cell>
          <cell r="D1703">
            <v>2</v>
          </cell>
          <cell r="E1703" t="str">
            <v>ARIS.A1.Aim2.Bin1.LB</v>
          </cell>
          <cell r="F1703">
            <v>4</v>
          </cell>
          <cell r="G1703" t="str">
            <v>Unweighted</v>
          </cell>
          <cell r="H1703" t="str">
            <v>N</v>
          </cell>
          <cell r="I1703" t="str">
            <v>Y</v>
          </cell>
          <cell r="J1703">
            <v>179</v>
          </cell>
          <cell r="K1703">
            <v>1</v>
          </cell>
          <cell r="L1703">
            <v>0.5333</v>
          </cell>
          <cell r="M1703">
            <v>19.399999999999999</v>
          </cell>
          <cell r="N1703">
            <v>8.6999999999999993</v>
          </cell>
          <cell r="O1703">
            <v>0.4667</v>
          </cell>
          <cell r="P1703">
            <v>0.1129</v>
          </cell>
          <cell r="Q1703">
            <v>0</v>
          </cell>
          <cell r="R1703">
            <v>0.3538</v>
          </cell>
          <cell r="S1703" t="str">
            <v>NA</v>
          </cell>
          <cell r="T1703">
            <v>59.7</v>
          </cell>
          <cell r="U1703">
            <v>4.8</v>
          </cell>
          <cell r="V1703">
            <v>72.900000000000006</v>
          </cell>
          <cell r="W1703">
            <v>7.4</v>
          </cell>
          <cell r="X1703">
            <v>54.2</v>
          </cell>
          <cell r="Y1703">
            <v>7</v>
          </cell>
          <cell r="Z1703" t="str">
            <v>NA</v>
          </cell>
          <cell r="AA1703" t="str">
            <v>NA</v>
          </cell>
        </row>
        <row r="1704">
          <cell r="A1704">
            <v>45178</v>
          </cell>
          <cell r="B1704" t="str">
            <v>A1</v>
          </cell>
          <cell r="C1704">
            <v>1</v>
          </cell>
          <cell r="D1704" t="str">
            <v>1&amp;2</v>
          </cell>
          <cell r="E1704" t="str">
            <v>ARIS.A1.Aim1&amp;Aim2.Bin1.LB</v>
          </cell>
          <cell r="F1704">
            <v>4</v>
          </cell>
          <cell r="G1704" t="str">
            <v>Unweighted</v>
          </cell>
          <cell r="H1704" t="str">
            <v>N</v>
          </cell>
          <cell r="I1704" t="str">
            <v>Y</v>
          </cell>
          <cell r="J1704">
            <v>342</v>
          </cell>
          <cell r="K1704">
            <v>0.99990000000000001</v>
          </cell>
          <cell r="L1704">
            <v>0.63149999999999995</v>
          </cell>
          <cell r="M1704">
            <v>21.1</v>
          </cell>
          <cell r="N1704">
            <v>7.5</v>
          </cell>
          <cell r="O1704">
            <v>0.36840000000000001</v>
          </cell>
          <cell r="P1704">
            <v>5.21E-2</v>
          </cell>
          <cell r="Q1704">
            <v>0</v>
          </cell>
          <cell r="R1704">
            <v>0.31630000000000003</v>
          </cell>
          <cell r="S1704" t="str">
            <v>NA</v>
          </cell>
          <cell r="T1704">
            <v>59.7</v>
          </cell>
          <cell r="U1704">
            <v>4.8</v>
          </cell>
          <cell r="V1704">
            <v>72.900000000000006</v>
          </cell>
          <cell r="W1704">
            <v>7.4</v>
          </cell>
          <cell r="X1704">
            <v>54.2</v>
          </cell>
          <cell r="Y1704">
            <v>7</v>
          </cell>
          <cell r="Z1704" t="str">
            <v>NA</v>
          </cell>
          <cell r="AA1704" t="str">
            <v>NA</v>
          </cell>
        </row>
        <row r="1705">
          <cell r="A1705">
            <v>45178</v>
          </cell>
          <cell r="B1705" t="str">
            <v>A1</v>
          </cell>
          <cell r="C1705">
            <v>2</v>
          </cell>
          <cell r="D1705">
            <v>3</v>
          </cell>
          <cell r="E1705" t="str">
            <v>ARIS.A1.Aim3.Bin2.LB</v>
          </cell>
          <cell r="F1705">
            <v>4</v>
          </cell>
          <cell r="G1705" t="str">
            <v>Unweighted</v>
          </cell>
          <cell r="H1705" t="str">
            <v>N</v>
          </cell>
          <cell r="I1705" t="str">
            <v>Y</v>
          </cell>
          <cell r="J1705">
            <v>173</v>
          </cell>
          <cell r="K1705">
            <v>1.0001</v>
          </cell>
          <cell r="L1705">
            <v>3.44E-2</v>
          </cell>
          <cell r="M1705">
            <v>28.3</v>
          </cell>
          <cell r="N1705">
            <v>2.8</v>
          </cell>
          <cell r="O1705">
            <v>0.9657</v>
          </cell>
          <cell r="P1705">
            <v>0</v>
          </cell>
          <cell r="Q1705">
            <v>4.8599999999999997E-2</v>
          </cell>
          <cell r="R1705">
            <v>0.91710000000000003</v>
          </cell>
          <cell r="S1705" t="str">
            <v>NA</v>
          </cell>
          <cell r="T1705">
            <v>59.7</v>
          </cell>
          <cell r="U1705">
            <v>4.8</v>
          </cell>
          <cell r="V1705">
            <v>72.900000000000006</v>
          </cell>
          <cell r="W1705">
            <v>7.4</v>
          </cell>
          <cell r="X1705">
            <v>54.2</v>
          </cell>
          <cell r="Y1705">
            <v>7</v>
          </cell>
          <cell r="Z1705" t="str">
            <v>NA</v>
          </cell>
          <cell r="AA1705" t="str">
            <v>NA</v>
          </cell>
        </row>
        <row r="1706">
          <cell r="A1706">
            <v>45178</v>
          </cell>
          <cell r="B1706" t="str">
            <v>A1</v>
          </cell>
          <cell r="C1706">
            <v>3</v>
          </cell>
          <cell r="D1706">
            <v>3</v>
          </cell>
          <cell r="E1706" t="str">
            <v>ARIS.A1.Aim3.Bin3.LB</v>
          </cell>
          <cell r="F1706">
            <v>4</v>
          </cell>
          <cell r="G1706" t="str">
            <v>Unweighted</v>
          </cell>
          <cell r="H1706" t="str">
            <v>N</v>
          </cell>
          <cell r="I1706" t="str">
            <v>Y</v>
          </cell>
          <cell r="J1706">
            <v>223</v>
          </cell>
          <cell r="K1706">
            <v>1</v>
          </cell>
          <cell r="L1706">
            <v>3.44E-2</v>
          </cell>
          <cell r="M1706">
            <v>30.2</v>
          </cell>
          <cell r="N1706">
            <v>1.8</v>
          </cell>
          <cell r="O1706">
            <v>0.96560000000000001</v>
          </cell>
          <cell r="P1706">
            <v>0</v>
          </cell>
          <cell r="Q1706">
            <v>0.20749999999999999</v>
          </cell>
          <cell r="R1706">
            <v>0.7581</v>
          </cell>
          <cell r="S1706" t="str">
            <v>NA</v>
          </cell>
          <cell r="T1706">
            <v>59.7</v>
          </cell>
          <cell r="U1706">
            <v>4.8</v>
          </cell>
          <cell r="V1706">
            <v>72.900000000000006</v>
          </cell>
          <cell r="W1706">
            <v>7.4</v>
          </cell>
          <cell r="X1706">
            <v>54.2</v>
          </cell>
          <cell r="Y1706">
            <v>7</v>
          </cell>
          <cell r="Z1706" t="str">
            <v>NA</v>
          </cell>
          <cell r="AA1706" t="str">
            <v>NA</v>
          </cell>
        </row>
        <row r="1707">
          <cell r="A1707">
            <v>45178</v>
          </cell>
          <cell r="B1707" t="str">
            <v>A1</v>
          </cell>
          <cell r="C1707">
            <v>4</v>
          </cell>
          <cell r="D1707">
            <v>3</v>
          </cell>
          <cell r="E1707" t="str">
            <v>ARIS.A1.Aim3.Bin4.LB</v>
          </cell>
          <cell r="F1707">
            <v>4</v>
          </cell>
          <cell r="G1707" t="str">
            <v>Unweighted</v>
          </cell>
          <cell r="H1707" t="str">
            <v>N</v>
          </cell>
          <cell r="I1707" t="str">
            <v>Y</v>
          </cell>
          <cell r="J1707">
            <v>223</v>
          </cell>
          <cell r="K1707">
            <v>1</v>
          </cell>
          <cell r="L1707">
            <v>3.44E-2</v>
          </cell>
          <cell r="M1707">
            <v>30.2</v>
          </cell>
          <cell r="N1707">
            <v>1.8</v>
          </cell>
          <cell r="O1707">
            <v>0.96560000000000001</v>
          </cell>
          <cell r="P1707">
            <v>0</v>
          </cell>
          <cell r="Q1707">
            <v>0.20749999999999999</v>
          </cell>
          <cell r="R1707">
            <v>0.7581</v>
          </cell>
          <cell r="S1707" t="str">
            <v>NA</v>
          </cell>
          <cell r="T1707">
            <v>59.7</v>
          </cell>
          <cell r="U1707">
            <v>4.8</v>
          </cell>
          <cell r="V1707">
            <v>72.900000000000006</v>
          </cell>
          <cell r="W1707">
            <v>7.4</v>
          </cell>
          <cell r="X1707">
            <v>54.2</v>
          </cell>
          <cell r="Y1707">
            <v>7</v>
          </cell>
          <cell r="Z1707" t="str">
            <v>NA</v>
          </cell>
          <cell r="AA1707" t="str">
            <v>NA</v>
          </cell>
        </row>
        <row r="1708">
          <cell r="A1708">
            <v>45178</v>
          </cell>
          <cell r="B1708" t="str">
            <v>A2</v>
          </cell>
          <cell r="C1708">
            <v>1</v>
          </cell>
          <cell r="D1708">
            <v>1</v>
          </cell>
          <cell r="E1708" t="str">
            <v>ARIS.A2.Aim1.Bin1.RB</v>
          </cell>
          <cell r="F1708">
            <v>4</v>
          </cell>
          <cell r="G1708" t="str">
            <v>Unweighted</v>
          </cell>
          <cell r="H1708" t="str">
            <v>N</v>
          </cell>
          <cell r="I1708" t="str">
            <v>Y</v>
          </cell>
          <cell r="J1708">
            <v>175</v>
          </cell>
          <cell r="K1708">
            <v>1</v>
          </cell>
          <cell r="L1708">
            <v>0.28710000000000002</v>
          </cell>
          <cell r="M1708">
            <v>19.3</v>
          </cell>
          <cell r="N1708">
            <v>7.7</v>
          </cell>
          <cell r="O1708">
            <v>0.71289999999999998</v>
          </cell>
          <cell r="P1708">
            <v>0</v>
          </cell>
          <cell r="Q1708">
            <v>1.12E-2</v>
          </cell>
          <cell r="R1708">
            <v>0.70169999999999999</v>
          </cell>
          <cell r="S1708" t="str">
            <v>NA</v>
          </cell>
          <cell r="T1708">
            <v>59.7</v>
          </cell>
          <cell r="U1708">
            <v>4.8</v>
          </cell>
          <cell r="V1708">
            <v>72.900000000000006</v>
          </cell>
          <cell r="W1708">
            <v>7.4</v>
          </cell>
          <cell r="X1708">
            <v>54.2</v>
          </cell>
          <cell r="Y1708">
            <v>7</v>
          </cell>
          <cell r="Z1708" t="str">
            <v>NA</v>
          </cell>
          <cell r="AA1708" t="str">
            <v>NA</v>
          </cell>
        </row>
        <row r="1709">
          <cell r="A1709">
            <v>45178</v>
          </cell>
          <cell r="B1709" t="str">
            <v>A2</v>
          </cell>
          <cell r="C1709">
            <v>2</v>
          </cell>
          <cell r="D1709">
            <v>1</v>
          </cell>
          <cell r="E1709" t="str">
            <v>ARIS.A2.Aim1.Bin2.RB</v>
          </cell>
          <cell r="F1709">
            <v>4</v>
          </cell>
          <cell r="G1709" t="str">
            <v>Unweighted</v>
          </cell>
          <cell r="H1709" t="str">
            <v>N</v>
          </cell>
          <cell r="I1709" t="str">
            <v>Y</v>
          </cell>
          <cell r="J1709">
            <v>172</v>
          </cell>
          <cell r="K1709">
            <v>1</v>
          </cell>
          <cell r="L1709">
            <v>0.21579999999999999</v>
          </cell>
          <cell r="M1709">
            <v>28.2</v>
          </cell>
          <cell r="N1709">
            <v>3.8</v>
          </cell>
          <cell r="O1709">
            <v>0.78420000000000001</v>
          </cell>
          <cell r="P1709">
            <v>0</v>
          </cell>
          <cell r="Q1709">
            <v>0.12280000000000001</v>
          </cell>
          <cell r="R1709">
            <v>0.66139999999999999</v>
          </cell>
          <cell r="S1709" t="str">
            <v>NA</v>
          </cell>
          <cell r="T1709">
            <v>59.7</v>
          </cell>
          <cell r="U1709">
            <v>4.8</v>
          </cell>
          <cell r="V1709">
            <v>72.900000000000006</v>
          </cell>
          <cell r="W1709">
            <v>7.4</v>
          </cell>
          <cell r="X1709">
            <v>54.2</v>
          </cell>
          <cell r="Y1709">
            <v>7</v>
          </cell>
          <cell r="Z1709" t="str">
            <v>NA</v>
          </cell>
          <cell r="AA1709" t="str">
            <v>NA</v>
          </cell>
        </row>
        <row r="1710">
          <cell r="A1710">
            <v>45178</v>
          </cell>
          <cell r="B1710" t="str">
            <v>A2</v>
          </cell>
          <cell r="C1710">
            <v>3</v>
          </cell>
          <cell r="D1710">
            <v>1</v>
          </cell>
          <cell r="E1710" t="str">
            <v>ARIS.A2.Aim1.Bin3.RB</v>
          </cell>
          <cell r="F1710">
            <v>4</v>
          </cell>
          <cell r="G1710" t="str">
            <v>Unweighted</v>
          </cell>
          <cell r="H1710" t="str">
            <v>N</v>
          </cell>
          <cell r="I1710" t="str">
            <v>Y</v>
          </cell>
          <cell r="J1710">
            <v>183</v>
          </cell>
          <cell r="K1710">
            <v>0.99990000000000001</v>
          </cell>
          <cell r="L1710">
            <v>7.8200000000000006E-2</v>
          </cell>
          <cell r="M1710">
            <v>31.8</v>
          </cell>
          <cell r="N1710">
            <v>1.7</v>
          </cell>
          <cell r="O1710">
            <v>0.92169999999999996</v>
          </cell>
          <cell r="P1710">
            <v>0</v>
          </cell>
          <cell r="Q1710">
            <v>0.47220000000000001</v>
          </cell>
          <cell r="R1710">
            <v>0.44950000000000001</v>
          </cell>
          <cell r="S1710" t="str">
            <v>NA</v>
          </cell>
          <cell r="T1710">
            <v>59.7</v>
          </cell>
          <cell r="U1710">
            <v>4.8</v>
          </cell>
          <cell r="V1710">
            <v>72.900000000000006</v>
          </cell>
          <cell r="W1710">
            <v>7.4</v>
          </cell>
          <cell r="X1710">
            <v>54.2</v>
          </cell>
          <cell r="Y1710">
            <v>7</v>
          </cell>
          <cell r="Z1710" t="str">
            <v>NA</v>
          </cell>
          <cell r="AA1710" t="str">
            <v>NA</v>
          </cell>
        </row>
        <row r="1711">
          <cell r="A1711">
            <v>45178</v>
          </cell>
          <cell r="B1711" t="str">
            <v>A2</v>
          </cell>
          <cell r="C1711">
            <v>4</v>
          </cell>
          <cell r="D1711">
            <v>1</v>
          </cell>
          <cell r="E1711" t="str">
            <v>ARIS.A2.Aim1.Bin4.RB</v>
          </cell>
          <cell r="F1711">
            <v>4</v>
          </cell>
          <cell r="G1711" t="str">
            <v>Unweighted</v>
          </cell>
          <cell r="H1711" t="str">
            <v>N</v>
          </cell>
          <cell r="I1711" t="str">
            <v>Y</v>
          </cell>
          <cell r="J1711">
            <v>183</v>
          </cell>
          <cell r="K1711">
            <v>0.99990000000000001</v>
          </cell>
          <cell r="L1711">
            <v>7.8200000000000006E-2</v>
          </cell>
          <cell r="M1711">
            <v>31.8</v>
          </cell>
          <cell r="N1711">
            <v>1.7</v>
          </cell>
          <cell r="O1711">
            <v>0.92169999999999996</v>
          </cell>
          <cell r="P1711">
            <v>0</v>
          </cell>
          <cell r="Q1711">
            <v>0.47220000000000001</v>
          </cell>
          <cell r="R1711">
            <v>0.44950000000000001</v>
          </cell>
          <cell r="S1711" t="str">
            <v>NA</v>
          </cell>
          <cell r="T1711">
            <v>59.7</v>
          </cell>
          <cell r="U1711">
            <v>4.8</v>
          </cell>
          <cell r="V1711">
            <v>72.900000000000006</v>
          </cell>
          <cell r="W1711">
            <v>7.4</v>
          </cell>
          <cell r="X1711">
            <v>54.2</v>
          </cell>
          <cell r="Y1711">
            <v>7</v>
          </cell>
          <cell r="Z1711" t="str">
            <v>NA</v>
          </cell>
          <cell r="AA1711" t="str">
            <v>NA</v>
          </cell>
        </row>
        <row r="1712">
          <cell r="A1712">
            <v>45178</v>
          </cell>
          <cell r="B1712" t="str">
            <v>A1</v>
          </cell>
          <cell r="C1712">
            <v>1</v>
          </cell>
          <cell r="D1712">
            <v>1</v>
          </cell>
          <cell r="E1712" t="str">
            <v>ARIS.A1.Aim1.Bin1.LB</v>
          </cell>
          <cell r="F1712">
            <v>4</v>
          </cell>
          <cell r="G1712" t="str">
            <v>SplineDFA</v>
          </cell>
          <cell r="H1712" t="str">
            <v>Y</v>
          </cell>
          <cell r="I1712" t="str">
            <v>N</v>
          </cell>
          <cell r="J1712">
            <v>163</v>
          </cell>
          <cell r="K1712">
            <v>1.0001</v>
          </cell>
          <cell r="L1712">
            <v>0.74670000000000003</v>
          </cell>
          <cell r="M1712">
            <v>23.7</v>
          </cell>
          <cell r="N1712">
            <v>2.7</v>
          </cell>
          <cell r="O1712">
            <v>0.25340000000000001</v>
          </cell>
          <cell r="P1712">
            <v>1.0200000000000001E-2</v>
          </cell>
          <cell r="Q1712">
            <v>1.12E-2</v>
          </cell>
          <cell r="R1712">
            <v>0.23200000000000001</v>
          </cell>
          <cell r="S1712" t="str">
            <v>NA</v>
          </cell>
          <cell r="T1712">
            <v>59.7</v>
          </cell>
          <cell r="U1712">
            <v>4.8</v>
          </cell>
          <cell r="V1712">
            <v>72.900000000000006</v>
          </cell>
          <cell r="W1712">
            <v>7.4</v>
          </cell>
          <cell r="X1712">
            <v>54.2</v>
          </cell>
          <cell r="Y1712">
            <v>7</v>
          </cell>
          <cell r="Z1712" t="str">
            <v>NA</v>
          </cell>
          <cell r="AA1712" t="str">
            <v>NA</v>
          </cell>
        </row>
        <row r="1713">
          <cell r="A1713">
            <v>45178</v>
          </cell>
          <cell r="B1713" t="str">
            <v>A1</v>
          </cell>
          <cell r="C1713">
            <v>1</v>
          </cell>
          <cell r="D1713">
            <v>2</v>
          </cell>
          <cell r="E1713" t="str">
            <v>ARIS.A1.Aim2.Bin1.LB</v>
          </cell>
          <cell r="F1713">
            <v>4</v>
          </cell>
          <cell r="G1713" t="str">
            <v>SplineDFA</v>
          </cell>
          <cell r="H1713" t="str">
            <v>Y</v>
          </cell>
          <cell r="I1713" t="str">
            <v>N</v>
          </cell>
          <cell r="J1713">
            <v>179</v>
          </cell>
          <cell r="K1713">
            <v>0.99990000000000001</v>
          </cell>
          <cell r="L1713">
            <v>0.46129999999999999</v>
          </cell>
          <cell r="M1713">
            <v>23.7</v>
          </cell>
          <cell r="N1713">
            <v>2.7</v>
          </cell>
          <cell r="O1713">
            <v>0.53859999999999997</v>
          </cell>
          <cell r="P1713">
            <v>0.13150000000000001</v>
          </cell>
          <cell r="Q1713">
            <v>2.8999999999999998E-3</v>
          </cell>
          <cell r="R1713">
            <v>0.4042</v>
          </cell>
          <cell r="S1713" t="str">
            <v>NA</v>
          </cell>
          <cell r="T1713">
            <v>59.7</v>
          </cell>
          <cell r="U1713">
            <v>4.8</v>
          </cell>
          <cell r="V1713">
            <v>72.900000000000006</v>
          </cell>
          <cell r="W1713">
            <v>7.4</v>
          </cell>
          <cell r="X1713">
            <v>54.2</v>
          </cell>
          <cell r="Y1713">
            <v>7</v>
          </cell>
          <cell r="Z1713" t="str">
            <v>NA</v>
          </cell>
          <cell r="AA1713" t="str">
            <v>NA</v>
          </cell>
        </row>
        <row r="1714">
          <cell r="A1714">
            <v>45178</v>
          </cell>
          <cell r="B1714" t="str">
            <v>A1</v>
          </cell>
          <cell r="C1714">
            <v>2</v>
          </cell>
          <cell r="D1714">
            <v>3</v>
          </cell>
          <cell r="E1714" t="str">
            <v>ARIS.A1.Aim3.Bin2.LB</v>
          </cell>
          <cell r="F1714">
            <v>4</v>
          </cell>
          <cell r="G1714" t="str">
            <v>SplineDFA</v>
          </cell>
          <cell r="H1714" t="str">
            <v>Y</v>
          </cell>
          <cell r="I1714" t="str">
            <v>N</v>
          </cell>
          <cell r="J1714">
            <v>173</v>
          </cell>
          <cell r="K1714">
            <v>1</v>
          </cell>
          <cell r="L1714">
            <v>5.6000000000000001E-2</v>
          </cell>
          <cell r="M1714">
            <v>23.7</v>
          </cell>
          <cell r="N1714">
            <v>2.7</v>
          </cell>
          <cell r="O1714">
            <v>0.94399999999999995</v>
          </cell>
          <cell r="P1714">
            <v>0.26740000000000003</v>
          </cell>
          <cell r="Q1714">
            <v>0.11310000000000001</v>
          </cell>
          <cell r="R1714">
            <v>0.5635</v>
          </cell>
          <cell r="S1714" t="str">
            <v>NA</v>
          </cell>
          <cell r="T1714">
            <v>59.7</v>
          </cell>
          <cell r="U1714">
            <v>4.8</v>
          </cell>
          <cell r="V1714">
            <v>72.900000000000006</v>
          </cell>
          <cell r="W1714">
            <v>7.4</v>
          </cell>
          <cell r="X1714">
            <v>54.2</v>
          </cell>
          <cell r="Y1714">
            <v>7</v>
          </cell>
          <cell r="Z1714" t="str">
            <v>NA</v>
          </cell>
          <cell r="AA1714" t="str">
            <v>NA</v>
          </cell>
        </row>
        <row r="1715">
          <cell r="A1715">
            <v>45178</v>
          </cell>
          <cell r="B1715" t="str">
            <v>A1</v>
          </cell>
          <cell r="C1715">
            <v>3</v>
          </cell>
          <cell r="D1715">
            <v>3</v>
          </cell>
          <cell r="E1715" t="str">
            <v>ARIS.A1.Aim3.Bin3.LB</v>
          </cell>
          <cell r="F1715">
            <v>4</v>
          </cell>
          <cell r="G1715" t="str">
            <v>SplineDFA</v>
          </cell>
          <cell r="H1715" t="str">
            <v>Y</v>
          </cell>
          <cell r="I1715" t="str">
            <v>N</v>
          </cell>
          <cell r="J1715">
            <v>223</v>
          </cell>
          <cell r="K1715">
            <v>1</v>
          </cell>
          <cell r="L1715">
            <v>1.5800000000000002E-2</v>
          </cell>
          <cell r="M1715">
            <v>23.7</v>
          </cell>
          <cell r="N1715">
            <v>2.7</v>
          </cell>
          <cell r="O1715">
            <v>0.98419999999999996</v>
          </cell>
          <cell r="P1715">
            <v>0.33589999999999998</v>
          </cell>
          <cell r="Q1715">
            <v>0.22020000000000001</v>
          </cell>
          <cell r="R1715">
            <v>0.42809999999999998</v>
          </cell>
          <cell r="S1715" t="str">
            <v>NA</v>
          </cell>
          <cell r="T1715">
            <v>59.7</v>
          </cell>
          <cell r="U1715">
            <v>4.8</v>
          </cell>
          <cell r="V1715">
            <v>72.900000000000006</v>
          </cell>
          <cell r="W1715">
            <v>7.4</v>
          </cell>
          <cell r="X1715">
            <v>54.2</v>
          </cell>
          <cell r="Y1715">
            <v>7</v>
          </cell>
          <cell r="Z1715" t="str">
            <v>NA</v>
          </cell>
          <cell r="AA1715" t="str">
            <v>NA</v>
          </cell>
        </row>
        <row r="1716">
          <cell r="A1716">
            <v>45178</v>
          </cell>
          <cell r="B1716" t="str">
            <v>A1</v>
          </cell>
          <cell r="C1716">
            <v>4</v>
          </cell>
          <cell r="D1716">
            <v>3</v>
          </cell>
          <cell r="E1716" t="str">
            <v>ARIS.A1.Aim3.Bin4.LB</v>
          </cell>
          <cell r="F1716">
            <v>4</v>
          </cell>
          <cell r="G1716" t="str">
            <v>SplineDFA</v>
          </cell>
          <cell r="H1716" t="str">
            <v>Y</v>
          </cell>
          <cell r="I1716" t="str">
            <v>N</v>
          </cell>
          <cell r="J1716">
            <v>223</v>
          </cell>
          <cell r="K1716">
            <v>1</v>
          </cell>
          <cell r="L1716">
            <v>1.5800000000000002E-2</v>
          </cell>
          <cell r="M1716">
            <v>23.7</v>
          </cell>
          <cell r="N1716">
            <v>2.7</v>
          </cell>
          <cell r="O1716">
            <v>0.98419999999999996</v>
          </cell>
          <cell r="P1716">
            <v>0.33589999999999998</v>
          </cell>
          <cell r="Q1716">
            <v>0.22020000000000001</v>
          </cell>
          <cell r="R1716">
            <v>0.42809999999999998</v>
          </cell>
          <cell r="S1716" t="str">
            <v>NA</v>
          </cell>
          <cell r="T1716">
            <v>59.7</v>
          </cell>
          <cell r="U1716">
            <v>4.8</v>
          </cell>
          <cell r="V1716">
            <v>72.900000000000006</v>
          </cell>
          <cell r="W1716">
            <v>7.4</v>
          </cell>
          <cell r="X1716">
            <v>54.2</v>
          </cell>
          <cell r="Y1716">
            <v>7</v>
          </cell>
          <cell r="Z1716" t="str">
            <v>NA</v>
          </cell>
          <cell r="AA1716" t="str">
            <v>NA</v>
          </cell>
        </row>
        <row r="1717">
          <cell r="A1717">
            <v>45178</v>
          </cell>
          <cell r="B1717" t="str">
            <v>A2</v>
          </cell>
          <cell r="C1717">
            <v>1</v>
          </cell>
          <cell r="D1717">
            <v>1</v>
          </cell>
          <cell r="E1717" t="str">
            <v>ARIS.A2.Aim1.Bin1.RB</v>
          </cell>
          <cell r="F1717">
            <v>4</v>
          </cell>
          <cell r="G1717" t="str">
            <v>SplineDFA</v>
          </cell>
          <cell r="H1717" t="str">
            <v>Y</v>
          </cell>
          <cell r="I1717" t="str">
            <v>N</v>
          </cell>
          <cell r="J1717">
            <v>175</v>
          </cell>
          <cell r="K1717">
            <v>1</v>
          </cell>
          <cell r="L1717">
            <v>0.32629999999999998</v>
          </cell>
          <cell r="M1717">
            <v>23.7</v>
          </cell>
          <cell r="N1717">
            <v>2.7</v>
          </cell>
          <cell r="O1717">
            <v>0.67369999999999997</v>
          </cell>
          <cell r="P1717">
            <v>0.14410000000000001</v>
          </cell>
          <cell r="Q1717">
            <v>2.1399999999999999E-2</v>
          </cell>
          <cell r="R1717">
            <v>0.50819999999999999</v>
          </cell>
          <cell r="S1717" t="str">
            <v>NA</v>
          </cell>
          <cell r="T1717">
            <v>59.7</v>
          </cell>
          <cell r="U1717">
            <v>4.8</v>
          </cell>
          <cell r="V1717">
            <v>72.900000000000006</v>
          </cell>
          <cell r="W1717">
            <v>7.4</v>
          </cell>
          <cell r="X1717">
            <v>54.2</v>
          </cell>
          <cell r="Y1717">
            <v>7</v>
          </cell>
          <cell r="Z1717" t="str">
            <v>NA</v>
          </cell>
          <cell r="AA1717" t="str">
            <v>NA</v>
          </cell>
        </row>
        <row r="1718">
          <cell r="A1718">
            <v>45178</v>
          </cell>
          <cell r="B1718" t="str">
            <v>A2</v>
          </cell>
          <cell r="C1718">
            <v>2</v>
          </cell>
          <cell r="D1718">
            <v>1</v>
          </cell>
          <cell r="E1718" t="str">
            <v>ARIS.A2.Aim1.Bin2.RB</v>
          </cell>
          <cell r="F1718">
            <v>4</v>
          </cell>
          <cell r="G1718" t="str">
            <v>SplineDFA</v>
          </cell>
          <cell r="H1718" t="str">
            <v>Y</v>
          </cell>
          <cell r="I1718" t="str">
            <v>N</v>
          </cell>
          <cell r="J1718">
            <v>172</v>
          </cell>
          <cell r="K1718">
            <v>1</v>
          </cell>
          <cell r="L1718">
            <v>8.9899999999999994E-2</v>
          </cell>
          <cell r="M1718">
            <v>23.7</v>
          </cell>
          <cell r="N1718">
            <v>2.7</v>
          </cell>
          <cell r="O1718">
            <v>0.91010000000000002</v>
          </cell>
          <cell r="P1718">
            <v>0.1885</v>
          </cell>
          <cell r="Q1718">
            <v>9.9900000000000003E-2</v>
          </cell>
          <cell r="R1718">
            <v>0.62170000000000003</v>
          </cell>
          <cell r="S1718" t="str">
            <v>NA</v>
          </cell>
          <cell r="T1718">
            <v>59.7</v>
          </cell>
          <cell r="U1718">
            <v>4.8</v>
          </cell>
          <cell r="V1718">
            <v>72.900000000000006</v>
          </cell>
          <cell r="W1718">
            <v>7.4</v>
          </cell>
          <cell r="X1718">
            <v>54.2</v>
          </cell>
          <cell r="Y1718">
            <v>7</v>
          </cell>
          <cell r="Z1718" t="str">
            <v>NA</v>
          </cell>
          <cell r="AA1718" t="str">
            <v>NA</v>
          </cell>
        </row>
        <row r="1719">
          <cell r="A1719">
            <v>45178</v>
          </cell>
          <cell r="B1719" t="str">
            <v>A2</v>
          </cell>
          <cell r="C1719">
            <v>3</v>
          </cell>
          <cell r="D1719">
            <v>1</v>
          </cell>
          <cell r="E1719" t="str">
            <v>ARIS.A2.Aim1.Bin3.RB</v>
          </cell>
          <cell r="F1719">
            <v>4</v>
          </cell>
          <cell r="G1719" t="str">
            <v>SplineDFA</v>
          </cell>
          <cell r="H1719" t="str">
            <v>Y</v>
          </cell>
          <cell r="I1719" t="str">
            <v>N</v>
          </cell>
          <cell r="J1719">
            <v>183</v>
          </cell>
          <cell r="K1719">
            <v>1</v>
          </cell>
          <cell r="L1719">
            <v>5.2999999999999999E-2</v>
          </cell>
          <cell r="M1719">
            <v>23.7</v>
          </cell>
          <cell r="N1719">
            <v>2.7</v>
          </cell>
          <cell r="O1719">
            <v>0.94699999999999995</v>
          </cell>
          <cell r="P1719">
            <v>0.27960000000000002</v>
          </cell>
          <cell r="Q1719">
            <v>0.27650000000000002</v>
          </cell>
          <cell r="R1719">
            <v>0.39090000000000003</v>
          </cell>
          <cell r="S1719" t="str">
            <v>NA</v>
          </cell>
          <cell r="T1719">
            <v>59.7</v>
          </cell>
          <cell r="U1719">
            <v>4.8</v>
          </cell>
          <cell r="V1719">
            <v>72.900000000000006</v>
          </cell>
          <cell r="W1719">
            <v>7.4</v>
          </cell>
          <cell r="X1719">
            <v>54.2</v>
          </cell>
          <cell r="Y1719">
            <v>7</v>
          </cell>
          <cell r="Z1719" t="str">
            <v>NA</v>
          </cell>
          <cell r="AA1719" t="str">
            <v>NA</v>
          </cell>
        </row>
        <row r="1720">
          <cell r="A1720">
            <v>45178</v>
          </cell>
          <cell r="B1720" t="str">
            <v>A2</v>
          </cell>
          <cell r="C1720">
            <v>4</v>
          </cell>
          <cell r="D1720">
            <v>1</v>
          </cell>
          <cell r="E1720" t="str">
            <v>ARIS.A2.Aim1.Bin4.RB</v>
          </cell>
          <cell r="F1720">
            <v>4</v>
          </cell>
          <cell r="G1720" t="str">
            <v>SplineDFA</v>
          </cell>
          <cell r="H1720" t="str">
            <v>Y</v>
          </cell>
          <cell r="I1720" t="str">
            <v>N</v>
          </cell>
          <cell r="J1720">
            <v>183</v>
          </cell>
          <cell r="K1720">
            <v>1</v>
          </cell>
          <cell r="L1720">
            <v>5.2999999999999999E-2</v>
          </cell>
          <cell r="M1720">
            <v>23.7</v>
          </cell>
          <cell r="N1720">
            <v>2.7</v>
          </cell>
          <cell r="O1720">
            <v>0.94699999999999995</v>
          </cell>
          <cell r="P1720">
            <v>0.27960000000000002</v>
          </cell>
          <cell r="Q1720">
            <v>0.27650000000000002</v>
          </cell>
          <cell r="R1720">
            <v>0.39090000000000003</v>
          </cell>
          <cell r="S1720" t="str">
            <v>NA</v>
          </cell>
          <cell r="T1720">
            <v>59.7</v>
          </cell>
          <cell r="U1720">
            <v>4.8</v>
          </cell>
          <cell r="V1720">
            <v>72.900000000000006</v>
          </cell>
          <cell r="W1720">
            <v>7.4</v>
          </cell>
          <cell r="X1720">
            <v>54.2</v>
          </cell>
          <cell r="Y1720">
            <v>7</v>
          </cell>
          <cell r="Z1720" t="str">
            <v>NA</v>
          </cell>
          <cell r="AA1720" t="str">
            <v>NA</v>
          </cell>
        </row>
        <row r="1721">
          <cell r="A1721">
            <v>45179</v>
          </cell>
          <cell r="B1721" t="str">
            <v>A1</v>
          </cell>
          <cell r="C1721">
            <v>1</v>
          </cell>
          <cell r="D1721">
            <v>1</v>
          </cell>
          <cell r="E1721" t="str">
            <v>ARIS.A1.Aim1.Bin1.LB</v>
          </cell>
          <cell r="F1721">
            <v>4</v>
          </cell>
          <cell r="G1721" t="str">
            <v>Unweighted</v>
          </cell>
          <cell r="H1721" t="str">
            <v>N</v>
          </cell>
          <cell r="I1721" t="str">
            <v>Y</v>
          </cell>
          <cell r="J1721">
            <v>183</v>
          </cell>
          <cell r="K1721">
            <v>1</v>
          </cell>
          <cell r="L1721">
            <v>0.67430000000000001</v>
          </cell>
          <cell r="M1721">
            <v>22</v>
          </cell>
          <cell r="N1721">
            <v>7.2</v>
          </cell>
          <cell r="O1721">
            <v>0.32569999999999999</v>
          </cell>
          <cell r="P1721">
            <v>3.6499999999999998E-2</v>
          </cell>
          <cell r="Q1721">
            <v>0</v>
          </cell>
          <cell r="R1721">
            <v>0.28920000000000001</v>
          </cell>
          <cell r="S1721" t="str">
            <v>NA</v>
          </cell>
          <cell r="T1721">
            <v>59.7</v>
          </cell>
          <cell r="U1721">
            <v>4.8</v>
          </cell>
          <cell r="V1721">
            <v>72.900000000000006</v>
          </cell>
          <cell r="W1721">
            <v>7.4</v>
          </cell>
          <cell r="X1721">
            <v>54.2</v>
          </cell>
          <cell r="Y1721">
            <v>7</v>
          </cell>
          <cell r="Z1721" t="str">
            <v>NA</v>
          </cell>
          <cell r="AA1721" t="str">
            <v>NA</v>
          </cell>
        </row>
        <row r="1722">
          <cell r="A1722">
            <v>45179</v>
          </cell>
          <cell r="B1722" t="str">
            <v>A1</v>
          </cell>
          <cell r="C1722">
            <v>1</v>
          </cell>
          <cell r="D1722">
            <v>2</v>
          </cell>
          <cell r="E1722" t="str">
            <v>ARIS.A1.Aim2.Bin1.LB</v>
          </cell>
          <cell r="F1722">
            <v>4</v>
          </cell>
          <cell r="G1722" t="str">
            <v>Unweighted</v>
          </cell>
          <cell r="H1722" t="str">
            <v>N</v>
          </cell>
          <cell r="I1722" t="str">
            <v>Y</v>
          </cell>
          <cell r="J1722">
            <v>210</v>
          </cell>
          <cell r="K1722">
            <v>1</v>
          </cell>
          <cell r="L1722">
            <v>0.4456</v>
          </cell>
          <cell r="M1722">
            <v>18.600000000000001</v>
          </cell>
          <cell r="N1722">
            <v>8.3000000000000007</v>
          </cell>
          <cell r="O1722">
            <v>0.5544</v>
          </cell>
          <cell r="P1722">
            <v>0.13950000000000001</v>
          </cell>
          <cell r="Q1722">
            <v>0</v>
          </cell>
          <cell r="R1722">
            <v>0.41489999999999999</v>
          </cell>
          <cell r="S1722" t="str">
            <v>NA</v>
          </cell>
          <cell r="T1722">
            <v>59.7</v>
          </cell>
          <cell r="U1722">
            <v>4.8</v>
          </cell>
          <cell r="V1722">
            <v>72.900000000000006</v>
          </cell>
          <cell r="W1722">
            <v>7.4</v>
          </cell>
          <cell r="X1722">
            <v>54.2</v>
          </cell>
          <cell r="Y1722">
            <v>7</v>
          </cell>
          <cell r="Z1722" t="str">
            <v>NA</v>
          </cell>
          <cell r="AA1722" t="str">
            <v>NA</v>
          </cell>
        </row>
        <row r="1723">
          <cell r="A1723">
            <v>45179</v>
          </cell>
          <cell r="B1723" t="str">
            <v>A1</v>
          </cell>
          <cell r="C1723">
            <v>1</v>
          </cell>
          <cell r="D1723" t="str">
            <v>1&amp;2</v>
          </cell>
          <cell r="E1723" t="str">
            <v>ARIS.A1.Aim1&amp;Aim2.Bin1.LB</v>
          </cell>
          <cell r="F1723">
            <v>4</v>
          </cell>
          <cell r="G1723" t="str">
            <v>Unweighted</v>
          </cell>
          <cell r="H1723" t="str">
            <v>N</v>
          </cell>
          <cell r="I1723" t="str">
            <v>Y</v>
          </cell>
          <cell r="J1723">
            <v>393</v>
          </cell>
          <cell r="K1723">
            <v>1</v>
          </cell>
          <cell r="L1723">
            <v>0.5554</v>
          </cell>
          <cell r="M1723">
            <v>20.7</v>
          </cell>
          <cell r="N1723">
            <v>7.6</v>
          </cell>
          <cell r="O1723">
            <v>0.4446</v>
          </cell>
          <cell r="P1723">
            <v>8.8900000000000007E-2</v>
          </cell>
          <cell r="Q1723">
            <v>0</v>
          </cell>
          <cell r="R1723">
            <v>0.35570000000000002</v>
          </cell>
          <cell r="S1723" t="str">
            <v>NA</v>
          </cell>
          <cell r="T1723">
            <v>59.7</v>
          </cell>
          <cell r="U1723">
            <v>4.8</v>
          </cell>
          <cell r="V1723">
            <v>72.900000000000006</v>
          </cell>
          <cell r="W1723">
            <v>7.4</v>
          </cell>
          <cell r="X1723">
            <v>54.2</v>
          </cell>
          <cell r="Y1723">
            <v>7</v>
          </cell>
          <cell r="Z1723" t="str">
            <v>NA</v>
          </cell>
          <cell r="AA1723" t="str">
            <v>NA</v>
          </cell>
        </row>
        <row r="1724">
          <cell r="A1724">
            <v>45179</v>
          </cell>
          <cell r="B1724" t="str">
            <v>A1</v>
          </cell>
          <cell r="C1724">
            <v>2</v>
          </cell>
          <cell r="D1724">
            <v>3</v>
          </cell>
          <cell r="E1724" t="str">
            <v>ARIS.A1.Aim3.Bin2.LB</v>
          </cell>
          <cell r="F1724">
            <v>4</v>
          </cell>
          <cell r="G1724" t="str">
            <v>Unweighted</v>
          </cell>
          <cell r="H1724" t="str">
            <v>N</v>
          </cell>
          <cell r="I1724" t="str">
            <v>Y</v>
          </cell>
          <cell r="J1724">
            <v>221</v>
          </cell>
          <cell r="K1724">
            <v>1</v>
          </cell>
          <cell r="L1724">
            <v>0.17960000000000001</v>
          </cell>
          <cell r="M1724">
            <v>29.1</v>
          </cell>
          <cell r="N1724">
            <v>4.2</v>
          </cell>
          <cell r="O1724">
            <v>0.82040000000000002</v>
          </cell>
          <cell r="P1724">
            <v>0</v>
          </cell>
          <cell r="Q1724">
            <v>0.1045</v>
          </cell>
          <cell r="R1724">
            <v>0.71589999999999998</v>
          </cell>
          <cell r="S1724" t="str">
            <v>NA</v>
          </cell>
          <cell r="T1724">
            <v>59.7</v>
          </cell>
          <cell r="U1724">
            <v>4.8</v>
          </cell>
          <cell r="V1724">
            <v>72.900000000000006</v>
          </cell>
          <cell r="W1724">
            <v>7.4</v>
          </cell>
          <cell r="X1724">
            <v>54.2</v>
          </cell>
          <cell r="Y1724">
            <v>7</v>
          </cell>
          <cell r="Z1724" t="str">
            <v>NA</v>
          </cell>
          <cell r="AA1724" t="str">
            <v>NA</v>
          </cell>
        </row>
        <row r="1725">
          <cell r="A1725">
            <v>45179</v>
          </cell>
          <cell r="B1725" t="str">
            <v>A1</v>
          </cell>
          <cell r="C1725">
            <v>3</v>
          </cell>
          <cell r="D1725">
            <v>3</v>
          </cell>
          <cell r="E1725" t="str">
            <v>ARIS.A1.Aim3.Bin3.LB</v>
          </cell>
          <cell r="F1725">
            <v>4</v>
          </cell>
          <cell r="G1725" t="str">
            <v>Unweighted</v>
          </cell>
          <cell r="H1725" t="str">
            <v>N</v>
          </cell>
          <cell r="I1725" t="str">
            <v>Y</v>
          </cell>
          <cell r="J1725">
            <v>219</v>
          </cell>
          <cell r="K1725">
            <v>0.99990000000000001</v>
          </cell>
          <cell r="L1725">
            <v>3.1399999999999997E-2</v>
          </cell>
          <cell r="M1725">
            <v>23.7</v>
          </cell>
          <cell r="N1725">
            <v>11.8</v>
          </cell>
          <cell r="O1725">
            <v>0.96850000000000003</v>
          </cell>
          <cell r="P1725">
            <v>8.1799999999999998E-2</v>
          </cell>
          <cell r="Q1725">
            <v>0.30649999999999999</v>
          </cell>
          <cell r="R1725">
            <v>0.58020000000000005</v>
          </cell>
          <cell r="S1725" t="str">
            <v>NA</v>
          </cell>
          <cell r="T1725">
            <v>59.7</v>
          </cell>
          <cell r="U1725">
            <v>4.8</v>
          </cell>
          <cell r="V1725">
            <v>72.900000000000006</v>
          </cell>
          <cell r="W1725">
            <v>7.4</v>
          </cell>
          <cell r="X1725">
            <v>54.2</v>
          </cell>
          <cell r="Y1725">
            <v>7</v>
          </cell>
          <cell r="Z1725" t="str">
            <v>NA</v>
          </cell>
          <cell r="AA1725" t="str">
            <v>NA</v>
          </cell>
        </row>
        <row r="1726">
          <cell r="A1726">
            <v>45179</v>
          </cell>
          <cell r="B1726" t="str">
            <v>A1</v>
          </cell>
          <cell r="C1726">
            <v>4</v>
          </cell>
          <cell r="D1726">
            <v>3</v>
          </cell>
          <cell r="E1726" t="str">
            <v>ARIS.A1.Aim3.Bin4.LB</v>
          </cell>
          <cell r="F1726">
            <v>4</v>
          </cell>
          <cell r="G1726" t="str">
            <v>Unweighted</v>
          </cell>
          <cell r="H1726" t="str">
            <v>N</v>
          </cell>
          <cell r="I1726" t="str">
            <v>Y</v>
          </cell>
          <cell r="J1726">
            <v>219</v>
          </cell>
          <cell r="K1726">
            <v>0.99990000000000001</v>
          </cell>
          <cell r="L1726">
            <v>3.1399999999999997E-2</v>
          </cell>
          <cell r="M1726">
            <v>23.7</v>
          </cell>
          <cell r="N1726">
            <v>11.8</v>
          </cell>
          <cell r="O1726">
            <v>0.96850000000000003</v>
          </cell>
          <cell r="P1726">
            <v>8.1799999999999998E-2</v>
          </cell>
          <cell r="Q1726">
            <v>0.30649999999999999</v>
          </cell>
          <cell r="R1726">
            <v>0.58020000000000005</v>
          </cell>
          <cell r="S1726" t="str">
            <v>NA</v>
          </cell>
          <cell r="T1726">
            <v>59.7</v>
          </cell>
          <cell r="U1726">
            <v>4.8</v>
          </cell>
          <cell r="V1726">
            <v>72.900000000000006</v>
          </cell>
          <cell r="W1726">
            <v>7.4</v>
          </cell>
          <cell r="X1726">
            <v>54.2</v>
          </cell>
          <cell r="Y1726">
            <v>7</v>
          </cell>
          <cell r="Z1726" t="str">
            <v>NA</v>
          </cell>
          <cell r="AA1726" t="str">
            <v>NA</v>
          </cell>
        </row>
        <row r="1727">
          <cell r="A1727">
            <v>45179</v>
          </cell>
          <cell r="B1727" t="str">
            <v>A2</v>
          </cell>
          <cell r="C1727">
            <v>1</v>
          </cell>
          <cell r="D1727">
            <v>1</v>
          </cell>
          <cell r="E1727" t="str">
            <v>ARIS.A2.Aim1.Bin1.RB</v>
          </cell>
          <cell r="F1727">
            <v>4</v>
          </cell>
          <cell r="G1727" t="str">
            <v>Unweighted</v>
          </cell>
          <cell r="H1727" t="str">
            <v>N</v>
          </cell>
          <cell r="I1727" t="str">
            <v>Y</v>
          </cell>
          <cell r="J1727">
            <v>175</v>
          </cell>
          <cell r="K1727">
            <v>1</v>
          </cell>
          <cell r="L1727">
            <v>0.28710000000000002</v>
          </cell>
          <cell r="M1727">
            <v>19.3</v>
          </cell>
          <cell r="N1727">
            <v>7.7</v>
          </cell>
          <cell r="O1727">
            <v>0.71289999999999998</v>
          </cell>
          <cell r="P1727">
            <v>0</v>
          </cell>
          <cell r="Q1727">
            <v>1.12E-2</v>
          </cell>
          <cell r="R1727">
            <v>0.70169999999999999</v>
          </cell>
          <cell r="S1727" t="str">
            <v>NA</v>
          </cell>
          <cell r="T1727">
            <v>59.7</v>
          </cell>
          <cell r="U1727">
            <v>4.8</v>
          </cell>
          <cell r="V1727">
            <v>72.900000000000006</v>
          </cell>
          <cell r="W1727">
            <v>7.4</v>
          </cell>
          <cell r="X1727">
            <v>54.2</v>
          </cell>
          <cell r="Y1727">
            <v>7</v>
          </cell>
          <cell r="Z1727" t="str">
            <v>NA</v>
          </cell>
          <cell r="AA1727" t="str">
            <v>NA</v>
          </cell>
        </row>
        <row r="1728">
          <cell r="A1728">
            <v>45179</v>
          </cell>
          <cell r="B1728" t="str">
            <v>A2</v>
          </cell>
          <cell r="C1728">
            <v>2</v>
          </cell>
          <cell r="D1728">
            <v>1</v>
          </cell>
          <cell r="E1728" t="str">
            <v>ARIS.A2.Aim1.Bin2.RB</v>
          </cell>
          <cell r="F1728">
            <v>4</v>
          </cell>
          <cell r="G1728" t="str">
            <v>Unweighted</v>
          </cell>
          <cell r="H1728" t="str">
            <v>N</v>
          </cell>
          <cell r="I1728" t="str">
            <v>Y</v>
          </cell>
          <cell r="J1728">
            <v>172</v>
          </cell>
          <cell r="K1728">
            <v>1</v>
          </cell>
          <cell r="L1728">
            <v>0.21579999999999999</v>
          </cell>
          <cell r="M1728">
            <v>28.2</v>
          </cell>
          <cell r="N1728">
            <v>3.8</v>
          </cell>
          <cell r="O1728">
            <v>0.78420000000000001</v>
          </cell>
          <cell r="P1728">
            <v>0</v>
          </cell>
          <cell r="Q1728">
            <v>0.12280000000000001</v>
          </cell>
          <cell r="R1728">
            <v>0.66139999999999999</v>
          </cell>
          <cell r="S1728" t="str">
            <v>NA</v>
          </cell>
          <cell r="T1728">
            <v>59.7</v>
          </cell>
          <cell r="U1728">
            <v>4.8</v>
          </cell>
          <cell r="V1728">
            <v>72.900000000000006</v>
          </cell>
          <cell r="W1728">
            <v>7.4</v>
          </cell>
          <cell r="X1728">
            <v>54.2</v>
          </cell>
          <cell r="Y1728">
            <v>7</v>
          </cell>
          <cell r="Z1728" t="str">
            <v>NA</v>
          </cell>
          <cell r="AA1728" t="str">
            <v>NA</v>
          </cell>
        </row>
        <row r="1729">
          <cell r="A1729">
            <v>45179</v>
          </cell>
          <cell r="B1729" t="str">
            <v>A2</v>
          </cell>
          <cell r="C1729">
            <v>3</v>
          </cell>
          <cell r="D1729">
            <v>1</v>
          </cell>
          <cell r="E1729" t="str">
            <v>ARIS.A2.Aim1.Bin3.RB</v>
          </cell>
          <cell r="F1729">
            <v>4</v>
          </cell>
          <cell r="G1729" t="str">
            <v>Unweighted</v>
          </cell>
          <cell r="H1729" t="str">
            <v>N</v>
          </cell>
          <cell r="I1729" t="str">
            <v>Y</v>
          </cell>
          <cell r="J1729">
            <v>183</v>
          </cell>
          <cell r="K1729">
            <v>0.99990000000000001</v>
          </cell>
          <cell r="L1729">
            <v>7.8200000000000006E-2</v>
          </cell>
          <cell r="M1729">
            <v>31.8</v>
          </cell>
          <cell r="N1729">
            <v>1.7</v>
          </cell>
          <cell r="O1729">
            <v>0.92169999999999996</v>
          </cell>
          <cell r="P1729">
            <v>0</v>
          </cell>
          <cell r="Q1729">
            <v>0.47220000000000001</v>
          </cell>
          <cell r="R1729">
            <v>0.44950000000000001</v>
          </cell>
          <cell r="S1729" t="str">
            <v>NA</v>
          </cell>
          <cell r="T1729">
            <v>59.7</v>
          </cell>
          <cell r="U1729">
            <v>4.8</v>
          </cell>
          <cell r="V1729">
            <v>72.900000000000006</v>
          </cell>
          <cell r="W1729">
            <v>7.4</v>
          </cell>
          <cell r="X1729">
            <v>54.2</v>
          </cell>
          <cell r="Y1729">
            <v>7</v>
          </cell>
          <cell r="Z1729" t="str">
            <v>NA</v>
          </cell>
          <cell r="AA1729" t="str">
            <v>NA</v>
          </cell>
        </row>
        <row r="1730">
          <cell r="A1730">
            <v>45179</v>
          </cell>
          <cell r="B1730" t="str">
            <v>A2</v>
          </cell>
          <cell r="C1730">
            <v>4</v>
          </cell>
          <cell r="D1730">
            <v>1</v>
          </cell>
          <cell r="E1730" t="str">
            <v>ARIS.A2.Aim1.Bin4.RB</v>
          </cell>
          <cell r="F1730">
            <v>4</v>
          </cell>
          <cell r="G1730" t="str">
            <v>Unweighted</v>
          </cell>
          <cell r="H1730" t="str">
            <v>N</v>
          </cell>
          <cell r="I1730" t="str">
            <v>Y</v>
          </cell>
          <cell r="J1730">
            <v>183</v>
          </cell>
          <cell r="K1730">
            <v>0.99990000000000001</v>
          </cell>
          <cell r="L1730">
            <v>7.8200000000000006E-2</v>
          </cell>
          <cell r="M1730">
            <v>31.8</v>
          </cell>
          <cell r="N1730">
            <v>1.7</v>
          </cell>
          <cell r="O1730">
            <v>0.92169999999999996</v>
          </cell>
          <cell r="P1730">
            <v>0</v>
          </cell>
          <cell r="Q1730">
            <v>0.47220000000000001</v>
          </cell>
          <cell r="R1730">
            <v>0.44950000000000001</v>
          </cell>
          <cell r="S1730" t="str">
            <v>NA</v>
          </cell>
          <cell r="T1730">
            <v>59.7</v>
          </cell>
          <cell r="U1730">
            <v>4.8</v>
          </cell>
          <cell r="V1730">
            <v>72.900000000000006</v>
          </cell>
          <cell r="W1730">
            <v>7.4</v>
          </cell>
          <cell r="X1730">
            <v>54.2</v>
          </cell>
          <cell r="Y1730">
            <v>7</v>
          </cell>
          <cell r="Z1730" t="str">
            <v>NA</v>
          </cell>
          <cell r="AA1730" t="str">
            <v>NA</v>
          </cell>
        </row>
        <row r="1731">
          <cell r="A1731">
            <v>45179</v>
          </cell>
          <cell r="B1731" t="str">
            <v>A1</v>
          </cell>
          <cell r="C1731">
            <v>1</v>
          </cell>
          <cell r="D1731">
            <v>1</v>
          </cell>
          <cell r="E1731" t="str">
            <v>ARIS.A1.Aim1.Bin1.LB</v>
          </cell>
          <cell r="F1731">
            <v>4</v>
          </cell>
          <cell r="G1731" t="str">
            <v>SplineDFA</v>
          </cell>
          <cell r="H1731" t="str">
            <v>Y</v>
          </cell>
          <cell r="I1731" t="str">
            <v>N</v>
          </cell>
          <cell r="J1731">
            <v>183</v>
          </cell>
          <cell r="K1731">
            <v>0.99990000000000001</v>
          </cell>
          <cell r="L1731">
            <v>0.46879999999999999</v>
          </cell>
          <cell r="M1731">
            <v>23.7</v>
          </cell>
          <cell r="N1731">
            <v>2.7</v>
          </cell>
          <cell r="O1731">
            <v>0.53110000000000002</v>
          </cell>
          <cell r="P1731">
            <v>1.6299999999999999E-2</v>
          </cell>
          <cell r="Q1731">
            <v>0</v>
          </cell>
          <cell r="R1731">
            <v>0.51480000000000004</v>
          </cell>
          <cell r="S1731" t="str">
            <v>NA</v>
          </cell>
          <cell r="T1731">
            <v>59.7</v>
          </cell>
          <cell r="U1731">
            <v>4.8</v>
          </cell>
          <cell r="V1731">
            <v>72.900000000000006</v>
          </cell>
          <cell r="W1731">
            <v>7.4</v>
          </cell>
          <cell r="X1731">
            <v>54.2</v>
          </cell>
          <cell r="Y1731">
            <v>7</v>
          </cell>
          <cell r="Z1731" t="str">
            <v>NA</v>
          </cell>
          <cell r="AA1731" t="str">
            <v>NA</v>
          </cell>
        </row>
        <row r="1732">
          <cell r="A1732">
            <v>45179</v>
          </cell>
          <cell r="B1732" t="str">
            <v>A1</v>
          </cell>
          <cell r="C1732">
            <v>1</v>
          </cell>
          <cell r="D1732">
            <v>2</v>
          </cell>
          <cell r="E1732" t="str">
            <v>ARIS.A1.Aim2.Bin1.LB</v>
          </cell>
          <cell r="F1732">
            <v>4</v>
          </cell>
          <cell r="G1732" t="str">
            <v>SplineDFA</v>
          </cell>
          <cell r="H1732" t="str">
            <v>Y</v>
          </cell>
          <cell r="I1732" t="str">
            <v>N</v>
          </cell>
          <cell r="J1732">
            <v>210</v>
          </cell>
          <cell r="K1732">
            <v>1</v>
          </cell>
          <cell r="L1732">
            <v>0.25319999999999998</v>
          </cell>
          <cell r="M1732">
            <v>23.7</v>
          </cell>
          <cell r="N1732">
            <v>2.7</v>
          </cell>
          <cell r="O1732">
            <v>0.74680000000000002</v>
          </cell>
          <cell r="P1732">
            <v>0.15229999999999999</v>
          </cell>
          <cell r="Q1732">
            <v>6.9999999999999999E-4</v>
          </cell>
          <cell r="R1732">
            <v>0.59379999999999999</v>
          </cell>
          <cell r="S1732" t="str">
            <v>NA</v>
          </cell>
          <cell r="T1732">
            <v>59.7</v>
          </cell>
          <cell r="U1732">
            <v>4.8</v>
          </cell>
          <cell r="V1732">
            <v>72.900000000000006</v>
          </cell>
          <cell r="W1732">
            <v>7.4</v>
          </cell>
          <cell r="X1732">
            <v>54.2</v>
          </cell>
          <cell r="Y1732">
            <v>7</v>
          </cell>
          <cell r="Z1732" t="str">
            <v>NA</v>
          </cell>
          <cell r="AA1732" t="str">
            <v>NA</v>
          </cell>
        </row>
        <row r="1733">
          <cell r="A1733">
            <v>45179</v>
          </cell>
          <cell r="B1733" t="str">
            <v>A1</v>
          </cell>
          <cell r="C1733">
            <v>2</v>
          </cell>
          <cell r="D1733">
            <v>3</v>
          </cell>
          <cell r="E1733" t="str">
            <v>ARIS.A1.Aim3.Bin2.LB</v>
          </cell>
          <cell r="F1733">
            <v>4</v>
          </cell>
          <cell r="G1733" t="str">
            <v>SplineDFA</v>
          </cell>
          <cell r="H1733" t="str">
            <v>Y</v>
          </cell>
          <cell r="I1733" t="str">
            <v>N</v>
          </cell>
          <cell r="J1733">
            <v>221</v>
          </cell>
          <cell r="K1733">
            <v>0.99990000000000001</v>
          </cell>
          <cell r="L1733">
            <v>3.3599999999999998E-2</v>
          </cell>
          <cell r="M1733">
            <v>23.7</v>
          </cell>
          <cell r="N1733">
            <v>2.7</v>
          </cell>
          <cell r="O1733">
            <v>0.96630000000000005</v>
          </cell>
          <cell r="P1733">
            <v>0.28699999999999998</v>
          </cell>
          <cell r="Q1733">
            <v>0.158</v>
          </cell>
          <cell r="R1733">
            <v>0.52129999999999999</v>
          </cell>
          <cell r="S1733" t="str">
            <v>NA</v>
          </cell>
          <cell r="T1733">
            <v>59.7</v>
          </cell>
          <cell r="U1733">
            <v>4.8</v>
          </cell>
          <cell r="V1733">
            <v>72.900000000000006</v>
          </cell>
          <cell r="W1733">
            <v>7.4</v>
          </cell>
          <cell r="X1733">
            <v>54.2</v>
          </cell>
          <cell r="Y1733">
            <v>7</v>
          </cell>
          <cell r="Z1733" t="str">
            <v>NA</v>
          </cell>
          <cell r="AA1733" t="str">
            <v>NA</v>
          </cell>
        </row>
        <row r="1734">
          <cell r="A1734">
            <v>45179</v>
          </cell>
          <cell r="B1734" t="str">
            <v>A1</v>
          </cell>
          <cell r="C1734">
            <v>3</v>
          </cell>
          <cell r="D1734">
            <v>3</v>
          </cell>
          <cell r="E1734" t="str">
            <v>ARIS.A1.Aim3.Bin3.LB</v>
          </cell>
          <cell r="F1734">
            <v>4</v>
          </cell>
          <cell r="G1734" t="str">
            <v>SplineDFA</v>
          </cell>
          <cell r="H1734" t="str">
            <v>Y</v>
          </cell>
          <cell r="I1734" t="str">
            <v>N</v>
          </cell>
          <cell r="J1734">
            <v>219</v>
          </cell>
          <cell r="K1734">
            <v>0.99990000000000001</v>
          </cell>
          <cell r="L1734">
            <v>1.83E-2</v>
          </cell>
          <cell r="M1734">
            <v>23.7</v>
          </cell>
          <cell r="N1734">
            <v>2.7</v>
          </cell>
          <cell r="O1734">
            <v>0.98160000000000003</v>
          </cell>
          <cell r="P1734">
            <v>0.32429999999999998</v>
          </cell>
          <cell r="Q1734">
            <v>0.18060000000000001</v>
          </cell>
          <cell r="R1734">
            <v>0.47670000000000001</v>
          </cell>
          <cell r="S1734" t="str">
            <v>NA</v>
          </cell>
          <cell r="T1734">
            <v>59.7</v>
          </cell>
          <cell r="U1734">
            <v>4.8</v>
          </cell>
          <cell r="V1734">
            <v>72.900000000000006</v>
          </cell>
          <cell r="W1734">
            <v>7.4</v>
          </cell>
          <cell r="X1734">
            <v>54.2</v>
          </cell>
          <cell r="Y1734">
            <v>7</v>
          </cell>
          <cell r="Z1734" t="str">
            <v>NA</v>
          </cell>
          <cell r="AA1734" t="str">
            <v>NA</v>
          </cell>
        </row>
        <row r="1735">
          <cell r="A1735">
            <v>45179</v>
          </cell>
          <cell r="B1735" t="str">
            <v>A1</v>
          </cell>
          <cell r="C1735">
            <v>4</v>
          </cell>
          <cell r="D1735">
            <v>3</v>
          </cell>
          <cell r="E1735" t="str">
            <v>ARIS.A1.Aim3.Bin4.LB</v>
          </cell>
          <cell r="F1735">
            <v>4</v>
          </cell>
          <cell r="G1735" t="str">
            <v>SplineDFA</v>
          </cell>
          <cell r="H1735" t="str">
            <v>Y</v>
          </cell>
          <cell r="I1735" t="str">
            <v>N</v>
          </cell>
          <cell r="J1735">
            <v>219</v>
          </cell>
          <cell r="K1735">
            <v>0.99990000000000001</v>
          </cell>
          <cell r="L1735">
            <v>1.83E-2</v>
          </cell>
          <cell r="M1735">
            <v>23.7</v>
          </cell>
          <cell r="N1735">
            <v>2.7</v>
          </cell>
          <cell r="O1735">
            <v>0.98160000000000003</v>
          </cell>
          <cell r="P1735">
            <v>0.32429999999999998</v>
          </cell>
          <cell r="Q1735">
            <v>0.18060000000000001</v>
          </cell>
          <cell r="R1735">
            <v>0.47670000000000001</v>
          </cell>
          <cell r="S1735" t="str">
            <v>NA</v>
          </cell>
          <cell r="T1735">
            <v>59.7</v>
          </cell>
          <cell r="U1735">
            <v>4.8</v>
          </cell>
          <cell r="V1735">
            <v>72.900000000000006</v>
          </cell>
          <cell r="W1735">
            <v>7.4</v>
          </cell>
          <cell r="X1735">
            <v>54.2</v>
          </cell>
          <cell r="Y1735">
            <v>7</v>
          </cell>
          <cell r="Z1735" t="str">
            <v>NA</v>
          </cell>
          <cell r="AA1735" t="str">
            <v>NA</v>
          </cell>
        </row>
        <row r="1736">
          <cell r="A1736">
            <v>45179</v>
          </cell>
          <cell r="B1736" t="str">
            <v>A2</v>
          </cell>
          <cell r="C1736">
            <v>1</v>
          </cell>
          <cell r="D1736">
            <v>1</v>
          </cell>
          <cell r="E1736" t="str">
            <v>ARIS.A2.Aim1.Bin1.RB</v>
          </cell>
          <cell r="F1736">
            <v>4</v>
          </cell>
          <cell r="G1736" t="str">
            <v>SplineDFA</v>
          </cell>
          <cell r="H1736" t="str">
            <v>Y</v>
          </cell>
          <cell r="I1736" t="str">
            <v>N</v>
          </cell>
          <cell r="J1736">
            <v>175</v>
          </cell>
          <cell r="K1736">
            <v>1</v>
          </cell>
          <cell r="L1736">
            <v>0.32629999999999998</v>
          </cell>
          <cell r="M1736">
            <v>23.7</v>
          </cell>
          <cell r="N1736">
            <v>2.7</v>
          </cell>
          <cell r="O1736">
            <v>0.67369999999999997</v>
          </cell>
          <cell r="P1736">
            <v>0.14410000000000001</v>
          </cell>
          <cell r="Q1736">
            <v>2.1399999999999999E-2</v>
          </cell>
          <cell r="R1736">
            <v>0.50819999999999999</v>
          </cell>
          <cell r="S1736" t="str">
            <v>NA</v>
          </cell>
          <cell r="T1736">
            <v>59.7</v>
          </cell>
          <cell r="U1736">
            <v>4.8</v>
          </cell>
          <cell r="V1736">
            <v>72.900000000000006</v>
          </cell>
          <cell r="W1736">
            <v>7.4</v>
          </cell>
          <cell r="X1736">
            <v>54.2</v>
          </cell>
          <cell r="Y1736">
            <v>7</v>
          </cell>
          <cell r="Z1736" t="str">
            <v>NA</v>
          </cell>
          <cell r="AA1736" t="str">
            <v>NA</v>
          </cell>
        </row>
        <row r="1737">
          <cell r="A1737">
            <v>45179</v>
          </cell>
          <cell r="B1737" t="str">
            <v>A2</v>
          </cell>
          <cell r="C1737">
            <v>2</v>
          </cell>
          <cell r="D1737">
            <v>1</v>
          </cell>
          <cell r="E1737" t="str">
            <v>ARIS.A2.Aim1.Bin2.RB</v>
          </cell>
          <cell r="F1737">
            <v>4</v>
          </cell>
          <cell r="G1737" t="str">
            <v>SplineDFA</v>
          </cell>
          <cell r="H1737" t="str">
            <v>Y</v>
          </cell>
          <cell r="I1737" t="str">
            <v>N</v>
          </cell>
          <cell r="J1737">
            <v>172</v>
          </cell>
          <cell r="K1737">
            <v>1</v>
          </cell>
          <cell r="L1737">
            <v>8.9899999999999994E-2</v>
          </cell>
          <cell r="M1737">
            <v>23.7</v>
          </cell>
          <cell r="N1737">
            <v>2.7</v>
          </cell>
          <cell r="O1737">
            <v>0.91010000000000002</v>
          </cell>
          <cell r="P1737">
            <v>0.1885</v>
          </cell>
          <cell r="Q1737">
            <v>9.9900000000000003E-2</v>
          </cell>
          <cell r="R1737">
            <v>0.62170000000000003</v>
          </cell>
          <cell r="S1737" t="str">
            <v>NA</v>
          </cell>
          <cell r="T1737">
            <v>59.7</v>
          </cell>
          <cell r="U1737">
            <v>4.8</v>
          </cell>
          <cell r="V1737">
            <v>72.900000000000006</v>
          </cell>
          <cell r="W1737">
            <v>7.4</v>
          </cell>
          <cell r="X1737">
            <v>54.2</v>
          </cell>
          <cell r="Y1737">
            <v>7</v>
          </cell>
          <cell r="Z1737" t="str">
            <v>NA</v>
          </cell>
          <cell r="AA1737" t="str">
            <v>NA</v>
          </cell>
        </row>
        <row r="1738">
          <cell r="A1738">
            <v>45179</v>
          </cell>
          <cell r="B1738" t="str">
            <v>A2</v>
          </cell>
          <cell r="C1738">
            <v>3</v>
          </cell>
          <cell r="D1738">
            <v>1</v>
          </cell>
          <cell r="E1738" t="str">
            <v>ARIS.A2.Aim1.Bin3.RB</v>
          </cell>
          <cell r="F1738">
            <v>4</v>
          </cell>
          <cell r="G1738" t="str">
            <v>SplineDFA</v>
          </cell>
          <cell r="H1738" t="str">
            <v>Y</v>
          </cell>
          <cell r="I1738" t="str">
            <v>N</v>
          </cell>
          <cell r="J1738">
            <v>183</v>
          </cell>
          <cell r="K1738">
            <v>1</v>
          </cell>
          <cell r="L1738">
            <v>5.2999999999999999E-2</v>
          </cell>
          <cell r="M1738">
            <v>23.7</v>
          </cell>
          <cell r="N1738">
            <v>2.7</v>
          </cell>
          <cell r="O1738">
            <v>0.94699999999999995</v>
          </cell>
          <cell r="P1738">
            <v>0.27960000000000002</v>
          </cell>
          <cell r="Q1738">
            <v>0.27650000000000002</v>
          </cell>
          <cell r="R1738">
            <v>0.39090000000000003</v>
          </cell>
          <cell r="S1738" t="str">
            <v>NA</v>
          </cell>
          <cell r="T1738">
            <v>59.7</v>
          </cell>
          <cell r="U1738">
            <v>4.8</v>
          </cell>
          <cell r="V1738">
            <v>72.900000000000006</v>
          </cell>
          <cell r="W1738">
            <v>7.4</v>
          </cell>
          <cell r="X1738">
            <v>54.2</v>
          </cell>
          <cell r="Y1738">
            <v>7</v>
          </cell>
          <cell r="Z1738" t="str">
            <v>NA</v>
          </cell>
          <cell r="AA1738" t="str">
            <v>NA</v>
          </cell>
        </row>
        <row r="1739">
          <cell r="A1739">
            <v>45179</v>
          </cell>
          <cell r="B1739" t="str">
            <v>A2</v>
          </cell>
          <cell r="C1739">
            <v>4</v>
          </cell>
          <cell r="D1739">
            <v>1</v>
          </cell>
          <cell r="E1739" t="str">
            <v>ARIS.A2.Aim1.Bin4.RB</v>
          </cell>
          <cell r="F1739">
            <v>4</v>
          </cell>
          <cell r="G1739" t="str">
            <v>SplineDFA</v>
          </cell>
          <cell r="H1739" t="str">
            <v>Y</v>
          </cell>
          <cell r="I1739" t="str">
            <v>N</v>
          </cell>
          <cell r="J1739">
            <v>183</v>
          </cell>
          <cell r="K1739">
            <v>1</v>
          </cell>
          <cell r="L1739">
            <v>5.2999999999999999E-2</v>
          </cell>
          <cell r="M1739">
            <v>23.7</v>
          </cell>
          <cell r="N1739">
            <v>2.7</v>
          </cell>
          <cell r="O1739">
            <v>0.94699999999999995</v>
          </cell>
          <cell r="P1739">
            <v>0.27960000000000002</v>
          </cell>
          <cell r="Q1739">
            <v>0.27650000000000002</v>
          </cell>
          <cell r="R1739">
            <v>0.39090000000000003</v>
          </cell>
          <cell r="S1739" t="str">
            <v>NA</v>
          </cell>
          <cell r="T1739">
            <v>59.7</v>
          </cell>
          <cell r="U1739">
            <v>4.8</v>
          </cell>
          <cell r="V1739">
            <v>72.900000000000006</v>
          </cell>
          <cell r="W1739">
            <v>7.4</v>
          </cell>
          <cell r="X1739">
            <v>54.2</v>
          </cell>
          <cell r="Y1739">
            <v>7</v>
          </cell>
          <cell r="Z1739" t="str">
            <v>NA</v>
          </cell>
          <cell r="AA1739" t="str">
            <v>NA</v>
          </cell>
        </row>
        <row r="1740">
          <cell r="A1740">
            <v>45180</v>
          </cell>
          <cell r="B1740" t="str">
            <v>A1</v>
          </cell>
          <cell r="C1740">
            <v>1</v>
          </cell>
          <cell r="D1740">
            <v>1</v>
          </cell>
          <cell r="E1740" t="str">
            <v>ARIS.A1.Aim1.Bin1.LB</v>
          </cell>
          <cell r="F1740">
            <v>4</v>
          </cell>
          <cell r="G1740" t="str">
            <v>Unweighted</v>
          </cell>
          <cell r="H1740" t="str">
            <v>N</v>
          </cell>
          <cell r="I1740" t="str">
            <v>Y</v>
          </cell>
          <cell r="J1740">
            <v>158</v>
          </cell>
          <cell r="K1740">
            <v>1</v>
          </cell>
          <cell r="L1740">
            <v>0.46550000000000002</v>
          </cell>
          <cell r="M1740">
            <v>25.1</v>
          </cell>
          <cell r="N1740">
            <v>5.3</v>
          </cell>
          <cell r="O1740">
            <v>0.53449999999999998</v>
          </cell>
          <cell r="P1740">
            <v>9.8000000000000004E-2</v>
          </cell>
          <cell r="Q1740">
            <v>0</v>
          </cell>
          <cell r="R1740">
            <v>0.4365</v>
          </cell>
          <cell r="S1740" t="str">
            <v>NA</v>
          </cell>
          <cell r="T1740">
            <v>60.3</v>
          </cell>
          <cell r="U1740">
            <v>4.9000000000000004</v>
          </cell>
          <cell r="V1740">
            <v>73.900000000000006</v>
          </cell>
          <cell r="W1740">
            <v>7.5</v>
          </cell>
          <cell r="X1740">
            <v>52.3</v>
          </cell>
          <cell r="Y1740">
            <v>6.8</v>
          </cell>
          <cell r="Z1740" t="str">
            <v>NA</v>
          </cell>
          <cell r="AA1740" t="str">
            <v>NA</v>
          </cell>
        </row>
        <row r="1741">
          <cell r="A1741">
            <v>45180</v>
          </cell>
          <cell r="B1741" t="str">
            <v>A1</v>
          </cell>
          <cell r="C1741">
            <v>1</v>
          </cell>
          <cell r="D1741">
            <v>2</v>
          </cell>
          <cell r="E1741" t="str">
            <v>ARIS.A1.Aim2.Bin1.LB</v>
          </cell>
          <cell r="F1741">
            <v>4</v>
          </cell>
          <cell r="G1741" t="str">
            <v>Unweighted</v>
          </cell>
          <cell r="H1741" t="str">
            <v>N</v>
          </cell>
          <cell r="I1741" t="str">
            <v>Y</v>
          </cell>
          <cell r="J1741">
            <v>212</v>
          </cell>
          <cell r="K1741">
            <v>1</v>
          </cell>
          <cell r="L1741">
            <v>0.38629999999999998</v>
          </cell>
          <cell r="M1741">
            <v>19.600000000000001</v>
          </cell>
          <cell r="N1741">
            <v>8.4</v>
          </cell>
          <cell r="O1741">
            <v>0.61370000000000002</v>
          </cell>
          <cell r="P1741">
            <v>0.18290000000000001</v>
          </cell>
          <cell r="Q1741">
            <v>0</v>
          </cell>
          <cell r="R1741">
            <v>0.43080000000000002</v>
          </cell>
          <cell r="S1741" t="str">
            <v>NA</v>
          </cell>
          <cell r="T1741">
            <v>60.3</v>
          </cell>
          <cell r="U1741">
            <v>4.9000000000000004</v>
          </cell>
          <cell r="V1741">
            <v>73.900000000000006</v>
          </cell>
          <cell r="W1741">
            <v>7.5</v>
          </cell>
          <cell r="X1741">
            <v>52.3</v>
          </cell>
          <cell r="Y1741">
            <v>6.8</v>
          </cell>
          <cell r="Z1741" t="str">
            <v>NA</v>
          </cell>
          <cell r="AA1741" t="str">
            <v>NA</v>
          </cell>
        </row>
        <row r="1742">
          <cell r="A1742">
            <v>45180</v>
          </cell>
          <cell r="B1742" t="str">
            <v>A1</v>
          </cell>
          <cell r="C1742">
            <v>1</v>
          </cell>
          <cell r="D1742" t="str">
            <v>1&amp;2</v>
          </cell>
          <cell r="E1742" t="str">
            <v>ARIS.A1.Aim1&amp;Aim2.Bin1.LB</v>
          </cell>
          <cell r="F1742">
            <v>4</v>
          </cell>
          <cell r="G1742" t="str">
            <v>Unweighted</v>
          </cell>
          <cell r="H1742" t="str">
            <v>N</v>
          </cell>
          <cell r="I1742" t="str">
            <v>Y</v>
          </cell>
          <cell r="J1742">
            <v>370</v>
          </cell>
          <cell r="K1742">
            <v>1</v>
          </cell>
          <cell r="L1742">
            <v>0.43330000000000002</v>
          </cell>
          <cell r="M1742">
            <v>22.7</v>
          </cell>
          <cell r="N1742">
            <v>7.4</v>
          </cell>
          <cell r="O1742">
            <v>0.56669999999999998</v>
          </cell>
          <cell r="P1742">
            <v>0.1484</v>
          </cell>
          <cell r="Q1742">
            <v>0</v>
          </cell>
          <cell r="R1742">
            <v>0.41830000000000001</v>
          </cell>
          <cell r="S1742" t="str">
            <v>NA</v>
          </cell>
          <cell r="T1742">
            <v>60.3</v>
          </cell>
          <cell r="U1742">
            <v>4.9000000000000004</v>
          </cell>
          <cell r="V1742">
            <v>73.900000000000006</v>
          </cell>
          <cell r="W1742">
            <v>7.5</v>
          </cell>
          <cell r="X1742">
            <v>52.3</v>
          </cell>
          <cell r="Y1742">
            <v>6.8</v>
          </cell>
          <cell r="Z1742" t="str">
            <v>NA</v>
          </cell>
          <cell r="AA1742" t="str">
            <v>NA</v>
          </cell>
        </row>
        <row r="1743">
          <cell r="A1743">
            <v>45180</v>
          </cell>
          <cell r="B1743" t="str">
            <v>A1</v>
          </cell>
          <cell r="C1743">
            <v>2</v>
          </cell>
          <cell r="D1743">
            <v>3</v>
          </cell>
          <cell r="E1743" t="str">
            <v>ARIS.A1.Aim3.Bin2.LB</v>
          </cell>
          <cell r="F1743">
            <v>4</v>
          </cell>
          <cell r="G1743" t="str">
            <v>Unweighted</v>
          </cell>
          <cell r="H1743" t="str">
            <v>N</v>
          </cell>
          <cell r="I1743" t="str">
            <v>Y</v>
          </cell>
          <cell r="J1743">
            <v>194</v>
          </cell>
          <cell r="K1743">
            <v>0.99990000000000001</v>
          </cell>
          <cell r="L1743">
            <v>6.3700000000000007E-2</v>
          </cell>
          <cell r="M1743">
            <v>25.6</v>
          </cell>
          <cell r="N1743">
            <v>2.4</v>
          </cell>
          <cell r="O1743">
            <v>0.93620000000000003</v>
          </cell>
          <cell r="P1743">
            <v>0.20669999999999999</v>
          </cell>
          <cell r="Q1743">
            <v>0.1157</v>
          </cell>
          <cell r="R1743">
            <v>0.61380000000000001</v>
          </cell>
          <cell r="S1743" t="str">
            <v>NA</v>
          </cell>
          <cell r="T1743">
            <v>60.3</v>
          </cell>
          <cell r="U1743">
            <v>4.9000000000000004</v>
          </cell>
          <cell r="V1743">
            <v>73.900000000000006</v>
          </cell>
          <cell r="W1743">
            <v>7.5</v>
          </cell>
          <cell r="X1743">
            <v>52.3</v>
          </cell>
          <cell r="Y1743">
            <v>6.8</v>
          </cell>
          <cell r="Z1743" t="str">
            <v>NA</v>
          </cell>
          <cell r="AA1743" t="str">
            <v>NA</v>
          </cell>
        </row>
        <row r="1744">
          <cell r="A1744">
            <v>45180</v>
          </cell>
          <cell r="B1744" t="str">
            <v>A1</v>
          </cell>
          <cell r="C1744">
            <v>3</v>
          </cell>
          <cell r="D1744">
            <v>3</v>
          </cell>
          <cell r="E1744" t="str">
            <v>ARIS.A1.Aim3.Bin3.LB</v>
          </cell>
          <cell r="F1744">
            <v>4</v>
          </cell>
          <cell r="G1744" t="str">
            <v>Unweighted</v>
          </cell>
          <cell r="H1744" t="str">
            <v>N</v>
          </cell>
          <cell r="I1744" t="str">
            <v>Y</v>
          </cell>
          <cell r="J1744">
            <v>216</v>
          </cell>
          <cell r="K1744">
            <v>0.99990000000000001</v>
          </cell>
          <cell r="L1744">
            <v>2.7000000000000001E-3</v>
          </cell>
          <cell r="M1744">
            <v>24.8</v>
          </cell>
          <cell r="N1744">
            <v>3.1</v>
          </cell>
          <cell r="O1744">
            <v>0.99719999999999998</v>
          </cell>
          <cell r="P1744">
            <v>0.224</v>
          </cell>
          <cell r="Q1744">
            <v>0.42759999999999998</v>
          </cell>
          <cell r="R1744">
            <v>0.34560000000000002</v>
          </cell>
          <cell r="S1744" t="str">
            <v>NA</v>
          </cell>
          <cell r="T1744">
            <v>60.3</v>
          </cell>
          <cell r="U1744">
            <v>4.9000000000000004</v>
          </cell>
          <cell r="V1744">
            <v>73.900000000000006</v>
          </cell>
          <cell r="W1744">
            <v>7.5</v>
          </cell>
          <cell r="X1744">
            <v>52.3</v>
          </cell>
          <cell r="Y1744">
            <v>6.8</v>
          </cell>
          <cell r="Z1744" t="str">
            <v>NA</v>
          </cell>
          <cell r="AA1744" t="str">
            <v>NA</v>
          </cell>
        </row>
        <row r="1745">
          <cell r="A1745">
            <v>45180</v>
          </cell>
          <cell r="B1745" t="str">
            <v>A1</v>
          </cell>
          <cell r="C1745">
            <v>4</v>
          </cell>
          <cell r="D1745">
            <v>3</v>
          </cell>
          <cell r="E1745" t="str">
            <v>ARIS.A1.Aim3.Bin4.LB</v>
          </cell>
          <cell r="F1745">
            <v>4</v>
          </cell>
          <cell r="G1745" t="str">
            <v>Unweighted</v>
          </cell>
          <cell r="H1745" t="str">
            <v>N</v>
          </cell>
          <cell r="I1745" t="str">
            <v>Y</v>
          </cell>
          <cell r="J1745">
            <v>216</v>
          </cell>
          <cell r="K1745">
            <v>0.99990000000000001</v>
          </cell>
          <cell r="L1745">
            <v>2.7000000000000001E-3</v>
          </cell>
          <cell r="M1745">
            <v>24.8</v>
          </cell>
          <cell r="N1745">
            <v>3.1</v>
          </cell>
          <cell r="O1745">
            <v>0.99719999999999998</v>
          </cell>
          <cell r="P1745">
            <v>0.224</v>
          </cell>
          <cell r="Q1745">
            <v>0.42759999999999998</v>
          </cell>
          <cell r="R1745">
            <v>0.34560000000000002</v>
          </cell>
          <cell r="S1745" t="str">
            <v>NA</v>
          </cell>
          <cell r="T1745">
            <v>60.3</v>
          </cell>
          <cell r="U1745">
            <v>4.9000000000000004</v>
          </cell>
          <cell r="V1745">
            <v>73.900000000000006</v>
          </cell>
          <cell r="W1745">
            <v>7.5</v>
          </cell>
          <cell r="X1745">
            <v>52.3</v>
          </cell>
          <cell r="Y1745">
            <v>6.8</v>
          </cell>
          <cell r="Z1745" t="str">
            <v>NA</v>
          </cell>
          <cell r="AA1745" t="str">
            <v>NA</v>
          </cell>
        </row>
        <row r="1746">
          <cell r="A1746">
            <v>45180</v>
          </cell>
          <cell r="B1746" t="str">
            <v>A2</v>
          </cell>
          <cell r="C1746">
            <v>1</v>
          </cell>
          <cell r="D1746">
            <v>1</v>
          </cell>
          <cell r="E1746" t="str">
            <v>ARIS.A2.Aim1.Bin1.RB</v>
          </cell>
          <cell r="F1746">
            <v>4</v>
          </cell>
          <cell r="G1746" t="str">
            <v>Unweighted</v>
          </cell>
          <cell r="H1746" t="str">
            <v>N</v>
          </cell>
          <cell r="I1746" t="str">
            <v>Y</v>
          </cell>
          <cell r="J1746">
            <v>185</v>
          </cell>
          <cell r="K1746">
            <v>1</v>
          </cell>
          <cell r="L1746">
            <v>0.1457</v>
          </cell>
          <cell r="M1746">
            <v>24</v>
          </cell>
          <cell r="N1746">
            <v>5.4</v>
          </cell>
          <cell r="O1746">
            <v>0.85429999999999995</v>
          </cell>
          <cell r="P1746">
            <v>0.217</v>
          </cell>
          <cell r="Q1746">
            <v>0</v>
          </cell>
          <cell r="R1746">
            <v>0.63729999999999998</v>
          </cell>
          <cell r="S1746" t="str">
            <v>NA</v>
          </cell>
          <cell r="T1746">
            <v>60.3</v>
          </cell>
          <cell r="U1746">
            <v>4.9000000000000004</v>
          </cell>
          <cell r="V1746">
            <v>73.900000000000006</v>
          </cell>
          <cell r="W1746">
            <v>7.5</v>
          </cell>
          <cell r="X1746">
            <v>52.3</v>
          </cell>
          <cell r="Y1746">
            <v>6.8</v>
          </cell>
          <cell r="Z1746" t="str">
            <v>NA</v>
          </cell>
          <cell r="AA1746" t="str">
            <v>NA</v>
          </cell>
        </row>
        <row r="1747">
          <cell r="A1747">
            <v>45180</v>
          </cell>
          <cell r="B1747" t="str">
            <v>A2</v>
          </cell>
          <cell r="C1747">
            <v>2</v>
          </cell>
          <cell r="D1747">
            <v>1</v>
          </cell>
          <cell r="E1747" t="str">
            <v>ARIS.A2.Aim1.Bin2.RB</v>
          </cell>
          <cell r="F1747">
            <v>4</v>
          </cell>
          <cell r="G1747" t="str">
            <v>Unweighted</v>
          </cell>
          <cell r="H1747" t="str">
            <v>N</v>
          </cell>
          <cell r="I1747" t="str">
            <v>Y</v>
          </cell>
          <cell r="J1747">
            <v>186</v>
          </cell>
          <cell r="K1747">
            <v>1</v>
          </cell>
          <cell r="L1747">
            <v>8.2799999999999999E-2</v>
          </cell>
          <cell r="M1747">
            <v>23.7</v>
          </cell>
          <cell r="N1747">
            <v>9.9</v>
          </cell>
          <cell r="O1747">
            <v>0.91720000000000002</v>
          </cell>
          <cell r="P1747">
            <v>5.5500000000000001E-2</v>
          </cell>
          <cell r="Q1747">
            <v>0.1142</v>
          </cell>
          <cell r="R1747">
            <v>0.74750000000000005</v>
          </cell>
          <cell r="S1747" t="str">
            <v>NA</v>
          </cell>
          <cell r="T1747">
            <v>60.3</v>
          </cell>
          <cell r="U1747">
            <v>4.9000000000000004</v>
          </cell>
          <cell r="V1747">
            <v>73.900000000000006</v>
          </cell>
          <cell r="W1747">
            <v>7.5</v>
          </cell>
          <cell r="X1747">
            <v>52.3</v>
          </cell>
          <cell r="Y1747">
            <v>6.8</v>
          </cell>
          <cell r="Z1747" t="str">
            <v>NA</v>
          </cell>
          <cell r="AA1747" t="str">
            <v>NA</v>
          </cell>
        </row>
        <row r="1748">
          <cell r="A1748">
            <v>45180</v>
          </cell>
          <cell r="B1748" t="str">
            <v>A2</v>
          </cell>
          <cell r="C1748">
            <v>3</v>
          </cell>
          <cell r="D1748">
            <v>1</v>
          </cell>
          <cell r="E1748" t="str">
            <v>ARIS.A2.Aim1.Bin3.RB</v>
          </cell>
          <cell r="F1748">
            <v>4</v>
          </cell>
          <cell r="G1748" t="str">
            <v>Unweighted</v>
          </cell>
          <cell r="H1748" t="str">
            <v>N</v>
          </cell>
          <cell r="I1748" t="str">
            <v>Y</v>
          </cell>
          <cell r="J1748">
            <v>153</v>
          </cell>
          <cell r="K1748">
            <v>1</v>
          </cell>
          <cell r="L1748">
            <v>6.7199999999999996E-2</v>
          </cell>
          <cell r="M1748">
            <v>23.7</v>
          </cell>
          <cell r="N1748">
            <v>12.5</v>
          </cell>
          <cell r="O1748">
            <v>0.93279999999999996</v>
          </cell>
          <cell r="P1748">
            <v>0.1666</v>
          </cell>
          <cell r="Q1748">
            <v>0.37</v>
          </cell>
          <cell r="R1748">
            <v>0.3962</v>
          </cell>
          <cell r="S1748" t="str">
            <v>NA</v>
          </cell>
          <cell r="T1748">
            <v>60.3</v>
          </cell>
          <cell r="U1748">
            <v>4.9000000000000004</v>
          </cell>
          <cell r="V1748">
            <v>73.900000000000006</v>
          </cell>
          <cell r="W1748">
            <v>7.5</v>
          </cell>
          <cell r="X1748">
            <v>52.3</v>
          </cell>
          <cell r="Y1748">
            <v>6.8</v>
          </cell>
          <cell r="Z1748" t="str">
            <v>NA</v>
          </cell>
          <cell r="AA1748" t="str">
            <v>NA</v>
          </cell>
        </row>
        <row r="1749">
          <cell r="A1749">
            <v>45180</v>
          </cell>
          <cell r="B1749" t="str">
            <v>A2</v>
          </cell>
          <cell r="C1749">
            <v>4</v>
          </cell>
          <cell r="D1749">
            <v>1</v>
          </cell>
          <cell r="E1749" t="str">
            <v>ARIS.A2.Aim1.Bin4.RB</v>
          </cell>
          <cell r="F1749">
            <v>4</v>
          </cell>
          <cell r="G1749" t="str">
            <v>Unweighted</v>
          </cell>
          <cell r="H1749" t="str">
            <v>N</v>
          </cell>
          <cell r="I1749" t="str">
            <v>Y</v>
          </cell>
          <cell r="J1749">
            <v>153</v>
          </cell>
          <cell r="K1749">
            <v>1</v>
          </cell>
          <cell r="L1749">
            <v>6.7199999999999996E-2</v>
          </cell>
          <cell r="M1749">
            <v>23.7</v>
          </cell>
          <cell r="N1749">
            <v>12.5</v>
          </cell>
          <cell r="O1749">
            <v>0.93279999999999996</v>
          </cell>
          <cell r="P1749">
            <v>0.1666</v>
          </cell>
          <cell r="Q1749">
            <v>0.37</v>
          </cell>
          <cell r="R1749">
            <v>0.3962</v>
          </cell>
          <cell r="S1749" t="str">
            <v>NA</v>
          </cell>
          <cell r="T1749">
            <v>60.3</v>
          </cell>
          <cell r="U1749">
            <v>4.9000000000000004</v>
          </cell>
          <cell r="V1749">
            <v>73.900000000000006</v>
          </cell>
          <cell r="W1749">
            <v>7.5</v>
          </cell>
          <cell r="X1749">
            <v>52.3</v>
          </cell>
          <cell r="Y1749">
            <v>6.8</v>
          </cell>
          <cell r="Z1749" t="str">
            <v>NA</v>
          </cell>
          <cell r="AA1749" t="str">
            <v>NA</v>
          </cell>
        </row>
        <row r="1750">
          <cell r="A1750">
            <v>45180</v>
          </cell>
          <cell r="B1750" t="str">
            <v>A1</v>
          </cell>
          <cell r="C1750">
            <v>1</v>
          </cell>
          <cell r="D1750">
            <v>1</v>
          </cell>
          <cell r="E1750" t="str">
            <v>ARIS.A1.Aim1.Bin1.LB</v>
          </cell>
          <cell r="F1750">
            <v>4</v>
          </cell>
          <cell r="G1750" t="str">
            <v>SplineDFA</v>
          </cell>
          <cell r="H1750" t="str">
            <v>Y</v>
          </cell>
          <cell r="I1750" t="str">
            <v>N</v>
          </cell>
          <cell r="J1750">
            <v>158</v>
          </cell>
          <cell r="K1750">
            <v>1</v>
          </cell>
          <cell r="L1750">
            <v>0.17580000000000001</v>
          </cell>
          <cell r="M1750">
            <v>23.7</v>
          </cell>
          <cell r="N1750">
            <v>2.7</v>
          </cell>
          <cell r="O1750">
            <v>0.82420000000000004</v>
          </cell>
          <cell r="P1750">
            <v>0.1202</v>
          </cell>
          <cell r="Q1750">
            <v>0</v>
          </cell>
          <cell r="R1750">
            <v>0.70399999999999996</v>
          </cell>
          <cell r="S1750" t="str">
            <v>NA</v>
          </cell>
          <cell r="T1750">
            <v>60.3</v>
          </cell>
          <cell r="U1750">
            <v>4.9000000000000004</v>
          </cell>
          <cell r="V1750">
            <v>73.900000000000006</v>
          </cell>
          <cell r="W1750">
            <v>7.5</v>
          </cell>
          <cell r="X1750">
            <v>52.3</v>
          </cell>
          <cell r="Y1750">
            <v>6.8</v>
          </cell>
          <cell r="Z1750" t="str">
            <v>NA</v>
          </cell>
          <cell r="AA1750" t="str">
            <v>NA</v>
          </cell>
        </row>
        <row r="1751">
          <cell r="A1751">
            <v>45180</v>
          </cell>
          <cell r="B1751" t="str">
            <v>A1</v>
          </cell>
          <cell r="C1751">
            <v>1</v>
          </cell>
          <cell r="D1751">
            <v>2</v>
          </cell>
          <cell r="E1751" t="str">
            <v>ARIS.A1.Aim2.Bin1.LB</v>
          </cell>
          <cell r="F1751">
            <v>4</v>
          </cell>
          <cell r="G1751" t="str">
            <v>SplineDFA</v>
          </cell>
          <cell r="H1751" t="str">
            <v>Y</v>
          </cell>
          <cell r="I1751" t="str">
            <v>N</v>
          </cell>
          <cell r="J1751">
            <v>212</v>
          </cell>
          <cell r="K1751">
            <v>0.99990000000000001</v>
          </cell>
          <cell r="L1751">
            <v>0.1913</v>
          </cell>
          <cell r="M1751">
            <v>23.7</v>
          </cell>
          <cell r="N1751">
            <v>2.7</v>
          </cell>
          <cell r="O1751">
            <v>0.80859999999999999</v>
          </cell>
          <cell r="P1751">
            <v>0.34089999999999998</v>
          </cell>
          <cell r="Q1751">
            <v>0</v>
          </cell>
          <cell r="R1751">
            <v>0.4677</v>
          </cell>
          <cell r="S1751" t="str">
            <v>NA</v>
          </cell>
          <cell r="T1751">
            <v>60.3</v>
          </cell>
          <cell r="U1751">
            <v>4.9000000000000004</v>
          </cell>
          <cell r="V1751">
            <v>73.900000000000006</v>
          </cell>
          <cell r="W1751">
            <v>7.5</v>
          </cell>
          <cell r="X1751">
            <v>52.3</v>
          </cell>
          <cell r="Y1751">
            <v>6.8</v>
          </cell>
          <cell r="Z1751" t="str">
            <v>NA</v>
          </cell>
          <cell r="AA1751" t="str">
            <v>NA</v>
          </cell>
        </row>
        <row r="1752">
          <cell r="A1752">
            <v>45180</v>
          </cell>
          <cell r="B1752" t="str">
            <v>A1</v>
          </cell>
          <cell r="C1752">
            <v>2</v>
          </cell>
          <cell r="D1752">
            <v>3</v>
          </cell>
          <cell r="E1752" t="str">
            <v>ARIS.A1.Aim3.Bin2.LB</v>
          </cell>
          <cell r="F1752">
            <v>4</v>
          </cell>
          <cell r="G1752" t="str">
            <v>SplineDFA</v>
          </cell>
          <cell r="H1752" t="str">
            <v>Y</v>
          </cell>
          <cell r="I1752" t="str">
            <v>N</v>
          </cell>
          <cell r="J1752">
            <v>194</v>
          </cell>
          <cell r="K1752">
            <v>1</v>
          </cell>
          <cell r="L1752">
            <v>4.3700000000000003E-2</v>
          </cell>
          <cell r="M1752">
            <v>23.7</v>
          </cell>
          <cell r="N1752">
            <v>2.7</v>
          </cell>
          <cell r="O1752">
            <v>0.95630000000000004</v>
          </cell>
          <cell r="P1752">
            <v>0.33779999999999999</v>
          </cell>
          <cell r="Q1752">
            <v>0.12379999999999999</v>
          </cell>
          <cell r="R1752">
            <v>0.49469999999999997</v>
          </cell>
          <cell r="S1752" t="str">
            <v>NA</v>
          </cell>
          <cell r="T1752">
            <v>60.3</v>
          </cell>
          <cell r="U1752">
            <v>4.9000000000000004</v>
          </cell>
          <cell r="V1752">
            <v>73.900000000000006</v>
          </cell>
          <cell r="W1752">
            <v>7.5</v>
          </cell>
          <cell r="X1752">
            <v>52.3</v>
          </cell>
          <cell r="Y1752">
            <v>6.8</v>
          </cell>
          <cell r="Z1752" t="str">
            <v>NA</v>
          </cell>
          <cell r="AA1752" t="str">
            <v>NA</v>
          </cell>
        </row>
        <row r="1753">
          <cell r="A1753">
            <v>45180</v>
          </cell>
          <cell r="B1753" t="str">
            <v>A1</v>
          </cell>
          <cell r="C1753">
            <v>3</v>
          </cell>
          <cell r="D1753">
            <v>3</v>
          </cell>
          <cell r="E1753" t="str">
            <v>ARIS.A1.Aim3.Bin3.LB</v>
          </cell>
          <cell r="F1753">
            <v>4</v>
          </cell>
          <cell r="G1753" t="str">
            <v>SplineDFA</v>
          </cell>
          <cell r="H1753" t="str">
            <v>Y</v>
          </cell>
          <cell r="I1753" t="str">
            <v>N</v>
          </cell>
          <cell r="J1753">
            <v>216</v>
          </cell>
          <cell r="K1753">
            <v>0.99990000000000001</v>
          </cell>
          <cell r="L1753">
            <v>0</v>
          </cell>
          <cell r="M1753">
            <v>23.7</v>
          </cell>
          <cell r="N1753">
            <v>2.7</v>
          </cell>
          <cell r="O1753">
            <v>0.99990000000000001</v>
          </cell>
          <cell r="P1753">
            <v>0.32819999999999999</v>
          </cell>
          <cell r="Q1753">
            <v>0.32579999999999998</v>
          </cell>
          <cell r="R1753">
            <v>0.34589999999999999</v>
          </cell>
          <cell r="S1753" t="str">
            <v>NA</v>
          </cell>
          <cell r="T1753">
            <v>60.3</v>
          </cell>
          <cell r="U1753">
            <v>4.9000000000000004</v>
          </cell>
          <cell r="V1753">
            <v>73.900000000000006</v>
          </cell>
          <cell r="W1753">
            <v>7.5</v>
          </cell>
          <cell r="X1753">
            <v>52.3</v>
          </cell>
          <cell r="Y1753">
            <v>6.8</v>
          </cell>
          <cell r="Z1753" t="str">
            <v>NA</v>
          </cell>
          <cell r="AA1753" t="str">
            <v>NA</v>
          </cell>
        </row>
        <row r="1754">
          <cell r="A1754">
            <v>45180</v>
          </cell>
          <cell r="B1754" t="str">
            <v>A1</v>
          </cell>
          <cell r="C1754">
            <v>4</v>
          </cell>
          <cell r="D1754">
            <v>3</v>
          </cell>
          <cell r="E1754" t="str">
            <v>ARIS.A1.Aim3.Bin4.LB</v>
          </cell>
          <cell r="F1754">
            <v>4</v>
          </cell>
          <cell r="G1754" t="str">
            <v>SplineDFA</v>
          </cell>
          <cell r="H1754" t="str">
            <v>Y</v>
          </cell>
          <cell r="I1754" t="str">
            <v>N</v>
          </cell>
          <cell r="J1754">
            <v>216</v>
          </cell>
          <cell r="K1754">
            <v>0.99990000000000001</v>
          </cell>
          <cell r="L1754">
            <v>0</v>
          </cell>
          <cell r="M1754">
            <v>23.7</v>
          </cell>
          <cell r="N1754">
            <v>2.7</v>
          </cell>
          <cell r="O1754">
            <v>0.99990000000000001</v>
          </cell>
          <cell r="P1754">
            <v>0.32819999999999999</v>
          </cell>
          <cell r="Q1754">
            <v>0.32579999999999998</v>
          </cell>
          <cell r="R1754">
            <v>0.34589999999999999</v>
          </cell>
          <cell r="S1754" t="str">
            <v>NA</v>
          </cell>
          <cell r="T1754">
            <v>60.3</v>
          </cell>
          <cell r="U1754">
            <v>4.9000000000000004</v>
          </cell>
          <cell r="V1754">
            <v>73.900000000000006</v>
          </cell>
          <cell r="W1754">
            <v>7.5</v>
          </cell>
          <cell r="X1754">
            <v>52.3</v>
          </cell>
          <cell r="Y1754">
            <v>6.8</v>
          </cell>
          <cell r="Z1754" t="str">
            <v>NA</v>
          </cell>
          <cell r="AA1754" t="str">
            <v>NA</v>
          </cell>
        </row>
        <row r="1755">
          <cell r="A1755">
            <v>45180</v>
          </cell>
          <cell r="B1755" t="str">
            <v>A2</v>
          </cell>
          <cell r="C1755">
            <v>1</v>
          </cell>
          <cell r="D1755">
            <v>1</v>
          </cell>
          <cell r="E1755" t="str">
            <v>ARIS.A2.Aim1.Bin1.RB</v>
          </cell>
          <cell r="F1755">
            <v>4</v>
          </cell>
          <cell r="G1755" t="str">
            <v>SplineDFA</v>
          </cell>
          <cell r="H1755" t="str">
            <v>Y</v>
          </cell>
          <cell r="I1755" t="str">
            <v>N</v>
          </cell>
          <cell r="J1755">
            <v>185</v>
          </cell>
          <cell r="K1755">
            <v>1.0001</v>
          </cell>
          <cell r="L1755">
            <v>0.10290000000000001</v>
          </cell>
          <cell r="M1755">
            <v>23.7</v>
          </cell>
          <cell r="N1755">
            <v>2.7</v>
          </cell>
          <cell r="O1755">
            <v>0.8972</v>
          </cell>
          <cell r="P1755">
            <v>0.23330000000000001</v>
          </cell>
          <cell r="Q1755">
            <v>1.43E-2</v>
          </cell>
          <cell r="R1755">
            <v>0.64959999999999996</v>
          </cell>
          <cell r="S1755" t="str">
            <v>NA</v>
          </cell>
          <cell r="T1755">
            <v>60.3</v>
          </cell>
          <cell r="U1755">
            <v>4.9000000000000004</v>
          </cell>
          <cell r="V1755">
            <v>73.900000000000006</v>
          </cell>
          <cell r="W1755">
            <v>7.5</v>
          </cell>
          <cell r="X1755">
            <v>52.3</v>
          </cell>
          <cell r="Y1755">
            <v>6.8</v>
          </cell>
          <cell r="Z1755" t="str">
            <v>NA</v>
          </cell>
          <cell r="AA1755" t="str">
            <v>NA</v>
          </cell>
        </row>
        <row r="1756">
          <cell r="A1756">
            <v>45180</v>
          </cell>
          <cell r="B1756" t="str">
            <v>A2</v>
          </cell>
          <cell r="C1756">
            <v>2</v>
          </cell>
          <cell r="D1756">
            <v>1</v>
          </cell>
          <cell r="E1756" t="str">
            <v>ARIS.A2.Aim1.Bin2.RB</v>
          </cell>
          <cell r="F1756">
            <v>4</v>
          </cell>
          <cell r="G1756" t="str">
            <v>SplineDFA</v>
          </cell>
          <cell r="H1756" t="str">
            <v>Y</v>
          </cell>
          <cell r="I1756" t="str">
            <v>N</v>
          </cell>
          <cell r="J1756">
            <v>186</v>
          </cell>
          <cell r="K1756">
            <v>1.0001</v>
          </cell>
          <cell r="L1756">
            <v>6.1400000000000003E-2</v>
          </cell>
          <cell r="M1756">
            <v>23.7</v>
          </cell>
          <cell r="N1756">
            <v>2.7</v>
          </cell>
          <cell r="O1756">
            <v>0.93869999999999998</v>
          </cell>
          <cell r="P1756">
            <v>0.25180000000000002</v>
          </cell>
          <cell r="Q1756">
            <v>9.7799999999999998E-2</v>
          </cell>
          <cell r="R1756">
            <v>0.58909999999999996</v>
          </cell>
          <cell r="S1756" t="str">
            <v>NA</v>
          </cell>
          <cell r="T1756">
            <v>60.3</v>
          </cell>
          <cell r="U1756">
            <v>4.9000000000000004</v>
          </cell>
          <cell r="V1756">
            <v>73.900000000000006</v>
          </cell>
          <cell r="W1756">
            <v>7.5</v>
          </cell>
          <cell r="X1756">
            <v>52.3</v>
          </cell>
          <cell r="Y1756">
            <v>6.8</v>
          </cell>
          <cell r="Z1756" t="str">
            <v>NA</v>
          </cell>
          <cell r="AA1756" t="str">
            <v>NA</v>
          </cell>
        </row>
        <row r="1757">
          <cell r="A1757">
            <v>45180</v>
          </cell>
          <cell r="B1757" t="str">
            <v>A2</v>
          </cell>
          <cell r="C1757">
            <v>3</v>
          </cell>
          <cell r="D1757">
            <v>1</v>
          </cell>
          <cell r="E1757" t="str">
            <v>ARIS.A2.Aim1.Bin3.RB</v>
          </cell>
          <cell r="F1757">
            <v>4</v>
          </cell>
          <cell r="G1757" t="str">
            <v>SplineDFA</v>
          </cell>
          <cell r="H1757" t="str">
            <v>Y</v>
          </cell>
          <cell r="I1757" t="str">
            <v>N</v>
          </cell>
          <cell r="J1757">
            <v>153</v>
          </cell>
          <cell r="K1757">
            <v>0.99990000000000001</v>
          </cell>
          <cell r="L1757">
            <v>1.17E-2</v>
          </cell>
          <cell r="M1757">
            <v>23.7</v>
          </cell>
          <cell r="N1757">
            <v>2.7</v>
          </cell>
          <cell r="O1757">
            <v>0.98819999999999997</v>
          </cell>
          <cell r="P1757">
            <v>0.29820000000000002</v>
          </cell>
          <cell r="Q1757">
            <v>0.25819999999999999</v>
          </cell>
          <cell r="R1757">
            <v>0.43180000000000002</v>
          </cell>
          <cell r="S1757" t="str">
            <v>NA</v>
          </cell>
          <cell r="T1757">
            <v>60.3</v>
          </cell>
          <cell r="U1757">
            <v>4.9000000000000004</v>
          </cell>
          <cell r="V1757">
            <v>73.900000000000006</v>
          </cell>
          <cell r="W1757">
            <v>7.5</v>
          </cell>
          <cell r="X1757">
            <v>52.3</v>
          </cell>
          <cell r="Y1757">
            <v>6.8</v>
          </cell>
          <cell r="Z1757" t="str">
            <v>NA</v>
          </cell>
          <cell r="AA1757" t="str">
            <v>NA</v>
          </cell>
        </row>
        <row r="1758">
          <cell r="A1758">
            <v>45180</v>
          </cell>
          <cell r="B1758" t="str">
            <v>A2</v>
          </cell>
          <cell r="C1758">
            <v>4</v>
          </cell>
          <cell r="D1758">
            <v>1</v>
          </cell>
          <cell r="E1758" t="str">
            <v>ARIS.A2.Aim1.Bin4.RB</v>
          </cell>
          <cell r="F1758">
            <v>4</v>
          </cell>
          <cell r="G1758" t="str">
            <v>SplineDFA</v>
          </cell>
          <cell r="H1758" t="str">
            <v>Y</v>
          </cell>
          <cell r="I1758" t="str">
            <v>N</v>
          </cell>
          <cell r="J1758">
            <v>153</v>
          </cell>
          <cell r="K1758">
            <v>0.99990000000000001</v>
          </cell>
          <cell r="L1758">
            <v>1.17E-2</v>
          </cell>
          <cell r="M1758">
            <v>23.7</v>
          </cell>
          <cell r="N1758">
            <v>2.7</v>
          </cell>
          <cell r="O1758">
            <v>0.98819999999999997</v>
          </cell>
          <cell r="P1758">
            <v>0.29820000000000002</v>
          </cell>
          <cell r="Q1758">
            <v>0.25819999999999999</v>
          </cell>
          <cell r="R1758">
            <v>0.43180000000000002</v>
          </cell>
          <cell r="S1758" t="str">
            <v>NA</v>
          </cell>
          <cell r="T1758">
            <v>60.3</v>
          </cell>
          <cell r="U1758">
            <v>4.9000000000000004</v>
          </cell>
          <cell r="V1758">
            <v>73.900000000000006</v>
          </cell>
          <cell r="W1758">
            <v>7.5</v>
          </cell>
          <cell r="X1758">
            <v>52.3</v>
          </cell>
          <cell r="Y1758">
            <v>6.8</v>
          </cell>
          <cell r="Z1758" t="str">
            <v>NA</v>
          </cell>
          <cell r="AA1758" t="str">
            <v>NA</v>
          </cell>
        </row>
        <row r="1759">
          <cell r="A1759">
            <v>45181</v>
          </cell>
          <cell r="B1759" t="str">
            <v>A1</v>
          </cell>
          <cell r="C1759">
            <v>1</v>
          </cell>
          <cell r="D1759">
            <v>1</v>
          </cell>
          <cell r="E1759" t="str">
            <v>ARIS.A1.Aim1.Bin1.LB</v>
          </cell>
          <cell r="F1759">
            <v>4</v>
          </cell>
          <cell r="G1759" t="str">
            <v>SplineDFA</v>
          </cell>
          <cell r="H1759" t="str">
            <v>Y</v>
          </cell>
          <cell r="I1759" t="str">
            <v>N</v>
          </cell>
          <cell r="J1759">
            <v>162</v>
          </cell>
          <cell r="K1759">
            <v>0.99990000000000001</v>
          </cell>
          <cell r="L1759">
            <v>0.108</v>
          </cell>
          <cell r="M1759">
            <v>23.7</v>
          </cell>
          <cell r="N1759">
            <v>2.7</v>
          </cell>
          <cell r="O1759">
            <v>0.89190000000000003</v>
          </cell>
          <cell r="P1759">
            <v>0.17949999999999999</v>
          </cell>
          <cell r="Q1759">
            <v>2E-3</v>
          </cell>
          <cell r="R1759">
            <v>0.71040000000000003</v>
          </cell>
          <cell r="S1759" t="str">
            <v>NA</v>
          </cell>
          <cell r="T1759">
            <v>60.3</v>
          </cell>
          <cell r="U1759">
            <v>4.9000000000000004</v>
          </cell>
          <cell r="V1759">
            <v>73.900000000000006</v>
          </cell>
          <cell r="W1759">
            <v>7.5</v>
          </cell>
          <cell r="X1759">
            <v>52.3</v>
          </cell>
          <cell r="Y1759">
            <v>6.8</v>
          </cell>
          <cell r="Z1759" t="str">
            <v>NA</v>
          </cell>
          <cell r="AA1759" t="str">
            <v>NA</v>
          </cell>
        </row>
        <row r="1760">
          <cell r="A1760">
            <v>45181</v>
          </cell>
          <cell r="B1760" t="str">
            <v>A1</v>
          </cell>
          <cell r="C1760">
            <v>1</v>
          </cell>
          <cell r="D1760">
            <v>2</v>
          </cell>
          <cell r="E1760" t="str">
            <v>ARIS.A1.Aim2.Bin1.LB</v>
          </cell>
          <cell r="F1760">
            <v>4</v>
          </cell>
          <cell r="G1760" t="str">
            <v>SplineDFA</v>
          </cell>
          <cell r="H1760" t="str">
            <v>Y</v>
          </cell>
          <cell r="I1760" t="str">
            <v>N</v>
          </cell>
          <cell r="J1760">
            <v>164</v>
          </cell>
          <cell r="K1760">
            <v>1.0001</v>
          </cell>
          <cell r="L1760">
            <v>0.1273</v>
          </cell>
          <cell r="M1760">
            <v>23.7</v>
          </cell>
          <cell r="N1760">
            <v>2.7</v>
          </cell>
          <cell r="O1760">
            <v>0.87280000000000002</v>
          </cell>
          <cell r="P1760">
            <v>0.19320000000000001</v>
          </cell>
          <cell r="Q1760">
            <v>4.4000000000000003E-3</v>
          </cell>
          <cell r="R1760">
            <v>0.67520000000000002</v>
          </cell>
          <cell r="S1760" t="str">
            <v>NA</v>
          </cell>
          <cell r="T1760">
            <v>60.3</v>
          </cell>
          <cell r="U1760">
            <v>4.9000000000000004</v>
          </cell>
          <cell r="V1760">
            <v>73.900000000000006</v>
          </cell>
          <cell r="W1760">
            <v>7.5</v>
          </cell>
          <cell r="X1760">
            <v>52.3</v>
          </cell>
          <cell r="Y1760">
            <v>6.8</v>
          </cell>
          <cell r="Z1760" t="str">
            <v>NA</v>
          </cell>
          <cell r="AA1760" t="str">
            <v>NA</v>
          </cell>
        </row>
        <row r="1761">
          <cell r="A1761">
            <v>45181</v>
          </cell>
          <cell r="B1761" t="str">
            <v>A1</v>
          </cell>
          <cell r="C1761">
            <v>2</v>
          </cell>
          <cell r="D1761">
            <v>3</v>
          </cell>
          <cell r="E1761" t="str">
            <v>ARIS.A1.Aim3.Bin2.LB</v>
          </cell>
          <cell r="F1761">
            <v>4</v>
          </cell>
          <cell r="G1761" t="str">
            <v>SplineDFA</v>
          </cell>
          <cell r="H1761" t="str">
            <v>Y</v>
          </cell>
          <cell r="I1761" t="str">
            <v>N</v>
          </cell>
          <cell r="J1761">
            <v>164</v>
          </cell>
          <cell r="K1761">
            <v>1.0001</v>
          </cell>
          <cell r="L1761">
            <v>2.7099999999999999E-2</v>
          </cell>
          <cell r="M1761">
            <v>23.7</v>
          </cell>
          <cell r="N1761">
            <v>2.7</v>
          </cell>
          <cell r="O1761">
            <v>0.97299999999999998</v>
          </cell>
          <cell r="P1761">
            <v>0.37069999999999997</v>
          </cell>
          <cell r="Q1761">
            <v>6.0100000000000001E-2</v>
          </cell>
          <cell r="R1761">
            <v>0.54220000000000002</v>
          </cell>
          <cell r="S1761" t="str">
            <v>NA</v>
          </cell>
          <cell r="T1761">
            <v>60.3</v>
          </cell>
          <cell r="U1761">
            <v>4.9000000000000004</v>
          </cell>
          <cell r="V1761">
            <v>73.900000000000006</v>
          </cell>
          <cell r="W1761">
            <v>7.5</v>
          </cell>
          <cell r="X1761">
            <v>52.3</v>
          </cell>
          <cell r="Y1761">
            <v>6.8</v>
          </cell>
          <cell r="Z1761" t="str">
            <v>NA</v>
          </cell>
          <cell r="AA1761" t="str">
            <v>NA</v>
          </cell>
        </row>
        <row r="1762">
          <cell r="A1762">
            <v>45181</v>
          </cell>
          <cell r="B1762" t="str">
            <v>A1</v>
          </cell>
          <cell r="C1762">
            <v>3</v>
          </cell>
          <cell r="D1762">
            <v>3</v>
          </cell>
          <cell r="E1762" t="str">
            <v>ARIS.A1.Aim3.Bin3.LB</v>
          </cell>
          <cell r="F1762">
            <v>4</v>
          </cell>
          <cell r="G1762" t="str">
            <v>SplineDFA</v>
          </cell>
          <cell r="H1762" t="str">
            <v>Y</v>
          </cell>
          <cell r="I1762" t="str">
            <v>N</v>
          </cell>
          <cell r="J1762">
            <v>160</v>
          </cell>
          <cell r="K1762">
            <v>1</v>
          </cell>
          <cell r="L1762">
            <v>0</v>
          </cell>
          <cell r="M1762">
            <v>23.7</v>
          </cell>
          <cell r="N1762">
            <v>2.7</v>
          </cell>
          <cell r="O1762">
            <v>1</v>
          </cell>
          <cell r="P1762">
            <v>0.65749999999999997</v>
          </cell>
          <cell r="Q1762">
            <v>0.27779999999999999</v>
          </cell>
          <cell r="R1762" t="str">
            <v>NA</v>
          </cell>
          <cell r="S1762">
            <v>6.4699999999999994E-2</v>
          </cell>
          <cell r="T1762">
            <v>60.3</v>
          </cell>
          <cell r="U1762">
            <v>4.9000000000000004</v>
          </cell>
          <cell r="V1762">
            <v>73.900000000000006</v>
          </cell>
          <cell r="W1762">
            <v>7.5</v>
          </cell>
          <cell r="X1762" t="str">
            <v>NA</v>
          </cell>
          <cell r="Y1762" t="str">
            <v>NA</v>
          </cell>
          <cell r="Z1762">
            <v>35.799999999999997</v>
          </cell>
          <cell r="AA1762">
            <v>3.2</v>
          </cell>
        </row>
        <row r="1763">
          <cell r="A1763">
            <v>45181</v>
          </cell>
          <cell r="B1763" t="str">
            <v>A1</v>
          </cell>
          <cell r="C1763">
            <v>4</v>
          </cell>
          <cell r="D1763">
            <v>3</v>
          </cell>
          <cell r="E1763" t="str">
            <v>ARIS.A1.Aim3.Bin4.LB</v>
          </cell>
          <cell r="F1763">
            <v>4</v>
          </cell>
          <cell r="G1763" t="str">
            <v>SplineDFA</v>
          </cell>
          <cell r="H1763" t="str">
            <v>Y</v>
          </cell>
          <cell r="I1763" t="str">
            <v>N</v>
          </cell>
          <cell r="J1763">
            <v>160</v>
          </cell>
          <cell r="K1763">
            <v>1</v>
          </cell>
          <cell r="L1763">
            <v>0</v>
          </cell>
          <cell r="M1763">
            <v>23.7</v>
          </cell>
          <cell r="N1763">
            <v>2.7</v>
          </cell>
          <cell r="O1763">
            <v>1</v>
          </cell>
          <cell r="P1763">
            <v>0.65749999999999997</v>
          </cell>
          <cell r="Q1763">
            <v>0.27779999999999999</v>
          </cell>
          <cell r="R1763" t="str">
            <v>NA</v>
          </cell>
          <cell r="S1763">
            <v>6.4699999999999994E-2</v>
          </cell>
          <cell r="T1763">
            <v>60.3</v>
          </cell>
          <cell r="U1763">
            <v>4.9000000000000004</v>
          </cell>
          <cell r="V1763">
            <v>73.900000000000006</v>
          </cell>
          <cell r="W1763">
            <v>7.5</v>
          </cell>
          <cell r="X1763" t="str">
            <v>NA</v>
          </cell>
          <cell r="Y1763" t="str">
            <v>NA</v>
          </cell>
          <cell r="Z1763">
            <v>35.799999999999997</v>
          </cell>
          <cell r="AA1763">
            <v>3.2</v>
          </cell>
        </row>
        <row r="1764">
          <cell r="A1764">
            <v>45181</v>
          </cell>
          <cell r="B1764" t="str">
            <v>A2</v>
          </cell>
          <cell r="C1764">
            <v>1</v>
          </cell>
          <cell r="D1764">
            <v>1</v>
          </cell>
          <cell r="E1764" t="str">
            <v>ARIS.A2.Aim1.Bin1.RB</v>
          </cell>
          <cell r="F1764">
            <v>4</v>
          </cell>
          <cell r="G1764" t="str">
            <v>SplineDFA</v>
          </cell>
          <cell r="H1764" t="str">
            <v>Y</v>
          </cell>
          <cell r="I1764" t="str">
            <v>N</v>
          </cell>
          <cell r="J1764">
            <v>185</v>
          </cell>
          <cell r="K1764">
            <v>1.0001</v>
          </cell>
          <cell r="L1764">
            <v>0.10290000000000001</v>
          </cell>
          <cell r="M1764">
            <v>23.7</v>
          </cell>
          <cell r="N1764">
            <v>2.7</v>
          </cell>
          <cell r="O1764">
            <v>0.8972</v>
          </cell>
          <cell r="P1764">
            <v>0.23330000000000001</v>
          </cell>
          <cell r="Q1764">
            <v>1.43E-2</v>
          </cell>
          <cell r="R1764">
            <v>0.64959999999999996</v>
          </cell>
          <cell r="S1764" t="str">
            <v>NA</v>
          </cell>
          <cell r="T1764">
            <v>60.3</v>
          </cell>
          <cell r="U1764">
            <v>4.9000000000000004</v>
          </cell>
          <cell r="V1764">
            <v>73.900000000000006</v>
          </cell>
          <cell r="W1764">
            <v>7.5</v>
          </cell>
          <cell r="X1764">
            <v>52.3</v>
          </cell>
          <cell r="Y1764">
            <v>6.8</v>
          </cell>
          <cell r="Z1764" t="str">
            <v>NA</v>
          </cell>
          <cell r="AA1764" t="str">
            <v>NA</v>
          </cell>
        </row>
        <row r="1765">
          <cell r="A1765">
            <v>45181</v>
          </cell>
          <cell r="B1765" t="str">
            <v>A2</v>
          </cell>
          <cell r="C1765">
            <v>2</v>
          </cell>
          <cell r="D1765">
            <v>1</v>
          </cell>
          <cell r="E1765" t="str">
            <v>ARIS.A2.Aim1.Bin2.RB</v>
          </cell>
          <cell r="F1765">
            <v>4</v>
          </cell>
          <cell r="G1765" t="str">
            <v>SplineDFA</v>
          </cell>
          <cell r="H1765" t="str">
            <v>Y</v>
          </cell>
          <cell r="I1765" t="str">
            <v>N</v>
          </cell>
          <cell r="J1765">
            <v>186</v>
          </cell>
          <cell r="K1765">
            <v>1.0001</v>
          </cell>
          <cell r="L1765">
            <v>6.1400000000000003E-2</v>
          </cell>
          <cell r="M1765">
            <v>23.7</v>
          </cell>
          <cell r="N1765">
            <v>2.7</v>
          </cell>
          <cell r="O1765">
            <v>0.93869999999999998</v>
          </cell>
          <cell r="P1765">
            <v>0.25180000000000002</v>
          </cell>
          <cell r="Q1765">
            <v>9.7799999999999998E-2</v>
          </cell>
          <cell r="R1765">
            <v>0.58909999999999996</v>
          </cell>
          <cell r="S1765" t="str">
            <v>NA</v>
          </cell>
          <cell r="T1765">
            <v>60.3</v>
          </cell>
          <cell r="U1765">
            <v>4.9000000000000004</v>
          </cell>
          <cell r="V1765">
            <v>73.900000000000006</v>
          </cell>
          <cell r="W1765">
            <v>7.5</v>
          </cell>
          <cell r="X1765">
            <v>52.3</v>
          </cell>
          <cell r="Y1765">
            <v>6.8</v>
          </cell>
          <cell r="Z1765" t="str">
            <v>NA</v>
          </cell>
          <cell r="AA1765" t="str">
            <v>NA</v>
          </cell>
        </row>
        <row r="1766">
          <cell r="A1766">
            <v>45181</v>
          </cell>
          <cell r="B1766" t="str">
            <v>A2</v>
          </cell>
          <cell r="C1766">
            <v>3</v>
          </cell>
          <cell r="D1766">
            <v>1</v>
          </cell>
          <cell r="E1766" t="str">
            <v>ARIS.A2.Aim1.Bin3.RB</v>
          </cell>
          <cell r="F1766">
            <v>4</v>
          </cell>
          <cell r="G1766" t="str">
            <v>SplineDFA</v>
          </cell>
          <cell r="H1766" t="str">
            <v>Y</v>
          </cell>
          <cell r="I1766" t="str">
            <v>N</v>
          </cell>
          <cell r="J1766">
            <v>153</v>
          </cell>
          <cell r="K1766">
            <v>0.99990000000000001</v>
          </cell>
          <cell r="L1766">
            <v>1.17E-2</v>
          </cell>
          <cell r="M1766">
            <v>23.7</v>
          </cell>
          <cell r="N1766">
            <v>2.7</v>
          </cell>
          <cell r="O1766">
            <v>0.98819999999999997</v>
          </cell>
          <cell r="P1766">
            <v>0.29820000000000002</v>
          </cell>
          <cell r="Q1766">
            <v>0.25819999999999999</v>
          </cell>
          <cell r="R1766">
            <v>0.43180000000000002</v>
          </cell>
          <cell r="S1766" t="str">
            <v>NA</v>
          </cell>
          <cell r="T1766">
            <v>60.3</v>
          </cell>
          <cell r="U1766">
            <v>4.9000000000000004</v>
          </cell>
          <cell r="V1766">
            <v>73.900000000000006</v>
          </cell>
          <cell r="W1766">
            <v>7.5</v>
          </cell>
          <cell r="X1766">
            <v>52.3</v>
          </cell>
          <cell r="Y1766">
            <v>6.8</v>
          </cell>
          <cell r="Z1766" t="str">
            <v>NA</v>
          </cell>
          <cell r="AA1766" t="str">
            <v>NA</v>
          </cell>
        </row>
        <row r="1767">
          <cell r="A1767">
            <v>45181</v>
          </cell>
          <cell r="B1767" t="str">
            <v>A2</v>
          </cell>
          <cell r="C1767">
            <v>4</v>
          </cell>
          <cell r="D1767">
            <v>1</v>
          </cell>
          <cell r="E1767" t="str">
            <v>ARIS.A2.Aim1.Bin4.RB</v>
          </cell>
          <cell r="F1767">
            <v>4</v>
          </cell>
          <cell r="G1767" t="str">
            <v>SplineDFA</v>
          </cell>
          <cell r="H1767" t="str">
            <v>Y</v>
          </cell>
          <cell r="I1767" t="str">
            <v>N</v>
          </cell>
          <cell r="J1767">
            <v>153</v>
          </cell>
          <cell r="K1767">
            <v>0.99990000000000001</v>
          </cell>
          <cell r="L1767">
            <v>1.17E-2</v>
          </cell>
          <cell r="M1767">
            <v>23.7</v>
          </cell>
          <cell r="N1767">
            <v>2.7</v>
          </cell>
          <cell r="O1767">
            <v>0.98819999999999997</v>
          </cell>
          <cell r="P1767">
            <v>0.29820000000000002</v>
          </cell>
          <cell r="Q1767">
            <v>0.25819999999999999</v>
          </cell>
          <cell r="R1767">
            <v>0.43180000000000002</v>
          </cell>
          <cell r="S1767" t="str">
            <v>NA</v>
          </cell>
          <cell r="T1767">
            <v>60.3</v>
          </cell>
          <cell r="U1767">
            <v>4.9000000000000004</v>
          </cell>
          <cell r="V1767">
            <v>73.900000000000006</v>
          </cell>
          <cell r="W1767">
            <v>7.5</v>
          </cell>
          <cell r="X1767">
            <v>52.3</v>
          </cell>
          <cell r="Y1767">
            <v>6.8</v>
          </cell>
          <cell r="Z1767" t="str">
            <v>NA</v>
          </cell>
          <cell r="AA1767" t="str">
            <v>NA</v>
          </cell>
        </row>
        <row r="1768">
          <cell r="A1768">
            <v>45181</v>
          </cell>
          <cell r="B1768" t="str">
            <v>A1</v>
          </cell>
          <cell r="C1768">
            <v>1</v>
          </cell>
          <cell r="D1768">
            <v>1</v>
          </cell>
          <cell r="E1768" t="str">
            <v>ARIS.A1.Aim1.Bin1.LB</v>
          </cell>
          <cell r="F1768">
            <v>4</v>
          </cell>
          <cell r="G1768" t="str">
            <v>Unweighted</v>
          </cell>
          <cell r="H1768" t="str">
            <v>N</v>
          </cell>
          <cell r="I1768" t="str">
            <v>Y</v>
          </cell>
          <cell r="J1768">
            <v>162</v>
          </cell>
          <cell r="K1768">
            <v>1</v>
          </cell>
          <cell r="L1768">
            <v>0.4753</v>
          </cell>
          <cell r="M1768">
            <v>22.8</v>
          </cell>
          <cell r="N1768">
            <v>6.7</v>
          </cell>
          <cell r="O1768">
            <v>0.52470000000000006</v>
          </cell>
          <cell r="P1768">
            <v>0.1012</v>
          </cell>
          <cell r="Q1768">
            <v>0</v>
          </cell>
          <cell r="R1768">
            <v>0.42349999999999999</v>
          </cell>
          <cell r="S1768" t="str">
            <v>NA</v>
          </cell>
          <cell r="T1768">
            <v>60.3</v>
          </cell>
          <cell r="U1768">
            <v>4.9000000000000004</v>
          </cell>
          <cell r="V1768">
            <v>73.900000000000006</v>
          </cell>
          <cell r="W1768">
            <v>7.5</v>
          </cell>
          <cell r="X1768">
            <v>52.3</v>
          </cell>
          <cell r="Y1768">
            <v>6.8</v>
          </cell>
          <cell r="Z1768" t="str">
            <v>NA</v>
          </cell>
          <cell r="AA1768" t="str">
            <v>NA</v>
          </cell>
        </row>
        <row r="1769">
          <cell r="A1769">
            <v>45181</v>
          </cell>
          <cell r="B1769" t="str">
            <v>A1</v>
          </cell>
          <cell r="C1769">
            <v>1</v>
          </cell>
          <cell r="D1769">
            <v>2</v>
          </cell>
          <cell r="E1769" t="str">
            <v>ARIS.A1.Aim2.Bin1.LB</v>
          </cell>
          <cell r="F1769">
            <v>4</v>
          </cell>
          <cell r="G1769" t="str">
            <v>Unweighted</v>
          </cell>
          <cell r="H1769" t="str">
            <v>N</v>
          </cell>
          <cell r="I1769" t="str">
            <v>Y</v>
          </cell>
          <cell r="J1769">
            <v>164</v>
          </cell>
          <cell r="K1769">
            <v>1</v>
          </cell>
          <cell r="L1769">
            <v>0.3478</v>
          </cell>
          <cell r="M1769">
            <v>22.3</v>
          </cell>
          <cell r="N1769">
            <v>7.8</v>
          </cell>
          <cell r="O1769">
            <v>0.6522</v>
          </cell>
          <cell r="P1769">
            <v>0</v>
          </cell>
          <cell r="Q1769">
            <v>1.2E-2</v>
          </cell>
          <cell r="R1769">
            <v>0.64019999999999999</v>
          </cell>
          <cell r="S1769" t="str">
            <v>NA</v>
          </cell>
          <cell r="T1769">
            <v>60.3</v>
          </cell>
          <cell r="U1769">
            <v>4.9000000000000004</v>
          </cell>
          <cell r="V1769">
            <v>73.900000000000006</v>
          </cell>
          <cell r="W1769">
            <v>7.5</v>
          </cell>
          <cell r="X1769">
            <v>52.3</v>
          </cell>
          <cell r="Y1769">
            <v>6.8</v>
          </cell>
          <cell r="Z1769" t="str">
            <v>NA</v>
          </cell>
          <cell r="AA1769" t="str">
            <v>NA</v>
          </cell>
        </row>
        <row r="1770">
          <cell r="A1770">
            <v>45181</v>
          </cell>
          <cell r="B1770" t="str">
            <v>A1</v>
          </cell>
          <cell r="C1770">
            <v>1</v>
          </cell>
          <cell r="D1770" t="str">
            <v>1&amp;2</v>
          </cell>
          <cell r="E1770" t="str">
            <v>ARIS.A1.Aim1&amp;Aim2.Bin1.LB</v>
          </cell>
          <cell r="F1770">
            <v>4</v>
          </cell>
          <cell r="G1770" t="str">
            <v>Unweighted</v>
          </cell>
          <cell r="H1770" t="str">
            <v>N</v>
          </cell>
          <cell r="I1770" t="str">
            <v>Y</v>
          </cell>
          <cell r="J1770">
            <v>326</v>
          </cell>
          <cell r="K1770">
            <v>1</v>
          </cell>
          <cell r="L1770">
            <v>0.44069999999999998</v>
          </cell>
          <cell r="M1770">
            <v>22.7</v>
          </cell>
          <cell r="N1770">
            <v>7.5</v>
          </cell>
          <cell r="O1770">
            <v>0.55930000000000002</v>
          </cell>
          <cell r="P1770">
            <v>0</v>
          </cell>
          <cell r="Q1770">
            <v>9.7999999999999997E-3</v>
          </cell>
          <cell r="R1770">
            <v>0.54949999999999999</v>
          </cell>
          <cell r="S1770" t="str">
            <v>NA</v>
          </cell>
          <cell r="T1770">
            <v>60.3</v>
          </cell>
          <cell r="U1770">
            <v>4.9000000000000004</v>
          </cell>
          <cell r="V1770">
            <v>73.900000000000006</v>
          </cell>
          <cell r="W1770">
            <v>7.5</v>
          </cell>
          <cell r="X1770">
            <v>52.3</v>
          </cell>
          <cell r="Y1770">
            <v>6.8</v>
          </cell>
          <cell r="Z1770" t="str">
            <v>NA</v>
          </cell>
          <cell r="AA1770" t="str">
            <v>NA</v>
          </cell>
        </row>
        <row r="1771">
          <cell r="A1771">
            <v>45181</v>
          </cell>
          <cell r="B1771" t="str">
            <v>A1</v>
          </cell>
          <cell r="C1771">
            <v>2</v>
          </cell>
          <cell r="D1771">
            <v>3</v>
          </cell>
          <cell r="E1771" t="str">
            <v>ARIS.A1.Aim3.Bin2.LB</v>
          </cell>
          <cell r="F1771">
            <v>4</v>
          </cell>
          <cell r="G1771" t="str">
            <v>Unweighted</v>
          </cell>
          <cell r="H1771" t="str">
            <v>N</v>
          </cell>
          <cell r="I1771" t="str">
            <v>Y</v>
          </cell>
          <cell r="J1771">
            <v>164</v>
          </cell>
          <cell r="K1771">
            <v>0.99990000000000001</v>
          </cell>
          <cell r="L1771">
            <v>0.1019</v>
          </cell>
          <cell r="M1771">
            <v>31.2</v>
          </cell>
          <cell r="N1771">
            <v>3.8</v>
          </cell>
          <cell r="O1771">
            <v>0.89800000000000002</v>
          </cell>
          <cell r="P1771">
            <v>0.16250000000000001</v>
          </cell>
          <cell r="Q1771">
            <v>6.9900000000000004E-2</v>
          </cell>
          <cell r="R1771">
            <v>0.66559999999999997</v>
          </cell>
          <cell r="S1771" t="str">
            <v>NA</v>
          </cell>
          <cell r="T1771">
            <v>60.3</v>
          </cell>
          <cell r="U1771">
            <v>4.9000000000000004</v>
          </cell>
          <cell r="V1771">
            <v>73.900000000000006</v>
          </cell>
          <cell r="W1771">
            <v>7.5</v>
          </cell>
          <cell r="X1771">
            <v>52.3</v>
          </cell>
          <cell r="Y1771">
            <v>6.8</v>
          </cell>
          <cell r="Z1771" t="str">
            <v>NA</v>
          </cell>
          <cell r="AA1771" t="str">
            <v>NA</v>
          </cell>
        </row>
        <row r="1772">
          <cell r="A1772">
            <v>45181</v>
          </cell>
          <cell r="B1772" t="str">
            <v>A1</v>
          </cell>
          <cell r="C1772">
            <v>3</v>
          </cell>
          <cell r="D1772">
            <v>3</v>
          </cell>
          <cell r="E1772" t="str">
            <v>ARIS.A1.Aim3.Bin3.LB</v>
          </cell>
          <cell r="F1772">
            <v>4</v>
          </cell>
          <cell r="G1772" t="str">
            <v>Unweighted</v>
          </cell>
          <cell r="H1772" t="str">
            <v>N</v>
          </cell>
          <cell r="I1772" t="str">
            <v>Y</v>
          </cell>
          <cell r="J1772">
            <v>160</v>
          </cell>
          <cell r="K1772">
            <v>1</v>
          </cell>
          <cell r="L1772">
            <v>2.07E-2</v>
          </cell>
          <cell r="M1772">
            <v>23.7</v>
          </cell>
          <cell r="N1772">
            <v>2.7</v>
          </cell>
          <cell r="O1772">
            <v>0.97929999999999995</v>
          </cell>
          <cell r="P1772">
            <v>0.35310000000000002</v>
          </cell>
          <cell r="Q1772">
            <v>0.3266</v>
          </cell>
          <cell r="R1772">
            <v>0.29959999999999998</v>
          </cell>
          <cell r="S1772" t="str">
            <v>NA</v>
          </cell>
          <cell r="T1772">
            <v>60.3</v>
          </cell>
          <cell r="U1772">
            <v>4.9000000000000004</v>
          </cell>
          <cell r="V1772">
            <v>73.900000000000006</v>
          </cell>
          <cell r="W1772">
            <v>7.5</v>
          </cell>
          <cell r="X1772">
            <v>52.3</v>
          </cell>
          <cell r="Y1772">
            <v>6.8</v>
          </cell>
          <cell r="Z1772" t="str">
            <v>NA</v>
          </cell>
          <cell r="AA1772" t="str">
            <v>NA</v>
          </cell>
        </row>
        <row r="1773">
          <cell r="A1773">
            <v>45181</v>
          </cell>
          <cell r="B1773" t="str">
            <v>A1</v>
          </cell>
          <cell r="C1773">
            <v>4</v>
          </cell>
          <cell r="D1773">
            <v>3</v>
          </cell>
          <cell r="E1773" t="str">
            <v>ARIS.A1.Aim3.Bin4.LB</v>
          </cell>
          <cell r="F1773">
            <v>4</v>
          </cell>
          <cell r="G1773" t="str">
            <v>Unweighted</v>
          </cell>
          <cell r="H1773" t="str">
            <v>N</v>
          </cell>
          <cell r="I1773" t="str">
            <v>Y</v>
          </cell>
          <cell r="J1773">
            <v>160</v>
          </cell>
          <cell r="K1773">
            <v>1</v>
          </cell>
          <cell r="L1773">
            <v>2.07E-2</v>
          </cell>
          <cell r="M1773">
            <v>23.7</v>
          </cell>
          <cell r="N1773">
            <v>2.7</v>
          </cell>
          <cell r="O1773">
            <v>0.97929999999999995</v>
          </cell>
          <cell r="P1773">
            <v>0.35310000000000002</v>
          </cell>
          <cell r="Q1773">
            <v>0.3266</v>
          </cell>
          <cell r="R1773">
            <v>0.29959999999999998</v>
          </cell>
          <cell r="S1773" t="str">
            <v>NA</v>
          </cell>
          <cell r="T1773">
            <v>60.3</v>
          </cell>
          <cell r="U1773">
            <v>4.9000000000000004</v>
          </cell>
          <cell r="V1773">
            <v>73.900000000000006</v>
          </cell>
          <cell r="W1773">
            <v>7.5</v>
          </cell>
          <cell r="X1773">
            <v>52.3</v>
          </cell>
          <cell r="Y1773">
            <v>6.8</v>
          </cell>
          <cell r="Z1773" t="str">
            <v>NA</v>
          </cell>
          <cell r="AA1773" t="str">
            <v>NA</v>
          </cell>
        </row>
        <row r="1774">
          <cell r="A1774">
            <v>45181</v>
          </cell>
          <cell r="B1774" t="str">
            <v>A2</v>
          </cell>
          <cell r="C1774">
            <v>1</v>
          </cell>
          <cell r="D1774">
            <v>1</v>
          </cell>
          <cell r="E1774" t="str">
            <v>ARIS.A2.Aim1.Bin1.RB</v>
          </cell>
          <cell r="F1774">
            <v>4</v>
          </cell>
          <cell r="G1774" t="str">
            <v>Unweighted</v>
          </cell>
          <cell r="H1774" t="str">
            <v>N</v>
          </cell>
          <cell r="I1774" t="str">
            <v>Y</v>
          </cell>
          <cell r="J1774">
            <v>185</v>
          </cell>
          <cell r="K1774">
            <v>1</v>
          </cell>
          <cell r="L1774">
            <v>0.1457</v>
          </cell>
          <cell r="M1774">
            <v>24</v>
          </cell>
          <cell r="N1774">
            <v>5.4</v>
          </cell>
          <cell r="O1774">
            <v>0.85429999999999995</v>
          </cell>
          <cell r="P1774">
            <v>0.217</v>
          </cell>
          <cell r="Q1774">
            <v>0</v>
          </cell>
          <cell r="R1774">
            <v>0.63729999999999998</v>
          </cell>
          <cell r="S1774" t="str">
            <v>NA</v>
          </cell>
          <cell r="T1774">
            <v>60.3</v>
          </cell>
          <cell r="U1774">
            <v>4.9000000000000004</v>
          </cell>
          <cell r="V1774">
            <v>73.900000000000006</v>
          </cell>
          <cell r="W1774">
            <v>7.5</v>
          </cell>
          <cell r="X1774">
            <v>52.3</v>
          </cell>
          <cell r="Y1774">
            <v>6.8</v>
          </cell>
          <cell r="Z1774" t="str">
            <v>NA</v>
          </cell>
          <cell r="AA1774" t="str">
            <v>NA</v>
          </cell>
        </row>
        <row r="1775">
          <cell r="A1775">
            <v>45181</v>
          </cell>
          <cell r="B1775" t="str">
            <v>A2</v>
          </cell>
          <cell r="C1775">
            <v>2</v>
          </cell>
          <cell r="D1775">
            <v>1</v>
          </cell>
          <cell r="E1775" t="str">
            <v>ARIS.A2.Aim1.Bin2.RB</v>
          </cell>
          <cell r="F1775">
            <v>4</v>
          </cell>
          <cell r="G1775" t="str">
            <v>Unweighted</v>
          </cell>
          <cell r="H1775" t="str">
            <v>N</v>
          </cell>
          <cell r="I1775" t="str">
            <v>Y</v>
          </cell>
          <cell r="J1775">
            <v>186</v>
          </cell>
          <cell r="K1775">
            <v>1</v>
          </cell>
          <cell r="L1775">
            <v>8.2799999999999999E-2</v>
          </cell>
          <cell r="M1775">
            <v>23.7</v>
          </cell>
          <cell r="N1775">
            <v>9.9</v>
          </cell>
          <cell r="O1775">
            <v>0.91720000000000002</v>
          </cell>
          <cell r="P1775">
            <v>5.5500000000000001E-2</v>
          </cell>
          <cell r="Q1775">
            <v>0.1142</v>
          </cell>
          <cell r="R1775">
            <v>0.74750000000000005</v>
          </cell>
          <cell r="S1775" t="str">
            <v>NA</v>
          </cell>
          <cell r="T1775">
            <v>60.3</v>
          </cell>
          <cell r="U1775">
            <v>4.9000000000000004</v>
          </cell>
          <cell r="V1775">
            <v>73.900000000000006</v>
          </cell>
          <cell r="W1775">
            <v>7.5</v>
          </cell>
          <cell r="X1775">
            <v>52.3</v>
          </cell>
          <cell r="Y1775">
            <v>6.8</v>
          </cell>
          <cell r="Z1775" t="str">
            <v>NA</v>
          </cell>
          <cell r="AA1775" t="str">
            <v>NA</v>
          </cell>
        </row>
        <row r="1776">
          <cell r="A1776">
            <v>45181</v>
          </cell>
          <cell r="B1776" t="str">
            <v>A2</v>
          </cell>
          <cell r="C1776">
            <v>3</v>
          </cell>
          <cell r="D1776">
            <v>1</v>
          </cell>
          <cell r="E1776" t="str">
            <v>ARIS.A2.Aim1.Bin3.RB</v>
          </cell>
          <cell r="F1776">
            <v>4</v>
          </cell>
          <cell r="G1776" t="str">
            <v>Unweighted</v>
          </cell>
          <cell r="H1776" t="str">
            <v>N</v>
          </cell>
          <cell r="I1776" t="str">
            <v>Y</v>
          </cell>
          <cell r="J1776">
            <v>153</v>
          </cell>
          <cell r="K1776">
            <v>1</v>
          </cell>
          <cell r="L1776">
            <v>6.7199999999999996E-2</v>
          </cell>
          <cell r="M1776">
            <v>23.7</v>
          </cell>
          <cell r="N1776">
            <v>12.5</v>
          </cell>
          <cell r="O1776">
            <v>0.93279999999999996</v>
          </cell>
          <cell r="P1776">
            <v>0.1666</v>
          </cell>
          <cell r="Q1776">
            <v>0.37</v>
          </cell>
          <cell r="R1776">
            <v>0.3962</v>
          </cell>
          <cell r="S1776" t="str">
            <v>NA</v>
          </cell>
          <cell r="T1776">
            <v>60.3</v>
          </cell>
          <cell r="U1776">
            <v>4.9000000000000004</v>
          </cell>
          <cell r="V1776">
            <v>73.900000000000006</v>
          </cell>
          <cell r="W1776">
            <v>7.5</v>
          </cell>
          <cell r="X1776">
            <v>52.3</v>
          </cell>
          <cell r="Y1776">
            <v>6.8</v>
          </cell>
          <cell r="Z1776" t="str">
            <v>NA</v>
          </cell>
          <cell r="AA1776" t="str">
            <v>NA</v>
          </cell>
        </row>
        <row r="1777">
          <cell r="A1777">
            <v>45181</v>
          </cell>
          <cell r="B1777" t="str">
            <v>A2</v>
          </cell>
          <cell r="C1777">
            <v>4</v>
          </cell>
          <cell r="D1777">
            <v>1</v>
          </cell>
          <cell r="E1777" t="str">
            <v>ARIS.A2.Aim1.Bin4.RB</v>
          </cell>
          <cell r="F1777">
            <v>4</v>
          </cell>
          <cell r="G1777" t="str">
            <v>Unweighted</v>
          </cell>
          <cell r="H1777" t="str">
            <v>N</v>
          </cell>
          <cell r="I1777" t="str">
            <v>Y</v>
          </cell>
          <cell r="J1777">
            <v>153</v>
          </cell>
          <cell r="K1777">
            <v>1</v>
          </cell>
          <cell r="L1777">
            <v>6.7199999999999996E-2</v>
          </cell>
          <cell r="M1777">
            <v>23.7</v>
          </cell>
          <cell r="N1777">
            <v>12.5</v>
          </cell>
          <cell r="O1777">
            <v>0.93279999999999996</v>
          </cell>
          <cell r="P1777">
            <v>0.1666</v>
          </cell>
          <cell r="Q1777">
            <v>0.37</v>
          </cell>
          <cell r="R1777">
            <v>0.3962</v>
          </cell>
          <cell r="S1777" t="str">
            <v>NA</v>
          </cell>
          <cell r="T1777">
            <v>60.3</v>
          </cell>
          <cell r="U1777">
            <v>4.9000000000000004</v>
          </cell>
          <cell r="V1777">
            <v>73.900000000000006</v>
          </cell>
          <cell r="W1777">
            <v>7.5</v>
          </cell>
          <cell r="X1777">
            <v>52.3</v>
          </cell>
          <cell r="Y1777">
            <v>6.8</v>
          </cell>
          <cell r="Z1777" t="str">
            <v>NA</v>
          </cell>
          <cell r="AA1777" t="str">
            <v>NA</v>
          </cell>
        </row>
        <row r="1778">
          <cell r="A1778">
            <v>45182</v>
          </cell>
          <cell r="B1778" t="str">
            <v>A1</v>
          </cell>
          <cell r="C1778">
            <v>1</v>
          </cell>
          <cell r="D1778">
            <v>1</v>
          </cell>
          <cell r="E1778" t="str">
            <v>ARIS.A1.Aim1.Bin1.LB</v>
          </cell>
          <cell r="F1778">
            <v>4</v>
          </cell>
          <cell r="G1778" t="str">
            <v>SplineDFA</v>
          </cell>
          <cell r="H1778" t="str">
            <v>Y</v>
          </cell>
          <cell r="I1778" t="str">
            <v>N</v>
          </cell>
          <cell r="J1778">
            <v>164</v>
          </cell>
          <cell r="K1778">
            <v>1</v>
          </cell>
          <cell r="L1778">
            <v>0.32440000000000002</v>
          </cell>
          <cell r="M1778">
            <v>23.7</v>
          </cell>
          <cell r="N1778">
            <v>2.7</v>
          </cell>
          <cell r="O1778">
            <v>0.67559999999999998</v>
          </cell>
          <cell r="P1778">
            <v>7.6399999999999996E-2</v>
          </cell>
          <cell r="Q1778">
            <v>0</v>
          </cell>
          <cell r="R1778">
            <v>0.59919999999999995</v>
          </cell>
          <cell r="S1778" t="str">
            <v>NA</v>
          </cell>
          <cell r="T1778">
            <v>60.3</v>
          </cell>
          <cell r="U1778">
            <v>4.9000000000000004</v>
          </cell>
          <cell r="V1778">
            <v>73.900000000000006</v>
          </cell>
          <cell r="W1778">
            <v>7.5</v>
          </cell>
          <cell r="X1778">
            <v>52.3</v>
          </cell>
          <cell r="Y1778">
            <v>6.8</v>
          </cell>
          <cell r="Z1778" t="str">
            <v>NA</v>
          </cell>
          <cell r="AA1778" t="str">
            <v>NA</v>
          </cell>
        </row>
        <row r="1779">
          <cell r="A1779">
            <v>45182</v>
          </cell>
          <cell r="B1779" t="str">
            <v>A1</v>
          </cell>
          <cell r="C1779">
            <v>1</v>
          </cell>
          <cell r="D1779">
            <v>2</v>
          </cell>
          <cell r="E1779" t="str">
            <v>ARIS.A1.Aim2.Bin1.LB</v>
          </cell>
          <cell r="F1779">
            <v>4</v>
          </cell>
          <cell r="G1779" t="str">
            <v>SplineDFA</v>
          </cell>
          <cell r="H1779" t="str">
            <v>Y</v>
          </cell>
          <cell r="I1779" t="str">
            <v>N</v>
          </cell>
          <cell r="J1779">
            <v>163</v>
          </cell>
          <cell r="K1779">
            <v>0.99990000000000001</v>
          </cell>
          <cell r="L1779">
            <v>0.36420000000000002</v>
          </cell>
          <cell r="M1779">
            <v>23.7</v>
          </cell>
          <cell r="N1779">
            <v>2.7</v>
          </cell>
          <cell r="O1779">
            <v>0.63570000000000004</v>
          </cell>
          <cell r="P1779">
            <v>0.17879999999999999</v>
          </cell>
          <cell r="Q1779">
            <v>3.27E-2</v>
          </cell>
          <cell r="R1779">
            <v>0.42420000000000002</v>
          </cell>
          <cell r="S1779" t="str">
            <v>NA</v>
          </cell>
          <cell r="T1779">
            <v>60.3</v>
          </cell>
          <cell r="U1779">
            <v>4.9000000000000004</v>
          </cell>
          <cell r="V1779">
            <v>73.900000000000006</v>
          </cell>
          <cell r="W1779">
            <v>7.5</v>
          </cell>
          <cell r="X1779">
            <v>52.3</v>
          </cell>
          <cell r="Y1779">
            <v>6.8</v>
          </cell>
          <cell r="Z1779" t="str">
            <v>NA</v>
          </cell>
          <cell r="AA1779" t="str">
            <v>NA</v>
          </cell>
        </row>
        <row r="1780">
          <cell r="A1780">
            <v>45182</v>
          </cell>
          <cell r="B1780" t="str">
            <v>A1</v>
          </cell>
          <cell r="C1780">
            <v>2</v>
          </cell>
          <cell r="D1780">
            <v>3</v>
          </cell>
          <cell r="E1780" t="str">
            <v>ARIS.A1.Aim3.Bin2.LB</v>
          </cell>
          <cell r="F1780">
            <v>4</v>
          </cell>
          <cell r="G1780" t="str">
            <v>SplineDFA</v>
          </cell>
          <cell r="H1780" t="str">
            <v>Y</v>
          </cell>
          <cell r="I1780" t="str">
            <v>N</v>
          </cell>
          <cell r="J1780">
            <v>176</v>
          </cell>
          <cell r="K1780">
            <v>0.99990000000000001</v>
          </cell>
          <cell r="L1780">
            <v>8.2900000000000001E-2</v>
          </cell>
          <cell r="M1780">
            <v>23.7</v>
          </cell>
          <cell r="N1780">
            <v>2.7</v>
          </cell>
          <cell r="O1780">
            <v>0.91700000000000004</v>
          </cell>
          <cell r="P1780">
            <v>0.23480000000000001</v>
          </cell>
          <cell r="Q1780">
            <v>0.1119</v>
          </cell>
          <cell r="R1780">
            <v>0.57030000000000003</v>
          </cell>
          <cell r="S1780" t="str">
            <v>NA</v>
          </cell>
          <cell r="T1780">
            <v>60.3</v>
          </cell>
          <cell r="U1780">
            <v>4.9000000000000004</v>
          </cell>
          <cell r="V1780">
            <v>73.900000000000006</v>
          </cell>
          <cell r="W1780">
            <v>7.5</v>
          </cell>
          <cell r="X1780">
            <v>52.3</v>
          </cell>
          <cell r="Y1780">
            <v>6.8</v>
          </cell>
          <cell r="Z1780" t="str">
            <v>NA</v>
          </cell>
          <cell r="AA1780" t="str">
            <v>NA</v>
          </cell>
        </row>
        <row r="1781">
          <cell r="A1781">
            <v>45182</v>
          </cell>
          <cell r="B1781" t="str">
            <v>A1</v>
          </cell>
          <cell r="C1781">
            <v>3</v>
          </cell>
          <cell r="D1781">
            <v>3</v>
          </cell>
          <cell r="E1781" t="str">
            <v>ARIS.A1.Aim3.Bin3.LB</v>
          </cell>
          <cell r="F1781">
            <v>4</v>
          </cell>
          <cell r="G1781" t="str">
            <v>SplineDFA</v>
          </cell>
          <cell r="H1781" t="str">
            <v>Y</v>
          </cell>
          <cell r="I1781" t="str">
            <v>N</v>
          </cell>
          <cell r="J1781">
            <v>165</v>
          </cell>
          <cell r="K1781">
            <v>1</v>
          </cell>
          <cell r="L1781">
            <v>1.6899999999999998E-2</v>
          </cell>
          <cell r="M1781">
            <v>23.7</v>
          </cell>
          <cell r="N1781">
            <v>2.7</v>
          </cell>
          <cell r="O1781">
            <v>0.98309999999999997</v>
          </cell>
          <cell r="P1781">
            <v>0.29270000000000002</v>
          </cell>
          <cell r="Q1781">
            <v>0.19020000000000001</v>
          </cell>
          <cell r="R1781">
            <v>0.50019999999999998</v>
          </cell>
          <cell r="S1781" t="str">
            <v>NA</v>
          </cell>
          <cell r="T1781">
            <v>60.3</v>
          </cell>
          <cell r="U1781">
            <v>4.9000000000000004</v>
          </cell>
          <cell r="V1781">
            <v>73.900000000000006</v>
          </cell>
          <cell r="W1781">
            <v>7.5</v>
          </cell>
          <cell r="X1781">
            <v>52.3</v>
          </cell>
          <cell r="Y1781">
            <v>6.8</v>
          </cell>
          <cell r="Z1781" t="str">
            <v>NA</v>
          </cell>
          <cell r="AA1781" t="str">
            <v>NA</v>
          </cell>
        </row>
        <row r="1782">
          <cell r="A1782">
            <v>45182</v>
          </cell>
          <cell r="B1782" t="str">
            <v>A1</v>
          </cell>
          <cell r="C1782">
            <v>4</v>
          </cell>
          <cell r="D1782">
            <v>3</v>
          </cell>
          <cell r="E1782" t="str">
            <v>ARIS.A1.Aim3.Bin4.LB</v>
          </cell>
          <cell r="F1782">
            <v>4</v>
          </cell>
          <cell r="G1782" t="str">
            <v>SplineDFA</v>
          </cell>
          <cell r="H1782" t="str">
            <v>Y</v>
          </cell>
          <cell r="I1782" t="str">
            <v>N</v>
          </cell>
          <cell r="J1782">
            <v>165</v>
          </cell>
          <cell r="K1782">
            <v>1</v>
          </cell>
          <cell r="L1782">
            <v>1.6899999999999998E-2</v>
          </cell>
          <cell r="M1782">
            <v>23.7</v>
          </cell>
          <cell r="N1782">
            <v>2.7</v>
          </cell>
          <cell r="O1782">
            <v>0.98309999999999997</v>
          </cell>
          <cell r="P1782">
            <v>0.29270000000000002</v>
          </cell>
          <cell r="Q1782">
            <v>0.19020000000000001</v>
          </cell>
          <cell r="R1782">
            <v>0.50019999999999998</v>
          </cell>
          <cell r="S1782" t="str">
            <v>NA</v>
          </cell>
          <cell r="T1782">
            <v>60.3</v>
          </cell>
          <cell r="U1782">
            <v>4.9000000000000004</v>
          </cell>
          <cell r="V1782">
            <v>73.900000000000006</v>
          </cell>
          <cell r="W1782">
            <v>7.5</v>
          </cell>
          <cell r="X1782">
            <v>52.3</v>
          </cell>
          <cell r="Y1782">
            <v>6.8</v>
          </cell>
          <cell r="Z1782" t="str">
            <v>NA</v>
          </cell>
          <cell r="AA1782" t="str">
            <v>NA</v>
          </cell>
        </row>
        <row r="1783">
          <cell r="A1783">
            <v>45182</v>
          </cell>
          <cell r="B1783" t="str">
            <v>A2</v>
          </cell>
          <cell r="C1783">
            <v>1</v>
          </cell>
          <cell r="D1783">
            <v>1</v>
          </cell>
          <cell r="E1783" t="str">
            <v>ARIS.A2.Aim1.Bin1.RB</v>
          </cell>
          <cell r="F1783">
            <v>4</v>
          </cell>
          <cell r="G1783" t="str">
            <v>SplineDFA</v>
          </cell>
          <cell r="H1783" t="str">
            <v>Y</v>
          </cell>
          <cell r="I1783" t="str">
            <v>N</v>
          </cell>
          <cell r="J1783">
            <v>163</v>
          </cell>
          <cell r="K1783">
            <v>1</v>
          </cell>
          <cell r="L1783">
            <v>4.0899999999999999E-2</v>
          </cell>
          <cell r="M1783">
            <v>23.7</v>
          </cell>
          <cell r="N1783">
            <v>2.7</v>
          </cell>
          <cell r="O1783">
            <v>0.95909999999999995</v>
          </cell>
          <cell r="P1783">
            <v>0.30009999999999998</v>
          </cell>
          <cell r="Q1783">
            <v>3.5000000000000001E-3</v>
          </cell>
          <cell r="R1783">
            <v>0.65549999999999997</v>
          </cell>
          <cell r="S1783" t="str">
            <v>NA</v>
          </cell>
          <cell r="T1783">
            <v>60.3</v>
          </cell>
          <cell r="U1783">
            <v>4.9000000000000004</v>
          </cell>
          <cell r="V1783">
            <v>73.900000000000006</v>
          </cell>
          <cell r="W1783">
            <v>7.5</v>
          </cell>
          <cell r="X1783">
            <v>52.3</v>
          </cell>
          <cell r="Y1783">
            <v>6.8</v>
          </cell>
          <cell r="Z1783" t="str">
            <v>NA</v>
          </cell>
          <cell r="AA1783" t="str">
            <v>NA</v>
          </cell>
        </row>
        <row r="1784">
          <cell r="A1784">
            <v>45182</v>
          </cell>
          <cell r="B1784" t="str">
            <v>A2</v>
          </cell>
          <cell r="C1784">
            <v>2</v>
          </cell>
          <cell r="D1784">
            <v>1</v>
          </cell>
          <cell r="E1784" t="str">
            <v>ARIS.A2.Aim1.Bin2.RB</v>
          </cell>
          <cell r="F1784">
            <v>4</v>
          </cell>
          <cell r="G1784" t="str">
            <v>SplineDFA</v>
          </cell>
          <cell r="H1784" t="str">
            <v>Y</v>
          </cell>
          <cell r="I1784" t="str">
            <v>N</v>
          </cell>
          <cell r="J1784">
            <v>157</v>
          </cell>
          <cell r="K1784">
            <v>1</v>
          </cell>
          <cell r="L1784">
            <v>8.8700000000000001E-2</v>
          </cell>
          <cell r="M1784">
            <v>23.7</v>
          </cell>
          <cell r="N1784">
            <v>2.7</v>
          </cell>
          <cell r="O1784">
            <v>0.9113</v>
          </cell>
          <cell r="P1784">
            <v>0.2898</v>
          </cell>
          <cell r="Q1784">
            <v>9.7000000000000003E-2</v>
          </cell>
          <cell r="R1784">
            <v>0.52449999999999997</v>
          </cell>
          <cell r="S1784" t="str">
            <v>NA</v>
          </cell>
          <cell r="T1784">
            <v>60.3</v>
          </cell>
          <cell r="U1784">
            <v>4.9000000000000004</v>
          </cell>
          <cell r="V1784">
            <v>73.900000000000006</v>
          </cell>
          <cell r="W1784">
            <v>7.5</v>
          </cell>
          <cell r="X1784">
            <v>52.3</v>
          </cell>
          <cell r="Y1784">
            <v>6.8</v>
          </cell>
          <cell r="Z1784" t="str">
            <v>NA</v>
          </cell>
          <cell r="AA1784" t="str">
            <v>NA</v>
          </cell>
        </row>
        <row r="1785">
          <cell r="A1785">
            <v>45182</v>
          </cell>
          <cell r="B1785" t="str">
            <v>A2</v>
          </cell>
          <cell r="C1785">
            <v>3</v>
          </cell>
          <cell r="D1785">
            <v>1</v>
          </cell>
          <cell r="E1785" t="str">
            <v>ARIS.A2.Aim1.Bin3.RB</v>
          </cell>
          <cell r="F1785">
            <v>4</v>
          </cell>
          <cell r="G1785" t="str">
            <v>SplineDFA</v>
          </cell>
          <cell r="H1785" t="str">
            <v>Y</v>
          </cell>
          <cell r="I1785" t="str">
            <v>N</v>
          </cell>
          <cell r="J1785">
            <v>123</v>
          </cell>
          <cell r="K1785">
            <v>1</v>
          </cell>
          <cell r="L1785">
            <v>1.4E-3</v>
          </cell>
          <cell r="M1785">
            <v>23.7</v>
          </cell>
          <cell r="N1785">
            <v>2.7</v>
          </cell>
          <cell r="O1785">
            <v>0.99860000000000004</v>
          </cell>
          <cell r="P1785">
            <v>0.33410000000000001</v>
          </cell>
          <cell r="Q1785">
            <v>0.33310000000000001</v>
          </cell>
          <cell r="R1785">
            <v>0.33139999999999997</v>
          </cell>
          <cell r="S1785" t="str">
            <v>NA</v>
          </cell>
          <cell r="T1785">
            <v>60.3</v>
          </cell>
          <cell r="U1785">
            <v>4.9000000000000004</v>
          </cell>
          <cell r="V1785">
            <v>73.900000000000006</v>
          </cell>
          <cell r="W1785">
            <v>7.5</v>
          </cell>
          <cell r="X1785">
            <v>52.3</v>
          </cell>
          <cell r="Y1785">
            <v>6.8</v>
          </cell>
          <cell r="Z1785" t="str">
            <v>NA</v>
          </cell>
          <cell r="AA1785" t="str">
            <v>NA</v>
          </cell>
        </row>
        <row r="1786">
          <cell r="A1786">
            <v>45182</v>
          </cell>
          <cell r="B1786" t="str">
            <v>A2</v>
          </cell>
          <cell r="C1786">
            <v>4</v>
          </cell>
          <cell r="D1786">
            <v>1</v>
          </cell>
          <cell r="E1786" t="str">
            <v>ARIS.A2.Aim1.Bin4.RB</v>
          </cell>
          <cell r="F1786">
            <v>4</v>
          </cell>
          <cell r="G1786" t="str">
            <v>SplineDFA</v>
          </cell>
          <cell r="H1786" t="str">
            <v>Y</v>
          </cell>
          <cell r="I1786" t="str">
            <v>N</v>
          </cell>
          <cell r="J1786">
            <v>123</v>
          </cell>
          <cell r="K1786">
            <v>1</v>
          </cell>
          <cell r="L1786">
            <v>1.4E-3</v>
          </cell>
          <cell r="M1786">
            <v>23.7</v>
          </cell>
          <cell r="N1786">
            <v>2.7</v>
          </cell>
          <cell r="O1786">
            <v>0.99860000000000004</v>
          </cell>
          <cell r="P1786">
            <v>0.33410000000000001</v>
          </cell>
          <cell r="Q1786">
            <v>0.33310000000000001</v>
          </cell>
          <cell r="R1786">
            <v>0.33139999999999997</v>
          </cell>
          <cell r="S1786" t="str">
            <v>NA</v>
          </cell>
          <cell r="T1786">
            <v>60.3</v>
          </cell>
          <cell r="U1786">
            <v>4.9000000000000004</v>
          </cell>
          <cell r="V1786">
            <v>73.900000000000006</v>
          </cell>
          <cell r="W1786">
            <v>7.5</v>
          </cell>
          <cell r="X1786">
            <v>52.3</v>
          </cell>
          <cell r="Y1786">
            <v>6.8</v>
          </cell>
          <cell r="Z1786" t="str">
            <v>NA</v>
          </cell>
          <cell r="AA1786" t="str">
            <v>NA</v>
          </cell>
        </row>
        <row r="1787">
          <cell r="A1787">
            <v>45182</v>
          </cell>
          <cell r="B1787" t="str">
            <v>A1</v>
          </cell>
          <cell r="C1787">
            <v>1</v>
          </cell>
          <cell r="D1787">
            <v>1</v>
          </cell>
          <cell r="E1787" t="str">
            <v>ARIS.A1.Aim1.Bin1.LB</v>
          </cell>
          <cell r="F1787">
            <v>4</v>
          </cell>
          <cell r="G1787" t="str">
            <v>Unweighted</v>
          </cell>
          <cell r="H1787" t="str">
            <v>N</v>
          </cell>
          <cell r="I1787" t="str">
            <v>Y</v>
          </cell>
          <cell r="J1787">
            <v>164</v>
          </cell>
          <cell r="K1787">
            <v>0.99990000000000001</v>
          </cell>
          <cell r="L1787">
            <v>0.59589999999999999</v>
          </cell>
          <cell r="M1787">
            <v>21.1</v>
          </cell>
          <cell r="N1787">
            <v>7.9</v>
          </cell>
          <cell r="O1787">
            <v>0.40400000000000003</v>
          </cell>
          <cell r="P1787">
            <v>6.5500000000000003E-2</v>
          </cell>
          <cell r="Q1787">
            <v>0</v>
          </cell>
          <cell r="R1787">
            <v>0.33850000000000002</v>
          </cell>
          <cell r="S1787" t="str">
            <v>NA</v>
          </cell>
          <cell r="T1787">
            <v>60.3</v>
          </cell>
          <cell r="U1787">
            <v>4.9000000000000004</v>
          </cell>
          <cell r="V1787">
            <v>73.900000000000006</v>
          </cell>
          <cell r="W1787">
            <v>7.5</v>
          </cell>
          <cell r="X1787">
            <v>52.3</v>
          </cell>
          <cell r="Y1787">
            <v>6.8</v>
          </cell>
          <cell r="Z1787" t="str">
            <v>NA</v>
          </cell>
          <cell r="AA1787" t="str">
            <v>NA</v>
          </cell>
        </row>
        <row r="1788">
          <cell r="A1788">
            <v>45182</v>
          </cell>
          <cell r="B1788" t="str">
            <v>A1</v>
          </cell>
          <cell r="C1788">
            <v>1</v>
          </cell>
          <cell r="D1788">
            <v>2</v>
          </cell>
          <cell r="E1788" t="str">
            <v>ARIS.A1.Aim2.Bin1.LB</v>
          </cell>
          <cell r="F1788">
            <v>4</v>
          </cell>
          <cell r="G1788" t="str">
            <v>Unweighted</v>
          </cell>
          <cell r="H1788" t="str">
            <v>N</v>
          </cell>
          <cell r="I1788" t="str">
            <v>Y</v>
          </cell>
          <cell r="J1788">
            <v>163</v>
          </cell>
          <cell r="K1788">
            <v>1.0001</v>
          </cell>
          <cell r="L1788">
            <v>0.51229999999999998</v>
          </cell>
          <cell r="M1788">
            <v>15.4</v>
          </cell>
          <cell r="N1788">
            <v>12.3</v>
          </cell>
          <cell r="O1788">
            <v>0.48780000000000001</v>
          </cell>
          <cell r="P1788">
            <v>0.14499999999999999</v>
          </cell>
          <cell r="Q1788">
            <v>0</v>
          </cell>
          <cell r="R1788">
            <v>0.34279999999999999</v>
          </cell>
          <cell r="S1788" t="str">
            <v>NA</v>
          </cell>
          <cell r="T1788">
            <v>60.3</v>
          </cell>
          <cell r="U1788">
            <v>4.9000000000000004</v>
          </cell>
          <cell r="V1788">
            <v>73.900000000000006</v>
          </cell>
          <cell r="W1788">
            <v>7.5</v>
          </cell>
          <cell r="X1788">
            <v>52.3</v>
          </cell>
          <cell r="Y1788">
            <v>6.8</v>
          </cell>
          <cell r="Z1788" t="str">
            <v>NA</v>
          </cell>
          <cell r="AA1788" t="str">
            <v>NA</v>
          </cell>
        </row>
        <row r="1789">
          <cell r="A1789">
            <v>45182</v>
          </cell>
          <cell r="B1789" t="str">
            <v>A1</v>
          </cell>
          <cell r="C1789">
            <v>1</v>
          </cell>
          <cell r="D1789" t="str">
            <v>1&amp;2</v>
          </cell>
          <cell r="E1789" t="str">
            <v>ARIS.A1.Aim1&amp;Aim2.Bin1.LB</v>
          </cell>
          <cell r="F1789">
            <v>4</v>
          </cell>
          <cell r="G1789" t="str">
            <v>Unweighted</v>
          </cell>
          <cell r="H1789" t="str">
            <v>N</v>
          </cell>
          <cell r="I1789" t="str">
            <v>Y</v>
          </cell>
          <cell r="J1789">
            <v>327</v>
          </cell>
          <cell r="K1789">
            <v>1</v>
          </cell>
          <cell r="L1789">
            <v>0.56010000000000004</v>
          </cell>
          <cell r="M1789">
            <v>19.5</v>
          </cell>
          <cell r="N1789">
            <v>8.8000000000000007</v>
          </cell>
          <cell r="O1789">
            <v>0.43990000000000001</v>
          </cell>
          <cell r="P1789">
            <v>9.8199999999999996E-2</v>
          </cell>
          <cell r="Q1789">
            <v>0</v>
          </cell>
          <cell r="R1789">
            <v>0.3417</v>
          </cell>
          <cell r="S1789" t="str">
            <v>NA</v>
          </cell>
          <cell r="T1789">
            <v>60.3</v>
          </cell>
          <cell r="U1789">
            <v>4.9000000000000004</v>
          </cell>
          <cell r="V1789">
            <v>73.900000000000006</v>
          </cell>
          <cell r="W1789">
            <v>7.5</v>
          </cell>
          <cell r="X1789">
            <v>52.3</v>
          </cell>
          <cell r="Y1789">
            <v>6.8</v>
          </cell>
          <cell r="Z1789" t="str">
            <v>NA</v>
          </cell>
          <cell r="AA1789" t="str">
            <v>NA</v>
          </cell>
        </row>
        <row r="1790">
          <cell r="A1790">
            <v>45182</v>
          </cell>
          <cell r="B1790" t="str">
            <v>A1</v>
          </cell>
          <cell r="C1790">
            <v>2</v>
          </cell>
          <cell r="D1790">
            <v>3</v>
          </cell>
          <cell r="E1790" t="str">
            <v>ARIS.A1.Aim3.Bin2.LB</v>
          </cell>
          <cell r="F1790">
            <v>4</v>
          </cell>
          <cell r="G1790" t="str">
            <v>Unweighted</v>
          </cell>
          <cell r="H1790" t="str">
            <v>N</v>
          </cell>
          <cell r="I1790" t="str">
            <v>Y</v>
          </cell>
          <cell r="J1790">
            <v>176</v>
          </cell>
          <cell r="K1790">
            <v>0.99990000000000001</v>
          </cell>
          <cell r="L1790">
            <v>0.1915</v>
          </cell>
          <cell r="M1790">
            <v>32.9</v>
          </cell>
          <cell r="N1790">
            <v>7.3</v>
          </cell>
          <cell r="O1790">
            <v>0.80840000000000001</v>
          </cell>
          <cell r="P1790">
            <v>9.5799999999999996E-2</v>
          </cell>
          <cell r="Q1790">
            <v>0.13689999999999999</v>
          </cell>
          <cell r="R1790">
            <v>0.57569999999999999</v>
          </cell>
          <cell r="S1790" t="str">
            <v>NA</v>
          </cell>
          <cell r="T1790">
            <v>60.3</v>
          </cell>
          <cell r="U1790">
            <v>4.9000000000000004</v>
          </cell>
          <cell r="V1790">
            <v>73.900000000000006</v>
          </cell>
          <cell r="W1790">
            <v>7.5</v>
          </cell>
          <cell r="X1790">
            <v>52.3</v>
          </cell>
          <cell r="Y1790">
            <v>6.8</v>
          </cell>
          <cell r="Z1790" t="str">
            <v>NA</v>
          </cell>
          <cell r="AA1790" t="str">
            <v>NA</v>
          </cell>
        </row>
        <row r="1791">
          <cell r="A1791">
            <v>45182</v>
          </cell>
          <cell r="B1791" t="str">
            <v>A1</v>
          </cell>
          <cell r="C1791">
            <v>3</v>
          </cell>
          <cell r="D1791">
            <v>3</v>
          </cell>
          <cell r="E1791" t="str">
            <v>ARIS.A1.Aim3.Bin3.LB</v>
          </cell>
          <cell r="F1791">
            <v>4</v>
          </cell>
          <cell r="G1791" t="str">
            <v>Unweighted</v>
          </cell>
          <cell r="H1791" t="str">
            <v>N</v>
          </cell>
          <cell r="I1791" t="str">
            <v>Y</v>
          </cell>
          <cell r="J1791">
            <v>165</v>
          </cell>
          <cell r="K1791">
            <v>0.99990000000000001</v>
          </cell>
          <cell r="L1791">
            <v>8.4900000000000003E-2</v>
          </cell>
          <cell r="M1791">
            <v>23.7</v>
          </cell>
          <cell r="N1791">
            <v>12.1</v>
          </cell>
          <cell r="O1791">
            <v>0.91500000000000004</v>
          </cell>
          <cell r="P1791">
            <v>5.8500000000000003E-2</v>
          </cell>
          <cell r="Q1791">
            <v>0.2432</v>
          </cell>
          <cell r="R1791">
            <v>0.61329999999999996</v>
          </cell>
          <cell r="S1791" t="str">
            <v>NA</v>
          </cell>
          <cell r="T1791">
            <v>60.3</v>
          </cell>
          <cell r="U1791">
            <v>4.9000000000000004</v>
          </cell>
          <cell r="V1791">
            <v>73.900000000000006</v>
          </cell>
          <cell r="W1791">
            <v>7.5</v>
          </cell>
          <cell r="X1791">
            <v>52.3</v>
          </cell>
          <cell r="Y1791">
            <v>6.8</v>
          </cell>
          <cell r="Z1791" t="str">
            <v>NA</v>
          </cell>
          <cell r="AA1791" t="str">
            <v>NA</v>
          </cell>
        </row>
        <row r="1792">
          <cell r="A1792">
            <v>45182</v>
          </cell>
          <cell r="B1792" t="str">
            <v>A1</v>
          </cell>
          <cell r="C1792">
            <v>4</v>
          </cell>
          <cell r="D1792">
            <v>3</v>
          </cell>
          <cell r="E1792" t="str">
            <v>ARIS.A1.Aim3.Bin4.LB</v>
          </cell>
          <cell r="F1792">
            <v>4</v>
          </cell>
          <cell r="G1792" t="str">
            <v>Unweighted</v>
          </cell>
          <cell r="H1792" t="str">
            <v>N</v>
          </cell>
          <cell r="I1792" t="str">
            <v>Y</v>
          </cell>
          <cell r="J1792">
            <v>165</v>
          </cell>
          <cell r="K1792">
            <v>0.99990000000000001</v>
          </cell>
          <cell r="L1792">
            <v>8.4900000000000003E-2</v>
          </cell>
          <cell r="M1792">
            <v>23.7</v>
          </cell>
          <cell r="N1792">
            <v>12.1</v>
          </cell>
          <cell r="O1792">
            <v>0.91500000000000004</v>
          </cell>
          <cell r="P1792">
            <v>5.8500000000000003E-2</v>
          </cell>
          <cell r="Q1792">
            <v>0.2432</v>
          </cell>
          <cell r="R1792">
            <v>0.61329999999999996</v>
          </cell>
          <cell r="S1792" t="str">
            <v>NA</v>
          </cell>
          <cell r="T1792">
            <v>60.3</v>
          </cell>
          <cell r="U1792">
            <v>4.9000000000000004</v>
          </cell>
          <cell r="V1792">
            <v>73.900000000000006</v>
          </cell>
          <cell r="W1792">
            <v>7.5</v>
          </cell>
          <cell r="X1792">
            <v>52.3</v>
          </cell>
          <cell r="Y1792">
            <v>6.8</v>
          </cell>
          <cell r="Z1792" t="str">
            <v>NA</v>
          </cell>
          <cell r="AA1792" t="str">
            <v>NA</v>
          </cell>
        </row>
        <row r="1793">
          <cell r="A1793">
            <v>45182</v>
          </cell>
          <cell r="B1793" t="str">
            <v>A2</v>
          </cell>
          <cell r="C1793">
            <v>1</v>
          </cell>
          <cell r="D1793">
            <v>1</v>
          </cell>
          <cell r="E1793" t="str">
            <v>ARIS.A2.Aim1.Bin1.RB</v>
          </cell>
          <cell r="F1793">
            <v>4</v>
          </cell>
          <cell r="G1793" t="str">
            <v>Unweighted</v>
          </cell>
          <cell r="H1793" t="str">
            <v>N</v>
          </cell>
          <cell r="I1793" t="str">
            <v>Y</v>
          </cell>
          <cell r="J1793">
            <v>163</v>
          </cell>
          <cell r="K1793">
            <v>1</v>
          </cell>
          <cell r="L1793">
            <v>5.7799999999999997E-2</v>
          </cell>
          <cell r="M1793">
            <v>28.6</v>
          </cell>
          <cell r="N1793">
            <v>6.2</v>
          </cell>
          <cell r="O1793">
            <v>0.94220000000000004</v>
          </cell>
          <cell r="P1793">
            <v>0</v>
          </cell>
          <cell r="Q1793">
            <v>4.5999999999999999E-3</v>
          </cell>
          <cell r="R1793">
            <v>0.93759999999999999</v>
          </cell>
          <cell r="S1793" t="str">
            <v>NA</v>
          </cell>
          <cell r="T1793">
            <v>60.3</v>
          </cell>
          <cell r="U1793">
            <v>4.9000000000000004</v>
          </cell>
          <cell r="V1793">
            <v>73.900000000000006</v>
          </cell>
          <cell r="W1793">
            <v>7.5</v>
          </cell>
          <cell r="X1793">
            <v>52.3</v>
          </cell>
          <cell r="Y1793">
            <v>6.8</v>
          </cell>
          <cell r="Z1793" t="str">
            <v>NA</v>
          </cell>
          <cell r="AA1793" t="str">
            <v>NA</v>
          </cell>
        </row>
        <row r="1794">
          <cell r="A1794">
            <v>45182</v>
          </cell>
          <cell r="B1794" t="str">
            <v>A2</v>
          </cell>
          <cell r="C1794">
            <v>2</v>
          </cell>
          <cell r="D1794">
            <v>1</v>
          </cell>
          <cell r="E1794" t="str">
            <v>ARIS.A2.Aim1.Bin2.RB</v>
          </cell>
          <cell r="F1794">
            <v>4</v>
          </cell>
          <cell r="G1794" t="str">
            <v>Unweighted</v>
          </cell>
          <cell r="H1794" t="str">
            <v>N</v>
          </cell>
          <cell r="I1794" t="str">
            <v>Y</v>
          </cell>
          <cell r="J1794">
            <v>157</v>
          </cell>
          <cell r="K1794">
            <v>1</v>
          </cell>
          <cell r="L1794">
            <v>6.3399999999999998E-2</v>
          </cell>
          <cell r="M1794">
            <v>22.4</v>
          </cell>
          <cell r="N1794">
            <v>2.7</v>
          </cell>
          <cell r="O1794">
            <v>0.93659999999999999</v>
          </cell>
          <cell r="P1794">
            <v>2.12E-2</v>
          </cell>
          <cell r="Q1794">
            <v>0.17230000000000001</v>
          </cell>
          <cell r="R1794">
            <v>0.74309999999999998</v>
          </cell>
          <cell r="S1794" t="str">
            <v>NA</v>
          </cell>
          <cell r="T1794">
            <v>60.3</v>
          </cell>
          <cell r="U1794">
            <v>4.9000000000000004</v>
          </cell>
          <cell r="V1794">
            <v>73.900000000000006</v>
          </cell>
          <cell r="W1794">
            <v>7.5</v>
          </cell>
          <cell r="X1794">
            <v>52.3</v>
          </cell>
          <cell r="Y1794">
            <v>6.8</v>
          </cell>
          <cell r="Z1794" t="str">
            <v>NA</v>
          </cell>
          <cell r="AA1794" t="str">
            <v>NA</v>
          </cell>
        </row>
        <row r="1795">
          <cell r="A1795">
            <v>45182</v>
          </cell>
          <cell r="B1795" t="str">
            <v>A2</v>
          </cell>
          <cell r="C1795">
            <v>3</v>
          </cell>
          <cell r="D1795">
            <v>1</v>
          </cell>
          <cell r="E1795" t="str">
            <v>ARIS.A2.Aim1.Bin3.RB</v>
          </cell>
          <cell r="F1795">
            <v>4</v>
          </cell>
          <cell r="G1795" t="str">
            <v>Unweighted</v>
          </cell>
          <cell r="H1795" t="str">
            <v>N</v>
          </cell>
          <cell r="I1795" t="str">
            <v>Y</v>
          </cell>
          <cell r="J1795">
            <v>123</v>
          </cell>
          <cell r="K1795">
            <v>1</v>
          </cell>
          <cell r="L1795">
            <v>7.6600000000000001E-2</v>
          </cell>
          <cell r="M1795">
            <v>36.4</v>
          </cell>
          <cell r="N1795">
            <v>2.7</v>
          </cell>
          <cell r="O1795">
            <v>0.9234</v>
          </cell>
          <cell r="P1795">
            <v>0.15279999999999999</v>
          </cell>
          <cell r="Q1795">
            <v>0.44340000000000002</v>
          </cell>
          <cell r="R1795">
            <v>0.32719999999999999</v>
          </cell>
          <cell r="S1795" t="str">
            <v>NA</v>
          </cell>
          <cell r="T1795">
            <v>60.3</v>
          </cell>
          <cell r="U1795">
            <v>4.9000000000000004</v>
          </cell>
          <cell r="V1795">
            <v>73.900000000000006</v>
          </cell>
          <cell r="W1795">
            <v>7.5</v>
          </cell>
          <cell r="X1795">
            <v>52.3</v>
          </cell>
          <cell r="Y1795">
            <v>6.8</v>
          </cell>
          <cell r="Z1795" t="str">
            <v>NA</v>
          </cell>
          <cell r="AA1795" t="str">
            <v>NA</v>
          </cell>
        </row>
        <row r="1796">
          <cell r="A1796">
            <v>45182</v>
          </cell>
          <cell r="B1796" t="str">
            <v>A2</v>
          </cell>
          <cell r="C1796">
            <v>4</v>
          </cell>
          <cell r="D1796">
            <v>1</v>
          </cell>
          <cell r="E1796" t="str">
            <v>ARIS.A2.Aim1.Bin4.RB</v>
          </cell>
          <cell r="F1796">
            <v>4</v>
          </cell>
          <cell r="G1796" t="str">
            <v>Unweighted</v>
          </cell>
          <cell r="H1796" t="str">
            <v>N</v>
          </cell>
          <cell r="I1796" t="str">
            <v>Y</v>
          </cell>
          <cell r="J1796">
            <v>123</v>
          </cell>
          <cell r="K1796">
            <v>1</v>
          </cell>
          <cell r="L1796">
            <v>7.6600000000000001E-2</v>
          </cell>
          <cell r="M1796">
            <v>36.4</v>
          </cell>
          <cell r="N1796">
            <v>2.7</v>
          </cell>
          <cell r="O1796">
            <v>0.9234</v>
          </cell>
          <cell r="P1796">
            <v>0.15279999999999999</v>
          </cell>
          <cell r="Q1796">
            <v>0.44340000000000002</v>
          </cell>
          <cell r="R1796">
            <v>0.32719999999999999</v>
          </cell>
          <cell r="S1796" t="str">
            <v>NA</v>
          </cell>
          <cell r="T1796">
            <v>60.3</v>
          </cell>
          <cell r="U1796">
            <v>4.9000000000000004</v>
          </cell>
          <cell r="V1796">
            <v>73.900000000000006</v>
          </cell>
          <cell r="W1796">
            <v>7.5</v>
          </cell>
          <cell r="X1796">
            <v>52.3</v>
          </cell>
          <cell r="Y1796">
            <v>6.8</v>
          </cell>
          <cell r="Z1796" t="str">
            <v>NA</v>
          </cell>
          <cell r="AA1796" t="str">
            <v>NA</v>
          </cell>
        </row>
        <row r="1797">
          <cell r="A1797">
            <v>45183</v>
          </cell>
          <cell r="B1797" t="str">
            <v>A1</v>
          </cell>
          <cell r="C1797">
            <v>1</v>
          </cell>
          <cell r="D1797">
            <v>1</v>
          </cell>
          <cell r="E1797" t="str">
            <v>ARIS.A1.Aim1.Bin1.LB</v>
          </cell>
          <cell r="F1797">
            <v>4</v>
          </cell>
          <cell r="G1797" t="str">
            <v>SplineDFA</v>
          </cell>
          <cell r="H1797" t="str">
            <v>Y</v>
          </cell>
          <cell r="I1797" t="str">
            <v>N</v>
          </cell>
          <cell r="J1797">
            <v>164</v>
          </cell>
          <cell r="K1797">
            <v>1</v>
          </cell>
          <cell r="L1797">
            <v>0.34499999999999997</v>
          </cell>
          <cell r="M1797">
            <v>23.7</v>
          </cell>
          <cell r="N1797">
            <v>2.7</v>
          </cell>
          <cell r="O1797">
            <v>0.65500000000000003</v>
          </cell>
          <cell r="P1797">
            <v>6.5600000000000006E-2</v>
          </cell>
          <cell r="Q1797">
            <v>2.6499999999999999E-2</v>
          </cell>
          <cell r="R1797">
            <v>0.56289999999999996</v>
          </cell>
          <cell r="S1797" t="str">
            <v>NA</v>
          </cell>
          <cell r="T1797">
            <v>60.3</v>
          </cell>
          <cell r="U1797">
            <v>4.9000000000000004</v>
          </cell>
          <cell r="V1797">
            <v>75.7</v>
          </cell>
          <cell r="W1797">
            <v>7.6</v>
          </cell>
          <cell r="X1797">
            <v>52.3</v>
          </cell>
          <cell r="Y1797">
            <v>6.8</v>
          </cell>
          <cell r="Z1797" t="str">
            <v>NA</v>
          </cell>
          <cell r="AA1797" t="str">
            <v>NA</v>
          </cell>
        </row>
        <row r="1798">
          <cell r="A1798">
            <v>45183</v>
          </cell>
          <cell r="B1798" t="str">
            <v>A1</v>
          </cell>
          <cell r="C1798">
            <v>1</v>
          </cell>
          <cell r="D1798">
            <v>2</v>
          </cell>
          <cell r="E1798" t="str">
            <v>ARIS.A1.Aim2.Bin1.LB</v>
          </cell>
          <cell r="F1798">
            <v>4</v>
          </cell>
          <cell r="G1798" t="str">
            <v>SplineDFA</v>
          </cell>
          <cell r="H1798" t="str">
            <v>Y</v>
          </cell>
          <cell r="I1798" t="str">
            <v>N</v>
          </cell>
          <cell r="J1798">
            <v>156</v>
          </cell>
          <cell r="K1798">
            <v>1</v>
          </cell>
          <cell r="L1798">
            <v>0.21809999999999999</v>
          </cell>
          <cell r="M1798">
            <v>23.7</v>
          </cell>
          <cell r="N1798">
            <v>2.7</v>
          </cell>
          <cell r="O1798">
            <v>0.78190000000000004</v>
          </cell>
          <cell r="P1798">
            <v>0.27760000000000001</v>
          </cell>
          <cell r="Q1798">
            <v>5.1999999999999998E-3</v>
          </cell>
          <cell r="R1798">
            <v>0.49909999999999999</v>
          </cell>
          <cell r="S1798" t="str">
            <v>NA</v>
          </cell>
          <cell r="T1798">
            <v>60.3</v>
          </cell>
          <cell r="U1798">
            <v>4.9000000000000004</v>
          </cell>
          <cell r="V1798">
            <v>75.7</v>
          </cell>
          <cell r="W1798">
            <v>7.6</v>
          </cell>
          <cell r="X1798">
            <v>52.3</v>
          </cell>
          <cell r="Y1798">
            <v>6.8</v>
          </cell>
          <cell r="Z1798" t="str">
            <v>NA</v>
          </cell>
          <cell r="AA1798" t="str">
            <v>NA</v>
          </cell>
        </row>
        <row r="1799">
          <cell r="A1799">
            <v>45183</v>
          </cell>
          <cell r="B1799" t="str">
            <v>A1</v>
          </cell>
          <cell r="C1799">
            <v>2</v>
          </cell>
          <cell r="D1799">
            <v>3</v>
          </cell>
          <cell r="E1799" t="str">
            <v>ARIS.A1.Aim3.Bin2.LB</v>
          </cell>
          <cell r="F1799">
            <v>4</v>
          </cell>
          <cell r="G1799" t="str">
            <v>SplineDFA</v>
          </cell>
          <cell r="H1799" t="str">
            <v>Y</v>
          </cell>
          <cell r="I1799" t="str">
            <v>N</v>
          </cell>
          <cell r="J1799">
            <v>160</v>
          </cell>
          <cell r="K1799">
            <v>1</v>
          </cell>
          <cell r="L1799">
            <v>0.14399999999999999</v>
          </cell>
          <cell r="M1799">
            <v>23.7</v>
          </cell>
          <cell r="N1799">
            <v>2.7</v>
          </cell>
          <cell r="O1799">
            <v>0.85599999999999998</v>
          </cell>
          <cell r="P1799">
            <v>0.26729999999999998</v>
          </cell>
          <cell r="Q1799">
            <v>0.18840000000000001</v>
          </cell>
          <cell r="R1799">
            <v>0.40029999999999999</v>
          </cell>
          <cell r="S1799" t="str">
            <v>NA</v>
          </cell>
          <cell r="T1799">
            <v>60.3</v>
          </cell>
          <cell r="U1799">
            <v>4.9000000000000004</v>
          </cell>
          <cell r="V1799">
            <v>75.7</v>
          </cell>
          <cell r="W1799">
            <v>7.6</v>
          </cell>
          <cell r="X1799">
            <v>52.3</v>
          </cell>
          <cell r="Y1799">
            <v>6.8</v>
          </cell>
          <cell r="Z1799" t="str">
            <v>NA</v>
          </cell>
          <cell r="AA1799" t="str">
            <v>NA</v>
          </cell>
        </row>
        <row r="1800">
          <cell r="A1800">
            <v>45183</v>
          </cell>
          <cell r="B1800" t="str">
            <v>A1</v>
          </cell>
          <cell r="C1800">
            <v>3</v>
          </cell>
          <cell r="D1800">
            <v>3</v>
          </cell>
          <cell r="E1800" t="str">
            <v>ARIS.A1.Aim3.Bin3.LB</v>
          </cell>
          <cell r="F1800">
            <v>4</v>
          </cell>
          <cell r="G1800" t="str">
            <v>SplineDFA</v>
          </cell>
          <cell r="H1800" t="str">
            <v>Y</v>
          </cell>
          <cell r="I1800" t="str">
            <v>N</v>
          </cell>
          <cell r="J1800">
            <v>175</v>
          </cell>
          <cell r="K1800">
            <v>1</v>
          </cell>
          <cell r="L1800">
            <v>6.5799999999999997E-2</v>
          </cell>
          <cell r="M1800">
            <v>23.7</v>
          </cell>
          <cell r="N1800">
            <v>2.7</v>
          </cell>
          <cell r="O1800">
            <v>0.93420000000000003</v>
          </cell>
          <cell r="P1800">
            <v>0.20219999999999999</v>
          </cell>
          <cell r="Q1800">
            <v>0.22689999999999999</v>
          </cell>
          <cell r="R1800">
            <v>0.50509999999999999</v>
          </cell>
          <cell r="S1800" t="str">
            <v>NA</v>
          </cell>
          <cell r="T1800">
            <v>60.3</v>
          </cell>
          <cell r="U1800">
            <v>4.9000000000000004</v>
          </cell>
          <cell r="V1800">
            <v>75.7</v>
          </cell>
          <cell r="W1800">
            <v>7.6</v>
          </cell>
          <cell r="X1800">
            <v>52.3</v>
          </cell>
          <cell r="Y1800">
            <v>6.8</v>
          </cell>
          <cell r="Z1800" t="str">
            <v>NA</v>
          </cell>
          <cell r="AA1800" t="str">
            <v>NA</v>
          </cell>
        </row>
        <row r="1801">
          <cell r="A1801">
            <v>45183</v>
          </cell>
          <cell r="B1801" t="str">
            <v>A1</v>
          </cell>
          <cell r="C1801">
            <v>4</v>
          </cell>
          <cell r="D1801">
            <v>3</v>
          </cell>
          <cell r="E1801" t="str">
            <v>ARIS.A1.Aim3.Bin4.LB</v>
          </cell>
          <cell r="F1801">
            <v>4</v>
          </cell>
          <cell r="G1801" t="str">
            <v>SplineDFA</v>
          </cell>
          <cell r="H1801" t="str">
            <v>Y</v>
          </cell>
          <cell r="I1801" t="str">
            <v>N</v>
          </cell>
          <cell r="J1801">
            <v>175</v>
          </cell>
          <cell r="K1801">
            <v>1</v>
          </cell>
          <cell r="L1801">
            <v>6.5799999999999997E-2</v>
          </cell>
          <cell r="M1801">
            <v>23.7</v>
          </cell>
          <cell r="N1801">
            <v>2.7</v>
          </cell>
          <cell r="O1801">
            <v>0.93420000000000003</v>
          </cell>
          <cell r="P1801">
            <v>0.20219999999999999</v>
          </cell>
          <cell r="Q1801">
            <v>0.22689999999999999</v>
          </cell>
          <cell r="R1801">
            <v>0.50509999999999999</v>
          </cell>
          <cell r="S1801" t="str">
            <v>NA</v>
          </cell>
          <cell r="T1801">
            <v>60.3</v>
          </cell>
          <cell r="U1801">
            <v>4.9000000000000004</v>
          </cell>
          <cell r="V1801">
            <v>75.7</v>
          </cell>
          <cell r="W1801">
            <v>7.6</v>
          </cell>
          <cell r="X1801">
            <v>52.3</v>
          </cell>
          <cell r="Y1801">
            <v>6.8</v>
          </cell>
          <cell r="Z1801" t="str">
            <v>NA</v>
          </cell>
          <cell r="AA1801" t="str">
            <v>NA</v>
          </cell>
        </row>
        <row r="1802">
          <cell r="A1802">
            <v>45183</v>
          </cell>
          <cell r="B1802" t="str">
            <v>A2</v>
          </cell>
          <cell r="C1802">
            <v>1</v>
          </cell>
          <cell r="D1802">
            <v>1</v>
          </cell>
          <cell r="E1802" t="str">
            <v>ARIS.A2.Aim1.Bin1.RB</v>
          </cell>
          <cell r="F1802">
            <v>4</v>
          </cell>
          <cell r="G1802" t="str">
            <v>SplineDFA</v>
          </cell>
          <cell r="H1802" t="str">
            <v>Y</v>
          </cell>
          <cell r="I1802" t="str">
            <v>N</v>
          </cell>
          <cell r="J1802">
            <v>163</v>
          </cell>
          <cell r="K1802">
            <v>1</v>
          </cell>
          <cell r="L1802">
            <v>4.0899999999999999E-2</v>
          </cell>
          <cell r="M1802">
            <v>23.7</v>
          </cell>
          <cell r="N1802">
            <v>2.7</v>
          </cell>
          <cell r="O1802">
            <v>0.95909999999999995</v>
          </cell>
          <cell r="P1802">
            <v>0.30009999999999998</v>
          </cell>
          <cell r="Q1802">
            <v>3.5000000000000001E-3</v>
          </cell>
          <cell r="R1802">
            <v>0.65549999999999997</v>
          </cell>
          <cell r="S1802" t="str">
            <v>NA</v>
          </cell>
          <cell r="T1802">
            <v>60.3</v>
          </cell>
          <cell r="U1802">
            <v>4.9000000000000004</v>
          </cell>
          <cell r="V1802">
            <v>73.900000000000006</v>
          </cell>
          <cell r="W1802">
            <v>7.5</v>
          </cell>
          <cell r="X1802">
            <v>52.3</v>
          </cell>
          <cell r="Y1802">
            <v>6.8</v>
          </cell>
          <cell r="Z1802" t="str">
            <v>NA</v>
          </cell>
          <cell r="AA1802" t="str">
            <v>NA</v>
          </cell>
        </row>
        <row r="1803">
          <cell r="A1803">
            <v>45183</v>
          </cell>
          <cell r="B1803" t="str">
            <v>A2</v>
          </cell>
          <cell r="C1803">
            <v>2</v>
          </cell>
          <cell r="D1803">
            <v>1</v>
          </cell>
          <cell r="E1803" t="str">
            <v>ARIS.A2.Aim1.Bin2.RB</v>
          </cell>
          <cell r="F1803">
            <v>4</v>
          </cell>
          <cell r="G1803" t="str">
            <v>SplineDFA</v>
          </cell>
          <cell r="H1803" t="str">
            <v>Y</v>
          </cell>
          <cell r="I1803" t="str">
            <v>N</v>
          </cell>
          <cell r="J1803">
            <v>157</v>
          </cell>
          <cell r="K1803">
            <v>1</v>
          </cell>
          <cell r="L1803">
            <v>8.8700000000000001E-2</v>
          </cell>
          <cell r="M1803">
            <v>23.7</v>
          </cell>
          <cell r="N1803">
            <v>2.7</v>
          </cell>
          <cell r="O1803">
            <v>0.9113</v>
          </cell>
          <cell r="P1803">
            <v>0.2898</v>
          </cell>
          <cell r="Q1803">
            <v>9.7000000000000003E-2</v>
          </cell>
          <cell r="R1803">
            <v>0.52449999999999997</v>
          </cell>
          <cell r="S1803" t="str">
            <v>NA</v>
          </cell>
          <cell r="T1803">
            <v>60.3</v>
          </cell>
          <cell r="U1803">
            <v>4.9000000000000004</v>
          </cell>
          <cell r="V1803">
            <v>73.900000000000006</v>
          </cell>
          <cell r="W1803">
            <v>7.5</v>
          </cell>
          <cell r="X1803">
            <v>52.3</v>
          </cell>
          <cell r="Y1803">
            <v>6.8</v>
          </cell>
          <cell r="Z1803" t="str">
            <v>NA</v>
          </cell>
          <cell r="AA1803" t="str">
            <v>NA</v>
          </cell>
        </row>
        <row r="1804">
          <cell r="A1804">
            <v>45183</v>
          </cell>
          <cell r="B1804" t="str">
            <v>A2</v>
          </cell>
          <cell r="C1804">
            <v>3</v>
          </cell>
          <cell r="D1804">
            <v>1</v>
          </cell>
          <cell r="E1804" t="str">
            <v>ARIS.A2.Aim1.Bin3.RB</v>
          </cell>
          <cell r="F1804">
            <v>4</v>
          </cell>
          <cell r="G1804" t="str">
            <v>SplineDFA</v>
          </cell>
          <cell r="H1804" t="str">
            <v>Y</v>
          </cell>
          <cell r="I1804" t="str">
            <v>N</v>
          </cell>
          <cell r="J1804">
            <v>123</v>
          </cell>
          <cell r="K1804">
            <v>1</v>
          </cell>
          <cell r="L1804">
            <v>1.4E-3</v>
          </cell>
          <cell r="M1804">
            <v>23.7</v>
          </cell>
          <cell r="N1804">
            <v>2.7</v>
          </cell>
          <cell r="O1804">
            <v>0.99860000000000004</v>
          </cell>
          <cell r="P1804">
            <v>0.33410000000000001</v>
          </cell>
          <cell r="Q1804">
            <v>0.33310000000000001</v>
          </cell>
          <cell r="R1804">
            <v>0.33139999999999997</v>
          </cell>
          <cell r="S1804" t="str">
            <v>NA</v>
          </cell>
          <cell r="T1804">
            <v>60.3</v>
          </cell>
          <cell r="U1804">
            <v>4.9000000000000004</v>
          </cell>
          <cell r="V1804">
            <v>73.900000000000006</v>
          </cell>
          <cell r="W1804">
            <v>7.5</v>
          </cell>
          <cell r="X1804">
            <v>52.3</v>
          </cell>
          <cell r="Y1804">
            <v>6.8</v>
          </cell>
          <cell r="Z1804" t="str">
            <v>NA</v>
          </cell>
          <cell r="AA1804" t="str">
            <v>NA</v>
          </cell>
        </row>
        <row r="1805">
          <cell r="A1805">
            <v>45183</v>
          </cell>
          <cell r="B1805" t="str">
            <v>A2</v>
          </cell>
          <cell r="C1805">
            <v>4</v>
          </cell>
          <cell r="D1805">
            <v>1</v>
          </cell>
          <cell r="E1805" t="str">
            <v>ARIS.A2.Aim1.Bin4.RB</v>
          </cell>
          <cell r="F1805">
            <v>4</v>
          </cell>
          <cell r="G1805" t="str">
            <v>SplineDFA</v>
          </cell>
          <cell r="H1805" t="str">
            <v>Y</v>
          </cell>
          <cell r="I1805" t="str">
            <v>N</v>
          </cell>
          <cell r="J1805">
            <v>123</v>
          </cell>
          <cell r="K1805">
            <v>1</v>
          </cell>
          <cell r="L1805">
            <v>1.4E-3</v>
          </cell>
          <cell r="M1805">
            <v>23.7</v>
          </cell>
          <cell r="N1805">
            <v>2.7</v>
          </cell>
          <cell r="O1805">
            <v>0.99860000000000004</v>
          </cell>
          <cell r="P1805">
            <v>0.33410000000000001</v>
          </cell>
          <cell r="Q1805">
            <v>0.33310000000000001</v>
          </cell>
          <cell r="R1805">
            <v>0.33139999999999997</v>
          </cell>
          <cell r="S1805" t="str">
            <v>NA</v>
          </cell>
          <cell r="T1805">
            <v>60.3</v>
          </cell>
          <cell r="U1805">
            <v>4.9000000000000004</v>
          </cell>
          <cell r="V1805">
            <v>73.900000000000006</v>
          </cell>
          <cell r="W1805">
            <v>7.5</v>
          </cell>
          <cell r="X1805">
            <v>52.3</v>
          </cell>
          <cell r="Y1805">
            <v>6.8</v>
          </cell>
          <cell r="Z1805" t="str">
            <v>NA</v>
          </cell>
          <cell r="AA1805" t="str">
            <v>NA</v>
          </cell>
        </row>
        <row r="1806">
          <cell r="A1806">
            <v>45183</v>
          </cell>
          <cell r="B1806" t="str">
            <v>A1</v>
          </cell>
          <cell r="C1806">
            <v>1</v>
          </cell>
          <cell r="D1806">
            <v>1</v>
          </cell>
          <cell r="E1806" t="str">
            <v>ARIS.A1.Aim1.Bin1.LB</v>
          </cell>
          <cell r="F1806">
            <v>4</v>
          </cell>
          <cell r="G1806" t="str">
            <v>Unweighted</v>
          </cell>
          <cell r="H1806" t="str">
            <v>N</v>
          </cell>
          <cell r="I1806" t="str">
            <v>Y</v>
          </cell>
          <cell r="J1806">
            <v>164</v>
          </cell>
          <cell r="K1806">
            <v>0.99990000000000001</v>
          </cell>
          <cell r="L1806">
            <v>0.64419999999999999</v>
          </cell>
          <cell r="M1806">
            <v>23.5</v>
          </cell>
          <cell r="N1806">
            <v>2.7</v>
          </cell>
          <cell r="O1806">
            <v>0.35570000000000002</v>
          </cell>
          <cell r="P1806">
            <v>0</v>
          </cell>
          <cell r="Q1806">
            <v>5.1000000000000004E-3</v>
          </cell>
          <cell r="R1806">
            <v>0.35060000000000002</v>
          </cell>
          <cell r="S1806" t="str">
            <v>NA</v>
          </cell>
          <cell r="T1806">
            <v>60.3</v>
          </cell>
          <cell r="U1806">
            <v>4.9000000000000004</v>
          </cell>
          <cell r="V1806">
            <v>75.7</v>
          </cell>
          <cell r="W1806">
            <v>7.6</v>
          </cell>
          <cell r="X1806">
            <v>52.3</v>
          </cell>
          <cell r="Y1806">
            <v>6.8</v>
          </cell>
          <cell r="Z1806" t="str">
            <v>NA</v>
          </cell>
          <cell r="AA1806" t="str">
            <v>NA</v>
          </cell>
        </row>
        <row r="1807">
          <cell r="A1807">
            <v>45183</v>
          </cell>
          <cell r="B1807" t="str">
            <v>A1</v>
          </cell>
          <cell r="C1807">
            <v>1</v>
          </cell>
          <cell r="D1807">
            <v>2</v>
          </cell>
          <cell r="E1807" t="str">
            <v>ARIS.A1.Aim2.Bin1.LB</v>
          </cell>
          <cell r="F1807">
            <v>4</v>
          </cell>
          <cell r="G1807" t="str">
            <v>Unweighted</v>
          </cell>
          <cell r="H1807" t="str">
            <v>N</v>
          </cell>
          <cell r="I1807" t="str">
            <v>Y</v>
          </cell>
          <cell r="J1807">
            <v>156</v>
          </cell>
          <cell r="K1807">
            <v>1</v>
          </cell>
          <cell r="L1807">
            <v>0.51190000000000002</v>
          </cell>
          <cell r="M1807">
            <v>21.8</v>
          </cell>
          <cell r="N1807">
            <v>2.7</v>
          </cell>
          <cell r="O1807">
            <v>0.48809999999999998</v>
          </cell>
          <cell r="P1807">
            <v>0</v>
          </cell>
          <cell r="Q1807">
            <v>2.3999999999999998E-3</v>
          </cell>
          <cell r="R1807">
            <v>0.48570000000000002</v>
          </cell>
          <cell r="S1807" t="str">
            <v>NA</v>
          </cell>
          <cell r="T1807">
            <v>60.3</v>
          </cell>
          <cell r="U1807">
            <v>4.9000000000000004</v>
          </cell>
          <cell r="V1807">
            <v>75.7</v>
          </cell>
          <cell r="W1807">
            <v>7.6</v>
          </cell>
          <cell r="X1807">
            <v>52.3</v>
          </cell>
          <cell r="Y1807">
            <v>6.8</v>
          </cell>
          <cell r="Z1807" t="str">
            <v>NA</v>
          </cell>
          <cell r="AA1807" t="str">
            <v>NA</v>
          </cell>
        </row>
        <row r="1808">
          <cell r="A1808">
            <v>45183</v>
          </cell>
          <cell r="B1808" t="str">
            <v>A1</v>
          </cell>
          <cell r="C1808">
            <v>1</v>
          </cell>
          <cell r="D1808" t="str">
            <v>1&amp;2</v>
          </cell>
          <cell r="E1808" t="str">
            <v>ARIS.A1.Aim1&amp;Aim2.Bin1.LB</v>
          </cell>
          <cell r="F1808">
            <v>4</v>
          </cell>
          <cell r="G1808" t="str">
            <v>Unweighted</v>
          </cell>
          <cell r="H1808" t="str">
            <v>N</v>
          </cell>
          <cell r="I1808" t="str">
            <v>Y</v>
          </cell>
          <cell r="J1808">
            <v>320</v>
          </cell>
          <cell r="K1808">
            <v>1</v>
          </cell>
          <cell r="L1808">
            <v>0.58730000000000004</v>
          </cell>
          <cell r="M1808">
            <v>22.5</v>
          </cell>
          <cell r="N1808">
            <v>2.7</v>
          </cell>
          <cell r="O1808">
            <v>0.41270000000000001</v>
          </cell>
          <cell r="P1808">
            <v>0</v>
          </cell>
          <cell r="Q1808">
            <v>0.01</v>
          </cell>
          <cell r="R1808">
            <v>0.4027</v>
          </cell>
          <cell r="S1808" t="str">
            <v>NA</v>
          </cell>
          <cell r="T1808">
            <v>60.3</v>
          </cell>
          <cell r="U1808">
            <v>4.9000000000000004</v>
          </cell>
          <cell r="V1808">
            <v>75.7</v>
          </cell>
          <cell r="W1808">
            <v>7.6</v>
          </cell>
          <cell r="X1808">
            <v>52.3</v>
          </cell>
          <cell r="Y1808">
            <v>6.8</v>
          </cell>
          <cell r="Z1808" t="str">
            <v>NA</v>
          </cell>
          <cell r="AA1808" t="str">
            <v>NA</v>
          </cell>
        </row>
        <row r="1809">
          <cell r="A1809">
            <v>45183</v>
          </cell>
          <cell r="B1809" t="str">
            <v>A1</v>
          </cell>
          <cell r="C1809">
            <v>2</v>
          </cell>
          <cell r="D1809">
            <v>3</v>
          </cell>
          <cell r="E1809" t="str">
            <v>ARIS.A1.Aim3.Bin2.LB</v>
          </cell>
          <cell r="F1809">
            <v>4</v>
          </cell>
          <cell r="G1809" t="str">
            <v>Unweighted</v>
          </cell>
          <cell r="H1809" t="str">
            <v>N</v>
          </cell>
          <cell r="I1809" t="str">
            <v>Y</v>
          </cell>
          <cell r="J1809">
            <v>160</v>
          </cell>
          <cell r="K1809">
            <v>1</v>
          </cell>
          <cell r="L1809">
            <v>0.19</v>
          </cell>
          <cell r="M1809">
            <v>26.8</v>
          </cell>
          <cell r="N1809">
            <v>2.7</v>
          </cell>
          <cell r="O1809">
            <v>0.81</v>
          </cell>
          <cell r="P1809">
            <v>6.7599999999999993E-2</v>
          </cell>
          <cell r="Q1809">
            <v>0.17030000000000001</v>
          </cell>
          <cell r="R1809">
            <v>0.57210000000000005</v>
          </cell>
          <cell r="S1809" t="str">
            <v>NA</v>
          </cell>
          <cell r="T1809">
            <v>60.3</v>
          </cell>
          <cell r="U1809">
            <v>4.9000000000000004</v>
          </cell>
          <cell r="V1809">
            <v>75.7</v>
          </cell>
          <cell r="W1809">
            <v>7.6</v>
          </cell>
          <cell r="X1809">
            <v>52.3</v>
          </cell>
          <cell r="Y1809">
            <v>6.8</v>
          </cell>
          <cell r="Z1809" t="str">
            <v>NA</v>
          </cell>
          <cell r="AA1809" t="str">
            <v>NA</v>
          </cell>
        </row>
        <row r="1810">
          <cell r="A1810">
            <v>45183</v>
          </cell>
          <cell r="B1810" t="str">
            <v>A1</v>
          </cell>
          <cell r="C1810">
            <v>3</v>
          </cell>
          <cell r="D1810">
            <v>3</v>
          </cell>
          <cell r="E1810" t="str">
            <v>ARIS.A1.Aim3.Bin3.LB</v>
          </cell>
          <cell r="F1810">
            <v>4</v>
          </cell>
          <cell r="G1810" t="str">
            <v>Unweighted</v>
          </cell>
          <cell r="H1810" t="str">
            <v>N</v>
          </cell>
          <cell r="I1810" t="str">
            <v>Y</v>
          </cell>
          <cell r="J1810">
            <v>175</v>
          </cell>
          <cell r="K1810">
            <v>1</v>
          </cell>
          <cell r="L1810">
            <v>7.4099999999999999E-2</v>
          </cell>
          <cell r="M1810">
            <v>27.5</v>
          </cell>
          <cell r="N1810">
            <v>2.7</v>
          </cell>
          <cell r="O1810">
            <v>0.92589999999999995</v>
          </cell>
          <cell r="P1810">
            <v>1.9E-3</v>
          </cell>
          <cell r="Q1810">
            <v>0.31730000000000003</v>
          </cell>
          <cell r="R1810">
            <v>0.60670000000000002</v>
          </cell>
          <cell r="S1810" t="str">
            <v>NA</v>
          </cell>
          <cell r="T1810">
            <v>60.3</v>
          </cell>
          <cell r="U1810">
            <v>4.9000000000000004</v>
          </cell>
          <cell r="V1810">
            <v>75.7</v>
          </cell>
          <cell r="W1810">
            <v>7.6</v>
          </cell>
          <cell r="X1810">
            <v>52.3</v>
          </cell>
          <cell r="Y1810">
            <v>6.8</v>
          </cell>
          <cell r="Z1810" t="str">
            <v>NA</v>
          </cell>
          <cell r="AA1810" t="str">
            <v>NA</v>
          </cell>
        </row>
        <row r="1811">
          <cell r="A1811">
            <v>45183</v>
          </cell>
          <cell r="B1811" t="str">
            <v>A1</v>
          </cell>
          <cell r="C1811">
            <v>4</v>
          </cell>
          <cell r="D1811">
            <v>3</v>
          </cell>
          <cell r="E1811" t="str">
            <v>ARIS.A1.Aim3.Bin4.LB</v>
          </cell>
          <cell r="F1811">
            <v>4</v>
          </cell>
          <cell r="G1811" t="str">
            <v>Unweighted</v>
          </cell>
          <cell r="H1811" t="str">
            <v>N</v>
          </cell>
          <cell r="I1811" t="str">
            <v>Y</v>
          </cell>
          <cell r="J1811">
            <v>175</v>
          </cell>
          <cell r="K1811">
            <v>1</v>
          </cell>
          <cell r="L1811">
            <v>7.4099999999999999E-2</v>
          </cell>
          <cell r="M1811">
            <v>27.5</v>
          </cell>
          <cell r="N1811">
            <v>2.7</v>
          </cell>
          <cell r="O1811">
            <v>0.92589999999999995</v>
          </cell>
          <cell r="P1811">
            <v>1.9E-3</v>
          </cell>
          <cell r="Q1811">
            <v>0.31730000000000003</v>
          </cell>
          <cell r="R1811">
            <v>0.60670000000000002</v>
          </cell>
          <cell r="S1811" t="str">
            <v>NA</v>
          </cell>
          <cell r="T1811">
            <v>60.3</v>
          </cell>
          <cell r="U1811">
            <v>4.9000000000000004</v>
          </cell>
          <cell r="V1811">
            <v>75.7</v>
          </cell>
          <cell r="W1811">
            <v>7.6</v>
          </cell>
          <cell r="X1811">
            <v>52.3</v>
          </cell>
          <cell r="Y1811">
            <v>6.8</v>
          </cell>
          <cell r="Z1811" t="str">
            <v>NA</v>
          </cell>
          <cell r="AA1811" t="str">
            <v>NA</v>
          </cell>
        </row>
        <row r="1812">
          <cell r="A1812">
            <v>45183</v>
          </cell>
          <cell r="B1812" t="str">
            <v>A2</v>
          </cell>
          <cell r="C1812">
            <v>1</v>
          </cell>
          <cell r="D1812">
            <v>1</v>
          </cell>
          <cell r="E1812" t="str">
            <v>ARIS.A2.Aim1.Bin1.RB</v>
          </cell>
          <cell r="F1812">
            <v>4</v>
          </cell>
          <cell r="G1812" t="str">
            <v>Unweighted</v>
          </cell>
          <cell r="H1812" t="str">
            <v>N</v>
          </cell>
          <cell r="I1812" t="str">
            <v>Y</v>
          </cell>
          <cell r="J1812">
            <v>163</v>
          </cell>
          <cell r="K1812">
            <v>1</v>
          </cell>
          <cell r="L1812">
            <v>5.7799999999999997E-2</v>
          </cell>
          <cell r="M1812">
            <v>28.6</v>
          </cell>
          <cell r="N1812">
            <v>6.2</v>
          </cell>
          <cell r="O1812">
            <v>0.94220000000000004</v>
          </cell>
          <cell r="P1812">
            <v>0</v>
          </cell>
          <cell r="Q1812">
            <v>4.5999999999999999E-3</v>
          </cell>
          <cell r="R1812">
            <v>0.93759999999999999</v>
          </cell>
          <cell r="S1812" t="str">
            <v>NA</v>
          </cell>
          <cell r="T1812">
            <v>60.3</v>
          </cell>
          <cell r="U1812">
            <v>4.9000000000000004</v>
          </cell>
          <cell r="V1812">
            <v>73.900000000000006</v>
          </cell>
          <cell r="W1812">
            <v>7.5</v>
          </cell>
          <cell r="X1812">
            <v>52.3</v>
          </cell>
          <cell r="Y1812">
            <v>6.8</v>
          </cell>
          <cell r="Z1812" t="str">
            <v>NA</v>
          </cell>
          <cell r="AA1812" t="str">
            <v>NA</v>
          </cell>
        </row>
        <row r="1813">
          <cell r="A1813">
            <v>45183</v>
          </cell>
          <cell r="B1813" t="str">
            <v>A2</v>
          </cell>
          <cell r="C1813">
            <v>2</v>
          </cell>
          <cell r="D1813">
            <v>1</v>
          </cell>
          <cell r="E1813" t="str">
            <v>ARIS.A2.Aim1.Bin2.RB</v>
          </cell>
          <cell r="F1813">
            <v>4</v>
          </cell>
          <cell r="G1813" t="str">
            <v>Unweighted</v>
          </cell>
          <cell r="H1813" t="str">
            <v>N</v>
          </cell>
          <cell r="I1813" t="str">
            <v>Y</v>
          </cell>
          <cell r="J1813">
            <v>157</v>
          </cell>
          <cell r="K1813">
            <v>1</v>
          </cell>
          <cell r="L1813">
            <v>6.3399999999999998E-2</v>
          </cell>
          <cell r="M1813">
            <v>22.4</v>
          </cell>
          <cell r="N1813">
            <v>2.7</v>
          </cell>
          <cell r="O1813">
            <v>0.93659999999999999</v>
          </cell>
          <cell r="P1813">
            <v>2.12E-2</v>
          </cell>
          <cell r="Q1813">
            <v>0.17230000000000001</v>
          </cell>
          <cell r="R1813">
            <v>0.74309999999999998</v>
          </cell>
          <cell r="S1813" t="str">
            <v>NA</v>
          </cell>
          <cell r="T1813">
            <v>60.3</v>
          </cell>
          <cell r="U1813">
            <v>4.9000000000000004</v>
          </cell>
          <cell r="V1813">
            <v>73.900000000000006</v>
          </cell>
          <cell r="W1813">
            <v>7.5</v>
          </cell>
          <cell r="X1813">
            <v>52.3</v>
          </cell>
          <cell r="Y1813">
            <v>6.8</v>
          </cell>
          <cell r="Z1813" t="str">
            <v>NA</v>
          </cell>
          <cell r="AA1813" t="str">
            <v>NA</v>
          </cell>
        </row>
        <row r="1814">
          <cell r="A1814">
            <v>45183</v>
          </cell>
          <cell r="B1814" t="str">
            <v>A2</v>
          </cell>
          <cell r="C1814">
            <v>3</v>
          </cell>
          <cell r="D1814">
            <v>1</v>
          </cell>
          <cell r="E1814" t="str">
            <v>ARIS.A2.Aim1.Bin3.RB</v>
          </cell>
          <cell r="F1814">
            <v>4</v>
          </cell>
          <cell r="G1814" t="str">
            <v>Unweighted</v>
          </cell>
          <cell r="H1814" t="str">
            <v>N</v>
          </cell>
          <cell r="I1814" t="str">
            <v>Y</v>
          </cell>
          <cell r="J1814">
            <v>123</v>
          </cell>
          <cell r="K1814">
            <v>1</v>
          </cell>
          <cell r="L1814">
            <v>7.6600000000000001E-2</v>
          </cell>
          <cell r="M1814">
            <v>36.4</v>
          </cell>
          <cell r="N1814">
            <v>2.7</v>
          </cell>
          <cell r="O1814">
            <v>0.9234</v>
          </cell>
          <cell r="P1814">
            <v>0.15279999999999999</v>
          </cell>
          <cell r="Q1814">
            <v>0.44340000000000002</v>
          </cell>
          <cell r="R1814">
            <v>0.32719999999999999</v>
          </cell>
          <cell r="S1814" t="str">
            <v>NA</v>
          </cell>
          <cell r="T1814">
            <v>60.3</v>
          </cell>
          <cell r="U1814">
            <v>4.9000000000000004</v>
          </cell>
          <cell r="V1814">
            <v>73.900000000000006</v>
          </cell>
          <cell r="W1814">
            <v>7.5</v>
          </cell>
          <cell r="X1814">
            <v>52.3</v>
          </cell>
          <cell r="Y1814">
            <v>6.8</v>
          </cell>
          <cell r="Z1814" t="str">
            <v>NA</v>
          </cell>
          <cell r="AA1814" t="str">
            <v>NA</v>
          </cell>
        </row>
        <row r="1815">
          <cell r="A1815">
            <v>45183</v>
          </cell>
          <cell r="B1815" t="str">
            <v>A2</v>
          </cell>
          <cell r="C1815">
            <v>4</v>
          </cell>
          <cell r="D1815">
            <v>1</v>
          </cell>
          <cell r="E1815" t="str">
            <v>ARIS.A2.Aim1.Bin4.RB</v>
          </cell>
          <cell r="F1815">
            <v>4</v>
          </cell>
          <cell r="G1815" t="str">
            <v>Unweighted</v>
          </cell>
          <cell r="H1815" t="str">
            <v>N</v>
          </cell>
          <cell r="I1815" t="str">
            <v>Y</v>
          </cell>
          <cell r="J1815">
            <v>123</v>
          </cell>
          <cell r="K1815">
            <v>1</v>
          </cell>
          <cell r="L1815">
            <v>7.6600000000000001E-2</v>
          </cell>
          <cell r="M1815">
            <v>36.4</v>
          </cell>
          <cell r="N1815">
            <v>2.7</v>
          </cell>
          <cell r="O1815">
            <v>0.9234</v>
          </cell>
          <cell r="P1815">
            <v>0.15279999999999999</v>
          </cell>
          <cell r="Q1815">
            <v>0.44340000000000002</v>
          </cell>
          <cell r="R1815">
            <v>0.32719999999999999</v>
          </cell>
          <cell r="S1815" t="str">
            <v>NA</v>
          </cell>
          <cell r="T1815">
            <v>60.3</v>
          </cell>
          <cell r="U1815">
            <v>4.9000000000000004</v>
          </cell>
          <cell r="V1815">
            <v>73.900000000000006</v>
          </cell>
          <cell r="W1815">
            <v>7.5</v>
          </cell>
          <cell r="X1815">
            <v>52.3</v>
          </cell>
          <cell r="Y1815">
            <v>6.8</v>
          </cell>
          <cell r="Z1815" t="str">
            <v>NA</v>
          </cell>
          <cell r="AA1815" t="str">
            <v>NA</v>
          </cell>
        </row>
        <row r="1816">
          <cell r="A1816">
            <v>45184</v>
          </cell>
          <cell r="B1816" t="str">
            <v>A1</v>
          </cell>
          <cell r="C1816">
            <v>1</v>
          </cell>
          <cell r="D1816">
            <v>1</v>
          </cell>
          <cell r="E1816" t="str">
            <v>ARIS.A1.Aim1.Bin1.LB</v>
          </cell>
          <cell r="F1816">
            <v>4</v>
          </cell>
          <cell r="G1816" t="str">
            <v>SplineDFA</v>
          </cell>
          <cell r="H1816" t="str">
            <v>Y</v>
          </cell>
          <cell r="I1816" t="str">
            <v>N</v>
          </cell>
          <cell r="J1816">
            <v>166</v>
          </cell>
          <cell r="K1816">
            <v>1</v>
          </cell>
          <cell r="L1816">
            <v>0.70550000000000002</v>
          </cell>
          <cell r="M1816">
            <v>23.7</v>
          </cell>
          <cell r="N1816">
            <v>2.7</v>
          </cell>
          <cell r="O1816">
            <v>0.29449999999999998</v>
          </cell>
          <cell r="P1816">
            <v>3.4000000000000002E-2</v>
          </cell>
          <cell r="Q1816">
            <v>2.6100000000000002E-2</v>
          </cell>
          <cell r="R1816">
            <v>0.2344</v>
          </cell>
          <cell r="S1816" t="str">
            <v>NA</v>
          </cell>
          <cell r="T1816">
            <v>60.3</v>
          </cell>
          <cell r="U1816">
            <v>4.9000000000000004</v>
          </cell>
          <cell r="V1816">
            <v>75.7</v>
          </cell>
          <cell r="W1816">
            <v>7.6</v>
          </cell>
          <cell r="X1816">
            <v>52.3</v>
          </cell>
          <cell r="Y1816">
            <v>6.8</v>
          </cell>
          <cell r="Z1816" t="str">
            <v>NA</v>
          </cell>
          <cell r="AA1816" t="str">
            <v>NA</v>
          </cell>
        </row>
        <row r="1817">
          <cell r="A1817">
            <v>45184</v>
          </cell>
          <cell r="B1817" t="str">
            <v>A1</v>
          </cell>
          <cell r="C1817">
            <v>1</v>
          </cell>
          <cell r="D1817">
            <v>2</v>
          </cell>
          <cell r="E1817" t="str">
            <v>ARIS.A1.Aim2.Bin1.LB</v>
          </cell>
          <cell r="F1817">
            <v>4</v>
          </cell>
          <cell r="G1817" t="str">
            <v>SplineDFA</v>
          </cell>
          <cell r="H1817" t="str">
            <v>Y</v>
          </cell>
          <cell r="I1817" t="str">
            <v>N</v>
          </cell>
          <cell r="J1817">
            <v>167</v>
          </cell>
          <cell r="K1817">
            <v>1.0001</v>
          </cell>
          <cell r="L1817">
            <v>0.33539999999999998</v>
          </cell>
          <cell r="M1817">
            <v>23.7</v>
          </cell>
          <cell r="N1817">
            <v>2.7</v>
          </cell>
          <cell r="O1817">
            <v>0.66469999999999996</v>
          </cell>
          <cell r="P1817">
            <v>7.6700000000000004E-2</v>
          </cell>
          <cell r="Q1817">
            <v>0</v>
          </cell>
          <cell r="R1817">
            <v>0.58799999999999997</v>
          </cell>
          <cell r="S1817" t="str">
            <v>NA</v>
          </cell>
          <cell r="T1817">
            <v>60.3</v>
          </cell>
          <cell r="U1817">
            <v>4.9000000000000004</v>
          </cell>
          <cell r="V1817">
            <v>75.7</v>
          </cell>
          <cell r="W1817">
            <v>7.6</v>
          </cell>
          <cell r="X1817">
            <v>52.3</v>
          </cell>
          <cell r="Y1817">
            <v>6.8</v>
          </cell>
          <cell r="Z1817" t="str">
            <v>NA</v>
          </cell>
          <cell r="AA1817" t="str">
            <v>NA</v>
          </cell>
        </row>
        <row r="1818">
          <cell r="A1818">
            <v>45184</v>
          </cell>
          <cell r="B1818" t="str">
            <v>A1</v>
          </cell>
          <cell r="C1818">
            <v>2</v>
          </cell>
          <cell r="D1818">
            <v>3</v>
          </cell>
          <cell r="E1818" t="str">
            <v>ARIS.A1.Aim3.Bin2.LB</v>
          </cell>
          <cell r="F1818">
            <v>4</v>
          </cell>
          <cell r="G1818" t="str">
            <v>SplineDFA</v>
          </cell>
          <cell r="H1818" t="str">
            <v>Y</v>
          </cell>
          <cell r="I1818" t="str">
            <v>N</v>
          </cell>
          <cell r="J1818">
            <v>168</v>
          </cell>
          <cell r="K1818">
            <v>1</v>
          </cell>
          <cell r="L1818">
            <v>0.1203</v>
          </cell>
          <cell r="M1818">
            <v>23.7</v>
          </cell>
          <cell r="N1818">
            <v>2.7</v>
          </cell>
          <cell r="O1818">
            <v>0.87970000000000004</v>
          </cell>
          <cell r="P1818">
            <v>0.2185</v>
          </cell>
          <cell r="Q1818">
            <v>9.9699999999999997E-2</v>
          </cell>
          <cell r="R1818">
            <v>0.5615</v>
          </cell>
          <cell r="S1818" t="str">
            <v>NA</v>
          </cell>
          <cell r="T1818">
            <v>60.3</v>
          </cell>
          <cell r="U1818">
            <v>4.9000000000000004</v>
          </cell>
          <cell r="V1818">
            <v>75.7</v>
          </cell>
          <cell r="W1818">
            <v>7.6</v>
          </cell>
          <cell r="X1818">
            <v>52.3</v>
          </cell>
          <cell r="Y1818">
            <v>6.8</v>
          </cell>
          <cell r="Z1818" t="str">
            <v>NA</v>
          </cell>
          <cell r="AA1818" t="str">
            <v>NA</v>
          </cell>
        </row>
        <row r="1819">
          <cell r="A1819">
            <v>45184</v>
          </cell>
          <cell r="B1819" t="str">
            <v>A1</v>
          </cell>
          <cell r="C1819">
            <v>3</v>
          </cell>
          <cell r="D1819">
            <v>3</v>
          </cell>
          <cell r="E1819" t="str">
            <v>ARIS.A1.Aim3.Bin3.LB</v>
          </cell>
          <cell r="F1819">
            <v>4</v>
          </cell>
          <cell r="G1819" t="str">
            <v>SplineDFA</v>
          </cell>
          <cell r="H1819" t="str">
            <v>Y</v>
          </cell>
          <cell r="I1819" t="str">
            <v>N</v>
          </cell>
          <cell r="J1819">
            <v>187</v>
          </cell>
          <cell r="K1819">
            <v>0.99990000000000001</v>
          </cell>
          <cell r="L1819">
            <v>5.8999999999999999E-3</v>
          </cell>
          <cell r="M1819">
            <v>23.7</v>
          </cell>
          <cell r="N1819">
            <v>2.7</v>
          </cell>
          <cell r="O1819">
            <v>0.99399999999999999</v>
          </cell>
          <cell r="P1819">
            <v>0.31659999999999999</v>
          </cell>
          <cell r="Q1819">
            <v>0.15670000000000001</v>
          </cell>
          <cell r="R1819">
            <v>0.52070000000000005</v>
          </cell>
          <cell r="S1819" t="str">
            <v>NA</v>
          </cell>
          <cell r="T1819">
            <v>60.3</v>
          </cell>
          <cell r="U1819">
            <v>4.9000000000000004</v>
          </cell>
          <cell r="V1819">
            <v>75.7</v>
          </cell>
          <cell r="W1819">
            <v>7.6</v>
          </cell>
          <cell r="X1819">
            <v>52.3</v>
          </cell>
          <cell r="Y1819">
            <v>6.8</v>
          </cell>
          <cell r="Z1819" t="str">
            <v>NA</v>
          </cell>
          <cell r="AA1819" t="str">
            <v>NA</v>
          </cell>
        </row>
        <row r="1820">
          <cell r="A1820">
            <v>45184</v>
          </cell>
          <cell r="B1820" t="str">
            <v>A1</v>
          </cell>
          <cell r="C1820">
            <v>4</v>
          </cell>
          <cell r="D1820">
            <v>3</v>
          </cell>
          <cell r="E1820" t="str">
            <v>ARIS.A1.Aim3.Bin4.LB</v>
          </cell>
          <cell r="F1820">
            <v>4</v>
          </cell>
          <cell r="G1820" t="str">
            <v>SplineDFA</v>
          </cell>
          <cell r="H1820" t="str">
            <v>Y</v>
          </cell>
          <cell r="I1820" t="str">
            <v>N</v>
          </cell>
          <cell r="J1820">
            <v>187</v>
          </cell>
          <cell r="K1820">
            <v>0.99990000000000001</v>
          </cell>
          <cell r="L1820">
            <v>5.8999999999999999E-3</v>
          </cell>
          <cell r="M1820">
            <v>23.7</v>
          </cell>
          <cell r="N1820">
            <v>2.7</v>
          </cell>
          <cell r="O1820">
            <v>0.99399999999999999</v>
          </cell>
          <cell r="P1820">
            <v>0.31659999999999999</v>
          </cell>
          <cell r="Q1820">
            <v>0.15670000000000001</v>
          </cell>
          <cell r="R1820">
            <v>0.52070000000000005</v>
          </cell>
          <cell r="S1820" t="str">
            <v>NA</v>
          </cell>
          <cell r="T1820">
            <v>60.3</v>
          </cell>
          <cell r="U1820">
            <v>4.9000000000000004</v>
          </cell>
          <cell r="V1820">
            <v>75.7</v>
          </cell>
          <cell r="W1820">
            <v>7.6</v>
          </cell>
          <cell r="X1820">
            <v>52.3</v>
          </cell>
          <cell r="Y1820">
            <v>6.8</v>
          </cell>
          <cell r="Z1820" t="str">
            <v>NA</v>
          </cell>
          <cell r="AA1820" t="str">
            <v>NA</v>
          </cell>
        </row>
        <row r="1821">
          <cell r="A1821">
            <v>45184</v>
          </cell>
          <cell r="B1821" t="str">
            <v>A2</v>
          </cell>
          <cell r="C1821">
            <v>1</v>
          </cell>
          <cell r="D1821">
            <v>1</v>
          </cell>
          <cell r="E1821" t="str">
            <v>ARIS.A2.Aim1.Bin1.RB</v>
          </cell>
          <cell r="F1821">
            <v>4</v>
          </cell>
          <cell r="G1821" t="str">
            <v>SplineDFA</v>
          </cell>
          <cell r="H1821" t="str">
            <v>Y</v>
          </cell>
          <cell r="I1821" t="str">
            <v>N</v>
          </cell>
          <cell r="J1821">
            <v>157</v>
          </cell>
          <cell r="K1821">
            <v>1</v>
          </cell>
          <cell r="L1821">
            <v>0.28899999999999998</v>
          </cell>
          <cell r="M1821">
            <v>23.7</v>
          </cell>
          <cell r="N1821">
            <v>2.7</v>
          </cell>
          <cell r="O1821">
            <v>0.71099999999999997</v>
          </cell>
          <cell r="P1821">
            <v>0.22439999999999999</v>
          </cell>
          <cell r="Q1821">
            <v>2.76E-2</v>
          </cell>
          <cell r="R1821">
            <v>0.45900000000000002</v>
          </cell>
          <cell r="S1821" t="str">
            <v>NA</v>
          </cell>
          <cell r="T1821">
            <v>60.3</v>
          </cell>
          <cell r="U1821">
            <v>4.9000000000000004</v>
          </cell>
          <cell r="V1821">
            <v>75.7</v>
          </cell>
          <cell r="W1821">
            <v>7.6</v>
          </cell>
          <cell r="X1821">
            <v>52.3</v>
          </cell>
          <cell r="Y1821">
            <v>6.8</v>
          </cell>
          <cell r="Z1821" t="str">
            <v>NA</v>
          </cell>
          <cell r="AA1821" t="str">
            <v>NA</v>
          </cell>
        </row>
        <row r="1822">
          <cell r="A1822">
            <v>45184</v>
          </cell>
          <cell r="B1822" t="str">
            <v>A2</v>
          </cell>
          <cell r="C1822">
            <v>2</v>
          </cell>
          <cell r="D1822">
            <v>1</v>
          </cell>
          <cell r="E1822" t="str">
            <v>ARIS.A2.Aim1.Bin2.RB</v>
          </cell>
          <cell r="F1822">
            <v>4</v>
          </cell>
          <cell r="G1822" t="str">
            <v>SplineDFA</v>
          </cell>
          <cell r="H1822" t="str">
            <v>Y</v>
          </cell>
          <cell r="I1822" t="str">
            <v>N</v>
          </cell>
          <cell r="J1822">
            <v>181</v>
          </cell>
          <cell r="K1822">
            <v>0.99990000000000001</v>
          </cell>
          <cell r="L1822">
            <v>0.1134</v>
          </cell>
          <cell r="M1822">
            <v>23.7</v>
          </cell>
          <cell r="N1822">
            <v>2.7</v>
          </cell>
          <cell r="O1822">
            <v>0.88649999999999995</v>
          </cell>
          <cell r="P1822">
            <v>0.30259999999999998</v>
          </cell>
          <cell r="Q1822">
            <v>0.12139999999999999</v>
          </cell>
          <cell r="R1822">
            <v>0.46250000000000002</v>
          </cell>
          <cell r="S1822" t="str">
            <v>NA</v>
          </cell>
          <cell r="T1822">
            <v>60.3</v>
          </cell>
          <cell r="U1822">
            <v>4.9000000000000004</v>
          </cell>
          <cell r="V1822">
            <v>75.7</v>
          </cell>
          <cell r="W1822">
            <v>7.6</v>
          </cell>
          <cell r="X1822">
            <v>52.3</v>
          </cell>
          <cell r="Y1822">
            <v>6.8</v>
          </cell>
          <cell r="Z1822" t="str">
            <v>NA</v>
          </cell>
          <cell r="AA1822" t="str">
            <v>NA</v>
          </cell>
        </row>
        <row r="1823">
          <cell r="A1823">
            <v>45184</v>
          </cell>
          <cell r="B1823" t="str">
            <v>A2</v>
          </cell>
          <cell r="C1823">
            <v>3</v>
          </cell>
          <cell r="D1823">
            <v>1</v>
          </cell>
          <cell r="E1823" t="str">
            <v>ARIS.A2.Aim1.Bin3.RB</v>
          </cell>
          <cell r="F1823">
            <v>4</v>
          </cell>
          <cell r="G1823" t="str">
            <v>SplineDFA</v>
          </cell>
          <cell r="H1823" t="str">
            <v>Y</v>
          </cell>
          <cell r="I1823" t="str">
            <v>N</v>
          </cell>
          <cell r="J1823">
            <v>164</v>
          </cell>
          <cell r="K1823">
            <v>1.0001</v>
          </cell>
          <cell r="L1823">
            <v>2.23E-2</v>
          </cell>
          <cell r="M1823">
            <v>23.7</v>
          </cell>
          <cell r="N1823">
            <v>2.7</v>
          </cell>
          <cell r="O1823">
            <v>0.9778</v>
          </cell>
          <cell r="P1823">
            <v>0.25230000000000002</v>
          </cell>
          <cell r="Q1823">
            <v>0.32640000000000002</v>
          </cell>
          <cell r="R1823">
            <v>0.39910000000000001</v>
          </cell>
          <cell r="S1823" t="str">
            <v>NA</v>
          </cell>
          <cell r="T1823">
            <v>60.3</v>
          </cell>
          <cell r="U1823">
            <v>4.9000000000000004</v>
          </cell>
          <cell r="V1823">
            <v>75.7</v>
          </cell>
          <cell r="W1823">
            <v>7.6</v>
          </cell>
          <cell r="X1823">
            <v>52.3</v>
          </cell>
          <cell r="Y1823">
            <v>6.8</v>
          </cell>
          <cell r="Z1823" t="str">
            <v>NA</v>
          </cell>
          <cell r="AA1823" t="str">
            <v>NA</v>
          </cell>
        </row>
        <row r="1824">
          <cell r="A1824">
            <v>45184</v>
          </cell>
          <cell r="B1824" t="str">
            <v>A2</v>
          </cell>
          <cell r="C1824">
            <v>4</v>
          </cell>
          <cell r="D1824">
            <v>1</v>
          </cell>
          <cell r="E1824" t="str">
            <v>ARIS.A2.Aim1.Bin4.RB</v>
          </cell>
          <cell r="F1824">
            <v>4</v>
          </cell>
          <cell r="G1824" t="str">
            <v>SplineDFA</v>
          </cell>
          <cell r="H1824" t="str">
            <v>Y</v>
          </cell>
          <cell r="I1824" t="str">
            <v>N</v>
          </cell>
          <cell r="J1824">
            <v>164</v>
          </cell>
          <cell r="K1824">
            <v>1.0001</v>
          </cell>
          <cell r="L1824">
            <v>2.23E-2</v>
          </cell>
          <cell r="M1824">
            <v>23.7</v>
          </cell>
          <cell r="N1824">
            <v>2.7</v>
          </cell>
          <cell r="O1824">
            <v>0.9778</v>
          </cell>
          <cell r="P1824">
            <v>0.25230000000000002</v>
          </cell>
          <cell r="Q1824">
            <v>0.32640000000000002</v>
          </cell>
          <cell r="R1824">
            <v>0.39910000000000001</v>
          </cell>
          <cell r="S1824" t="str">
            <v>NA</v>
          </cell>
          <cell r="T1824">
            <v>60.3</v>
          </cell>
          <cell r="U1824">
            <v>4.9000000000000004</v>
          </cell>
          <cell r="V1824">
            <v>75.7</v>
          </cell>
          <cell r="W1824">
            <v>7.6</v>
          </cell>
          <cell r="X1824">
            <v>52.3</v>
          </cell>
          <cell r="Y1824">
            <v>6.8</v>
          </cell>
          <cell r="Z1824" t="str">
            <v>NA</v>
          </cell>
          <cell r="AA1824" t="str">
            <v>NA</v>
          </cell>
        </row>
        <row r="1825">
          <cell r="A1825">
            <v>45184</v>
          </cell>
          <cell r="B1825" t="str">
            <v>A1</v>
          </cell>
          <cell r="C1825">
            <v>1</v>
          </cell>
          <cell r="D1825">
            <v>1</v>
          </cell>
          <cell r="E1825" t="str">
            <v>ARIS.A1.Aim1.Bin1.LB</v>
          </cell>
          <cell r="F1825">
            <v>4</v>
          </cell>
          <cell r="G1825" t="str">
            <v>Unweighted</v>
          </cell>
          <cell r="H1825" t="str">
            <v>N</v>
          </cell>
          <cell r="I1825" t="str">
            <v>Y</v>
          </cell>
          <cell r="J1825">
            <v>166</v>
          </cell>
          <cell r="K1825">
            <v>1</v>
          </cell>
          <cell r="L1825">
            <v>0.77010000000000001</v>
          </cell>
          <cell r="M1825">
            <v>22.6</v>
          </cell>
          <cell r="N1825">
            <v>2.7</v>
          </cell>
          <cell r="O1825">
            <v>0.22989999999999999</v>
          </cell>
          <cell r="P1825">
            <v>0</v>
          </cell>
          <cell r="Q1825">
            <v>4.8999999999999998E-3</v>
          </cell>
          <cell r="R1825">
            <v>0.22500000000000001</v>
          </cell>
          <cell r="S1825" t="str">
            <v>NA</v>
          </cell>
          <cell r="T1825">
            <v>60.3</v>
          </cell>
          <cell r="U1825">
            <v>4.9000000000000004</v>
          </cell>
          <cell r="V1825">
            <v>75.7</v>
          </cell>
          <cell r="W1825">
            <v>7.6</v>
          </cell>
          <cell r="X1825">
            <v>52.3</v>
          </cell>
          <cell r="Y1825">
            <v>6.8</v>
          </cell>
          <cell r="Z1825" t="str">
            <v>NA</v>
          </cell>
          <cell r="AA1825" t="str">
            <v>NA</v>
          </cell>
        </row>
        <row r="1826">
          <cell r="A1826">
            <v>45184</v>
          </cell>
          <cell r="B1826" t="str">
            <v>A1</v>
          </cell>
          <cell r="C1826">
            <v>1</v>
          </cell>
          <cell r="D1826">
            <v>2</v>
          </cell>
          <cell r="E1826" t="str">
            <v>ARIS.A1.Aim2.Bin1.LB</v>
          </cell>
          <cell r="F1826">
            <v>4</v>
          </cell>
          <cell r="G1826" t="str">
            <v>Unweighted</v>
          </cell>
          <cell r="H1826" t="str">
            <v>N</v>
          </cell>
          <cell r="I1826" t="str">
            <v>Y</v>
          </cell>
          <cell r="J1826">
            <v>167</v>
          </cell>
          <cell r="K1826">
            <v>1</v>
          </cell>
          <cell r="L1826">
            <v>0.56920000000000004</v>
          </cell>
          <cell r="M1826">
            <v>22.6</v>
          </cell>
          <cell r="N1826">
            <v>2.7</v>
          </cell>
          <cell r="O1826">
            <v>0.43080000000000002</v>
          </cell>
          <cell r="P1826">
            <v>0.1014</v>
          </cell>
          <cell r="Q1826">
            <v>0</v>
          </cell>
          <cell r="R1826">
            <v>0.32940000000000003</v>
          </cell>
          <cell r="S1826" t="str">
            <v>NA</v>
          </cell>
          <cell r="T1826">
            <v>60.3</v>
          </cell>
          <cell r="U1826">
            <v>4.9000000000000004</v>
          </cell>
          <cell r="V1826">
            <v>75.7</v>
          </cell>
          <cell r="W1826">
            <v>7.6</v>
          </cell>
          <cell r="X1826">
            <v>52.3</v>
          </cell>
          <cell r="Y1826">
            <v>6.8</v>
          </cell>
          <cell r="Z1826" t="str">
            <v>NA</v>
          </cell>
          <cell r="AA1826" t="str">
            <v>NA</v>
          </cell>
        </row>
        <row r="1827">
          <cell r="A1827">
            <v>45184</v>
          </cell>
          <cell r="B1827" t="str">
            <v>A1</v>
          </cell>
          <cell r="C1827">
            <v>1</v>
          </cell>
          <cell r="D1827" t="str">
            <v>1&amp;2</v>
          </cell>
          <cell r="E1827" t="str">
            <v>ARIS.A1.Aim1&amp;Aim2.Bin1.LB</v>
          </cell>
          <cell r="F1827">
            <v>4</v>
          </cell>
          <cell r="G1827" t="str">
            <v>Unweighted</v>
          </cell>
          <cell r="H1827" t="str">
            <v>N</v>
          </cell>
          <cell r="I1827" t="str">
            <v>Y</v>
          </cell>
          <cell r="J1827">
            <v>333</v>
          </cell>
          <cell r="K1827">
            <v>1</v>
          </cell>
          <cell r="L1827">
            <v>0.68279999999999996</v>
          </cell>
          <cell r="M1827">
            <v>22.5</v>
          </cell>
          <cell r="N1827">
            <v>2.7</v>
          </cell>
          <cell r="O1827">
            <v>0.31719999999999998</v>
          </cell>
          <cell r="P1827">
            <v>0</v>
          </cell>
          <cell r="Q1827">
            <v>1E-3</v>
          </cell>
          <cell r="R1827">
            <v>0.31619999999999998</v>
          </cell>
          <cell r="S1827" t="str">
            <v>NA</v>
          </cell>
          <cell r="T1827">
            <v>60.3</v>
          </cell>
          <cell r="U1827">
            <v>4.9000000000000004</v>
          </cell>
          <cell r="V1827">
            <v>75.7</v>
          </cell>
          <cell r="W1827">
            <v>7.6</v>
          </cell>
          <cell r="X1827">
            <v>52.3</v>
          </cell>
          <cell r="Y1827">
            <v>6.8</v>
          </cell>
          <cell r="Z1827" t="str">
            <v>NA</v>
          </cell>
          <cell r="AA1827" t="str">
            <v>NA</v>
          </cell>
        </row>
        <row r="1828">
          <cell r="A1828">
            <v>45184</v>
          </cell>
          <cell r="B1828" t="str">
            <v>A1</v>
          </cell>
          <cell r="C1828">
            <v>2</v>
          </cell>
          <cell r="D1828">
            <v>3</v>
          </cell>
          <cell r="E1828" t="str">
            <v>ARIS.A1.Aim3.Bin2.LB</v>
          </cell>
          <cell r="F1828">
            <v>4</v>
          </cell>
          <cell r="G1828" t="str">
            <v>Unweighted</v>
          </cell>
          <cell r="H1828" t="str">
            <v>N</v>
          </cell>
          <cell r="I1828" t="str">
            <v>Y</v>
          </cell>
          <cell r="J1828">
            <v>168</v>
          </cell>
          <cell r="K1828">
            <v>1</v>
          </cell>
          <cell r="L1828">
            <v>0.1593</v>
          </cell>
          <cell r="M1828">
            <v>28</v>
          </cell>
          <cell r="N1828">
            <v>2.7</v>
          </cell>
          <cell r="O1828">
            <v>0.8407</v>
          </cell>
          <cell r="P1828">
            <v>1.8800000000000001E-2</v>
          </cell>
          <cell r="Q1828">
            <v>0.1234</v>
          </cell>
          <cell r="R1828">
            <v>0.69850000000000001</v>
          </cell>
          <cell r="S1828" t="str">
            <v>NA</v>
          </cell>
          <cell r="T1828">
            <v>60.3</v>
          </cell>
          <cell r="U1828">
            <v>4.9000000000000004</v>
          </cell>
          <cell r="V1828">
            <v>75.7</v>
          </cell>
          <cell r="W1828">
            <v>7.6</v>
          </cell>
          <cell r="X1828">
            <v>52.3</v>
          </cell>
          <cell r="Y1828">
            <v>6.8</v>
          </cell>
          <cell r="Z1828" t="str">
            <v>NA</v>
          </cell>
          <cell r="AA1828" t="str">
            <v>NA</v>
          </cell>
        </row>
        <row r="1829">
          <cell r="A1829">
            <v>45184</v>
          </cell>
          <cell r="B1829" t="str">
            <v>A1</v>
          </cell>
          <cell r="C1829">
            <v>3</v>
          </cell>
          <cell r="D1829">
            <v>3</v>
          </cell>
          <cell r="E1829" t="str">
            <v>ARIS.A1.Aim3.Bin3.LB</v>
          </cell>
          <cell r="F1829">
            <v>4</v>
          </cell>
          <cell r="G1829" t="str">
            <v>Unweighted</v>
          </cell>
          <cell r="H1829" t="str">
            <v>N</v>
          </cell>
          <cell r="I1829" t="str">
            <v>Y</v>
          </cell>
          <cell r="J1829">
            <v>187</v>
          </cell>
          <cell r="K1829">
            <v>1.0001</v>
          </cell>
          <cell r="L1829">
            <v>0.1134</v>
          </cell>
          <cell r="M1829">
            <v>40.200000000000003</v>
          </cell>
          <cell r="N1829">
            <v>2.7</v>
          </cell>
          <cell r="O1829">
            <v>0.88670000000000004</v>
          </cell>
          <cell r="P1829">
            <v>0.2165</v>
          </cell>
          <cell r="Q1829">
            <v>0.21029999999999999</v>
          </cell>
          <cell r="R1829">
            <v>0.45989999999999998</v>
          </cell>
          <cell r="S1829" t="str">
            <v>NA</v>
          </cell>
          <cell r="T1829">
            <v>60.3</v>
          </cell>
          <cell r="U1829">
            <v>4.9000000000000004</v>
          </cell>
          <cell r="V1829">
            <v>75.7</v>
          </cell>
          <cell r="W1829">
            <v>7.6</v>
          </cell>
          <cell r="X1829">
            <v>52.3</v>
          </cell>
          <cell r="Y1829">
            <v>6.8</v>
          </cell>
          <cell r="Z1829" t="str">
            <v>NA</v>
          </cell>
          <cell r="AA1829" t="str">
            <v>NA</v>
          </cell>
        </row>
        <row r="1830">
          <cell r="A1830">
            <v>45184</v>
          </cell>
          <cell r="B1830" t="str">
            <v>A1</v>
          </cell>
          <cell r="C1830">
            <v>4</v>
          </cell>
          <cell r="D1830">
            <v>3</v>
          </cell>
          <cell r="E1830" t="str">
            <v>ARIS.A1.Aim3.Bin4.LB</v>
          </cell>
          <cell r="F1830">
            <v>4</v>
          </cell>
          <cell r="G1830" t="str">
            <v>Unweighted</v>
          </cell>
          <cell r="H1830" t="str">
            <v>N</v>
          </cell>
          <cell r="I1830" t="str">
            <v>Y</v>
          </cell>
          <cell r="J1830">
            <v>187</v>
          </cell>
          <cell r="K1830">
            <v>1.0001</v>
          </cell>
          <cell r="L1830">
            <v>0.1134</v>
          </cell>
          <cell r="M1830">
            <v>40.200000000000003</v>
          </cell>
          <cell r="N1830">
            <v>2.7</v>
          </cell>
          <cell r="O1830">
            <v>0.88670000000000004</v>
          </cell>
          <cell r="P1830">
            <v>0.2165</v>
          </cell>
          <cell r="Q1830">
            <v>0.21029999999999999</v>
          </cell>
          <cell r="R1830">
            <v>0.45989999999999998</v>
          </cell>
          <cell r="S1830" t="str">
            <v>NA</v>
          </cell>
          <cell r="T1830">
            <v>60.3</v>
          </cell>
          <cell r="U1830">
            <v>4.9000000000000004</v>
          </cell>
          <cell r="V1830">
            <v>75.7</v>
          </cell>
          <cell r="W1830">
            <v>7.6</v>
          </cell>
          <cell r="X1830">
            <v>52.3</v>
          </cell>
          <cell r="Y1830">
            <v>6.8</v>
          </cell>
          <cell r="Z1830" t="str">
            <v>NA</v>
          </cell>
          <cell r="AA1830" t="str">
            <v>NA</v>
          </cell>
        </row>
        <row r="1831">
          <cell r="A1831">
            <v>45184</v>
          </cell>
          <cell r="B1831" t="str">
            <v>A2</v>
          </cell>
          <cell r="C1831">
            <v>1</v>
          </cell>
          <cell r="D1831">
            <v>1</v>
          </cell>
          <cell r="E1831" t="str">
            <v>ARIS.A2.Aim1.Bin1.RB</v>
          </cell>
          <cell r="F1831">
            <v>4</v>
          </cell>
          <cell r="G1831" t="str">
            <v>Unweighted</v>
          </cell>
          <cell r="H1831" t="str">
            <v>N</v>
          </cell>
          <cell r="I1831" t="str">
            <v>Y</v>
          </cell>
          <cell r="J1831">
            <v>157</v>
          </cell>
          <cell r="K1831">
            <v>1</v>
          </cell>
          <cell r="L1831">
            <v>0.28539999999999999</v>
          </cell>
          <cell r="M1831">
            <v>22.6</v>
          </cell>
          <cell r="N1831">
            <v>2.7</v>
          </cell>
          <cell r="O1831">
            <v>0.71460000000000001</v>
          </cell>
          <cell r="P1831">
            <v>0.22670000000000001</v>
          </cell>
          <cell r="Q1831">
            <v>0</v>
          </cell>
          <cell r="R1831">
            <v>0.4879</v>
          </cell>
          <cell r="S1831" t="str">
            <v>NA</v>
          </cell>
          <cell r="T1831">
            <v>60.3</v>
          </cell>
          <cell r="U1831">
            <v>4.9000000000000004</v>
          </cell>
          <cell r="V1831">
            <v>75.7</v>
          </cell>
          <cell r="W1831">
            <v>7.6</v>
          </cell>
          <cell r="X1831">
            <v>52.3</v>
          </cell>
          <cell r="Y1831">
            <v>6.8</v>
          </cell>
          <cell r="Z1831" t="str">
            <v>NA</v>
          </cell>
          <cell r="AA1831" t="str">
            <v>NA</v>
          </cell>
        </row>
        <row r="1832">
          <cell r="A1832">
            <v>45184</v>
          </cell>
          <cell r="B1832" t="str">
            <v>A2</v>
          </cell>
          <cell r="C1832">
            <v>2</v>
          </cell>
          <cell r="D1832">
            <v>1</v>
          </cell>
          <cell r="E1832" t="str">
            <v>ARIS.A2.Aim1.Bin2.RB</v>
          </cell>
          <cell r="F1832">
            <v>4</v>
          </cell>
          <cell r="G1832" t="str">
            <v>Unweighted</v>
          </cell>
          <cell r="H1832" t="str">
            <v>N</v>
          </cell>
          <cell r="I1832" t="str">
            <v>Y</v>
          </cell>
          <cell r="J1832">
            <v>181</v>
          </cell>
          <cell r="K1832">
            <v>1</v>
          </cell>
          <cell r="L1832">
            <v>0.2389</v>
          </cell>
          <cell r="M1832">
            <v>31.8</v>
          </cell>
          <cell r="N1832">
            <v>2.7</v>
          </cell>
          <cell r="O1832">
            <v>0.7611</v>
          </cell>
          <cell r="P1832">
            <v>0.18890000000000001</v>
          </cell>
          <cell r="Q1832">
            <v>0.1169</v>
          </cell>
          <cell r="R1832">
            <v>0.45529999999999998</v>
          </cell>
          <cell r="S1832" t="str">
            <v>NA</v>
          </cell>
          <cell r="T1832">
            <v>60.3</v>
          </cell>
          <cell r="U1832">
            <v>4.9000000000000004</v>
          </cell>
          <cell r="V1832">
            <v>75.7</v>
          </cell>
          <cell r="W1832">
            <v>7.6</v>
          </cell>
          <cell r="X1832">
            <v>52.3</v>
          </cell>
          <cell r="Y1832">
            <v>6.8</v>
          </cell>
          <cell r="Z1832" t="str">
            <v>NA</v>
          </cell>
          <cell r="AA1832" t="str">
            <v>NA</v>
          </cell>
        </row>
        <row r="1833">
          <cell r="A1833">
            <v>45184</v>
          </cell>
          <cell r="B1833" t="str">
            <v>A2</v>
          </cell>
          <cell r="C1833">
            <v>3</v>
          </cell>
          <cell r="D1833">
            <v>1</v>
          </cell>
          <cell r="E1833" t="str">
            <v>ARIS.A2.Aim1.Bin3.RB</v>
          </cell>
          <cell r="F1833">
            <v>4</v>
          </cell>
          <cell r="G1833" t="str">
            <v>Unweighted</v>
          </cell>
          <cell r="H1833" t="str">
            <v>N</v>
          </cell>
          <cell r="I1833" t="str">
            <v>Y</v>
          </cell>
          <cell r="J1833">
            <v>164</v>
          </cell>
          <cell r="K1833">
            <v>1</v>
          </cell>
          <cell r="L1833">
            <v>8.4500000000000006E-2</v>
          </cell>
          <cell r="M1833">
            <v>34.1</v>
          </cell>
          <cell r="N1833">
            <v>2.7</v>
          </cell>
          <cell r="O1833">
            <v>0.91549999999999998</v>
          </cell>
          <cell r="P1833">
            <v>0.1124</v>
          </cell>
          <cell r="Q1833">
            <v>0.39639999999999997</v>
          </cell>
          <cell r="R1833">
            <v>0.40670000000000001</v>
          </cell>
          <cell r="S1833" t="str">
            <v>NA</v>
          </cell>
          <cell r="T1833">
            <v>60.3</v>
          </cell>
          <cell r="U1833">
            <v>4.9000000000000004</v>
          </cell>
          <cell r="V1833">
            <v>75.7</v>
          </cell>
          <cell r="W1833">
            <v>7.6</v>
          </cell>
          <cell r="X1833">
            <v>52.3</v>
          </cell>
          <cell r="Y1833">
            <v>6.8</v>
          </cell>
          <cell r="Z1833" t="str">
            <v>NA</v>
          </cell>
          <cell r="AA1833" t="str">
            <v>NA</v>
          </cell>
        </row>
        <row r="1834">
          <cell r="A1834">
            <v>45184</v>
          </cell>
          <cell r="B1834" t="str">
            <v>A2</v>
          </cell>
          <cell r="C1834">
            <v>4</v>
          </cell>
          <cell r="D1834">
            <v>1</v>
          </cell>
          <cell r="E1834" t="str">
            <v>ARIS.A2.Aim1.Bin4.RB</v>
          </cell>
          <cell r="F1834">
            <v>4</v>
          </cell>
          <cell r="G1834" t="str">
            <v>Unweighted</v>
          </cell>
          <cell r="H1834" t="str">
            <v>N</v>
          </cell>
          <cell r="I1834" t="str">
            <v>Y</v>
          </cell>
          <cell r="J1834">
            <v>164</v>
          </cell>
          <cell r="K1834">
            <v>1</v>
          </cell>
          <cell r="L1834">
            <v>8.4500000000000006E-2</v>
          </cell>
          <cell r="M1834">
            <v>34.1</v>
          </cell>
          <cell r="N1834">
            <v>2.7</v>
          </cell>
          <cell r="O1834">
            <v>0.91549999999999998</v>
          </cell>
          <cell r="P1834">
            <v>0.1124</v>
          </cell>
          <cell r="Q1834">
            <v>0.39639999999999997</v>
          </cell>
          <cell r="R1834">
            <v>0.40670000000000001</v>
          </cell>
          <cell r="S1834" t="str">
            <v>NA</v>
          </cell>
          <cell r="T1834">
            <v>60.3</v>
          </cell>
          <cell r="U1834">
            <v>4.9000000000000004</v>
          </cell>
          <cell r="V1834">
            <v>75.7</v>
          </cell>
          <cell r="W1834">
            <v>7.6</v>
          </cell>
          <cell r="X1834">
            <v>52.3</v>
          </cell>
          <cell r="Y1834">
            <v>6.8</v>
          </cell>
          <cell r="Z1834" t="str">
            <v>NA</v>
          </cell>
          <cell r="AA1834" t="str">
            <v>NA</v>
          </cell>
        </row>
        <row r="1835">
          <cell r="A1835">
            <v>45185</v>
          </cell>
          <cell r="B1835" t="str">
            <v>A1</v>
          </cell>
          <cell r="C1835">
            <v>1</v>
          </cell>
          <cell r="D1835">
            <v>1</v>
          </cell>
          <cell r="E1835" t="str">
            <v>ARIS.A1.Aim1.Bin1.LB</v>
          </cell>
          <cell r="F1835">
            <v>4</v>
          </cell>
          <cell r="G1835" t="str">
            <v>SplineDFA</v>
          </cell>
          <cell r="H1835" t="str">
            <v>Y</v>
          </cell>
          <cell r="I1835" t="str">
            <v>N</v>
          </cell>
          <cell r="J1835">
            <v>165</v>
          </cell>
          <cell r="K1835">
            <v>1</v>
          </cell>
          <cell r="L1835">
            <v>0.56399999999999995</v>
          </cell>
          <cell r="M1835">
            <v>23.7</v>
          </cell>
          <cell r="N1835">
            <v>2.7</v>
          </cell>
          <cell r="O1835">
            <v>0.436</v>
          </cell>
          <cell r="P1835">
            <v>9.7699999999999995E-2</v>
          </cell>
          <cell r="Q1835">
            <v>1.4999999999999999E-2</v>
          </cell>
          <cell r="R1835">
            <v>0.32329999999999998</v>
          </cell>
          <cell r="S1835" t="str">
            <v>NA</v>
          </cell>
          <cell r="T1835">
            <v>60.3</v>
          </cell>
          <cell r="U1835">
            <v>4.9000000000000004</v>
          </cell>
          <cell r="V1835">
            <v>75.7</v>
          </cell>
          <cell r="W1835">
            <v>7.6</v>
          </cell>
          <cell r="X1835">
            <v>52.3</v>
          </cell>
          <cell r="Y1835">
            <v>6.8</v>
          </cell>
          <cell r="Z1835" t="str">
            <v>NA</v>
          </cell>
          <cell r="AA1835" t="str">
            <v>NA</v>
          </cell>
        </row>
        <row r="1836">
          <cell r="A1836">
            <v>45185</v>
          </cell>
          <cell r="B1836" t="str">
            <v>A1</v>
          </cell>
          <cell r="C1836">
            <v>1</v>
          </cell>
          <cell r="D1836">
            <v>2</v>
          </cell>
          <cell r="E1836" t="str">
            <v>ARIS.A1.Aim2.Bin1.LB</v>
          </cell>
          <cell r="F1836">
            <v>4</v>
          </cell>
          <cell r="G1836" t="str">
            <v>SplineDFA</v>
          </cell>
          <cell r="H1836" t="str">
            <v>Y</v>
          </cell>
          <cell r="I1836" t="str">
            <v>N</v>
          </cell>
          <cell r="J1836">
            <v>168</v>
          </cell>
          <cell r="K1836">
            <v>1</v>
          </cell>
          <cell r="L1836">
            <v>0.37409999999999999</v>
          </cell>
          <cell r="M1836">
            <v>23.7</v>
          </cell>
          <cell r="N1836">
            <v>2.7</v>
          </cell>
          <cell r="O1836">
            <v>0.62590000000000001</v>
          </cell>
          <cell r="P1836">
            <v>0.1229</v>
          </cell>
          <cell r="Q1836">
            <v>0</v>
          </cell>
          <cell r="R1836">
            <v>0.503</v>
          </cell>
          <cell r="S1836" t="str">
            <v>NA</v>
          </cell>
          <cell r="T1836">
            <v>60.3</v>
          </cell>
          <cell r="U1836">
            <v>4.9000000000000004</v>
          </cell>
          <cell r="V1836">
            <v>75.7</v>
          </cell>
          <cell r="W1836">
            <v>7.6</v>
          </cell>
          <cell r="X1836">
            <v>52.3</v>
          </cell>
          <cell r="Y1836">
            <v>6.8</v>
          </cell>
          <cell r="Z1836" t="str">
            <v>NA</v>
          </cell>
          <cell r="AA1836" t="str">
            <v>NA</v>
          </cell>
        </row>
        <row r="1837">
          <cell r="A1837">
            <v>45185</v>
          </cell>
          <cell r="B1837" t="str">
            <v>A1</v>
          </cell>
          <cell r="C1837">
            <v>2</v>
          </cell>
          <cell r="D1837">
            <v>3</v>
          </cell>
          <cell r="E1837" t="str">
            <v>ARIS.A1.Aim3.Bin2.LB</v>
          </cell>
          <cell r="F1837">
            <v>4</v>
          </cell>
          <cell r="G1837" t="str">
            <v>SplineDFA</v>
          </cell>
          <cell r="H1837" t="str">
            <v>Y</v>
          </cell>
          <cell r="I1837" t="str">
            <v>N</v>
          </cell>
          <cell r="J1837">
            <v>193</v>
          </cell>
          <cell r="K1837">
            <v>1</v>
          </cell>
          <cell r="L1837">
            <v>6.59E-2</v>
          </cell>
          <cell r="M1837">
            <v>23.7</v>
          </cell>
          <cell r="N1837">
            <v>2.7</v>
          </cell>
          <cell r="O1837">
            <v>0.93410000000000004</v>
          </cell>
          <cell r="P1837">
            <v>0.26950000000000002</v>
          </cell>
          <cell r="Q1837">
            <v>7.6600000000000001E-2</v>
          </cell>
          <cell r="R1837">
            <v>0.58799999999999997</v>
          </cell>
          <cell r="S1837" t="str">
            <v>NA</v>
          </cell>
          <cell r="T1837">
            <v>60.3</v>
          </cell>
          <cell r="U1837">
            <v>4.9000000000000004</v>
          </cell>
          <cell r="V1837">
            <v>75.7</v>
          </cell>
          <cell r="W1837">
            <v>7.6</v>
          </cell>
          <cell r="X1837">
            <v>52.3</v>
          </cell>
          <cell r="Y1837">
            <v>6.8</v>
          </cell>
          <cell r="Z1837" t="str">
            <v>NA</v>
          </cell>
          <cell r="AA1837" t="str">
            <v>NA</v>
          </cell>
        </row>
        <row r="1838">
          <cell r="A1838">
            <v>45185</v>
          </cell>
          <cell r="B1838" t="str">
            <v>A1</v>
          </cell>
          <cell r="C1838">
            <v>3</v>
          </cell>
          <cell r="D1838">
            <v>3</v>
          </cell>
          <cell r="E1838" t="str">
            <v>ARIS.A1.Aim3.Bin3.LB</v>
          </cell>
          <cell r="F1838">
            <v>4</v>
          </cell>
          <cell r="G1838" t="str">
            <v>SplineDFA</v>
          </cell>
          <cell r="H1838" t="str">
            <v>Y</v>
          </cell>
          <cell r="I1838" t="str">
            <v>N</v>
          </cell>
          <cell r="J1838">
            <v>219</v>
          </cell>
          <cell r="K1838">
            <v>1</v>
          </cell>
          <cell r="L1838">
            <v>7.7000000000000002E-3</v>
          </cell>
          <cell r="M1838">
            <v>23.7</v>
          </cell>
          <cell r="N1838">
            <v>2.7</v>
          </cell>
          <cell r="O1838">
            <v>0.99229999999999996</v>
          </cell>
          <cell r="P1838">
            <v>0.30840000000000001</v>
          </cell>
          <cell r="Q1838">
            <v>0.156</v>
          </cell>
          <cell r="R1838">
            <v>0.52790000000000004</v>
          </cell>
          <cell r="S1838" t="str">
            <v>NA</v>
          </cell>
          <cell r="T1838">
            <v>60.3</v>
          </cell>
          <cell r="U1838">
            <v>4.9000000000000004</v>
          </cell>
          <cell r="V1838">
            <v>75.7</v>
          </cell>
          <cell r="W1838">
            <v>7.6</v>
          </cell>
          <cell r="X1838">
            <v>52.3</v>
          </cell>
          <cell r="Y1838">
            <v>6.8</v>
          </cell>
          <cell r="Z1838" t="str">
            <v>NA</v>
          </cell>
          <cell r="AA1838" t="str">
            <v>NA</v>
          </cell>
        </row>
        <row r="1839">
          <cell r="A1839">
            <v>45185</v>
          </cell>
          <cell r="B1839" t="str">
            <v>A1</v>
          </cell>
          <cell r="C1839">
            <v>4</v>
          </cell>
          <cell r="D1839">
            <v>3</v>
          </cell>
          <cell r="E1839" t="str">
            <v>ARIS.A1.Aim3.Bin4.LB</v>
          </cell>
          <cell r="F1839">
            <v>4</v>
          </cell>
          <cell r="G1839" t="str">
            <v>SplineDFA</v>
          </cell>
          <cell r="H1839" t="str">
            <v>Y</v>
          </cell>
          <cell r="I1839" t="str">
            <v>N</v>
          </cell>
          <cell r="J1839">
            <v>219</v>
          </cell>
          <cell r="K1839">
            <v>1</v>
          </cell>
          <cell r="L1839">
            <v>7.7000000000000002E-3</v>
          </cell>
          <cell r="M1839">
            <v>23.7</v>
          </cell>
          <cell r="N1839">
            <v>2.7</v>
          </cell>
          <cell r="O1839">
            <v>0.99229999999999996</v>
          </cell>
          <cell r="P1839">
            <v>0.30840000000000001</v>
          </cell>
          <cell r="Q1839">
            <v>0.156</v>
          </cell>
          <cell r="R1839">
            <v>0.52790000000000004</v>
          </cell>
          <cell r="S1839" t="str">
            <v>NA</v>
          </cell>
          <cell r="T1839">
            <v>60.3</v>
          </cell>
          <cell r="U1839">
            <v>4.9000000000000004</v>
          </cell>
          <cell r="V1839">
            <v>75.7</v>
          </cell>
          <cell r="W1839">
            <v>7.6</v>
          </cell>
          <cell r="X1839">
            <v>52.3</v>
          </cell>
          <cell r="Y1839">
            <v>6.8</v>
          </cell>
          <cell r="Z1839" t="str">
            <v>NA</v>
          </cell>
          <cell r="AA1839" t="str">
            <v>NA</v>
          </cell>
        </row>
        <row r="1840">
          <cell r="A1840">
            <v>45185</v>
          </cell>
          <cell r="B1840" t="str">
            <v>A2</v>
          </cell>
          <cell r="C1840">
            <v>1</v>
          </cell>
          <cell r="D1840">
            <v>1</v>
          </cell>
          <cell r="E1840" t="str">
            <v>ARIS.A2.Aim1.Bin1.RB</v>
          </cell>
          <cell r="F1840">
            <v>4</v>
          </cell>
          <cell r="G1840" t="str">
            <v>SplineDFA</v>
          </cell>
          <cell r="H1840" t="str">
            <v>Y</v>
          </cell>
          <cell r="I1840" t="str">
            <v>N</v>
          </cell>
          <cell r="J1840">
            <v>157</v>
          </cell>
          <cell r="K1840">
            <v>1</v>
          </cell>
          <cell r="L1840">
            <v>0.28899999999999998</v>
          </cell>
          <cell r="M1840">
            <v>23.7</v>
          </cell>
          <cell r="N1840">
            <v>2.7</v>
          </cell>
          <cell r="O1840">
            <v>0.71099999999999997</v>
          </cell>
          <cell r="P1840">
            <v>0.22439999999999999</v>
          </cell>
          <cell r="Q1840">
            <v>2.76E-2</v>
          </cell>
          <cell r="R1840">
            <v>0.45900000000000002</v>
          </cell>
          <cell r="S1840" t="str">
            <v>NA</v>
          </cell>
          <cell r="T1840">
            <v>60.3</v>
          </cell>
          <cell r="U1840">
            <v>4.9000000000000004</v>
          </cell>
          <cell r="V1840">
            <v>75.7</v>
          </cell>
          <cell r="W1840">
            <v>7.6</v>
          </cell>
          <cell r="X1840">
            <v>52.3</v>
          </cell>
          <cell r="Y1840">
            <v>6.8</v>
          </cell>
          <cell r="Z1840" t="str">
            <v>NA</v>
          </cell>
          <cell r="AA1840" t="str">
            <v>NA</v>
          </cell>
        </row>
        <row r="1841">
          <cell r="A1841">
            <v>45185</v>
          </cell>
          <cell r="B1841" t="str">
            <v>A2</v>
          </cell>
          <cell r="C1841">
            <v>2</v>
          </cell>
          <cell r="D1841">
            <v>1</v>
          </cell>
          <cell r="E1841" t="str">
            <v>ARIS.A2.Aim1.Bin2.RB</v>
          </cell>
          <cell r="F1841">
            <v>4</v>
          </cell>
          <cell r="G1841" t="str">
            <v>SplineDFA</v>
          </cell>
          <cell r="H1841" t="str">
            <v>Y</v>
          </cell>
          <cell r="I1841" t="str">
            <v>N</v>
          </cell>
          <cell r="J1841">
            <v>181</v>
          </cell>
          <cell r="K1841">
            <v>0.99990000000000001</v>
          </cell>
          <cell r="L1841">
            <v>0.1134</v>
          </cell>
          <cell r="M1841">
            <v>23.7</v>
          </cell>
          <cell r="N1841">
            <v>2.7</v>
          </cell>
          <cell r="O1841">
            <v>0.88649999999999995</v>
          </cell>
          <cell r="P1841">
            <v>0.30259999999999998</v>
          </cell>
          <cell r="Q1841">
            <v>0.12139999999999999</v>
          </cell>
          <cell r="R1841">
            <v>0.46250000000000002</v>
          </cell>
          <cell r="S1841" t="str">
            <v>NA</v>
          </cell>
          <cell r="T1841">
            <v>60.3</v>
          </cell>
          <cell r="U1841">
            <v>4.9000000000000004</v>
          </cell>
          <cell r="V1841">
            <v>75.7</v>
          </cell>
          <cell r="W1841">
            <v>7.6</v>
          </cell>
          <cell r="X1841">
            <v>52.3</v>
          </cell>
          <cell r="Y1841">
            <v>6.8</v>
          </cell>
          <cell r="Z1841" t="str">
            <v>NA</v>
          </cell>
          <cell r="AA1841" t="str">
            <v>NA</v>
          </cell>
        </row>
        <row r="1842">
          <cell r="A1842">
            <v>45185</v>
          </cell>
          <cell r="B1842" t="str">
            <v>A2</v>
          </cell>
          <cell r="C1842">
            <v>3</v>
          </cell>
          <cell r="D1842">
            <v>1</v>
          </cell>
          <cell r="E1842" t="str">
            <v>ARIS.A2.Aim1.Bin3.RB</v>
          </cell>
          <cell r="F1842">
            <v>4</v>
          </cell>
          <cell r="G1842" t="str">
            <v>SplineDFA</v>
          </cell>
          <cell r="H1842" t="str">
            <v>Y</v>
          </cell>
          <cell r="I1842" t="str">
            <v>N</v>
          </cell>
          <cell r="J1842">
            <v>164</v>
          </cell>
          <cell r="K1842">
            <v>1.0001</v>
          </cell>
          <cell r="L1842">
            <v>2.23E-2</v>
          </cell>
          <cell r="M1842">
            <v>23.7</v>
          </cell>
          <cell r="N1842">
            <v>2.7</v>
          </cell>
          <cell r="O1842">
            <v>0.9778</v>
          </cell>
          <cell r="P1842">
            <v>0.25230000000000002</v>
          </cell>
          <cell r="Q1842">
            <v>0.32640000000000002</v>
          </cell>
          <cell r="R1842">
            <v>0.39910000000000001</v>
          </cell>
          <cell r="S1842" t="str">
            <v>NA</v>
          </cell>
          <cell r="T1842">
            <v>60.3</v>
          </cell>
          <cell r="U1842">
            <v>4.9000000000000004</v>
          </cell>
          <cell r="V1842">
            <v>75.7</v>
          </cell>
          <cell r="W1842">
            <v>7.6</v>
          </cell>
          <cell r="X1842">
            <v>52.3</v>
          </cell>
          <cell r="Y1842">
            <v>6.8</v>
          </cell>
          <cell r="Z1842" t="str">
            <v>NA</v>
          </cell>
          <cell r="AA1842" t="str">
            <v>NA</v>
          </cell>
        </row>
        <row r="1843">
          <cell r="A1843">
            <v>45185</v>
          </cell>
          <cell r="B1843" t="str">
            <v>A2</v>
          </cell>
          <cell r="C1843">
            <v>4</v>
          </cell>
          <cell r="D1843">
            <v>1</v>
          </cell>
          <cell r="E1843" t="str">
            <v>ARIS.A2.Aim1.Bin4.RB</v>
          </cell>
          <cell r="F1843">
            <v>4</v>
          </cell>
          <cell r="G1843" t="str">
            <v>SplineDFA</v>
          </cell>
          <cell r="H1843" t="str">
            <v>Y</v>
          </cell>
          <cell r="I1843" t="str">
            <v>N</v>
          </cell>
          <cell r="J1843">
            <v>164</v>
          </cell>
          <cell r="K1843">
            <v>1.0001</v>
          </cell>
          <cell r="L1843">
            <v>2.23E-2</v>
          </cell>
          <cell r="M1843">
            <v>23.7</v>
          </cell>
          <cell r="N1843">
            <v>2.7</v>
          </cell>
          <cell r="O1843">
            <v>0.9778</v>
          </cell>
          <cell r="P1843">
            <v>0.25230000000000002</v>
          </cell>
          <cell r="Q1843">
            <v>0.32640000000000002</v>
          </cell>
          <cell r="R1843">
            <v>0.39910000000000001</v>
          </cell>
          <cell r="S1843" t="str">
            <v>NA</v>
          </cell>
          <cell r="T1843">
            <v>60.3</v>
          </cell>
          <cell r="U1843">
            <v>4.9000000000000004</v>
          </cell>
          <cell r="V1843">
            <v>75.7</v>
          </cell>
          <cell r="W1843">
            <v>7.6</v>
          </cell>
          <cell r="X1843">
            <v>52.3</v>
          </cell>
          <cell r="Y1843">
            <v>6.8</v>
          </cell>
          <cell r="Z1843" t="str">
            <v>NA</v>
          </cell>
          <cell r="AA1843" t="str">
            <v>NA</v>
          </cell>
        </row>
        <row r="1844">
          <cell r="A1844">
            <v>45185</v>
          </cell>
          <cell r="B1844" t="str">
            <v>A1</v>
          </cell>
          <cell r="C1844">
            <v>1</v>
          </cell>
          <cell r="D1844">
            <v>1</v>
          </cell>
          <cell r="E1844" t="str">
            <v>ARIS.A1.Aim1.Bin1.LB</v>
          </cell>
          <cell r="F1844">
            <v>4</v>
          </cell>
          <cell r="G1844" t="str">
            <v>Unweighted</v>
          </cell>
          <cell r="H1844" t="str">
            <v>N</v>
          </cell>
          <cell r="I1844" t="str">
            <v>Y</v>
          </cell>
          <cell r="J1844">
            <v>165</v>
          </cell>
          <cell r="K1844">
            <v>1</v>
          </cell>
          <cell r="L1844">
            <v>0.72</v>
          </cell>
          <cell r="M1844">
            <v>22.6</v>
          </cell>
          <cell r="N1844">
            <v>2.7</v>
          </cell>
          <cell r="O1844">
            <v>0.28000000000000003</v>
          </cell>
          <cell r="P1844">
            <v>0</v>
          </cell>
          <cell r="Q1844">
            <v>3.5000000000000001E-3</v>
          </cell>
          <cell r="R1844">
            <v>0.27650000000000002</v>
          </cell>
          <cell r="S1844" t="str">
            <v>NA</v>
          </cell>
          <cell r="T1844">
            <v>60.3</v>
          </cell>
          <cell r="U1844">
            <v>4.9000000000000004</v>
          </cell>
          <cell r="V1844">
            <v>75.7</v>
          </cell>
          <cell r="W1844">
            <v>7.6</v>
          </cell>
          <cell r="X1844">
            <v>52.3</v>
          </cell>
          <cell r="Y1844">
            <v>6.8</v>
          </cell>
          <cell r="Z1844" t="str">
            <v>NA</v>
          </cell>
          <cell r="AA1844" t="str">
            <v>NA</v>
          </cell>
        </row>
        <row r="1845">
          <cell r="A1845">
            <v>45185</v>
          </cell>
          <cell r="B1845" t="str">
            <v>A1</v>
          </cell>
          <cell r="C1845">
            <v>1</v>
          </cell>
          <cell r="D1845">
            <v>2</v>
          </cell>
          <cell r="E1845" t="str">
            <v>ARIS.A1.Aim2.Bin1.LB</v>
          </cell>
          <cell r="F1845">
            <v>4</v>
          </cell>
          <cell r="G1845" t="str">
            <v>Unweighted</v>
          </cell>
          <cell r="H1845" t="str">
            <v>N</v>
          </cell>
          <cell r="I1845" t="str">
            <v>Y</v>
          </cell>
          <cell r="J1845">
            <v>168</v>
          </cell>
          <cell r="K1845">
            <v>1</v>
          </cell>
          <cell r="L1845">
            <v>0.50890000000000002</v>
          </cell>
          <cell r="M1845">
            <v>22.6</v>
          </cell>
          <cell r="N1845">
            <v>2.7</v>
          </cell>
          <cell r="O1845">
            <v>0.49109999999999998</v>
          </cell>
          <cell r="P1845">
            <v>0.11</v>
          </cell>
          <cell r="Q1845">
            <v>0</v>
          </cell>
          <cell r="R1845">
            <v>0.38109999999999999</v>
          </cell>
          <cell r="S1845" t="str">
            <v>NA</v>
          </cell>
          <cell r="T1845">
            <v>60.3</v>
          </cell>
          <cell r="U1845">
            <v>4.9000000000000004</v>
          </cell>
          <cell r="V1845">
            <v>75.7</v>
          </cell>
          <cell r="W1845">
            <v>7.6</v>
          </cell>
          <cell r="X1845">
            <v>52.3</v>
          </cell>
          <cell r="Y1845">
            <v>6.8</v>
          </cell>
          <cell r="Z1845" t="str">
            <v>NA</v>
          </cell>
          <cell r="AA1845" t="str">
            <v>NA</v>
          </cell>
        </row>
        <row r="1846">
          <cell r="A1846">
            <v>45185</v>
          </cell>
          <cell r="B1846" t="str">
            <v>A1</v>
          </cell>
          <cell r="C1846">
            <v>1</v>
          </cell>
          <cell r="D1846" t="str">
            <v>1&amp;2</v>
          </cell>
          <cell r="E1846" t="str">
            <v>ARIS.A1.Aim1&amp;Aim2.Bin1.LB</v>
          </cell>
          <cell r="F1846">
            <v>4</v>
          </cell>
          <cell r="G1846" t="str">
            <v>Unweighted</v>
          </cell>
          <cell r="H1846" t="str">
            <v>N</v>
          </cell>
          <cell r="I1846" t="str">
            <v>Y</v>
          </cell>
          <cell r="J1846">
            <v>333</v>
          </cell>
          <cell r="K1846">
            <v>1</v>
          </cell>
          <cell r="L1846">
            <v>0.62680000000000002</v>
          </cell>
          <cell r="M1846">
            <v>22.6</v>
          </cell>
          <cell r="N1846">
            <v>2.7</v>
          </cell>
          <cell r="O1846">
            <v>0.37319999999999998</v>
          </cell>
          <cell r="P1846">
            <v>0</v>
          </cell>
          <cell r="Q1846">
            <v>1.6000000000000001E-3</v>
          </cell>
          <cell r="R1846">
            <v>0.37159999999999999</v>
          </cell>
          <cell r="S1846" t="str">
            <v>NA</v>
          </cell>
          <cell r="T1846">
            <v>60.3</v>
          </cell>
          <cell r="U1846">
            <v>4.9000000000000004</v>
          </cell>
          <cell r="V1846">
            <v>75.7</v>
          </cell>
          <cell r="W1846">
            <v>7.6</v>
          </cell>
          <cell r="X1846">
            <v>52.3</v>
          </cell>
          <cell r="Y1846">
            <v>6.8</v>
          </cell>
          <cell r="Z1846" t="str">
            <v>NA</v>
          </cell>
          <cell r="AA1846" t="str">
            <v>NA</v>
          </cell>
        </row>
        <row r="1847">
          <cell r="A1847">
            <v>45185</v>
          </cell>
          <cell r="B1847" t="str">
            <v>A1</v>
          </cell>
          <cell r="C1847">
            <v>2</v>
          </cell>
          <cell r="D1847">
            <v>3</v>
          </cell>
          <cell r="E1847" t="str">
            <v>ARIS.A1.Aim3.Bin2.LB</v>
          </cell>
          <cell r="F1847">
            <v>4</v>
          </cell>
          <cell r="G1847" t="str">
            <v>Unweighted</v>
          </cell>
          <cell r="H1847" t="str">
            <v>N</v>
          </cell>
          <cell r="I1847" t="str">
            <v>Y</v>
          </cell>
          <cell r="J1847">
            <v>193</v>
          </cell>
          <cell r="K1847">
            <v>1.0001</v>
          </cell>
          <cell r="L1847">
            <v>0.13189999999999999</v>
          </cell>
          <cell r="M1847">
            <v>28.3</v>
          </cell>
          <cell r="N1847">
            <v>2.7</v>
          </cell>
          <cell r="O1847">
            <v>0.86819999999999997</v>
          </cell>
          <cell r="P1847">
            <v>7.9299999999999995E-2</v>
          </cell>
          <cell r="Q1847">
            <v>7.1800000000000003E-2</v>
          </cell>
          <cell r="R1847">
            <v>0.71709999999999996</v>
          </cell>
          <cell r="S1847" t="str">
            <v>NA</v>
          </cell>
          <cell r="T1847">
            <v>60.3</v>
          </cell>
          <cell r="U1847">
            <v>4.9000000000000004</v>
          </cell>
          <cell r="V1847">
            <v>75.7</v>
          </cell>
          <cell r="W1847">
            <v>7.6</v>
          </cell>
          <cell r="X1847">
            <v>52.3</v>
          </cell>
          <cell r="Y1847">
            <v>6.8</v>
          </cell>
          <cell r="Z1847" t="str">
            <v>NA</v>
          </cell>
          <cell r="AA1847" t="str">
            <v>NA</v>
          </cell>
        </row>
        <row r="1848">
          <cell r="A1848">
            <v>45185</v>
          </cell>
          <cell r="B1848" t="str">
            <v>A1</v>
          </cell>
          <cell r="C1848">
            <v>3</v>
          </cell>
          <cell r="D1848">
            <v>3</v>
          </cell>
          <cell r="E1848" t="str">
            <v>ARIS.A1.Aim3.Bin3.LB</v>
          </cell>
          <cell r="F1848">
            <v>4</v>
          </cell>
          <cell r="G1848" t="str">
            <v>Unweighted</v>
          </cell>
          <cell r="H1848" t="str">
            <v>N</v>
          </cell>
          <cell r="I1848" t="str">
            <v>Y</v>
          </cell>
          <cell r="J1848">
            <v>219</v>
          </cell>
          <cell r="K1848">
            <v>1</v>
          </cell>
          <cell r="L1848">
            <v>2.58E-2</v>
          </cell>
          <cell r="M1848">
            <v>23.7</v>
          </cell>
          <cell r="N1848">
            <v>12.9</v>
          </cell>
          <cell r="O1848">
            <v>0.97419999999999995</v>
          </cell>
          <cell r="P1848">
            <v>2.29E-2</v>
          </cell>
          <cell r="Q1848">
            <v>0.19089999999999999</v>
          </cell>
          <cell r="R1848">
            <v>0.76039999999999996</v>
          </cell>
          <cell r="S1848" t="str">
            <v>NA</v>
          </cell>
          <cell r="T1848">
            <v>60.3</v>
          </cell>
          <cell r="U1848">
            <v>4.9000000000000004</v>
          </cell>
          <cell r="V1848">
            <v>75.7</v>
          </cell>
          <cell r="W1848">
            <v>7.6</v>
          </cell>
          <cell r="X1848">
            <v>52.3</v>
          </cell>
          <cell r="Y1848">
            <v>6.8</v>
          </cell>
          <cell r="Z1848" t="str">
            <v>NA</v>
          </cell>
          <cell r="AA1848" t="str">
            <v>NA</v>
          </cell>
        </row>
        <row r="1849">
          <cell r="A1849">
            <v>45185</v>
          </cell>
          <cell r="B1849" t="str">
            <v>A1</v>
          </cell>
          <cell r="C1849">
            <v>4</v>
          </cell>
          <cell r="D1849">
            <v>3</v>
          </cell>
          <cell r="E1849" t="str">
            <v>ARIS.A1.Aim3.Bin4.LB</v>
          </cell>
          <cell r="F1849">
            <v>4</v>
          </cell>
          <cell r="G1849" t="str">
            <v>Unweighted</v>
          </cell>
          <cell r="H1849" t="str">
            <v>N</v>
          </cell>
          <cell r="I1849" t="str">
            <v>Y</v>
          </cell>
          <cell r="J1849">
            <v>219</v>
          </cell>
          <cell r="K1849">
            <v>1</v>
          </cell>
          <cell r="L1849">
            <v>2.58E-2</v>
          </cell>
          <cell r="M1849">
            <v>23.7</v>
          </cell>
          <cell r="N1849">
            <v>12.9</v>
          </cell>
          <cell r="O1849">
            <v>0.97419999999999995</v>
          </cell>
          <cell r="P1849">
            <v>2.29E-2</v>
          </cell>
          <cell r="Q1849">
            <v>0.19089999999999999</v>
          </cell>
          <cell r="R1849">
            <v>0.76039999999999996</v>
          </cell>
          <cell r="S1849" t="str">
            <v>NA</v>
          </cell>
          <cell r="T1849">
            <v>60.3</v>
          </cell>
          <cell r="U1849">
            <v>4.9000000000000004</v>
          </cell>
          <cell r="V1849">
            <v>75.7</v>
          </cell>
          <cell r="W1849">
            <v>7.6</v>
          </cell>
          <cell r="X1849">
            <v>52.3</v>
          </cell>
          <cell r="Y1849">
            <v>6.8</v>
          </cell>
          <cell r="Z1849" t="str">
            <v>NA</v>
          </cell>
          <cell r="AA1849" t="str">
            <v>NA</v>
          </cell>
        </row>
        <row r="1850">
          <cell r="A1850">
            <v>45185</v>
          </cell>
          <cell r="B1850" t="str">
            <v>A2</v>
          </cell>
          <cell r="C1850">
            <v>1</v>
          </cell>
          <cell r="D1850">
            <v>1</v>
          </cell>
          <cell r="E1850" t="str">
            <v>ARIS.A2.Aim1.Bin1.RB</v>
          </cell>
          <cell r="F1850">
            <v>4</v>
          </cell>
          <cell r="G1850" t="str">
            <v>Unweighted</v>
          </cell>
          <cell r="H1850" t="str">
            <v>N</v>
          </cell>
          <cell r="I1850" t="str">
            <v>Y</v>
          </cell>
          <cell r="J1850">
            <v>157</v>
          </cell>
          <cell r="K1850">
            <v>1</v>
          </cell>
          <cell r="L1850">
            <v>0.28539999999999999</v>
          </cell>
          <cell r="M1850">
            <v>22.6</v>
          </cell>
          <cell r="N1850">
            <v>2.7</v>
          </cell>
          <cell r="O1850">
            <v>0.71460000000000001</v>
          </cell>
          <cell r="P1850">
            <v>0.22670000000000001</v>
          </cell>
          <cell r="Q1850">
            <v>0</v>
          </cell>
          <cell r="R1850">
            <v>0.4879</v>
          </cell>
          <cell r="S1850" t="str">
            <v>NA</v>
          </cell>
          <cell r="T1850">
            <v>60.3</v>
          </cell>
          <cell r="U1850">
            <v>4.9000000000000004</v>
          </cell>
          <cell r="V1850">
            <v>75.7</v>
          </cell>
          <cell r="W1850">
            <v>7.6</v>
          </cell>
          <cell r="X1850">
            <v>52.3</v>
          </cell>
          <cell r="Y1850">
            <v>6.8</v>
          </cell>
          <cell r="Z1850" t="str">
            <v>NA</v>
          </cell>
          <cell r="AA1850" t="str">
            <v>NA</v>
          </cell>
        </row>
        <row r="1851">
          <cell r="A1851">
            <v>45185</v>
          </cell>
          <cell r="B1851" t="str">
            <v>A2</v>
          </cell>
          <cell r="C1851">
            <v>2</v>
          </cell>
          <cell r="D1851">
            <v>1</v>
          </cell>
          <cell r="E1851" t="str">
            <v>ARIS.A2.Aim1.Bin2.RB</v>
          </cell>
          <cell r="F1851">
            <v>4</v>
          </cell>
          <cell r="G1851" t="str">
            <v>Unweighted</v>
          </cell>
          <cell r="H1851" t="str">
            <v>N</v>
          </cell>
          <cell r="I1851" t="str">
            <v>Y</v>
          </cell>
          <cell r="J1851">
            <v>181</v>
          </cell>
          <cell r="K1851">
            <v>1</v>
          </cell>
          <cell r="L1851">
            <v>0.2389</v>
          </cell>
          <cell r="M1851">
            <v>31.8</v>
          </cell>
          <cell r="N1851">
            <v>2.7</v>
          </cell>
          <cell r="O1851">
            <v>0.7611</v>
          </cell>
          <cell r="P1851">
            <v>0.18890000000000001</v>
          </cell>
          <cell r="Q1851">
            <v>0.1169</v>
          </cell>
          <cell r="R1851">
            <v>0.45529999999999998</v>
          </cell>
          <cell r="S1851" t="str">
            <v>NA</v>
          </cell>
          <cell r="T1851">
            <v>60.3</v>
          </cell>
          <cell r="U1851">
            <v>4.9000000000000004</v>
          </cell>
          <cell r="V1851">
            <v>75.7</v>
          </cell>
          <cell r="W1851">
            <v>7.6</v>
          </cell>
          <cell r="X1851">
            <v>52.3</v>
          </cell>
          <cell r="Y1851">
            <v>6.8</v>
          </cell>
          <cell r="Z1851" t="str">
            <v>NA</v>
          </cell>
          <cell r="AA1851" t="str">
            <v>NA</v>
          </cell>
        </row>
        <row r="1852">
          <cell r="A1852">
            <v>45185</v>
          </cell>
          <cell r="B1852" t="str">
            <v>A2</v>
          </cell>
          <cell r="C1852">
            <v>3</v>
          </cell>
          <cell r="D1852">
            <v>1</v>
          </cell>
          <cell r="E1852" t="str">
            <v>ARIS.A2.Aim1.Bin3.RB</v>
          </cell>
          <cell r="F1852">
            <v>4</v>
          </cell>
          <cell r="G1852" t="str">
            <v>Unweighted</v>
          </cell>
          <cell r="H1852" t="str">
            <v>N</v>
          </cell>
          <cell r="I1852" t="str">
            <v>Y</v>
          </cell>
          <cell r="J1852">
            <v>164</v>
          </cell>
          <cell r="K1852">
            <v>1</v>
          </cell>
          <cell r="L1852">
            <v>8.4500000000000006E-2</v>
          </cell>
          <cell r="M1852">
            <v>34.1</v>
          </cell>
          <cell r="N1852">
            <v>2.7</v>
          </cell>
          <cell r="O1852">
            <v>0.91549999999999998</v>
          </cell>
          <cell r="P1852">
            <v>0.1124</v>
          </cell>
          <cell r="Q1852">
            <v>0.39639999999999997</v>
          </cell>
          <cell r="R1852">
            <v>0.40670000000000001</v>
          </cell>
          <cell r="S1852" t="str">
            <v>NA</v>
          </cell>
          <cell r="T1852">
            <v>60.3</v>
          </cell>
          <cell r="U1852">
            <v>4.9000000000000004</v>
          </cell>
          <cell r="V1852">
            <v>75.7</v>
          </cell>
          <cell r="W1852">
            <v>7.6</v>
          </cell>
          <cell r="X1852">
            <v>52.3</v>
          </cell>
          <cell r="Y1852">
            <v>6.8</v>
          </cell>
          <cell r="Z1852" t="str">
            <v>NA</v>
          </cell>
          <cell r="AA1852" t="str">
            <v>NA</v>
          </cell>
        </row>
        <row r="1853">
          <cell r="A1853">
            <v>45185</v>
          </cell>
          <cell r="B1853" t="str">
            <v>A2</v>
          </cell>
          <cell r="C1853">
            <v>4</v>
          </cell>
          <cell r="D1853">
            <v>1</v>
          </cell>
          <cell r="E1853" t="str">
            <v>ARIS.A2.Aim1.Bin4.RB</v>
          </cell>
          <cell r="F1853">
            <v>4</v>
          </cell>
          <cell r="G1853" t="str">
            <v>Unweighted</v>
          </cell>
          <cell r="H1853" t="str">
            <v>N</v>
          </cell>
          <cell r="I1853" t="str">
            <v>Y</v>
          </cell>
          <cell r="J1853">
            <v>164</v>
          </cell>
          <cell r="K1853">
            <v>1</v>
          </cell>
          <cell r="L1853">
            <v>8.4500000000000006E-2</v>
          </cell>
          <cell r="M1853">
            <v>34.1</v>
          </cell>
          <cell r="N1853">
            <v>2.7</v>
          </cell>
          <cell r="O1853">
            <v>0.91549999999999998</v>
          </cell>
          <cell r="P1853">
            <v>0.1124</v>
          </cell>
          <cell r="Q1853">
            <v>0.39639999999999997</v>
          </cell>
          <cell r="R1853">
            <v>0.40670000000000001</v>
          </cell>
          <cell r="S1853" t="str">
            <v>NA</v>
          </cell>
          <cell r="T1853">
            <v>60.3</v>
          </cell>
          <cell r="U1853">
            <v>4.9000000000000004</v>
          </cell>
          <cell r="V1853">
            <v>75.7</v>
          </cell>
          <cell r="W1853">
            <v>7.6</v>
          </cell>
          <cell r="X1853">
            <v>52.3</v>
          </cell>
          <cell r="Y1853">
            <v>6.8</v>
          </cell>
          <cell r="Z1853" t="str">
            <v>NA</v>
          </cell>
          <cell r="AA1853" t="str">
            <v>NA</v>
          </cell>
        </row>
        <row r="1854">
          <cell r="A1854">
            <v>45186</v>
          </cell>
          <cell r="B1854" t="str">
            <v>A1</v>
          </cell>
          <cell r="C1854">
            <v>1</v>
          </cell>
          <cell r="D1854">
            <v>1</v>
          </cell>
          <cell r="E1854" t="str">
            <v>ARIS.A1.Aim1.Bin1.LB</v>
          </cell>
          <cell r="F1854">
            <v>4</v>
          </cell>
          <cell r="G1854" t="str">
            <v>SplineDFA</v>
          </cell>
          <cell r="H1854" t="str">
            <v>Y</v>
          </cell>
          <cell r="I1854" t="str">
            <v>N</v>
          </cell>
          <cell r="J1854">
            <v>185</v>
          </cell>
          <cell r="K1854">
            <v>1.0001</v>
          </cell>
          <cell r="L1854">
            <v>0.19919999999999999</v>
          </cell>
          <cell r="M1854">
            <v>23.7</v>
          </cell>
          <cell r="N1854">
            <v>2.7</v>
          </cell>
          <cell r="O1854">
            <v>0.80089999999999995</v>
          </cell>
          <cell r="P1854">
            <v>0.15229999999999999</v>
          </cell>
          <cell r="Q1854">
            <v>8.9999999999999998E-4</v>
          </cell>
          <cell r="R1854">
            <v>0.64770000000000005</v>
          </cell>
          <cell r="S1854" t="str">
            <v>NA</v>
          </cell>
          <cell r="T1854">
            <v>60.3</v>
          </cell>
          <cell r="U1854">
            <v>4.9000000000000004</v>
          </cell>
          <cell r="V1854">
            <v>75.7</v>
          </cell>
          <cell r="W1854">
            <v>7.6</v>
          </cell>
          <cell r="X1854">
            <v>52.3</v>
          </cell>
          <cell r="Y1854">
            <v>6.8</v>
          </cell>
          <cell r="Z1854" t="str">
            <v>NA</v>
          </cell>
          <cell r="AA1854" t="str">
            <v>NA</v>
          </cell>
        </row>
        <row r="1855">
          <cell r="A1855">
            <v>45186</v>
          </cell>
          <cell r="B1855" t="str">
            <v>A1</v>
          </cell>
          <cell r="C1855">
            <v>1</v>
          </cell>
          <cell r="D1855">
            <v>2</v>
          </cell>
          <cell r="E1855" t="str">
            <v>ARIS.A1.Aim2.Bin1.LB</v>
          </cell>
          <cell r="F1855">
            <v>4</v>
          </cell>
          <cell r="G1855" t="str">
            <v>SplineDFA</v>
          </cell>
          <cell r="H1855" t="str">
            <v>Y</v>
          </cell>
          <cell r="I1855" t="str">
            <v>N</v>
          </cell>
          <cell r="J1855">
            <v>150</v>
          </cell>
          <cell r="K1855">
            <v>1</v>
          </cell>
          <cell r="L1855">
            <v>0.1085</v>
          </cell>
          <cell r="M1855">
            <v>23.7</v>
          </cell>
          <cell r="N1855">
            <v>2.7</v>
          </cell>
          <cell r="O1855">
            <v>0.89149999999999996</v>
          </cell>
          <cell r="P1855">
            <v>0.21820000000000001</v>
          </cell>
          <cell r="Q1855">
            <v>2.69E-2</v>
          </cell>
          <cell r="R1855">
            <v>0.64639999999999997</v>
          </cell>
          <cell r="S1855" t="str">
            <v>NA</v>
          </cell>
          <cell r="T1855">
            <v>60.3</v>
          </cell>
          <cell r="U1855">
            <v>4.9000000000000004</v>
          </cell>
          <cell r="V1855">
            <v>75.7</v>
          </cell>
          <cell r="W1855">
            <v>7.6</v>
          </cell>
          <cell r="X1855">
            <v>52.3</v>
          </cell>
          <cell r="Y1855">
            <v>6.8</v>
          </cell>
          <cell r="Z1855" t="str">
            <v>NA</v>
          </cell>
          <cell r="AA1855" t="str">
            <v>NA</v>
          </cell>
        </row>
        <row r="1856">
          <cell r="A1856">
            <v>45186</v>
          </cell>
          <cell r="B1856" t="str">
            <v>A1</v>
          </cell>
          <cell r="C1856">
            <v>2</v>
          </cell>
          <cell r="D1856">
            <v>3</v>
          </cell>
          <cell r="E1856" t="str">
            <v>ARIS.A1.Aim3.Bin2.LB</v>
          </cell>
          <cell r="F1856">
            <v>4</v>
          </cell>
          <cell r="G1856" t="str">
            <v>SplineDFA</v>
          </cell>
          <cell r="H1856" t="str">
            <v>Y</v>
          </cell>
          <cell r="I1856" t="str">
            <v>N</v>
          </cell>
          <cell r="J1856">
            <v>184</v>
          </cell>
          <cell r="K1856">
            <v>1</v>
          </cell>
          <cell r="L1856">
            <v>6.4500000000000002E-2</v>
          </cell>
          <cell r="M1856">
            <v>23.7</v>
          </cell>
          <cell r="N1856">
            <v>2.7</v>
          </cell>
          <cell r="O1856">
            <v>0.9355</v>
          </cell>
          <cell r="P1856">
            <v>0.39090000000000003</v>
          </cell>
          <cell r="Q1856">
            <v>7.2900000000000006E-2</v>
          </cell>
          <cell r="R1856">
            <v>0.47170000000000001</v>
          </cell>
          <cell r="S1856" t="str">
            <v>NA</v>
          </cell>
          <cell r="T1856">
            <v>60.3</v>
          </cell>
          <cell r="U1856">
            <v>4.9000000000000004</v>
          </cell>
          <cell r="V1856">
            <v>75.7</v>
          </cell>
          <cell r="W1856">
            <v>7.6</v>
          </cell>
          <cell r="X1856">
            <v>52.3</v>
          </cell>
          <cell r="Y1856">
            <v>6.8</v>
          </cell>
          <cell r="Z1856" t="str">
            <v>NA</v>
          </cell>
          <cell r="AA1856" t="str">
            <v>NA</v>
          </cell>
        </row>
        <row r="1857">
          <cell r="A1857">
            <v>45186</v>
          </cell>
          <cell r="B1857" t="str">
            <v>A1</v>
          </cell>
          <cell r="C1857">
            <v>3</v>
          </cell>
          <cell r="D1857">
            <v>3</v>
          </cell>
          <cell r="E1857" t="str">
            <v>ARIS.A1.Aim3.Bin3.LB</v>
          </cell>
          <cell r="F1857">
            <v>4</v>
          </cell>
          <cell r="G1857" t="str">
            <v>SplineDFA</v>
          </cell>
          <cell r="H1857" t="str">
            <v>Y</v>
          </cell>
          <cell r="I1857" t="str">
            <v>N</v>
          </cell>
          <cell r="J1857">
            <v>177</v>
          </cell>
          <cell r="K1857">
            <v>0.99990000000000001</v>
          </cell>
          <cell r="L1857">
            <v>6.1999999999999998E-3</v>
          </cell>
          <cell r="M1857">
            <v>23.7</v>
          </cell>
          <cell r="N1857">
            <v>2.7</v>
          </cell>
          <cell r="O1857">
            <v>0.99370000000000003</v>
          </cell>
          <cell r="P1857">
            <v>0.42530000000000001</v>
          </cell>
          <cell r="Q1857">
            <v>0.22339999999999999</v>
          </cell>
          <cell r="R1857">
            <v>0.34499999999999997</v>
          </cell>
          <cell r="S1857" t="str">
            <v>NA</v>
          </cell>
          <cell r="T1857">
            <v>60.3</v>
          </cell>
          <cell r="U1857">
            <v>4.9000000000000004</v>
          </cell>
          <cell r="V1857">
            <v>75.7</v>
          </cell>
          <cell r="W1857">
            <v>7.6</v>
          </cell>
          <cell r="X1857">
            <v>52.3</v>
          </cell>
          <cell r="Y1857">
            <v>6.8</v>
          </cell>
          <cell r="Z1857" t="str">
            <v>NA</v>
          </cell>
          <cell r="AA1857" t="str">
            <v>NA</v>
          </cell>
        </row>
        <row r="1858">
          <cell r="A1858">
            <v>45186</v>
          </cell>
          <cell r="B1858" t="str">
            <v>A1</v>
          </cell>
          <cell r="C1858">
            <v>4</v>
          </cell>
          <cell r="D1858">
            <v>3</v>
          </cell>
          <cell r="E1858" t="str">
            <v>ARIS.A1.Aim3.Bin4.LB</v>
          </cell>
          <cell r="F1858">
            <v>4</v>
          </cell>
          <cell r="G1858" t="str">
            <v>SplineDFA</v>
          </cell>
          <cell r="H1858" t="str">
            <v>Y</v>
          </cell>
          <cell r="I1858" t="str">
            <v>N</v>
          </cell>
          <cell r="J1858">
            <v>177</v>
          </cell>
          <cell r="K1858">
            <v>0.99990000000000001</v>
          </cell>
          <cell r="L1858">
            <v>6.1999999999999998E-3</v>
          </cell>
          <cell r="M1858">
            <v>23.7</v>
          </cell>
          <cell r="N1858">
            <v>2.7</v>
          </cell>
          <cell r="O1858">
            <v>0.99370000000000003</v>
          </cell>
          <cell r="P1858">
            <v>0.42530000000000001</v>
          </cell>
          <cell r="Q1858">
            <v>0.22339999999999999</v>
          </cell>
          <cell r="R1858">
            <v>0.34499999999999997</v>
          </cell>
          <cell r="S1858" t="str">
            <v>NA</v>
          </cell>
          <cell r="T1858">
            <v>60.3</v>
          </cell>
          <cell r="U1858">
            <v>4.9000000000000004</v>
          </cell>
          <cell r="V1858">
            <v>75.7</v>
          </cell>
          <cell r="W1858">
            <v>7.6</v>
          </cell>
          <cell r="X1858">
            <v>52.3</v>
          </cell>
          <cell r="Y1858">
            <v>6.8</v>
          </cell>
          <cell r="Z1858" t="str">
            <v>NA</v>
          </cell>
          <cell r="AA1858" t="str">
            <v>NA</v>
          </cell>
        </row>
        <row r="1859">
          <cell r="A1859">
            <v>45186</v>
          </cell>
          <cell r="B1859" t="str">
            <v>A2</v>
          </cell>
          <cell r="C1859">
            <v>1</v>
          </cell>
          <cell r="D1859">
            <v>1</v>
          </cell>
          <cell r="E1859" t="str">
            <v>ARIS.A2.Aim1.Bin1.RB</v>
          </cell>
          <cell r="F1859">
            <v>4</v>
          </cell>
          <cell r="G1859" t="str">
            <v>SplineDFA</v>
          </cell>
          <cell r="H1859" t="str">
            <v>Y</v>
          </cell>
          <cell r="I1859" t="str">
            <v>N</v>
          </cell>
          <cell r="J1859">
            <v>168</v>
          </cell>
          <cell r="K1859">
            <v>0.99990000000000001</v>
          </cell>
          <cell r="L1859">
            <v>0.22570000000000001</v>
          </cell>
          <cell r="M1859">
            <v>23.7</v>
          </cell>
          <cell r="N1859">
            <v>2.7</v>
          </cell>
          <cell r="O1859">
            <v>0.7742</v>
          </cell>
          <cell r="P1859">
            <v>0.1777</v>
          </cell>
          <cell r="Q1859">
            <v>6.5199999999999994E-2</v>
          </cell>
          <cell r="R1859">
            <v>0.53129999999999999</v>
          </cell>
          <cell r="S1859" t="str">
            <v>NA</v>
          </cell>
          <cell r="T1859">
            <v>60.3</v>
          </cell>
          <cell r="U1859">
            <v>4.9000000000000004</v>
          </cell>
          <cell r="V1859">
            <v>75.7</v>
          </cell>
          <cell r="W1859">
            <v>7.6</v>
          </cell>
          <cell r="X1859">
            <v>52.3</v>
          </cell>
          <cell r="Y1859">
            <v>6.8</v>
          </cell>
          <cell r="Z1859" t="str">
            <v>NA</v>
          </cell>
          <cell r="AA1859" t="str">
            <v>NA</v>
          </cell>
        </row>
        <row r="1860">
          <cell r="A1860">
            <v>45186</v>
          </cell>
          <cell r="B1860" t="str">
            <v>A2</v>
          </cell>
          <cell r="C1860">
            <v>2</v>
          </cell>
          <cell r="D1860">
            <v>1</v>
          </cell>
          <cell r="E1860" t="str">
            <v>ARIS.A2.Aim1.Bin2.RB</v>
          </cell>
          <cell r="F1860">
            <v>4</v>
          </cell>
          <cell r="G1860" t="str">
            <v>SplineDFA</v>
          </cell>
          <cell r="H1860" t="str">
            <v>Y</v>
          </cell>
          <cell r="I1860" t="str">
            <v>N</v>
          </cell>
          <cell r="J1860">
            <v>158</v>
          </cell>
          <cell r="K1860">
            <v>1</v>
          </cell>
          <cell r="L1860">
            <v>0.1255</v>
          </cell>
          <cell r="M1860">
            <v>23.7</v>
          </cell>
          <cell r="N1860">
            <v>2.7</v>
          </cell>
          <cell r="O1860">
            <v>0.87450000000000006</v>
          </cell>
          <cell r="P1860">
            <v>0.3785</v>
          </cell>
          <cell r="Q1860">
            <v>0.13220000000000001</v>
          </cell>
          <cell r="R1860">
            <v>0.36380000000000001</v>
          </cell>
          <cell r="S1860" t="str">
            <v>NA</v>
          </cell>
          <cell r="T1860">
            <v>60.3</v>
          </cell>
          <cell r="U1860">
            <v>4.9000000000000004</v>
          </cell>
          <cell r="V1860">
            <v>75.7</v>
          </cell>
          <cell r="W1860">
            <v>7.6</v>
          </cell>
          <cell r="X1860">
            <v>52.3</v>
          </cell>
          <cell r="Y1860">
            <v>6.8</v>
          </cell>
          <cell r="Z1860" t="str">
            <v>NA</v>
          </cell>
          <cell r="AA1860" t="str">
            <v>NA</v>
          </cell>
        </row>
        <row r="1861">
          <cell r="A1861">
            <v>45186</v>
          </cell>
          <cell r="B1861" t="str">
            <v>A2</v>
          </cell>
          <cell r="C1861">
            <v>3</v>
          </cell>
          <cell r="D1861">
            <v>1</v>
          </cell>
          <cell r="E1861" t="str">
            <v>ARIS.A2.Aim1.Bin3.RB</v>
          </cell>
          <cell r="F1861">
            <v>4</v>
          </cell>
          <cell r="G1861" t="str">
            <v>SplineDFA</v>
          </cell>
          <cell r="H1861" t="str">
            <v>Y</v>
          </cell>
          <cell r="I1861" t="str">
            <v>N</v>
          </cell>
          <cell r="J1861">
            <v>124</v>
          </cell>
          <cell r="K1861">
            <v>1.0001</v>
          </cell>
          <cell r="L1861">
            <v>8.3299999999999999E-2</v>
          </cell>
          <cell r="M1861">
            <v>23.7</v>
          </cell>
          <cell r="N1861">
            <v>2.7</v>
          </cell>
          <cell r="O1861">
            <v>0.91679999999999995</v>
          </cell>
          <cell r="P1861">
            <v>0.318</v>
          </cell>
          <cell r="Q1861">
            <v>0.26939999999999997</v>
          </cell>
          <cell r="R1861">
            <v>0.32940000000000003</v>
          </cell>
          <cell r="S1861" t="str">
            <v>NA</v>
          </cell>
          <cell r="T1861">
            <v>60.3</v>
          </cell>
          <cell r="U1861">
            <v>4.9000000000000004</v>
          </cell>
          <cell r="V1861">
            <v>75.7</v>
          </cell>
          <cell r="W1861">
            <v>7.6</v>
          </cell>
          <cell r="X1861">
            <v>52.3</v>
          </cell>
          <cell r="Y1861">
            <v>6.8</v>
          </cell>
          <cell r="Z1861" t="str">
            <v>NA</v>
          </cell>
          <cell r="AA1861" t="str">
            <v>NA</v>
          </cell>
        </row>
        <row r="1862">
          <cell r="A1862">
            <v>45186</v>
          </cell>
          <cell r="B1862" t="str">
            <v>A2</v>
          </cell>
          <cell r="C1862">
            <v>4</v>
          </cell>
          <cell r="D1862">
            <v>1</v>
          </cell>
          <cell r="E1862" t="str">
            <v>ARIS.A2.Aim1.Bin4.RB</v>
          </cell>
          <cell r="F1862">
            <v>4</v>
          </cell>
          <cell r="G1862" t="str">
            <v>SplineDFA</v>
          </cell>
          <cell r="H1862" t="str">
            <v>Y</v>
          </cell>
          <cell r="I1862" t="str">
            <v>N</v>
          </cell>
          <cell r="J1862">
            <v>124</v>
          </cell>
          <cell r="K1862">
            <v>1.0001</v>
          </cell>
          <cell r="L1862">
            <v>8.3299999999999999E-2</v>
          </cell>
          <cell r="M1862">
            <v>23.7</v>
          </cell>
          <cell r="N1862">
            <v>2.7</v>
          </cell>
          <cell r="O1862">
            <v>0.91679999999999995</v>
          </cell>
          <cell r="P1862">
            <v>0.318</v>
          </cell>
          <cell r="Q1862">
            <v>0.26939999999999997</v>
          </cell>
          <cell r="R1862">
            <v>0.32940000000000003</v>
          </cell>
          <cell r="S1862" t="str">
            <v>NA</v>
          </cell>
          <cell r="T1862">
            <v>60.3</v>
          </cell>
          <cell r="U1862">
            <v>4.9000000000000004</v>
          </cell>
          <cell r="V1862">
            <v>75.7</v>
          </cell>
          <cell r="W1862">
            <v>7.6</v>
          </cell>
          <cell r="X1862">
            <v>52.3</v>
          </cell>
          <cell r="Y1862">
            <v>6.8</v>
          </cell>
          <cell r="Z1862" t="str">
            <v>NA</v>
          </cell>
          <cell r="AA1862" t="str">
            <v>NA</v>
          </cell>
        </row>
        <row r="1863">
          <cell r="A1863">
            <v>45186</v>
          </cell>
          <cell r="B1863" t="str">
            <v>A1</v>
          </cell>
          <cell r="C1863">
            <v>1</v>
          </cell>
          <cell r="D1863">
            <v>1</v>
          </cell>
          <cell r="E1863" t="str">
            <v>ARIS.A1.Aim1.Bin1.LB</v>
          </cell>
          <cell r="F1863">
            <v>4</v>
          </cell>
          <cell r="G1863" t="str">
            <v>Unweighted</v>
          </cell>
          <cell r="H1863" t="str">
            <v>N</v>
          </cell>
          <cell r="I1863" t="str">
            <v>Y</v>
          </cell>
          <cell r="J1863">
            <v>185</v>
          </cell>
          <cell r="K1863">
            <v>0.99990000000000001</v>
          </cell>
          <cell r="L1863">
            <v>0.35039999999999999</v>
          </cell>
          <cell r="M1863">
            <v>21.7</v>
          </cell>
          <cell r="N1863">
            <v>6.5</v>
          </cell>
          <cell r="O1863">
            <v>0.64949999999999997</v>
          </cell>
          <cell r="P1863">
            <v>0.1278</v>
          </cell>
          <cell r="Q1863">
            <v>0</v>
          </cell>
          <cell r="R1863">
            <v>0.52170000000000005</v>
          </cell>
          <cell r="S1863" t="str">
            <v>NA</v>
          </cell>
          <cell r="T1863">
            <v>60.3</v>
          </cell>
          <cell r="U1863">
            <v>4.9000000000000004</v>
          </cell>
          <cell r="V1863">
            <v>75.7</v>
          </cell>
          <cell r="W1863">
            <v>7.6</v>
          </cell>
          <cell r="X1863">
            <v>52.3</v>
          </cell>
          <cell r="Y1863">
            <v>6.8</v>
          </cell>
          <cell r="Z1863" t="str">
            <v>NA</v>
          </cell>
          <cell r="AA1863" t="str">
            <v>NA</v>
          </cell>
        </row>
        <row r="1864">
          <cell r="A1864">
            <v>45186</v>
          </cell>
          <cell r="B1864" t="str">
            <v>A1</v>
          </cell>
          <cell r="C1864">
            <v>1</v>
          </cell>
          <cell r="D1864">
            <v>2</v>
          </cell>
          <cell r="E1864" t="str">
            <v>ARIS.A1.Aim2.Bin1.LB</v>
          </cell>
          <cell r="F1864">
            <v>4</v>
          </cell>
          <cell r="G1864" t="str">
            <v>Unweighted</v>
          </cell>
          <cell r="H1864" t="str">
            <v>N</v>
          </cell>
          <cell r="I1864" t="str">
            <v>Y</v>
          </cell>
          <cell r="J1864">
            <v>150</v>
          </cell>
          <cell r="K1864">
            <v>1</v>
          </cell>
          <cell r="L1864">
            <v>0.2077</v>
          </cell>
          <cell r="M1864">
            <v>20.2</v>
          </cell>
          <cell r="N1864">
            <v>5.9</v>
          </cell>
          <cell r="O1864">
            <v>0.7923</v>
          </cell>
          <cell r="P1864">
            <v>0.2177</v>
          </cell>
          <cell r="Q1864">
            <v>0</v>
          </cell>
          <cell r="R1864">
            <v>0.5746</v>
          </cell>
          <cell r="S1864" t="str">
            <v>NA</v>
          </cell>
          <cell r="T1864">
            <v>60.3</v>
          </cell>
          <cell r="U1864">
            <v>4.9000000000000004</v>
          </cell>
          <cell r="V1864">
            <v>75.7</v>
          </cell>
          <cell r="W1864">
            <v>7.6</v>
          </cell>
          <cell r="X1864">
            <v>52.3</v>
          </cell>
          <cell r="Y1864">
            <v>6.8</v>
          </cell>
          <cell r="Z1864" t="str">
            <v>NA</v>
          </cell>
          <cell r="AA1864" t="str">
            <v>NA</v>
          </cell>
        </row>
        <row r="1865">
          <cell r="A1865">
            <v>45186</v>
          </cell>
          <cell r="B1865" t="str">
            <v>A1</v>
          </cell>
          <cell r="C1865">
            <v>1</v>
          </cell>
          <cell r="D1865" t="str">
            <v>1&amp;2</v>
          </cell>
          <cell r="E1865" t="str">
            <v>ARIS.A1.Aim1&amp;Aim2.Bin1.LB</v>
          </cell>
          <cell r="F1865">
            <v>4</v>
          </cell>
          <cell r="G1865" t="str">
            <v>Unweighted</v>
          </cell>
          <cell r="H1865" t="str">
            <v>N</v>
          </cell>
          <cell r="I1865" t="str">
            <v>Y</v>
          </cell>
          <cell r="J1865">
            <v>335</v>
          </cell>
          <cell r="K1865">
            <v>0.99990000000000001</v>
          </cell>
          <cell r="L1865">
            <v>0.28499999999999998</v>
          </cell>
          <cell r="M1865">
            <v>21.2</v>
          </cell>
          <cell r="N1865">
            <v>6.3</v>
          </cell>
          <cell r="O1865">
            <v>0.71489999999999998</v>
          </cell>
          <cell r="P1865">
            <v>0.1661</v>
          </cell>
          <cell r="Q1865">
            <v>0</v>
          </cell>
          <cell r="R1865">
            <v>0.54879999999999995</v>
          </cell>
          <cell r="S1865" t="str">
            <v>NA</v>
          </cell>
          <cell r="T1865">
            <v>60.3</v>
          </cell>
          <cell r="U1865">
            <v>4.9000000000000004</v>
          </cell>
          <cell r="V1865">
            <v>75.7</v>
          </cell>
          <cell r="W1865">
            <v>7.6</v>
          </cell>
          <cell r="X1865">
            <v>52.3</v>
          </cell>
          <cell r="Y1865">
            <v>6.8</v>
          </cell>
          <cell r="Z1865" t="str">
            <v>NA</v>
          </cell>
          <cell r="AA1865" t="str">
            <v>NA</v>
          </cell>
        </row>
        <row r="1866">
          <cell r="A1866">
            <v>45186</v>
          </cell>
          <cell r="B1866" t="str">
            <v>A1</v>
          </cell>
          <cell r="C1866">
            <v>2</v>
          </cell>
          <cell r="D1866">
            <v>3</v>
          </cell>
          <cell r="E1866" t="str">
            <v>ARIS.A1.Aim3.Bin2.LB</v>
          </cell>
          <cell r="F1866">
            <v>4</v>
          </cell>
          <cell r="G1866" t="str">
            <v>Unweighted</v>
          </cell>
          <cell r="H1866" t="str">
            <v>N</v>
          </cell>
          <cell r="I1866" t="str">
            <v>Y</v>
          </cell>
          <cell r="J1866">
            <v>184</v>
          </cell>
          <cell r="K1866">
            <v>1</v>
          </cell>
          <cell r="L1866">
            <v>0.15329999999999999</v>
          </cell>
          <cell r="M1866">
            <v>23.7</v>
          </cell>
          <cell r="N1866">
            <v>10.5</v>
          </cell>
          <cell r="O1866">
            <v>0.84670000000000001</v>
          </cell>
          <cell r="P1866">
            <v>0.18640000000000001</v>
          </cell>
          <cell r="Q1866">
            <v>5.7000000000000002E-2</v>
          </cell>
          <cell r="R1866">
            <v>0.60329999999999995</v>
          </cell>
          <cell r="S1866" t="str">
            <v>NA</v>
          </cell>
          <cell r="T1866">
            <v>60.3</v>
          </cell>
          <cell r="U1866">
            <v>4.9000000000000004</v>
          </cell>
          <cell r="V1866">
            <v>75.7</v>
          </cell>
          <cell r="W1866">
            <v>7.6</v>
          </cell>
          <cell r="X1866">
            <v>52.3</v>
          </cell>
          <cell r="Y1866">
            <v>6.8</v>
          </cell>
          <cell r="Z1866" t="str">
            <v>NA</v>
          </cell>
          <cell r="AA1866" t="str">
            <v>NA</v>
          </cell>
        </row>
        <row r="1867">
          <cell r="A1867">
            <v>45186</v>
          </cell>
          <cell r="B1867" t="str">
            <v>A1</v>
          </cell>
          <cell r="C1867">
            <v>3</v>
          </cell>
          <cell r="D1867">
            <v>3</v>
          </cell>
          <cell r="E1867" t="str">
            <v>ARIS.A1.Aim3.Bin3.LB</v>
          </cell>
          <cell r="F1867">
            <v>4</v>
          </cell>
          <cell r="G1867" t="str">
            <v>Unweighted</v>
          </cell>
          <cell r="H1867" t="str">
            <v>N</v>
          </cell>
          <cell r="I1867" t="str">
            <v>Y</v>
          </cell>
          <cell r="J1867">
            <v>177</v>
          </cell>
          <cell r="K1867">
            <v>0.99990000000000001</v>
          </cell>
          <cell r="L1867">
            <v>2.24E-2</v>
          </cell>
          <cell r="M1867">
            <v>23.7</v>
          </cell>
          <cell r="N1867">
            <v>17.899999999999999</v>
          </cell>
          <cell r="O1867">
            <v>0.97750000000000004</v>
          </cell>
          <cell r="P1867">
            <v>0.3957</v>
          </cell>
          <cell r="Q1867">
            <v>0.27200000000000002</v>
          </cell>
          <cell r="R1867">
            <v>0.30980000000000002</v>
          </cell>
          <cell r="S1867" t="str">
            <v>NA</v>
          </cell>
          <cell r="T1867">
            <v>60.3</v>
          </cell>
          <cell r="U1867">
            <v>4.9000000000000004</v>
          </cell>
          <cell r="V1867">
            <v>75.7</v>
          </cell>
          <cell r="W1867">
            <v>7.6</v>
          </cell>
          <cell r="X1867">
            <v>52.3</v>
          </cell>
          <cell r="Y1867">
            <v>6.8</v>
          </cell>
          <cell r="Z1867" t="str">
            <v>NA</v>
          </cell>
          <cell r="AA1867" t="str">
            <v>NA</v>
          </cell>
        </row>
        <row r="1868">
          <cell r="A1868">
            <v>45186</v>
          </cell>
          <cell r="B1868" t="str">
            <v>A1</v>
          </cell>
          <cell r="C1868">
            <v>4</v>
          </cell>
          <cell r="D1868">
            <v>3</v>
          </cell>
          <cell r="E1868" t="str">
            <v>ARIS.A1.Aim3.Bin4.LB</v>
          </cell>
          <cell r="F1868">
            <v>4</v>
          </cell>
          <cell r="G1868" t="str">
            <v>Unweighted</v>
          </cell>
          <cell r="H1868" t="str">
            <v>N</v>
          </cell>
          <cell r="I1868" t="str">
            <v>Y</v>
          </cell>
          <cell r="J1868">
            <v>177</v>
          </cell>
          <cell r="K1868">
            <v>0.99990000000000001</v>
          </cell>
          <cell r="L1868">
            <v>2.24E-2</v>
          </cell>
          <cell r="M1868">
            <v>23.7</v>
          </cell>
          <cell r="N1868">
            <v>17.899999999999999</v>
          </cell>
          <cell r="O1868">
            <v>0.97750000000000004</v>
          </cell>
          <cell r="P1868">
            <v>0.3957</v>
          </cell>
          <cell r="Q1868">
            <v>0.27200000000000002</v>
          </cell>
          <cell r="R1868">
            <v>0.30980000000000002</v>
          </cell>
          <cell r="S1868" t="str">
            <v>NA</v>
          </cell>
          <cell r="T1868">
            <v>60.3</v>
          </cell>
          <cell r="U1868">
            <v>4.9000000000000004</v>
          </cell>
          <cell r="V1868">
            <v>75.7</v>
          </cell>
          <cell r="W1868">
            <v>7.6</v>
          </cell>
          <cell r="X1868">
            <v>52.3</v>
          </cell>
          <cell r="Y1868">
            <v>6.8</v>
          </cell>
          <cell r="Z1868" t="str">
            <v>NA</v>
          </cell>
          <cell r="AA1868" t="str">
            <v>NA</v>
          </cell>
        </row>
        <row r="1869">
          <cell r="A1869">
            <v>45186</v>
          </cell>
          <cell r="B1869" t="str">
            <v>A2</v>
          </cell>
          <cell r="C1869">
            <v>1</v>
          </cell>
          <cell r="D1869">
            <v>1</v>
          </cell>
          <cell r="E1869" t="str">
            <v>ARIS.A2.Aim1.Bin1.RB</v>
          </cell>
          <cell r="F1869">
            <v>4</v>
          </cell>
          <cell r="G1869" t="str">
            <v>Unweighted</v>
          </cell>
          <cell r="H1869" t="str">
            <v>N</v>
          </cell>
          <cell r="I1869" t="str">
            <v>Y</v>
          </cell>
          <cell r="J1869">
            <v>168</v>
          </cell>
          <cell r="K1869">
            <v>1</v>
          </cell>
          <cell r="L1869">
            <v>0.32350000000000001</v>
          </cell>
          <cell r="M1869">
            <v>21.4</v>
          </cell>
          <cell r="N1869">
            <v>8.1</v>
          </cell>
          <cell r="O1869">
            <v>0.67649999999999999</v>
          </cell>
          <cell r="P1869">
            <v>0</v>
          </cell>
          <cell r="Q1869">
            <v>5.45E-2</v>
          </cell>
          <cell r="R1869">
            <v>0.622</v>
          </cell>
          <cell r="S1869" t="str">
            <v>NA</v>
          </cell>
          <cell r="T1869">
            <v>60.3</v>
          </cell>
          <cell r="U1869">
            <v>4.9000000000000004</v>
          </cell>
          <cell r="V1869">
            <v>75.7</v>
          </cell>
          <cell r="W1869">
            <v>7.6</v>
          </cell>
          <cell r="X1869">
            <v>52.3</v>
          </cell>
          <cell r="Y1869">
            <v>6.8</v>
          </cell>
          <cell r="Z1869" t="str">
            <v>NA</v>
          </cell>
          <cell r="AA1869" t="str">
            <v>NA</v>
          </cell>
        </row>
        <row r="1870">
          <cell r="A1870">
            <v>45186</v>
          </cell>
          <cell r="B1870" t="str">
            <v>A2</v>
          </cell>
          <cell r="C1870">
            <v>2</v>
          </cell>
          <cell r="D1870">
            <v>1</v>
          </cell>
          <cell r="E1870" t="str">
            <v>ARIS.A2.Aim1.Bin2.RB</v>
          </cell>
          <cell r="F1870">
            <v>4</v>
          </cell>
          <cell r="G1870" t="str">
            <v>Unweighted</v>
          </cell>
          <cell r="H1870" t="str">
            <v>N</v>
          </cell>
          <cell r="I1870" t="str">
            <v>Y</v>
          </cell>
          <cell r="J1870">
            <v>158</v>
          </cell>
          <cell r="K1870">
            <v>1</v>
          </cell>
          <cell r="L1870">
            <v>0.1676</v>
          </cell>
          <cell r="M1870">
            <v>23.7</v>
          </cell>
          <cell r="N1870">
            <v>9.1</v>
          </cell>
          <cell r="O1870">
            <v>0.83240000000000003</v>
          </cell>
          <cell r="P1870">
            <v>0.26629999999999998</v>
          </cell>
          <cell r="Q1870">
            <v>0.15959999999999999</v>
          </cell>
          <cell r="R1870">
            <v>0.40649999999999997</v>
          </cell>
          <cell r="S1870" t="str">
            <v>NA</v>
          </cell>
          <cell r="T1870">
            <v>60.3</v>
          </cell>
          <cell r="U1870">
            <v>4.9000000000000004</v>
          </cell>
          <cell r="V1870">
            <v>75.7</v>
          </cell>
          <cell r="W1870">
            <v>7.6</v>
          </cell>
          <cell r="X1870">
            <v>52.3</v>
          </cell>
          <cell r="Y1870">
            <v>6.8</v>
          </cell>
          <cell r="Z1870" t="str">
            <v>NA</v>
          </cell>
          <cell r="AA1870" t="str">
            <v>NA</v>
          </cell>
        </row>
        <row r="1871">
          <cell r="A1871">
            <v>45186</v>
          </cell>
          <cell r="B1871" t="str">
            <v>A2</v>
          </cell>
          <cell r="C1871">
            <v>3</v>
          </cell>
          <cell r="D1871">
            <v>1</v>
          </cell>
          <cell r="E1871" t="str">
            <v>ARIS.A2.Aim1.Bin3.RB</v>
          </cell>
          <cell r="F1871">
            <v>4</v>
          </cell>
          <cell r="G1871" t="str">
            <v>Unweighted</v>
          </cell>
          <cell r="H1871" t="str">
            <v>N</v>
          </cell>
          <cell r="I1871" t="str">
            <v>Y</v>
          </cell>
          <cell r="J1871">
            <v>124</v>
          </cell>
          <cell r="K1871">
            <v>1</v>
          </cell>
          <cell r="L1871">
            <v>0.19359999999999999</v>
          </cell>
          <cell r="M1871">
            <v>23.7</v>
          </cell>
          <cell r="N1871">
            <v>9.1999999999999993</v>
          </cell>
          <cell r="O1871">
            <v>0.80640000000000001</v>
          </cell>
          <cell r="P1871">
            <v>0.14929999999999999</v>
          </cell>
          <cell r="Q1871">
            <v>0.2777</v>
          </cell>
          <cell r="R1871">
            <v>0.37940000000000002</v>
          </cell>
          <cell r="S1871" t="str">
            <v>NA</v>
          </cell>
          <cell r="T1871">
            <v>60.3</v>
          </cell>
          <cell r="U1871">
            <v>4.9000000000000004</v>
          </cell>
          <cell r="V1871">
            <v>75.7</v>
          </cell>
          <cell r="W1871">
            <v>7.6</v>
          </cell>
          <cell r="X1871">
            <v>52.3</v>
          </cell>
          <cell r="Y1871">
            <v>6.8</v>
          </cell>
          <cell r="Z1871" t="str">
            <v>NA</v>
          </cell>
          <cell r="AA1871" t="str">
            <v>NA</v>
          </cell>
        </row>
        <row r="1872">
          <cell r="A1872">
            <v>45186</v>
          </cell>
          <cell r="B1872" t="str">
            <v>A2</v>
          </cell>
          <cell r="C1872">
            <v>4</v>
          </cell>
          <cell r="D1872">
            <v>1</v>
          </cell>
          <cell r="E1872" t="str">
            <v>ARIS.A2.Aim1.Bin4.RB</v>
          </cell>
          <cell r="F1872">
            <v>4</v>
          </cell>
          <cell r="G1872" t="str">
            <v>Unweighted</v>
          </cell>
          <cell r="H1872" t="str">
            <v>N</v>
          </cell>
          <cell r="I1872" t="str">
            <v>Y</v>
          </cell>
          <cell r="J1872">
            <v>124</v>
          </cell>
          <cell r="K1872">
            <v>1</v>
          </cell>
          <cell r="L1872">
            <v>0.19359999999999999</v>
          </cell>
          <cell r="M1872">
            <v>23.7</v>
          </cell>
          <cell r="N1872">
            <v>9.1999999999999993</v>
          </cell>
          <cell r="O1872">
            <v>0.80640000000000001</v>
          </cell>
          <cell r="P1872">
            <v>0.14929999999999999</v>
          </cell>
          <cell r="Q1872">
            <v>0.2777</v>
          </cell>
          <cell r="R1872">
            <v>0.37940000000000002</v>
          </cell>
          <cell r="S1872" t="str">
            <v>NA</v>
          </cell>
          <cell r="T1872">
            <v>60.3</v>
          </cell>
          <cell r="U1872">
            <v>4.9000000000000004</v>
          </cell>
          <cell r="V1872">
            <v>75.7</v>
          </cell>
          <cell r="W1872">
            <v>7.6</v>
          </cell>
          <cell r="X1872">
            <v>52.3</v>
          </cell>
          <cell r="Y1872">
            <v>6.8</v>
          </cell>
          <cell r="Z1872" t="str">
            <v>NA</v>
          </cell>
          <cell r="AA1872" t="str">
            <v>NA</v>
          </cell>
        </row>
        <row r="1873">
          <cell r="A1873">
            <v>45187</v>
          </cell>
          <cell r="B1873" t="str">
            <v>A1</v>
          </cell>
          <cell r="C1873">
            <v>1</v>
          </cell>
          <cell r="D1873">
            <v>1</v>
          </cell>
          <cell r="E1873" t="str">
            <v>ARIS.A1.Aim1.Bin1.LB</v>
          </cell>
          <cell r="F1873">
            <v>4</v>
          </cell>
          <cell r="G1873" t="str">
            <v>SplineDFA</v>
          </cell>
          <cell r="H1873" t="str">
            <v>Y</v>
          </cell>
          <cell r="I1873" t="str">
            <v>N</v>
          </cell>
          <cell r="J1873">
            <v>176</v>
          </cell>
          <cell r="K1873">
            <v>1</v>
          </cell>
          <cell r="L1873">
            <v>0.4526</v>
          </cell>
          <cell r="M1873">
            <v>23.7</v>
          </cell>
          <cell r="N1873">
            <v>2.7</v>
          </cell>
          <cell r="O1873">
            <v>0.5474</v>
          </cell>
          <cell r="P1873">
            <v>8.2400000000000001E-2</v>
          </cell>
          <cell r="Q1873">
            <v>0</v>
          </cell>
          <cell r="R1873">
            <v>0.46500000000000002</v>
          </cell>
          <cell r="S1873" t="str">
            <v>NA</v>
          </cell>
          <cell r="T1873">
            <v>60.3</v>
          </cell>
          <cell r="U1873">
            <v>4.9000000000000004</v>
          </cell>
          <cell r="V1873">
            <v>75.7</v>
          </cell>
          <cell r="W1873">
            <v>7.6</v>
          </cell>
          <cell r="X1873">
            <v>52.3</v>
          </cell>
          <cell r="Y1873">
            <v>6.8</v>
          </cell>
          <cell r="Z1873" t="str">
            <v>NA</v>
          </cell>
          <cell r="AA1873" t="str">
            <v>NA</v>
          </cell>
        </row>
        <row r="1874">
          <cell r="A1874">
            <v>45187</v>
          </cell>
          <cell r="B1874" t="str">
            <v>A1</v>
          </cell>
          <cell r="C1874">
            <v>1</v>
          </cell>
          <cell r="D1874">
            <v>2</v>
          </cell>
          <cell r="E1874" t="str">
            <v>ARIS.A1.Aim2.Bin1.LB</v>
          </cell>
          <cell r="F1874">
            <v>4</v>
          </cell>
          <cell r="G1874" t="str">
            <v>SplineDFA</v>
          </cell>
          <cell r="H1874" t="str">
            <v>Y</v>
          </cell>
          <cell r="I1874" t="str">
            <v>N</v>
          </cell>
          <cell r="J1874">
            <v>171</v>
          </cell>
          <cell r="K1874">
            <v>1</v>
          </cell>
          <cell r="L1874">
            <v>9.7699999999999995E-2</v>
          </cell>
          <cell r="M1874">
            <v>23.7</v>
          </cell>
          <cell r="N1874">
            <v>2.7</v>
          </cell>
          <cell r="O1874">
            <v>0.90229999999999999</v>
          </cell>
          <cell r="P1874">
            <v>0.19120000000000001</v>
          </cell>
          <cell r="Q1874">
            <v>0</v>
          </cell>
          <cell r="R1874">
            <v>0.71109999999999995</v>
          </cell>
          <cell r="S1874" t="str">
            <v>NA</v>
          </cell>
          <cell r="T1874">
            <v>60.3</v>
          </cell>
          <cell r="U1874">
            <v>4.9000000000000004</v>
          </cell>
          <cell r="V1874">
            <v>75.7</v>
          </cell>
          <cell r="W1874">
            <v>7.6</v>
          </cell>
          <cell r="X1874">
            <v>52.3</v>
          </cell>
          <cell r="Y1874">
            <v>6.8</v>
          </cell>
          <cell r="Z1874" t="str">
            <v>NA</v>
          </cell>
          <cell r="AA1874" t="str">
            <v>NA</v>
          </cell>
        </row>
        <row r="1875">
          <cell r="A1875">
            <v>45187</v>
          </cell>
          <cell r="B1875" t="str">
            <v>A1</v>
          </cell>
          <cell r="C1875">
            <v>2</v>
          </cell>
          <cell r="D1875">
            <v>3</v>
          </cell>
          <cell r="E1875" t="str">
            <v>ARIS.A1.Aim3.Bin2.LB</v>
          </cell>
          <cell r="F1875">
            <v>4</v>
          </cell>
          <cell r="G1875" t="str">
            <v>SplineDFA</v>
          </cell>
          <cell r="H1875" t="str">
            <v>Y</v>
          </cell>
          <cell r="I1875" t="str">
            <v>N</v>
          </cell>
          <cell r="J1875">
            <v>177</v>
          </cell>
          <cell r="K1875">
            <v>1</v>
          </cell>
          <cell r="L1875">
            <v>2.1000000000000001E-2</v>
          </cell>
          <cell r="M1875">
            <v>23.7</v>
          </cell>
          <cell r="N1875">
            <v>2.7</v>
          </cell>
          <cell r="O1875">
            <v>0.97899999999999998</v>
          </cell>
          <cell r="P1875">
            <v>0.37</v>
          </cell>
          <cell r="Q1875">
            <v>9.4299999999999995E-2</v>
          </cell>
          <cell r="R1875">
            <v>0.51470000000000005</v>
          </cell>
          <cell r="S1875" t="str">
            <v>NA</v>
          </cell>
          <cell r="T1875">
            <v>60.3</v>
          </cell>
          <cell r="U1875">
            <v>4.9000000000000004</v>
          </cell>
          <cell r="V1875">
            <v>75.7</v>
          </cell>
          <cell r="W1875">
            <v>7.6</v>
          </cell>
          <cell r="X1875">
            <v>52.3</v>
          </cell>
          <cell r="Y1875">
            <v>6.8</v>
          </cell>
          <cell r="Z1875" t="str">
            <v>NA</v>
          </cell>
          <cell r="AA1875" t="str">
            <v>NA</v>
          </cell>
        </row>
        <row r="1876">
          <cell r="A1876">
            <v>45187</v>
          </cell>
          <cell r="B1876" t="str">
            <v>A1</v>
          </cell>
          <cell r="C1876">
            <v>3</v>
          </cell>
          <cell r="D1876">
            <v>3</v>
          </cell>
          <cell r="E1876" t="str">
            <v>ARIS.A1.Aim3.Bin3.LB</v>
          </cell>
          <cell r="F1876">
            <v>4</v>
          </cell>
          <cell r="G1876" t="str">
            <v>SplineDFA</v>
          </cell>
          <cell r="H1876" t="str">
            <v>Y</v>
          </cell>
          <cell r="I1876" t="str">
            <v>N</v>
          </cell>
          <cell r="J1876">
            <v>182</v>
          </cell>
          <cell r="K1876">
            <v>1</v>
          </cell>
          <cell r="L1876">
            <v>2.1000000000000001E-2</v>
          </cell>
          <cell r="M1876">
            <v>23.7</v>
          </cell>
          <cell r="N1876">
            <v>2.7</v>
          </cell>
          <cell r="O1876">
            <v>0.97899999999999998</v>
          </cell>
          <cell r="P1876">
            <v>0.39029999999999998</v>
          </cell>
          <cell r="Q1876">
            <v>0.2923</v>
          </cell>
          <cell r="R1876">
            <v>0.2964</v>
          </cell>
          <cell r="S1876" t="str">
            <v>NA</v>
          </cell>
          <cell r="T1876">
            <v>60.3</v>
          </cell>
          <cell r="U1876">
            <v>4.9000000000000004</v>
          </cell>
          <cell r="V1876">
            <v>75.7</v>
          </cell>
          <cell r="W1876">
            <v>7.6</v>
          </cell>
          <cell r="X1876">
            <v>52.3</v>
          </cell>
          <cell r="Y1876">
            <v>6.8</v>
          </cell>
          <cell r="Z1876" t="str">
            <v>NA</v>
          </cell>
          <cell r="AA1876" t="str">
            <v>NA</v>
          </cell>
        </row>
        <row r="1877">
          <cell r="A1877">
            <v>45187</v>
          </cell>
          <cell r="B1877" t="str">
            <v>A1</v>
          </cell>
          <cell r="C1877">
            <v>4</v>
          </cell>
          <cell r="D1877">
            <v>3</v>
          </cell>
          <cell r="E1877" t="str">
            <v>ARIS.A1.Aim3.Bin4.LB</v>
          </cell>
          <cell r="F1877">
            <v>4</v>
          </cell>
          <cell r="G1877" t="str">
            <v>SplineDFA</v>
          </cell>
          <cell r="H1877" t="str">
            <v>Y</v>
          </cell>
          <cell r="I1877" t="str">
            <v>N</v>
          </cell>
          <cell r="J1877">
            <v>182</v>
          </cell>
          <cell r="K1877">
            <v>1</v>
          </cell>
          <cell r="L1877">
            <v>2.1000000000000001E-2</v>
          </cell>
          <cell r="M1877">
            <v>23.7</v>
          </cell>
          <cell r="N1877">
            <v>2.7</v>
          </cell>
          <cell r="O1877">
            <v>0.97899999999999998</v>
          </cell>
          <cell r="P1877">
            <v>0.39029999999999998</v>
          </cell>
          <cell r="Q1877">
            <v>0.2923</v>
          </cell>
          <cell r="R1877">
            <v>0.2964</v>
          </cell>
          <cell r="S1877" t="str">
            <v>NA</v>
          </cell>
          <cell r="T1877">
            <v>60.3</v>
          </cell>
          <cell r="U1877">
            <v>4.9000000000000004</v>
          </cell>
          <cell r="V1877">
            <v>75.7</v>
          </cell>
          <cell r="W1877">
            <v>7.6</v>
          </cell>
          <cell r="X1877">
            <v>52.3</v>
          </cell>
          <cell r="Y1877">
            <v>6.8</v>
          </cell>
          <cell r="Z1877" t="str">
            <v>NA</v>
          </cell>
          <cell r="AA1877" t="str">
            <v>NA</v>
          </cell>
        </row>
        <row r="1878">
          <cell r="A1878">
            <v>45187</v>
          </cell>
          <cell r="B1878" t="str">
            <v>A2</v>
          </cell>
          <cell r="C1878">
            <v>1</v>
          </cell>
          <cell r="D1878">
            <v>1</v>
          </cell>
          <cell r="E1878" t="str">
            <v>ARIS.A2.Aim1.Bin1.RB</v>
          </cell>
          <cell r="F1878">
            <v>4</v>
          </cell>
          <cell r="G1878" t="str">
            <v>SplineDFA</v>
          </cell>
          <cell r="H1878" t="str">
            <v>Y</v>
          </cell>
          <cell r="I1878" t="str">
            <v>N</v>
          </cell>
          <cell r="J1878">
            <v>168</v>
          </cell>
          <cell r="K1878">
            <v>0.99990000000000001</v>
          </cell>
          <cell r="L1878">
            <v>0.22570000000000001</v>
          </cell>
          <cell r="M1878">
            <v>23.7</v>
          </cell>
          <cell r="N1878">
            <v>2.7</v>
          </cell>
          <cell r="O1878">
            <v>0.7742</v>
          </cell>
          <cell r="P1878">
            <v>0.1777</v>
          </cell>
          <cell r="Q1878">
            <v>6.5199999999999994E-2</v>
          </cell>
          <cell r="R1878">
            <v>0.53129999999999999</v>
          </cell>
          <cell r="S1878" t="str">
            <v>NA</v>
          </cell>
          <cell r="T1878">
            <v>60.3</v>
          </cell>
          <cell r="U1878">
            <v>4.9000000000000004</v>
          </cell>
          <cell r="V1878">
            <v>75.7</v>
          </cell>
          <cell r="W1878">
            <v>7.6</v>
          </cell>
          <cell r="X1878">
            <v>52.3</v>
          </cell>
          <cell r="Y1878">
            <v>6.8</v>
          </cell>
          <cell r="Z1878" t="str">
            <v>NA</v>
          </cell>
          <cell r="AA1878" t="str">
            <v>NA</v>
          </cell>
        </row>
        <row r="1879">
          <cell r="A1879">
            <v>45187</v>
          </cell>
          <cell r="B1879" t="str">
            <v>A2</v>
          </cell>
          <cell r="C1879">
            <v>2</v>
          </cell>
          <cell r="D1879">
            <v>1</v>
          </cell>
          <cell r="E1879" t="str">
            <v>ARIS.A2.Aim1.Bin2.RB</v>
          </cell>
          <cell r="F1879">
            <v>4</v>
          </cell>
          <cell r="G1879" t="str">
            <v>SplineDFA</v>
          </cell>
          <cell r="H1879" t="str">
            <v>Y</v>
          </cell>
          <cell r="I1879" t="str">
            <v>N</v>
          </cell>
          <cell r="J1879">
            <v>158</v>
          </cell>
          <cell r="K1879">
            <v>1</v>
          </cell>
          <cell r="L1879">
            <v>0.1255</v>
          </cell>
          <cell r="M1879">
            <v>23.7</v>
          </cell>
          <cell r="N1879">
            <v>2.7</v>
          </cell>
          <cell r="O1879">
            <v>0.87450000000000006</v>
          </cell>
          <cell r="P1879">
            <v>0.3785</v>
          </cell>
          <cell r="Q1879">
            <v>0.13220000000000001</v>
          </cell>
          <cell r="R1879">
            <v>0.36380000000000001</v>
          </cell>
          <cell r="S1879" t="str">
            <v>NA</v>
          </cell>
          <cell r="T1879">
            <v>60.3</v>
          </cell>
          <cell r="U1879">
            <v>4.9000000000000004</v>
          </cell>
          <cell r="V1879">
            <v>75.7</v>
          </cell>
          <cell r="W1879">
            <v>7.6</v>
          </cell>
          <cell r="X1879">
            <v>52.3</v>
          </cell>
          <cell r="Y1879">
            <v>6.8</v>
          </cell>
          <cell r="Z1879" t="str">
            <v>NA</v>
          </cell>
          <cell r="AA1879" t="str">
            <v>NA</v>
          </cell>
        </row>
        <row r="1880">
          <cell r="A1880">
            <v>45187</v>
          </cell>
          <cell r="B1880" t="str">
            <v>A2</v>
          </cell>
          <cell r="C1880">
            <v>3</v>
          </cell>
          <cell r="D1880">
            <v>1</v>
          </cell>
          <cell r="E1880" t="str">
            <v>ARIS.A2.Aim1.Bin3.RB</v>
          </cell>
          <cell r="F1880">
            <v>4</v>
          </cell>
          <cell r="G1880" t="str">
            <v>SplineDFA</v>
          </cell>
          <cell r="H1880" t="str">
            <v>Y</v>
          </cell>
          <cell r="I1880" t="str">
            <v>N</v>
          </cell>
          <cell r="J1880">
            <v>124</v>
          </cell>
          <cell r="K1880">
            <v>1.0001</v>
          </cell>
          <cell r="L1880">
            <v>8.3299999999999999E-2</v>
          </cell>
          <cell r="M1880">
            <v>23.7</v>
          </cell>
          <cell r="N1880">
            <v>2.7</v>
          </cell>
          <cell r="O1880">
            <v>0.91679999999999995</v>
          </cell>
          <cell r="P1880">
            <v>0.318</v>
          </cell>
          <cell r="Q1880">
            <v>0.26939999999999997</v>
          </cell>
          <cell r="R1880">
            <v>0.32940000000000003</v>
          </cell>
          <cell r="S1880" t="str">
            <v>NA</v>
          </cell>
          <cell r="T1880">
            <v>60.3</v>
          </cell>
          <cell r="U1880">
            <v>4.9000000000000004</v>
          </cell>
          <cell r="V1880">
            <v>75.7</v>
          </cell>
          <cell r="W1880">
            <v>7.6</v>
          </cell>
          <cell r="X1880">
            <v>52.3</v>
          </cell>
          <cell r="Y1880">
            <v>6.8</v>
          </cell>
          <cell r="Z1880" t="str">
            <v>NA</v>
          </cell>
          <cell r="AA1880" t="str">
            <v>NA</v>
          </cell>
        </row>
        <row r="1881">
          <cell r="A1881">
            <v>45187</v>
          </cell>
          <cell r="B1881" t="str">
            <v>A2</v>
          </cell>
          <cell r="C1881">
            <v>4</v>
          </cell>
          <cell r="D1881">
            <v>1</v>
          </cell>
          <cell r="E1881" t="str">
            <v>ARIS.A2.Aim1.Bin4.RB</v>
          </cell>
          <cell r="F1881">
            <v>4</v>
          </cell>
          <cell r="G1881" t="str">
            <v>SplineDFA</v>
          </cell>
          <cell r="H1881" t="str">
            <v>Y</v>
          </cell>
          <cell r="I1881" t="str">
            <v>N</v>
          </cell>
          <cell r="J1881">
            <v>124</v>
          </cell>
          <cell r="K1881">
            <v>1.0001</v>
          </cell>
          <cell r="L1881">
            <v>8.3299999999999999E-2</v>
          </cell>
          <cell r="M1881">
            <v>23.7</v>
          </cell>
          <cell r="N1881">
            <v>2.7</v>
          </cell>
          <cell r="O1881">
            <v>0.91679999999999995</v>
          </cell>
          <cell r="P1881">
            <v>0.318</v>
          </cell>
          <cell r="Q1881">
            <v>0.26939999999999997</v>
          </cell>
          <cell r="R1881">
            <v>0.32940000000000003</v>
          </cell>
          <cell r="S1881" t="str">
            <v>NA</v>
          </cell>
          <cell r="T1881">
            <v>60.3</v>
          </cell>
          <cell r="U1881">
            <v>4.9000000000000004</v>
          </cell>
          <cell r="V1881">
            <v>75.7</v>
          </cell>
          <cell r="W1881">
            <v>7.6</v>
          </cell>
          <cell r="X1881">
            <v>52.3</v>
          </cell>
          <cell r="Y1881">
            <v>6.8</v>
          </cell>
          <cell r="Z1881" t="str">
            <v>NA</v>
          </cell>
          <cell r="AA1881" t="str">
            <v>NA</v>
          </cell>
        </row>
        <row r="1882">
          <cell r="A1882">
            <v>45187</v>
          </cell>
          <cell r="B1882" t="str">
            <v>A1</v>
          </cell>
          <cell r="C1882">
            <v>1</v>
          </cell>
          <cell r="D1882">
            <v>1</v>
          </cell>
          <cell r="E1882" t="str">
            <v>ARIS.A1.Aim1.Bin1.LB</v>
          </cell>
          <cell r="F1882">
            <v>4</v>
          </cell>
          <cell r="G1882" t="str">
            <v>Unweighted</v>
          </cell>
          <cell r="H1882" t="str">
            <v>N</v>
          </cell>
          <cell r="I1882" t="str">
            <v>Y</v>
          </cell>
          <cell r="J1882">
            <v>176</v>
          </cell>
          <cell r="K1882">
            <v>0.99990000000000001</v>
          </cell>
          <cell r="L1882">
            <v>0.37609999999999999</v>
          </cell>
          <cell r="M1882">
            <v>25</v>
          </cell>
          <cell r="N1882">
            <v>5.0999999999999996</v>
          </cell>
          <cell r="O1882">
            <v>0.62380000000000002</v>
          </cell>
          <cell r="P1882">
            <v>0.12559999999999999</v>
          </cell>
          <cell r="Q1882">
            <v>0</v>
          </cell>
          <cell r="R1882">
            <v>0.49819999999999998</v>
          </cell>
          <cell r="S1882" t="str">
            <v>NA</v>
          </cell>
          <cell r="T1882">
            <v>60.3</v>
          </cell>
          <cell r="U1882">
            <v>4.9000000000000004</v>
          </cell>
          <cell r="V1882">
            <v>75.7</v>
          </cell>
          <cell r="W1882">
            <v>7.6</v>
          </cell>
          <cell r="X1882">
            <v>52.3</v>
          </cell>
          <cell r="Y1882">
            <v>6.8</v>
          </cell>
          <cell r="Z1882" t="str">
            <v>NA</v>
          </cell>
          <cell r="AA1882" t="str">
            <v>NA</v>
          </cell>
        </row>
        <row r="1883">
          <cell r="A1883">
            <v>45187</v>
          </cell>
          <cell r="B1883" t="str">
            <v>A1</v>
          </cell>
          <cell r="C1883">
            <v>1</v>
          </cell>
          <cell r="D1883">
            <v>2</v>
          </cell>
          <cell r="E1883" t="str">
            <v>ARIS.A1.Aim2.Bin1.LB</v>
          </cell>
          <cell r="F1883">
            <v>4</v>
          </cell>
          <cell r="G1883" t="str">
            <v>Unweighted</v>
          </cell>
          <cell r="H1883" t="str">
            <v>N</v>
          </cell>
          <cell r="I1883" t="str">
            <v>Y</v>
          </cell>
          <cell r="J1883">
            <v>171</v>
          </cell>
          <cell r="K1883">
            <v>1</v>
          </cell>
          <cell r="L1883">
            <v>0.1176</v>
          </cell>
          <cell r="M1883">
            <v>22.8</v>
          </cell>
          <cell r="N1883">
            <v>4.8</v>
          </cell>
          <cell r="O1883">
            <v>0.88239999999999996</v>
          </cell>
          <cell r="P1883">
            <v>0.25750000000000001</v>
          </cell>
          <cell r="Q1883">
            <v>0</v>
          </cell>
          <cell r="R1883">
            <v>0.62490000000000001</v>
          </cell>
          <cell r="S1883" t="str">
            <v>NA</v>
          </cell>
          <cell r="T1883">
            <v>60.3</v>
          </cell>
          <cell r="U1883">
            <v>4.9000000000000004</v>
          </cell>
          <cell r="V1883">
            <v>75.7</v>
          </cell>
          <cell r="W1883">
            <v>7.6</v>
          </cell>
          <cell r="X1883">
            <v>52.3</v>
          </cell>
          <cell r="Y1883">
            <v>6.8</v>
          </cell>
          <cell r="Z1883" t="str">
            <v>NA</v>
          </cell>
          <cell r="AA1883" t="str">
            <v>NA</v>
          </cell>
        </row>
        <row r="1884">
          <cell r="A1884">
            <v>45187</v>
          </cell>
          <cell r="B1884" t="str">
            <v>A1</v>
          </cell>
          <cell r="C1884">
            <v>1</v>
          </cell>
          <cell r="D1884" t="str">
            <v>1&amp;2</v>
          </cell>
          <cell r="E1884" t="str">
            <v>ARIS.A1.Aim1&amp;Aim2.Bin1.LB</v>
          </cell>
          <cell r="F1884">
            <v>4</v>
          </cell>
          <cell r="G1884" t="str">
            <v>Unweighted</v>
          </cell>
          <cell r="H1884" t="str">
            <v>N</v>
          </cell>
          <cell r="I1884" t="str">
            <v>Y</v>
          </cell>
          <cell r="J1884">
            <v>347</v>
          </cell>
          <cell r="K1884">
            <v>1</v>
          </cell>
          <cell r="L1884">
            <v>0.255</v>
          </cell>
          <cell r="M1884">
            <v>24.7</v>
          </cell>
          <cell r="N1884">
            <v>5.0999999999999996</v>
          </cell>
          <cell r="O1884">
            <v>0.745</v>
          </cell>
          <cell r="P1884">
            <v>0.19550000000000001</v>
          </cell>
          <cell r="Q1884">
            <v>0</v>
          </cell>
          <cell r="R1884">
            <v>0.54949999999999999</v>
          </cell>
          <cell r="S1884" t="str">
            <v>NA</v>
          </cell>
          <cell r="T1884">
            <v>60.3</v>
          </cell>
          <cell r="U1884">
            <v>4.9000000000000004</v>
          </cell>
          <cell r="V1884">
            <v>75.7</v>
          </cell>
          <cell r="W1884">
            <v>7.6</v>
          </cell>
          <cell r="X1884">
            <v>52.3</v>
          </cell>
          <cell r="Y1884">
            <v>6.8</v>
          </cell>
          <cell r="Z1884" t="str">
            <v>NA</v>
          </cell>
          <cell r="AA1884" t="str">
            <v>NA</v>
          </cell>
        </row>
        <row r="1885">
          <cell r="A1885">
            <v>45187</v>
          </cell>
          <cell r="B1885" t="str">
            <v>A1</v>
          </cell>
          <cell r="C1885">
            <v>2</v>
          </cell>
          <cell r="D1885">
            <v>3</v>
          </cell>
          <cell r="E1885" t="str">
            <v>ARIS.A1.Aim3.Bin2.LB</v>
          </cell>
          <cell r="F1885">
            <v>4</v>
          </cell>
          <cell r="G1885" t="str">
            <v>Unweighted</v>
          </cell>
          <cell r="H1885" t="str">
            <v>N</v>
          </cell>
          <cell r="I1885" t="str">
            <v>Y</v>
          </cell>
          <cell r="J1885">
            <v>177</v>
          </cell>
          <cell r="K1885">
            <v>1</v>
          </cell>
          <cell r="L1885">
            <v>7.8799999999999995E-2</v>
          </cell>
          <cell r="M1885">
            <v>23.7</v>
          </cell>
          <cell r="N1885">
            <v>10.7</v>
          </cell>
          <cell r="O1885">
            <v>0.92120000000000002</v>
          </cell>
          <cell r="P1885">
            <v>0.30009999999999998</v>
          </cell>
          <cell r="Q1885">
            <v>0.12970000000000001</v>
          </cell>
          <cell r="R1885">
            <v>0.4914</v>
          </cell>
          <cell r="S1885" t="str">
            <v>NA</v>
          </cell>
          <cell r="T1885">
            <v>60.3</v>
          </cell>
          <cell r="U1885">
            <v>4.9000000000000004</v>
          </cell>
          <cell r="V1885">
            <v>75.7</v>
          </cell>
          <cell r="W1885">
            <v>7.6</v>
          </cell>
          <cell r="X1885">
            <v>52.3</v>
          </cell>
          <cell r="Y1885">
            <v>6.8</v>
          </cell>
          <cell r="Z1885" t="str">
            <v>NA</v>
          </cell>
          <cell r="AA1885" t="str">
            <v>NA</v>
          </cell>
        </row>
        <row r="1886">
          <cell r="A1886">
            <v>45187</v>
          </cell>
          <cell r="B1886" t="str">
            <v>A1</v>
          </cell>
          <cell r="C1886">
            <v>3</v>
          </cell>
          <cell r="D1886">
            <v>3</v>
          </cell>
          <cell r="E1886" t="str">
            <v>ARIS.A1.Aim3.Bin3.LB</v>
          </cell>
          <cell r="F1886">
            <v>4</v>
          </cell>
          <cell r="G1886" t="str">
            <v>Unweighted</v>
          </cell>
          <cell r="H1886" t="str">
            <v>N</v>
          </cell>
          <cell r="I1886" t="str">
            <v>Y</v>
          </cell>
          <cell r="J1886">
            <v>182</v>
          </cell>
          <cell r="K1886">
            <v>1.0001</v>
          </cell>
          <cell r="L1886">
            <v>3.8699999999999998E-2</v>
          </cell>
          <cell r="M1886">
            <v>23.7</v>
          </cell>
          <cell r="N1886">
            <v>9.6999999999999993</v>
          </cell>
          <cell r="O1886">
            <v>0.96140000000000003</v>
          </cell>
          <cell r="P1886">
            <v>0.318</v>
          </cell>
          <cell r="Q1886">
            <v>0.37690000000000001</v>
          </cell>
          <cell r="R1886">
            <v>0.26650000000000001</v>
          </cell>
          <cell r="S1886" t="str">
            <v>NA</v>
          </cell>
          <cell r="T1886">
            <v>60.3</v>
          </cell>
          <cell r="U1886">
            <v>4.9000000000000004</v>
          </cell>
          <cell r="V1886">
            <v>75.7</v>
          </cell>
          <cell r="W1886">
            <v>7.6</v>
          </cell>
          <cell r="X1886">
            <v>52.3</v>
          </cell>
          <cell r="Y1886">
            <v>6.8</v>
          </cell>
          <cell r="Z1886" t="str">
            <v>NA</v>
          </cell>
          <cell r="AA1886" t="str">
            <v>NA</v>
          </cell>
        </row>
        <row r="1887">
          <cell r="A1887">
            <v>45187</v>
          </cell>
          <cell r="B1887" t="str">
            <v>A1</v>
          </cell>
          <cell r="C1887">
            <v>4</v>
          </cell>
          <cell r="D1887">
            <v>3</v>
          </cell>
          <cell r="E1887" t="str">
            <v>ARIS.A1.Aim3.Bin4.LB</v>
          </cell>
          <cell r="F1887">
            <v>4</v>
          </cell>
          <cell r="G1887" t="str">
            <v>Unweighted</v>
          </cell>
          <cell r="H1887" t="str">
            <v>N</v>
          </cell>
          <cell r="I1887" t="str">
            <v>Y</v>
          </cell>
          <cell r="J1887">
            <v>182</v>
          </cell>
          <cell r="K1887">
            <v>1.0001</v>
          </cell>
          <cell r="L1887">
            <v>3.8699999999999998E-2</v>
          </cell>
          <cell r="M1887">
            <v>23.7</v>
          </cell>
          <cell r="N1887">
            <v>9.6999999999999993</v>
          </cell>
          <cell r="O1887">
            <v>0.96140000000000003</v>
          </cell>
          <cell r="P1887">
            <v>0.318</v>
          </cell>
          <cell r="Q1887">
            <v>0.37690000000000001</v>
          </cell>
          <cell r="R1887">
            <v>0.26650000000000001</v>
          </cell>
          <cell r="S1887" t="str">
            <v>NA</v>
          </cell>
          <cell r="T1887">
            <v>60.3</v>
          </cell>
          <cell r="U1887">
            <v>4.9000000000000004</v>
          </cell>
          <cell r="V1887">
            <v>75.7</v>
          </cell>
          <cell r="W1887">
            <v>7.6</v>
          </cell>
          <cell r="X1887">
            <v>52.3</v>
          </cell>
          <cell r="Y1887">
            <v>6.8</v>
          </cell>
          <cell r="Z1887" t="str">
            <v>NA</v>
          </cell>
          <cell r="AA1887" t="str">
            <v>NA</v>
          </cell>
        </row>
        <row r="1888">
          <cell r="A1888">
            <v>45187</v>
          </cell>
          <cell r="B1888" t="str">
            <v>A2</v>
          </cell>
          <cell r="C1888">
            <v>1</v>
          </cell>
          <cell r="D1888">
            <v>1</v>
          </cell>
          <cell r="E1888" t="str">
            <v>ARIS.A2.Aim1.Bin1.RB</v>
          </cell>
          <cell r="F1888">
            <v>4</v>
          </cell>
          <cell r="G1888" t="str">
            <v>Unweighted</v>
          </cell>
          <cell r="H1888" t="str">
            <v>N</v>
          </cell>
          <cell r="I1888" t="str">
            <v>Y</v>
          </cell>
          <cell r="J1888">
            <v>168</v>
          </cell>
          <cell r="K1888">
            <v>1</v>
          </cell>
          <cell r="L1888">
            <v>0.32350000000000001</v>
          </cell>
          <cell r="M1888">
            <v>21.4</v>
          </cell>
          <cell r="N1888">
            <v>8.1</v>
          </cell>
          <cell r="O1888">
            <v>0.67649999999999999</v>
          </cell>
          <cell r="P1888">
            <v>0</v>
          </cell>
          <cell r="Q1888">
            <v>5.45E-2</v>
          </cell>
          <cell r="R1888">
            <v>0.622</v>
          </cell>
          <cell r="S1888" t="str">
            <v>NA</v>
          </cell>
          <cell r="T1888">
            <v>60.3</v>
          </cell>
          <cell r="U1888">
            <v>4.9000000000000004</v>
          </cell>
          <cell r="V1888">
            <v>75.7</v>
          </cell>
          <cell r="W1888">
            <v>7.6</v>
          </cell>
          <cell r="X1888">
            <v>52.3</v>
          </cell>
          <cell r="Y1888">
            <v>6.8</v>
          </cell>
          <cell r="Z1888" t="str">
            <v>NA</v>
          </cell>
          <cell r="AA1888" t="str">
            <v>NA</v>
          </cell>
        </row>
        <row r="1889">
          <cell r="A1889">
            <v>45187</v>
          </cell>
          <cell r="B1889" t="str">
            <v>A2</v>
          </cell>
          <cell r="C1889">
            <v>2</v>
          </cell>
          <cell r="D1889">
            <v>1</v>
          </cell>
          <cell r="E1889" t="str">
            <v>ARIS.A2.Aim1.Bin2.RB</v>
          </cell>
          <cell r="F1889">
            <v>4</v>
          </cell>
          <cell r="G1889" t="str">
            <v>Unweighted</v>
          </cell>
          <cell r="H1889" t="str">
            <v>N</v>
          </cell>
          <cell r="I1889" t="str">
            <v>Y</v>
          </cell>
          <cell r="J1889">
            <v>158</v>
          </cell>
          <cell r="K1889">
            <v>1</v>
          </cell>
          <cell r="L1889">
            <v>0.1676</v>
          </cell>
          <cell r="M1889">
            <v>23.7</v>
          </cell>
          <cell r="N1889">
            <v>9.1</v>
          </cell>
          <cell r="O1889">
            <v>0.83240000000000003</v>
          </cell>
          <cell r="P1889">
            <v>0.26629999999999998</v>
          </cell>
          <cell r="Q1889">
            <v>0.15959999999999999</v>
          </cell>
          <cell r="R1889">
            <v>0.40649999999999997</v>
          </cell>
          <cell r="S1889" t="str">
            <v>NA</v>
          </cell>
          <cell r="T1889">
            <v>60.3</v>
          </cell>
          <cell r="U1889">
            <v>4.9000000000000004</v>
          </cell>
          <cell r="V1889">
            <v>75.7</v>
          </cell>
          <cell r="W1889">
            <v>7.6</v>
          </cell>
          <cell r="X1889">
            <v>52.3</v>
          </cell>
          <cell r="Y1889">
            <v>6.8</v>
          </cell>
          <cell r="Z1889" t="str">
            <v>NA</v>
          </cell>
          <cell r="AA1889" t="str">
            <v>NA</v>
          </cell>
        </row>
        <row r="1890">
          <cell r="A1890">
            <v>45187</v>
          </cell>
          <cell r="B1890" t="str">
            <v>A2</v>
          </cell>
          <cell r="C1890">
            <v>3</v>
          </cell>
          <cell r="D1890">
            <v>1</v>
          </cell>
          <cell r="E1890" t="str">
            <v>ARIS.A2.Aim1.Bin3.RB</v>
          </cell>
          <cell r="F1890">
            <v>4</v>
          </cell>
          <cell r="G1890" t="str">
            <v>Unweighted</v>
          </cell>
          <cell r="H1890" t="str">
            <v>N</v>
          </cell>
          <cell r="I1890" t="str">
            <v>Y</v>
          </cell>
          <cell r="J1890">
            <v>124</v>
          </cell>
          <cell r="K1890">
            <v>1</v>
          </cell>
          <cell r="L1890">
            <v>0.19359999999999999</v>
          </cell>
          <cell r="M1890">
            <v>23.7</v>
          </cell>
          <cell r="N1890">
            <v>9.1999999999999993</v>
          </cell>
          <cell r="O1890">
            <v>0.80640000000000001</v>
          </cell>
          <cell r="P1890">
            <v>0.14929999999999999</v>
          </cell>
          <cell r="Q1890">
            <v>0.2777</v>
          </cell>
          <cell r="R1890">
            <v>0.37940000000000002</v>
          </cell>
          <cell r="S1890" t="str">
            <v>NA</v>
          </cell>
          <cell r="T1890">
            <v>60.3</v>
          </cell>
          <cell r="U1890">
            <v>4.9000000000000004</v>
          </cell>
          <cell r="V1890">
            <v>75.7</v>
          </cell>
          <cell r="W1890">
            <v>7.6</v>
          </cell>
          <cell r="X1890">
            <v>52.3</v>
          </cell>
          <cell r="Y1890">
            <v>6.8</v>
          </cell>
          <cell r="Z1890" t="str">
            <v>NA</v>
          </cell>
          <cell r="AA1890" t="str">
            <v>NA</v>
          </cell>
        </row>
        <row r="1891">
          <cell r="A1891">
            <v>45187</v>
          </cell>
          <cell r="B1891" t="str">
            <v>A2</v>
          </cell>
          <cell r="C1891">
            <v>4</v>
          </cell>
          <cell r="D1891">
            <v>1</v>
          </cell>
          <cell r="E1891" t="str">
            <v>ARIS.A2.Aim1.Bin4.RB</v>
          </cell>
          <cell r="F1891">
            <v>4</v>
          </cell>
          <cell r="G1891" t="str">
            <v>Unweighted</v>
          </cell>
          <cell r="H1891" t="str">
            <v>N</v>
          </cell>
          <cell r="I1891" t="str">
            <v>Y</v>
          </cell>
          <cell r="J1891">
            <v>124</v>
          </cell>
          <cell r="K1891">
            <v>1</v>
          </cell>
          <cell r="L1891">
            <v>0.19359999999999999</v>
          </cell>
          <cell r="M1891">
            <v>23.7</v>
          </cell>
          <cell r="N1891">
            <v>9.1999999999999993</v>
          </cell>
          <cell r="O1891">
            <v>0.80640000000000001</v>
          </cell>
          <cell r="P1891">
            <v>0.14929999999999999</v>
          </cell>
          <cell r="Q1891">
            <v>0.2777</v>
          </cell>
          <cell r="R1891">
            <v>0.37940000000000002</v>
          </cell>
          <cell r="S1891" t="str">
            <v>NA</v>
          </cell>
          <cell r="T1891">
            <v>60.3</v>
          </cell>
          <cell r="U1891">
            <v>4.9000000000000004</v>
          </cell>
          <cell r="V1891">
            <v>75.7</v>
          </cell>
          <cell r="W1891">
            <v>7.6</v>
          </cell>
          <cell r="X1891">
            <v>52.3</v>
          </cell>
          <cell r="Y1891">
            <v>6.8</v>
          </cell>
          <cell r="Z1891" t="str">
            <v>NA</v>
          </cell>
          <cell r="AA1891" t="str">
            <v>NA</v>
          </cell>
        </row>
        <row r="1892">
          <cell r="A1892">
            <v>45188</v>
          </cell>
          <cell r="B1892" t="str">
            <v>A1</v>
          </cell>
          <cell r="C1892">
            <v>1</v>
          </cell>
          <cell r="D1892">
            <v>1</v>
          </cell>
          <cell r="E1892" t="str">
            <v>ARIS.A1.Aim1.Bin1.LB</v>
          </cell>
          <cell r="F1892">
            <v>4</v>
          </cell>
          <cell r="G1892" t="str">
            <v>SplineDFA</v>
          </cell>
          <cell r="H1892" t="str">
            <v>Y</v>
          </cell>
          <cell r="I1892" t="str">
            <v>N</v>
          </cell>
          <cell r="J1892">
            <v>151</v>
          </cell>
          <cell r="K1892">
            <v>1</v>
          </cell>
          <cell r="L1892">
            <v>0.29399999999999998</v>
          </cell>
          <cell r="M1892">
            <v>23.7</v>
          </cell>
          <cell r="N1892">
            <v>2.7</v>
          </cell>
          <cell r="O1892">
            <v>0.70599999999999996</v>
          </cell>
          <cell r="P1892">
            <v>0.17519999999999999</v>
          </cell>
          <cell r="Q1892">
            <v>2.3E-2</v>
          </cell>
          <cell r="R1892">
            <v>0.50780000000000003</v>
          </cell>
          <cell r="S1892" t="str">
            <v>NA</v>
          </cell>
          <cell r="T1892">
            <v>60.6</v>
          </cell>
          <cell r="U1892">
            <v>4.9000000000000004</v>
          </cell>
          <cell r="V1892">
            <v>75.7</v>
          </cell>
          <cell r="W1892">
            <v>7.6</v>
          </cell>
          <cell r="X1892">
            <v>52.3</v>
          </cell>
          <cell r="Y1892">
            <v>6.8</v>
          </cell>
          <cell r="Z1892" t="str">
            <v>NA</v>
          </cell>
          <cell r="AA1892" t="str">
            <v>NA</v>
          </cell>
        </row>
        <row r="1893">
          <cell r="A1893">
            <v>45188</v>
          </cell>
          <cell r="B1893" t="str">
            <v>A1</v>
          </cell>
          <cell r="C1893">
            <v>1</v>
          </cell>
          <cell r="D1893">
            <v>2</v>
          </cell>
          <cell r="E1893" t="str">
            <v>ARIS.A1.Aim2.Bin1.LB</v>
          </cell>
          <cell r="F1893">
            <v>4</v>
          </cell>
          <cell r="G1893" t="str">
            <v>SplineDFA</v>
          </cell>
          <cell r="H1893" t="str">
            <v>Y</v>
          </cell>
          <cell r="I1893" t="str">
            <v>N</v>
          </cell>
          <cell r="J1893">
            <v>154</v>
          </cell>
          <cell r="K1893">
            <v>1</v>
          </cell>
          <cell r="L1893">
            <v>0.30030000000000001</v>
          </cell>
          <cell r="M1893">
            <v>23.7</v>
          </cell>
          <cell r="N1893">
            <v>2.7</v>
          </cell>
          <cell r="O1893">
            <v>0.69969999999999999</v>
          </cell>
          <cell r="P1893">
            <v>0.28320000000000001</v>
          </cell>
          <cell r="Q1893">
            <v>2.1499999999999998E-2</v>
          </cell>
          <cell r="R1893">
            <v>0.39500000000000002</v>
          </cell>
          <cell r="S1893" t="str">
            <v>NA</v>
          </cell>
          <cell r="T1893">
            <v>60.6</v>
          </cell>
          <cell r="U1893">
            <v>4.9000000000000004</v>
          </cell>
          <cell r="V1893">
            <v>75.7</v>
          </cell>
          <cell r="W1893">
            <v>7.6</v>
          </cell>
          <cell r="X1893">
            <v>52.3</v>
          </cell>
          <cell r="Y1893">
            <v>6.8</v>
          </cell>
          <cell r="Z1893" t="str">
            <v>NA</v>
          </cell>
          <cell r="AA1893" t="str">
            <v>NA</v>
          </cell>
        </row>
        <row r="1894">
          <cell r="A1894">
            <v>45188</v>
          </cell>
          <cell r="B1894" t="str">
            <v>A1</v>
          </cell>
          <cell r="C1894">
            <v>2</v>
          </cell>
          <cell r="D1894">
            <v>3</v>
          </cell>
          <cell r="E1894" t="str">
            <v>ARIS.A1.Aim3.Bin2.LB</v>
          </cell>
          <cell r="F1894">
            <v>4</v>
          </cell>
          <cell r="G1894" t="str">
            <v>SplineDFA</v>
          </cell>
          <cell r="H1894" t="str">
            <v>Y</v>
          </cell>
          <cell r="I1894" t="str">
            <v>N</v>
          </cell>
          <cell r="J1894">
            <v>159</v>
          </cell>
          <cell r="K1894">
            <v>1.0001</v>
          </cell>
          <cell r="L1894">
            <v>9.8699999999999996E-2</v>
          </cell>
          <cell r="M1894">
            <v>23.7</v>
          </cell>
          <cell r="N1894">
            <v>2.7</v>
          </cell>
          <cell r="O1894">
            <v>0.90139999999999998</v>
          </cell>
          <cell r="P1894">
            <v>0.2424</v>
          </cell>
          <cell r="Q1894">
            <v>8.7400000000000005E-2</v>
          </cell>
          <cell r="R1894">
            <v>0.5716</v>
          </cell>
          <cell r="S1894" t="str">
            <v>NA</v>
          </cell>
          <cell r="T1894">
            <v>60.6</v>
          </cell>
          <cell r="U1894">
            <v>4.9000000000000004</v>
          </cell>
          <cell r="V1894">
            <v>75.7</v>
          </cell>
          <cell r="W1894">
            <v>7.6</v>
          </cell>
          <cell r="X1894">
            <v>52.3</v>
          </cell>
          <cell r="Y1894">
            <v>6.8</v>
          </cell>
          <cell r="Z1894" t="str">
            <v>NA</v>
          </cell>
          <cell r="AA1894" t="str">
            <v>NA</v>
          </cell>
        </row>
        <row r="1895">
          <cell r="A1895">
            <v>45188</v>
          </cell>
          <cell r="B1895" t="str">
            <v>A1</v>
          </cell>
          <cell r="C1895">
            <v>3</v>
          </cell>
          <cell r="D1895">
            <v>3</v>
          </cell>
          <cell r="E1895" t="str">
            <v>ARIS.A1.Aim3.Bin3.LB</v>
          </cell>
          <cell r="F1895">
            <v>4</v>
          </cell>
          <cell r="G1895" t="str">
            <v>SplineDFA</v>
          </cell>
          <cell r="H1895" t="str">
            <v>Y</v>
          </cell>
          <cell r="I1895" t="str">
            <v>N</v>
          </cell>
          <cell r="J1895">
            <v>155</v>
          </cell>
          <cell r="K1895">
            <v>1</v>
          </cell>
          <cell r="L1895">
            <v>1.2800000000000001E-2</v>
          </cell>
          <cell r="M1895">
            <v>23.7</v>
          </cell>
          <cell r="N1895">
            <v>2.7</v>
          </cell>
          <cell r="O1895">
            <v>0.98719999999999997</v>
          </cell>
          <cell r="P1895">
            <v>0.377</v>
          </cell>
          <cell r="Q1895">
            <v>0.254</v>
          </cell>
          <cell r="R1895">
            <v>0.35620000000000002</v>
          </cell>
          <cell r="S1895" t="str">
            <v>NA</v>
          </cell>
          <cell r="T1895">
            <v>60.6</v>
          </cell>
          <cell r="U1895">
            <v>4.9000000000000004</v>
          </cell>
          <cell r="V1895">
            <v>75.7</v>
          </cell>
          <cell r="W1895">
            <v>7.6</v>
          </cell>
          <cell r="X1895">
            <v>52.3</v>
          </cell>
          <cell r="Y1895">
            <v>6.8</v>
          </cell>
          <cell r="Z1895" t="str">
            <v>NA</v>
          </cell>
          <cell r="AA1895" t="str">
            <v>NA</v>
          </cell>
        </row>
        <row r="1896">
          <cell r="A1896">
            <v>45188</v>
          </cell>
          <cell r="B1896" t="str">
            <v>A1</v>
          </cell>
          <cell r="C1896">
            <v>4</v>
          </cell>
          <cell r="D1896">
            <v>3</v>
          </cell>
          <cell r="E1896" t="str">
            <v>ARIS.A1.Aim3.Bin4.LB</v>
          </cell>
          <cell r="F1896">
            <v>4</v>
          </cell>
          <cell r="G1896" t="str">
            <v>SplineDFA</v>
          </cell>
          <cell r="H1896" t="str">
            <v>Y</v>
          </cell>
          <cell r="I1896" t="str">
            <v>N</v>
          </cell>
          <cell r="J1896">
            <v>155</v>
          </cell>
          <cell r="K1896">
            <v>1</v>
          </cell>
          <cell r="L1896">
            <v>1.2800000000000001E-2</v>
          </cell>
          <cell r="M1896">
            <v>23.7</v>
          </cell>
          <cell r="N1896">
            <v>2.7</v>
          </cell>
          <cell r="O1896">
            <v>0.98719999999999997</v>
          </cell>
          <cell r="P1896">
            <v>0.377</v>
          </cell>
          <cell r="Q1896">
            <v>0.254</v>
          </cell>
          <cell r="R1896">
            <v>0.35620000000000002</v>
          </cell>
          <cell r="S1896" t="str">
            <v>NA</v>
          </cell>
          <cell r="T1896">
            <v>60.6</v>
          </cell>
          <cell r="U1896">
            <v>4.9000000000000004</v>
          </cell>
          <cell r="V1896">
            <v>75.7</v>
          </cell>
          <cell r="W1896">
            <v>7.6</v>
          </cell>
          <cell r="X1896">
            <v>52.3</v>
          </cell>
          <cell r="Y1896">
            <v>6.8</v>
          </cell>
          <cell r="Z1896" t="str">
            <v>NA</v>
          </cell>
          <cell r="AA1896" t="str">
            <v>NA</v>
          </cell>
        </row>
        <row r="1897">
          <cell r="A1897">
            <v>45188</v>
          </cell>
          <cell r="B1897" t="str">
            <v>A2</v>
          </cell>
          <cell r="C1897">
            <v>1</v>
          </cell>
          <cell r="D1897">
            <v>1</v>
          </cell>
          <cell r="E1897" t="str">
            <v>ARIS.A2.Aim1.Bin1.RB</v>
          </cell>
          <cell r="F1897">
            <v>4</v>
          </cell>
          <cell r="G1897" t="str">
            <v>SplineDFA</v>
          </cell>
          <cell r="H1897" t="str">
            <v>Y</v>
          </cell>
          <cell r="I1897" t="str">
            <v>N</v>
          </cell>
          <cell r="J1897">
            <v>161</v>
          </cell>
          <cell r="K1897">
            <v>1</v>
          </cell>
          <cell r="L1897">
            <v>0.23250000000000001</v>
          </cell>
          <cell r="M1897">
            <v>23.7</v>
          </cell>
          <cell r="N1897">
            <v>2.7</v>
          </cell>
          <cell r="O1897">
            <v>0.76749999999999996</v>
          </cell>
          <cell r="P1897">
            <v>0.26800000000000002</v>
          </cell>
          <cell r="Q1897">
            <v>5.6599999999999998E-2</v>
          </cell>
          <cell r="R1897">
            <v>0.44290000000000002</v>
          </cell>
          <cell r="S1897" t="str">
            <v>NA</v>
          </cell>
          <cell r="T1897">
            <v>60.6</v>
          </cell>
          <cell r="U1897">
            <v>4.9000000000000004</v>
          </cell>
          <cell r="V1897">
            <v>75.7</v>
          </cell>
          <cell r="W1897">
            <v>7.6</v>
          </cell>
          <cell r="X1897">
            <v>52.3</v>
          </cell>
          <cell r="Y1897">
            <v>6.8</v>
          </cell>
          <cell r="Z1897" t="str">
            <v>NA</v>
          </cell>
          <cell r="AA1897" t="str">
            <v>NA</v>
          </cell>
        </row>
        <row r="1898">
          <cell r="A1898">
            <v>45188</v>
          </cell>
          <cell r="B1898" t="str">
            <v>A2</v>
          </cell>
          <cell r="C1898">
            <v>2</v>
          </cell>
          <cell r="D1898">
            <v>1</v>
          </cell>
          <cell r="E1898" t="str">
            <v>ARIS.A2.Aim1.Bin2.RB</v>
          </cell>
          <cell r="F1898">
            <v>4</v>
          </cell>
          <cell r="G1898" t="str">
            <v>SplineDFA</v>
          </cell>
          <cell r="H1898" t="str">
            <v>Y</v>
          </cell>
          <cell r="I1898" t="str">
            <v>N</v>
          </cell>
          <cell r="J1898">
            <v>150</v>
          </cell>
          <cell r="K1898">
            <v>1</v>
          </cell>
          <cell r="L1898">
            <v>9.3700000000000006E-2</v>
          </cell>
          <cell r="M1898">
            <v>23.7</v>
          </cell>
          <cell r="N1898">
            <v>2.7</v>
          </cell>
          <cell r="O1898">
            <v>0.90629999999999999</v>
          </cell>
          <cell r="P1898">
            <v>0.29499999999999998</v>
          </cell>
          <cell r="Q1898">
            <v>0.15090000000000001</v>
          </cell>
          <cell r="R1898">
            <v>0.46039999999999998</v>
          </cell>
          <cell r="S1898" t="str">
            <v>NA</v>
          </cell>
          <cell r="T1898">
            <v>60.6</v>
          </cell>
          <cell r="U1898">
            <v>4.9000000000000004</v>
          </cell>
          <cell r="V1898">
            <v>75.7</v>
          </cell>
          <cell r="W1898">
            <v>7.6</v>
          </cell>
          <cell r="X1898">
            <v>52.3</v>
          </cell>
          <cell r="Y1898">
            <v>6.8</v>
          </cell>
          <cell r="Z1898" t="str">
            <v>NA</v>
          </cell>
          <cell r="AA1898" t="str">
            <v>NA</v>
          </cell>
        </row>
        <row r="1899">
          <cell r="A1899">
            <v>45188</v>
          </cell>
          <cell r="B1899" t="str">
            <v>A2</v>
          </cell>
          <cell r="C1899">
            <v>3</v>
          </cell>
          <cell r="D1899">
            <v>1</v>
          </cell>
          <cell r="E1899" t="str">
            <v>ARIS.A2.Aim1.Bin3.RB</v>
          </cell>
          <cell r="F1899">
            <v>4</v>
          </cell>
          <cell r="G1899" t="str">
            <v>SplineDFA</v>
          </cell>
          <cell r="H1899" t="str">
            <v>Y</v>
          </cell>
          <cell r="I1899" t="str">
            <v>N</v>
          </cell>
          <cell r="J1899">
            <v>136</v>
          </cell>
          <cell r="K1899">
            <v>1</v>
          </cell>
          <cell r="L1899">
            <v>5.2200000000000003E-2</v>
          </cell>
          <cell r="M1899">
            <v>23.7</v>
          </cell>
          <cell r="N1899">
            <v>2.7</v>
          </cell>
          <cell r="O1899">
            <v>0.94779999999999998</v>
          </cell>
          <cell r="P1899">
            <v>0.2203</v>
          </cell>
          <cell r="Q1899">
            <v>0.38900000000000001</v>
          </cell>
          <cell r="R1899">
            <v>0.33850000000000002</v>
          </cell>
          <cell r="S1899" t="str">
            <v>NA</v>
          </cell>
          <cell r="T1899">
            <v>60.6</v>
          </cell>
          <cell r="U1899">
            <v>4.9000000000000004</v>
          </cell>
          <cell r="V1899">
            <v>75.7</v>
          </cell>
          <cell r="W1899">
            <v>7.6</v>
          </cell>
          <cell r="X1899">
            <v>52.3</v>
          </cell>
          <cell r="Y1899">
            <v>6.8</v>
          </cell>
          <cell r="Z1899" t="str">
            <v>NA</v>
          </cell>
          <cell r="AA1899" t="str">
            <v>NA</v>
          </cell>
        </row>
        <row r="1900">
          <cell r="A1900">
            <v>45188</v>
          </cell>
          <cell r="B1900" t="str">
            <v>A2</v>
          </cell>
          <cell r="C1900">
            <v>4</v>
          </cell>
          <cell r="D1900">
            <v>1</v>
          </cell>
          <cell r="E1900" t="str">
            <v>ARIS.A2.Aim1.Bin4.RB</v>
          </cell>
          <cell r="F1900">
            <v>4</v>
          </cell>
          <cell r="G1900" t="str">
            <v>SplineDFA</v>
          </cell>
          <cell r="H1900" t="str">
            <v>Y</v>
          </cell>
          <cell r="I1900" t="str">
            <v>N</v>
          </cell>
          <cell r="J1900">
            <v>136</v>
          </cell>
          <cell r="K1900">
            <v>1</v>
          </cell>
          <cell r="L1900">
            <v>5.2200000000000003E-2</v>
          </cell>
          <cell r="M1900">
            <v>23.7</v>
          </cell>
          <cell r="N1900">
            <v>2.7</v>
          </cell>
          <cell r="O1900">
            <v>0.94779999999999998</v>
          </cell>
          <cell r="P1900">
            <v>0.2203</v>
          </cell>
          <cell r="Q1900">
            <v>0.38900000000000001</v>
          </cell>
          <cell r="R1900">
            <v>0.33850000000000002</v>
          </cell>
          <cell r="S1900" t="str">
            <v>NA</v>
          </cell>
          <cell r="T1900">
            <v>60.6</v>
          </cell>
          <cell r="U1900">
            <v>4.9000000000000004</v>
          </cell>
          <cell r="V1900">
            <v>75.7</v>
          </cell>
          <cell r="W1900">
            <v>7.6</v>
          </cell>
          <cell r="X1900">
            <v>52.3</v>
          </cell>
          <cell r="Y1900">
            <v>6.8</v>
          </cell>
          <cell r="Z1900" t="str">
            <v>NA</v>
          </cell>
          <cell r="AA1900" t="str">
            <v>NA</v>
          </cell>
        </row>
        <row r="1901">
          <cell r="A1901">
            <v>45188</v>
          </cell>
          <cell r="B1901" t="str">
            <v>A1</v>
          </cell>
          <cell r="C1901">
            <v>1</v>
          </cell>
          <cell r="D1901">
            <v>1</v>
          </cell>
          <cell r="E1901" t="str">
            <v>ARIS.A1.Aim1.Bin1.LB</v>
          </cell>
          <cell r="F1901">
            <v>4</v>
          </cell>
          <cell r="G1901" t="str">
            <v>Unweighted</v>
          </cell>
          <cell r="H1901" t="str">
            <v>N</v>
          </cell>
          <cell r="I1901" t="str">
            <v>Y</v>
          </cell>
          <cell r="J1901">
            <v>151</v>
          </cell>
          <cell r="K1901">
            <v>0.99990000000000001</v>
          </cell>
          <cell r="L1901">
            <v>0.44290000000000002</v>
          </cell>
          <cell r="M1901">
            <v>23.3</v>
          </cell>
          <cell r="N1901">
            <v>6</v>
          </cell>
          <cell r="O1901">
            <v>0.55700000000000005</v>
          </cell>
          <cell r="P1901">
            <v>0.1447</v>
          </cell>
          <cell r="Q1901">
            <v>0</v>
          </cell>
          <cell r="R1901">
            <v>0.4123</v>
          </cell>
          <cell r="S1901" t="str">
            <v>NA</v>
          </cell>
          <cell r="T1901">
            <v>60.6</v>
          </cell>
          <cell r="U1901">
            <v>4.9000000000000004</v>
          </cell>
          <cell r="V1901">
            <v>75.7</v>
          </cell>
          <cell r="W1901">
            <v>7.6</v>
          </cell>
          <cell r="X1901">
            <v>52.3</v>
          </cell>
          <cell r="Y1901">
            <v>6.8</v>
          </cell>
          <cell r="Z1901" t="str">
            <v>NA</v>
          </cell>
          <cell r="AA1901" t="str">
            <v>NA</v>
          </cell>
        </row>
        <row r="1902">
          <cell r="A1902">
            <v>45188</v>
          </cell>
          <cell r="B1902" t="str">
            <v>A1</v>
          </cell>
          <cell r="C1902">
            <v>1</v>
          </cell>
          <cell r="D1902">
            <v>2</v>
          </cell>
          <cell r="E1902" t="str">
            <v>ARIS.A1.Aim2.Bin1.LB</v>
          </cell>
          <cell r="F1902">
            <v>4</v>
          </cell>
          <cell r="G1902" t="str">
            <v>Unweighted</v>
          </cell>
          <cell r="H1902" t="str">
            <v>N</v>
          </cell>
          <cell r="I1902" t="str">
            <v>Y</v>
          </cell>
          <cell r="J1902">
            <v>154</v>
          </cell>
          <cell r="K1902">
            <v>1</v>
          </cell>
          <cell r="L1902">
            <v>0.41959999999999997</v>
          </cell>
          <cell r="M1902">
            <v>20.399999999999999</v>
          </cell>
          <cell r="N1902">
            <v>8.8000000000000007</v>
          </cell>
          <cell r="O1902">
            <v>0.58040000000000003</v>
          </cell>
          <cell r="P1902">
            <v>5.3900000000000003E-2</v>
          </cell>
          <cell r="Q1902">
            <v>2.06E-2</v>
          </cell>
          <cell r="R1902">
            <v>0.50590000000000002</v>
          </cell>
          <cell r="S1902" t="str">
            <v>NA</v>
          </cell>
          <cell r="T1902">
            <v>60.6</v>
          </cell>
          <cell r="U1902">
            <v>4.9000000000000004</v>
          </cell>
          <cell r="V1902">
            <v>75.7</v>
          </cell>
          <cell r="W1902">
            <v>7.6</v>
          </cell>
          <cell r="X1902">
            <v>52.3</v>
          </cell>
          <cell r="Y1902">
            <v>6.8</v>
          </cell>
          <cell r="Z1902" t="str">
            <v>NA</v>
          </cell>
          <cell r="AA1902" t="str">
            <v>NA</v>
          </cell>
        </row>
        <row r="1903">
          <cell r="A1903">
            <v>45188</v>
          </cell>
          <cell r="B1903" t="str">
            <v>A1</v>
          </cell>
          <cell r="C1903">
            <v>1</v>
          </cell>
          <cell r="D1903" t="str">
            <v>1&amp;2</v>
          </cell>
          <cell r="E1903" t="str">
            <v>ARIS.A1.Aim1&amp;Aim2.Bin1.LB</v>
          </cell>
          <cell r="F1903">
            <v>4</v>
          </cell>
          <cell r="G1903" t="str">
            <v>Unweighted</v>
          </cell>
          <cell r="H1903" t="str">
            <v>N</v>
          </cell>
          <cell r="I1903" t="str">
            <v>Y</v>
          </cell>
          <cell r="J1903">
            <v>305</v>
          </cell>
          <cell r="K1903">
            <v>0.99990000000000001</v>
          </cell>
          <cell r="L1903">
            <v>0.48649999999999999</v>
          </cell>
          <cell r="M1903">
            <v>23.9</v>
          </cell>
          <cell r="N1903">
            <v>9.1</v>
          </cell>
          <cell r="O1903">
            <v>0.51339999999999997</v>
          </cell>
          <cell r="P1903">
            <v>4.07E-2</v>
          </cell>
          <cell r="Q1903">
            <v>9.5999999999999992E-3</v>
          </cell>
          <cell r="R1903">
            <v>0.46310000000000001</v>
          </cell>
          <cell r="S1903" t="str">
            <v>NA</v>
          </cell>
          <cell r="T1903">
            <v>60.6</v>
          </cell>
          <cell r="U1903">
            <v>4.9000000000000004</v>
          </cell>
          <cell r="V1903">
            <v>75.7</v>
          </cell>
          <cell r="W1903">
            <v>7.6</v>
          </cell>
          <cell r="X1903">
            <v>52.3</v>
          </cell>
          <cell r="Y1903">
            <v>6.8</v>
          </cell>
          <cell r="Z1903" t="str">
            <v>NA</v>
          </cell>
          <cell r="AA1903" t="str">
            <v>NA</v>
          </cell>
        </row>
        <row r="1904">
          <cell r="A1904">
            <v>45188</v>
          </cell>
          <cell r="B1904" t="str">
            <v>A1</v>
          </cell>
          <cell r="C1904">
            <v>2</v>
          </cell>
          <cell r="D1904">
            <v>3</v>
          </cell>
          <cell r="E1904" t="str">
            <v>ARIS.A1.Aim3.Bin2.LB</v>
          </cell>
          <cell r="F1904">
            <v>4</v>
          </cell>
          <cell r="G1904" t="str">
            <v>Unweighted</v>
          </cell>
          <cell r="H1904" t="str">
            <v>N</v>
          </cell>
          <cell r="I1904" t="str">
            <v>Y</v>
          </cell>
          <cell r="J1904">
            <v>159</v>
          </cell>
          <cell r="K1904">
            <v>1</v>
          </cell>
          <cell r="L1904">
            <v>0.23549999999999999</v>
          </cell>
          <cell r="M1904">
            <v>23.7</v>
          </cell>
          <cell r="N1904">
            <v>7.2</v>
          </cell>
          <cell r="O1904">
            <v>0.76449999999999996</v>
          </cell>
          <cell r="P1904">
            <v>0</v>
          </cell>
          <cell r="Q1904">
            <v>4.8800000000000003E-2</v>
          </cell>
          <cell r="R1904">
            <v>0.7157</v>
          </cell>
          <cell r="S1904" t="str">
            <v>NA</v>
          </cell>
          <cell r="T1904">
            <v>60.6</v>
          </cell>
          <cell r="U1904">
            <v>4.9000000000000004</v>
          </cell>
          <cell r="V1904">
            <v>75.7</v>
          </cell>
          <cell r="W1904">
            <v>7.6</v>
          </cell>
          <cell r="X1904">
            <v>52.3</v>
          </cell>
          <cell r="Y1904">
            <v>6.8</v>
          </cell>
          <cell r="Z1904" t="str">
            <v>NA</v>
          </cell>
          <cell r="AA1904" t="str">
            <v>NA</v>
          </cell>
        </row>
        <row r="1905">
          <cell r="A1905">
            <v>45188</v>
          </cell>
          <cell r="B1905" t="str">
            <v>A1</v>
          </cell>
          <cell r="C1905">
            <v>3</v>
          </cell>
          <cell r="D1905">
            <v>3</v>
          </cell>
          <cell r="E1905" t="str">
            <v>ARIS.A1.Aim3.Bin3.LB</v>
          </cell>
          <cell r="F1905">
            <v>4</v>
          </cell>
          <cell r="G1905" t="str">
            <v>Unweighted</v>
          </cell>
          <cell r="H1905" t="str">
            <v>N</v>
          </cell>
          <cell r="I1905" t="str">
            <v>Y</v>
          </cell>
          <cell r="J1905">
            <v>155</v>
          </cell>
          <cell r="K1905">
            <v>1</v>
          </cell>
          <cell r="L1905">
            <v>4.3299999999999998E-2</v>
          </cell>
          <cell r="M1905">
            <v>23.7</v>
          </cell>
          <cell r="N1905">
            <v>13.5</v>
          </cell>
          <cell r="O1905">
            <v>0.95669999999999999</v>
          </cell>
          <cell r="P1905">
            <v>0.1129</v>
          </cell>
          <cell r="Q1905">
            <v>0.23219999999999999</v>
          </cell>
          <cell r="R1905">
            <v>0.61160000000000003</v>
          </cell>
          <cell r="S1905" t="str">
            <v>NA</v>
          </cell>
          <cell r="T1905">
            <v>60.6</v>
          </cell>
          <cell r="U1905">
            <v>4.9000000000000004</v>
          </cell>
          <cell r="V1905">
            <v>75.7</v>
          </cell>
          <cell r="W1905">
            <v>7.6</v>
          </cell>
          <cell r="X1905">
            <v>52.3</v>
          </cell>
          <cell r="Y1905">
            <v>6.8</v>
          </cell>
          <cell r="Z1905" t="str">
            <v>NA</v>
          </cell>
          <cell r="AA1905" t="str">
            <v>NA</v>
          </cell>
        </row>
        <row r="1906">
          <cell r="A1906">
            <v>45188</v>
          </cell>
          <cell r="B1906" t="str">
            <v>A1</v>
          </cell>
          <cell r="C1906">
            <v>4</v>
          </cell>
          <cell r="D1906">
            <v>3</v>
          </cell>
          <cell r="E1906" t="str">
            <v>ARIS.A1.Aim3.Bin4.LB</v>
          </cell>
          <cell r="F1906">
            <v>4</v>
          </cell>
          <cell r="G1906" t="str">
            <v>Unweighted</v>
          </cell>
          <cell r="H1906" t="str">
            <v>N</v>
          </cell>
          <cell r="I1906" t="str">
            <v>Y</v>
          </cell>
          <cell r="J1906">
            <v>155</v>
          </cell>
          <cell r="K1906">
            <v>1</v>
          </cell>
          <cell r="L1906">
            <v>4.3299999999999998E-2</v>
          </cell>
          <cell r="M1906">
            <v>23.7</v>
          </cell>
          <cell r="N1906">
            <v>13.5</v>
          </cell>
          <cell r="O1906">
            <v>0.95669999999999999</v>
          </cell>
          <cell r="P1906">
            <v>0.1129</v>
          </cell>
          <cell r="Q1906">
            <v>0.23219999999999999</v>
          </cell>
          <cell r="R1906">
            <v>0.61160000000000003</v>
          </cell>
          <cell r="S1906" t="str">
            <v>NA</v>
          </cell>
          <cell r="T1906">
            <v>60.6</v>
          </cell>
          <cell r="U1906">
            <v>4.9000000000000004</v>
          </cell>
          <cell r="V1906">
            <v>75.7</v>
          </cell>
          <cell r="W1906">
            <v>7.6</v>
          </cell>
          <cell r="X1906">
            <v>52.3</v>
          </cell>
          <cell r="Y1906">
            <v>6.8</v>
          </cell>
          <cell r="Z1906" t="str">
            <v>NA</v>
          </cell>
          <cell r="AA1906" t="str">
            <v>NA</v>
          </cell>
        </row>
        <row r="1907">
          <cell r="A1907">
            <v>45188</v>
          </cell>
          <cell r="B1907" t="str">
            <v>A2</v>
          </cell>
          <cell r="C1907">
            <v>1</v>
          </cell>
          <cell r="D1907">
            <v>1</v>
          </cell>
          <cell r="E1907" t="str">
            <v>ARIS.A2.Aim1.Bin1.RB</v>
          </cell>
          <cell r="F1907">
            <v>4</v>
          </cell>
          <cell r="G1907" t="str">
            <v>Unweighted</v>
          </cell>
          <cell r="H1907" t="str">
            <v>N</v>
          </cell>
          <cell r="I1907" t="str">
            <v>Y</v>
          </cell>
          <cell r="J1907">
            <v>161</v>
          </cell>
          <cell r="K1907">
            <v>1</v>
          </cell>
          <cell r="L1907">
            <v>0.23039999999999999</v>
          </cell>
          <cell r="M1907">
            <v>14.9</v>
          </cell>
          <cell r="N1907">
            <v>6.4</v>
          </cell>
          <cell r="O1907">
            <v>0.76959999999999995</v>
          </cell>
          <cell r="P1907">
            <v>0.11940000000000001</v>
          </cell>
          <cell r="Q1907">
            <v>2.5999999999999999E-2</v>
          </cell>
          <cell r="R1907">
            <v>0.62419999999999998</v>
          </cell>
          <cell r="S1907" t="str">
            <v>NA</v>
          </cell>
          <cell r="T1907">
            <v>60.6</v>
          </cell>
          <cell r="U1907">
            <v>4.9000000000000004</v>
          </cell>
          <cell r="V1907">
            <v>75.7</v>
          </cell>
          <cell r="W1907">
            <v>7.6</v>
          </cell>
          <cell r="X1907">
            <v>52.3</v>
          </cell>
          <cell r="Y1907">
            <v>6.8</v>
          </cell>
          <cell r="Z1907" t="str">
            <v>NA</v>
          </cell>
          <cell r="AA1907" t="str">
            <v>NA</v>
          </cell>
        </row>
        <row r="1908">
          <cell r="A1908">
            <v>45188</v>
          </cell>
          <cell r="B1908" t="str">
            <v>A2</v>
          </cell>
          <cell r="C1908">
            <v>2</v>
          </cell>
          <cell r="D1908">
            <v>1</v>
          </cell>
          <cell r="E1908" t="str">
            <v>ARIS.A2.Aim1.Bin2.RB</v>
          </cell>
          <cell r="F1908">
            <v>4</v>
          </cell>
          <cell r="G1908" t="str">
            <v>Unweighted</v>
          </cell>
          <cell r="H1908" t="str">
            <v>N</v>
          </cell>
          <cell r="I1908" t="str">
            <v>Y</v>
          </cell>
          <cell r="J1908">
            <v>150</v>
          </cell>
          <cell r="K1908">
            <v>1.0001</v>
          </cell>
          <cell r="L1908">
            <v>0.22259999999999999</v>
          </cell>
          <cell r="M1908">
            <v>23.7</v>
          </cell>
          <cell r="N1908">
            <v>8.9</v>
          </cell>
          <cell r="O1908">
            <v>0.77749999999999997</v>
          </cell>
          <cell r="P1908">
            <v>0.1207</v>
          </cell>
          <cell r="Q1908">
            <v>0.15759999999999999</v>
          </cell>
          <cell r="R1908">
            <v>0.49919999999999998</v>
          </cell>
          <cell r="S1908" t="str">
            <v>NA</v>
          </cell>
          <cell r="T1908">
            <v>60.6</v>
          </cell>
          <cell r="U1908">
            <v>4.9000000000000004</v>
          </cell>
          <cell r="V1908">
            <v>75.7</v>
          </cell>
          <cell r="W1908">
            <v>7.6</v>
          </cell>
          <cell r="X1908">
            <v>52.3</v>
          </cell>
          <cell r="Y1908">
            <v>6.8</v>
          </cell>
          <cell r="Z1908" t="str">
            <v>NA</v>
          </cell>
          <cell r="AA1908" t="str">
            <v>NA</v>
          </cell>
        </row>
        <row r="1909">
          <cell r="A1909">
            <v>45188</v>
          </cell>
          <cell r="B1909" t="str">
            <v>A2</v>
          </cell>
          <cell r="C1909">
            <v>3</v>
          </cell>
          <cell r="D1909">
            <v>1</v>
          </cell>
          <cell r="E1909" t="str">
            <v>ARIS.A2.Aim1.Bin3.RB</v>
          </cell>
          <cell r="F1909">
            <v>4</v>
          </cell>
          <cell r="G1909" t="str">
            <v>Unweighted</v>
          </cell>
          <cell r="H1909" t="str">
            <v>N</v>
          </cell>
          <cell r="I1909" t="str">
            <v>Y</v>
          </cell>
          <cell r="J1909">
            <v>136</v>
          </cell>
          <cell r="K1909">
            <v>0.99990000000000001</v>
          </cell>
          <cell r="L1909">
            <v>0.1124</v>
          </cell>
          <cell r="M1909">
            <v>23.7</v>
          </cell>
          <cell r="N1909">
            <v>10.7</v>
          </cell>
          <cell r="O1909">
            <v>0.88749999999999996</v>
          </cell>
          <cell r="P1909">
            <v>3.85E-2</v>
          </cell>
          <cell r="Q1909">
            <v>0.43540000000000001</v>
          </cell>
          <cell r="R1909">
            <v>0.41360000000000002</v>
          </cell>
          <cell r="S1909" t="str">
            <v>NA</v>
          </cell>
          <cell r="T1909">
            <v>60.6</v>
          </cell>
          <cell r="U1909">
            <v>4.9000000000000004</v>
          </cell>
          <cell r="V1909">
            <v>75.7</v>
          </cell>
          <cell r="W1909">
            <v>7.6</v>
          </cell>
          <cell r="X1909">
            <v>52.3</v>
          </cell>
          <cell r="Y1909">
            <v>6.8</v>
          </cell>
          <cell r="Z1909" t="str">
            <v>NA</v>
          </cell>
          <cell r="AA1909" t="str">
            <v>NA</v>
          </cell>
        </row>
        <row r="1910">
          <cell r="A1910">
            <v>45188</v>
          </cell>
          <cell r="B1910" t="str">
            <v>A2</v>
          </cell>
          <cell r="C1910">
            <v>4</v>
          </cell>
          <cell r="D1910">
            <v>1</v>
          </cell>
          <cell r="E1910" t="str">
            <v>ARIS.A2.Aim1.Bin4.RB</v>
          </cell>
          <cell r="F1910">
            <v>4</v>
          </cell>
          <cell r="G1910" t="str">
            <v>Unweighted</v>
          </cell>
          <cell r="H1910" t="str">
            <v>N</v>
          </cell>
          <cell r="I1910" t="str">
            <v>Y</v>
          </cell>
          <cell r="J1910">
            <v>136</v>
          </cell>
          <cell r="K1910">
            <v>0.99990000000000001</v>
          </cell>
          <cell r="L1910">
            <v>0.1124</v>
          </cell>
          <cell r="M1910">
            <v>23.7</v>
          </cell>
          <cell r="N1910">
            <v>10.7</v>
          </cell>
          <cell r="O1910">
            <v>0.88749999999999996</v>
          </cell>
          <cell r="P1910">
            <v>3.85E-2</v>
          </cell>
          <cell r="Q1910">
            <v>0.43540000000000001</v>
          </cell>
          <cell r="R1910">
            <v>0.41360000000000002</v>
          </cell>
          <cell r="S1910" t="str">
            <v>NA</v>
          </cell>
          <cell r="T1910">
            <v>60.6</v>
          </cell>
          <cell r="U1910">
            <v>4.9000000000000004</v>
          </cell>
          <cell r="V1910">
            <v>75.7</v>
          </cell>
          <cell r="W1910">
            <v>7.6</v>
          </cell>
          <cell r="X1910">
            <v>52.3</v>
          </cell>
          <cell r="Y1910">
            <v>6.8</v>
          </cell>
          <cell r="Z1910" t="str">
            <v>NA</v>
          </cell>
          <cell r="AA1910" t="str">
            <v>NA</v>
          </cell>
        </row>
        <row r="1911">
          <cell r="A1911">
            <v>45189</v>
          </cell>
          <cell r="B1911" t="str">
            <v>A1</v>
          </cell>
          <cell r="C1911">
            <v>1</v>
          </cell>
          <cell r="D1911">
            <v>1</v>
          </cell>
          <cell r="E1911" t="str">
            <v>ARIS.A1.Aim1.Bin1.LB</v>
          </cell>
          <cell r="F1911">
            <v>4</v>
          </cell>
          <cell r="G1911" t="str">
            <v>SplineDFA</v>
          </cell>
          <cell r="H1911" t="str">
            <v>Y</v>
          </cell>
          <cell r="I1911" t="str">
            <v>N</v>
          </cell>
          <cell r="J1911">
            <v>165</v>
          </cell>
          <cell r="K1911">
            <v>1</v>
          </cell>
          <cell r="L1911">
            <v>0.43869999999999998</v>
          </cell>
          <cell r="M1911">
            <v>23.7</v>
          </cell>
          <cell r="N1911">
            <v>2.7</v>
          </cell>
          <cell r="O1911">
            <v>0.56130000000000002</v>
          </cell>
          <cell r="P1911">
            <v>0.1162</v>
          </cell>
          <cell r="Q1911">
            <v>1.6199999999999999E-2</v>
          </cell>
          <cell r="R1911">
            <v>0.4289</v>
          </cell>
          <cell r="S1911" t="str">
            <v>NA</v>
          </cell>
          <cell r="T1911">
            <v>60.6</v>
          </cell>
          <cell r="U1911">
            <v>4.9000000000000004</v>
          </cell>
          <cell r="V1911">
            <v>75.7</v>
          </cell>
          <cell r="W1911">
            <v>7.6</v>
          </cell>
          <cell r="X1911">
            <v>52.8</v>
          </cell>
          <cell r="Y1911">
            <v>6.9</v>
          </cell>
          <cell r="Z1911" t="str">
            <v>NA</v>
          </cell>
          <cell r="AA1911" t="str">
            <v>NA</v>
          </cell>
        </row>
        <row r="1912">
          <cell r="A1912">
            <v>45189</v>
          </cell>
          <cell r="B1912" t="str">
            <v>A1</v>
          </cell>
          <cell r="C1912">
            <v>1</v>
          </cell>
          <cell r="D1912">
            <v>2</v>
          </cell>
          <cell r="E1912" t="str">
            <v>ARIS.A1.Aim2.Bin1.LB</v>
          </cell>
          <cell r="F1912">
            <v>4</v>
          </cell>
          <cell r="G1912" t="str">
            <v>SplineDFA</v>
          </cell>
          <cell r="H1912" t="str">
            <v>Y</v>
          </cell>
          <cell r="I1912" t="str">
            <v>N</v>
          </cell>
          <cell r="J1912">
            <v>143</v>
          </cell>
          <cell r="K1912">
            <v>1</v>
          </cell>
          <cell r="L1912">
            <v>0.71630000000000005</v>
          </cell>
          <cell r="M1912">
            <v>23.7</v>
          </cell>
          <cell r="N1912">
            <v>2.7</v>
          </cell>
          <cell r="O1912">
            <v>0.28370000000000001</v>
          </cell>
          <cell r="P1912">
            <v>8.3599999999999994E-2</v>
          </cell>
          <cell r="Q1912">
            <v>5.0000000000000001E-3</v>
          </cell>
          <cell r="R1912">
            <v>0.1951</v>
          </cell>
          <cell r="S1912" t="str">
            <v>NA</v>
          </cell>
          <cell r="T1912">
            <v>60.6</v>
          </cell>
          <cell r="U1912">
            <v>4.9000000000000004</v>
          </cell>
          <cell r="V1912">
            <v>75.7</v>
          </cell>
          <cell r="W1912">
            <v>7.6</v>
          </cell>
          <cell r="X1912">
            <v>52.8</v>
          </cell>
          <cell r="Y1912">
            <v>6.9</v>
          </cell>
          <cell r="Z1912" t="str">
            <v>NA</v>
          </cell>
          <cell r="AA1912" t="str">
            <v>NA</v>
          </cell>
        </row>
        <row r="1913">
          <cell r="A1913">
            <v>45189</v>
          </cell>
          <cell r="B1913" t="str">
            <v>A1</v>
          </cell>
          <cell r="C1913">
            <v>2</v>
          </cell>
          <cell r="D1913">
            <v>3</v>
          </cell>
          <cell r="E1913" t="str">
            <v>ARIS.A1.Aim3.Bin2.LB</v>
          </cell>
          <cell r="F1913">
            <v>4</v>
          </cell>
          <cell r="G1913" t="str">
            <v>SplineDFA</v>
          </cell>
          <cell r="H1913" t="str">
            <v>Y</v>
          </cell>
          <cell r="I1913" t="str">
            <v>N</v>
          </cell>
          <cell r="J1913">
            <v>172</v>
          </cell>
          <cell r="K1913">
            <v>1.0001</v>
          </cell>
          <cell r="L1913">
            <v>8.1799999999999998E-2</v>
          </cell>
          <cell r="M1913">
            <v>23.7</v>
          </cell>
          <cell r="N1913">
            <v>2.7</v>
          </cell>
          <cell r="O1913">
            <v>0.91830000000000001</v>
          </cell>
          <cell r="P1913">
            <v>0.28299999999999997</v>
          </cell>
          <cell r="Q1913">
            <v>3.1600000000000003E-2</v>
          </cell>
          <cell r="R1913">
            <v>0.60370000000000001</v>
          </cell>
          <cell r="S1913" t="str">
            <v>NA</v>
          </cell>
          <cell r="T1913">
            <v>60.6</v>
          </cell>
          <cell r="U1913">
            <v>4.9000000000000004</v>
          </cell>
          <cell r="V1913">
            <v>75.7</v>
          </cell>
          <cell r="W1913">
            <v>7.6</v>
          </cell>
          <cell r="X1913">
            <v>52.8</v>
          </cell>
          <cell r="Y1913">
            <v>6.9</v>
          </cell>
          <cell r="Z1913" t="str">
            <v>NA</v>
          </cell>
          <cell r="AA1913" t="str">
            <v>NA</v>
          </cell>
        </row>
        <row r="1914">
          <cell r="A1914">
            <v>45189</v>
          </cell>
          <cell r="B1914" t="str">
            <v>A1</v>
          </cell>
          <cell r="C1914">
            <v>3</v>
          </cell>
          <cell r="D1914">
            <v>3</v>
          </cell>
          <cell r="E1914" t="str">
            <v>ARIS.A1.Aim3.Bin3.LB</v>
          </cell>
          <cell r="F1914">
            <v>4</v>
          </cell>
          <cell r="G1914" t="str">
            <v>SplineDFA</v>
          </cell>
          <cell r="H1914" t="str">
            <v>Y</v>
          </cell>
          <cell r="I1914" t="str">
            <v>N</v>
          </cell>
          <cell r="J1914">
            <v>164</v>
          </cell>
          <cell r="K1914">
            <v>1</v>
          </cell>
          <cell r="L1914">
            <v>2.18E-2</v>
          </cell>
          <cell r="M1914">
            <v>23.7</v>
          </cell>
          <cell r="N1914">
            <v>2.7</v>
          </cell>
          <cell r="O1914">
            <v>0.97819999999999996</v>
          </cell>
          <cell r="P1914">
            <v>0.32319999999999999</v>
          </cell>
          <cell r="Q1914">
            <v>0.1862</v>
          </cell>
          <cell r="R1914">
            <v>0.46879999999999999</v>
          </cell>
          <cell r="S1914" t="str">
            <v>NA</v>
          </cell>
          <cell r="T1914">
            <v>60.6</v>
          </cell>
          <cell r="U1914">
            <v>4.9000000000000004</v>
          </cell>
          <cell r="V1914">
            <v>75.7</v>
          </cell>
          <cell r="W1914">
            <v>7.6</v>
          </cell>
          <cell r="X1914">
            <v>52.8</v>
          </cell>
          <cell r="Y1914">
            <v>6.9</v>
          </cell>
          <cell r="Z1914" t="str">
            <v>NA</v>
          </cell>
          <cell r="AA1914" t="str">
            <v>NA</v>
          </cell>
        </row>
        <row r="1915">
          <cell r="A1915">
            <v>45189</v>
          </cell>
          <cell r="B1915" t="str">
            <v>A1</v>
          </cell>
          <cell r="C1915">
            <v>4</v>
          </cell>
          <cell r="D1915">
            <v>3</v>
          </cell>
          <cell r="E1915" t="str">
            <v>ARIS.A1.Aim3.Bin4.LB</v>
          </cell>
          <cell r="F1915">
            <v>4</v>
          </cell>
          <cell r="G1915" t="str">
            <v>SplineDFA</v>
          </cell>
          <cell r="H1915" t="str">
            <v>Y</v>
          </cell>
          <cell r="I1915" t="str">
            <v>N</v>
          </cell>
          <cell r="J1915">
            <v>164</v>
          </cell>
          <cell r="K1915">
            <v>1</v>
          </cell>
          <cell r="L1915">
            <v>2.18E-2</v>
          </cell>
          <cell r="M1915">
            <v>23.7</v>
          </cell>
          <cell r="N1915">
            <v>2.7</v>
          </cell>
          <cell r="O1915">
            <v>0.97819999999999996</v>
          </cell>
          <cell r="P1915">
            <v>0.32319999999999999</v>
          </cell>
          <cell r="Q1915">
            <v>0.1862</v>
          </cell>
          <cell r="R1915">
            <v>0.46879999999999999</v>
          </cell>
          <cell r="S1915" t="str">
            <v>NA</v>
          </cell>
          <cell r="T1915">
            <v>60.6</v>
          </cell>
          <cell r="U1915">
            <v>4.9000000000000004</v>
          </cell>
          <cell r="V1915">
            <v>75.7</v>
          </cell>
          <cell r="W1915">
            <v>7.6</v>
          </cell>
          <cell r="X1915">
            <v>52.8</v>
          </cell>
          <cell r="Y1915">
            <v>6.9</v>
          </cell>
          <cell r="Z1915" t="str">
            <v>NA</v>
          </cell>
          <cell r="AA1915" t="str">
            <v>NA</v>
          </cell>
        </row>
        <row r="1916">
          <cell r="A1916">
            <v>45189</v>
          </cell>
          <cell r="B1916" t="str">
            <v>A2</v>
          </cell>
          <cell r="C1916">
            <v>1</v>
          </cell>
          <cell r="D1916">
            <v>1</v>
          </cell>
          <cell r="E1916" t="str">
            <v>ARIS.A2.Aim1.Bin1.RB</v>
          </cell>
          <cell r="F1916">
            <v>4</v>
          </cell>
          <cell r="G1916" t="str">
            <v>SplineDFA</v>
          </cell>
          <cell r="H1916" t="str">
            <v>Y</v>
          </cell>
          <cell r="I1916" t="str">
            <v>N</v>
          </cell>
          <cell r="J1916">
            <v>161</v>
          </cell>
          <cell r="K1916">
            <v>1</v>
          </cell>
          <cell r="L1916">
            <v>0.23250000000000001</v>
          </cell>
          <cell r="M1916">
            <v>23.7</v>
          </cell>
          <cell r="N1916">
            <v>2.7</v>
          </cell>
          <cell r="O1916">
            <v>0.76749999999999996</v>
          </cell>
          <cell r="P1916">
            <v>0.26800000000000002</v>
          </cell>
          <cell r="Q1916">
            <v>5.6599999999999998E-2</v>
          </cell>
          <cell r="R1916">
            <v>0.44290000000000002</v>
          </cell>
          <cell r="S1916" t="str">
            <v>NA</v>
          </cell>
          <cell r="T1916">
            <v>60.6</v>
          </cell>
          <cell r="U1916">
            <v>4.9000000000000004</v>
          </cell>
          <cell r="V1916">
            <v>75.7</v>
          </cell>
          <cell r="W1916">
            <v>7.6</v>
          </cell>
          <cell r="X1916">
            <v>52.3</v>
          </cell>
          <cell r="Y1916">
            <v>6.8</v>
          </cell>
          <cell r="Z1916" t="str">
            <v>NA</v>
          </cell>
          <cell r="AA1916" t="str">
            <v>NA</v>
          </cell>
        </row>
        <row r="1917">
          <cell r="A1917">
            <v>45189</v>
          </cell>
          <cell r="B1917" t="str">
            <v>A2</v>
          </cell>
          <cell r="C1917">
            <v>2</v>
          </cell>
          <cell r="D1917">
            <v>1</v>
          </cell>
          <cell r="E1917" t="str">
            <v>ARIS.A2.Aim1.Bin2.RB</v>
          </cell>
          <cell r="F1917">
            <v>4</v>
          </cell>
          <cell r="G1917" t="str">
            <v>SplineDFA</v>
          </cell>
          <cell r="H1917" t="str">
            <v>Y</v>
          </cell>
          <cell r="I1917" t="str">
            <v>N</v>
          </cell>
          <cell r="J1917">
            <v>150</v>
          </cell>
          <cell r="K1917">
            <v>1</v>
          </cell>
          <cell r="L1917">
            <v>9.3700000000000006E-2</v>
          </cell>
          <cell r="M1917">
            <v>23.7</v>
          </cell>
          <cell r="N1917">
            <v>2.7</v>
          </cell>
          <cell r="O1917">
            <v>0.90629999999999999</v>
          </cell>
          <cell r="P1917">
            <v>0.29499999999999998</v>
          </cell>
          <cell r="Q1917">
            <v>0.15090000000000001</v>
          </cell>
          <cell r="R1917">
            <v>0.46039999999999998</v>
          </cell>
          <cell r="S1917" t="str">
            <v>NA</v>
          </cell>
          <cell r="T1917">
            <v>60.6</v>
          </cell>
          <cell r="U1917">
            <v>4.9000000000000004</v>
          </cell>
          <cell r="V1917">
            <v>75.7</v>
          </cell>
          <cell r="W1917">
            <v>7.6</v>
          </cell>
          <cell r="X1917">
            <v>52.3</v>
          </cell>
          <cell r="Y1917">
            <v>6.8</v>
          </cell>
          <cell r="Z1917" t="str">
            <v>NA</v>
          </cell>
          <cell r="AA1917" t="str">
            <v>NA</v>
          </cell>
        </row>
        <row r="1918">
          <cell r="A1918">
            <v>45189</v>
          </cell>
          <cell r="B1918" t="str">
            <v>A2</v>
          </cell>
          <cell r="C1918">
            <v>3</v>
          </cell>
          <cell r="D1918">
            <v>1</v>
          </cell>
          <cell r="E1918" t="str">
            <v>ARIS.A2.Aim1.Bin3.RB</v>
          </cell>
          <cell r="F1918">
            <v>4</v>
          </cell>
          <cell r="G1918" t="str">
            <v>SplineDFA</v>
          </cell>
          <cell r="H1918" t="str">
            <v>Y</v>
          </cell>
          <cell r="I1918" t="str">
            <v>N</v>
          </cell>
          <cell r="J1918">
            <v>136</v>
          </cell>
          <cell r="K1918">
            <v>1</v>
          </cell>
          <cell r="L1918">
            <v>5.2200000000000003E-2</v>
          </cell>
          <cell r="M1918">
            <v>23.7</v>
          </cell>
          <cell r="N1918">
            <v>2.7</v>
          </cell>
          <cell r="O1918">
            <v>0.94779999999999998</v>
          </cell>
          <cell r="P1918">
            <v>0.2203</v>
          </cell>
          <cell r="Q1918">
            <v>0.38900000000000001</v>
          </cell>
          <cell r="R1918">
            <v>0.33850000000000002</v>
          </cell>
          <cell r="S1918" t="str">
            <v>NA</v>
          </cell>
          <cell r="T1918">
            <v>60.6</v>
          </cell>
          <cell r="U1918">
            <v>4.9000000000000004</v>
          </cell>
          <cell r="V1918">
            <v>75.7</v>
          </cell>
          <cell r="W1918">
            <v>7.6</v>
          </cell>
          <cell r="X1918">
            <v>52.3</v>
          </cell>
          <cell r="Y1918">
            <v>6.8</v>
          </cell>
          <cell r="Z1918" t="str">
            <v>NA</v>
          </cell>
          <cell r="AA1918" t="str">
            <v>NA</v>
          </cell>
        </row>
        <row r="1919">
          <cell r="A1919">
            <v>45189</v>
          </cell>
          <cell r="B1919" t="str">
            <v>A2</v>
          </cell>
          <cell r="C1919">
            <v>4</v>
          </cell>
          <cell r="D1919">
            <v>1</v>
          </cell>
          <cell r="E1919" t="str">
            <v>ARIS.A2.Aim1.Bin4.RB</v>
          </cell>
          <cell r="F1919">
            <v>4</v>
          </cell>
          <cell r="G1919" t="str">
            <v>SplineDFA</v>
          </cell>
          <cell r="H1919" t="str">
            <v>Y</v>
          </cell>
          <cell r="I1919" t="str">
            <v>N</v>
          </cell>
          <cell r="J1919">
            <v>136</v>
          </cell>
          <cell r="K1919">
            <v>1</v>
          </cell>
          <cell r="L1919">
            <v>5.2200000000000003E-2</v>
          </cell>
          <cell r="M1919">
            <v>23.7</v>
          </cell>
          <cell r="N1919">
            <v>2.7</v>
          </cell>
          <cell r="O1919">
            <v>0.94779999999999998</v>
          </cell>
          <cell r="P1919">
            <v>0.2203</v>
          </cell>
          <cell r="Q1919">
            <v>0.38900000000000001</v>
          </cell>
          <cell r="R1919">
            <v>0.33850000000000002</v>
          </cell>
          <cell r="S1919" t="str">
            <v>NA</v>
          </cell>
          <cell r="T1919">
            <v>60.6</v>
          </cell>
          <cell r="U1919">
            <v>4.9000000000000004</v>
          </cell>
          <cell r="V1919">
            <v>75.7</v>
          </cell>
          <cell r="W1919">
            <v>7.6</v>
          </cell>
          <cell r="X1919">
            <v>52.3</v>
          </cell>
          <cell r="Y1919">
            <v>6.8</v>
          </cell>
          <cell r="Z1919" t="str">
            <v>NA</v>
          </cell>
          <cell r="AA1919" t="str">
            <v>NA</v>
          </cell>
        </row>
        <row r="1920">
          <cell r="A1920">
            <v>45189</v>
          </cell>
          <cell r="B1920" t="str">
            <v>A1</v>
          </cell>
          <cell r="C1920">
            <v>1</v>
          </cell>
          <cell r="D1920">
            <v>1</v>
          </cell>
          <cell r="E1920" t="str">
            <v>ARIS.A1.Aim1.Bin1.LB</v>
          </cell>
          <cell r="F1920">
            <v>4</v>
          </cell>
          <cell r="G1920" t="str">
            <v>Unweighted</v>
          </cell>
          <cell r="H1920" t="str">
            <v>N</v>
          </cell>
          <cell r="I1920" t="str">
            <v>Y</v>
          </cell>
          <cell r="J1920">
            <v>165</v>
          </cell>
          <cell r="K1920">
            <v>1</v>
          </cell>
          <cell r="L1920">
            <v>0.6472</v>
          </cell>
          <cell r="M1920">
            <v>20.9</v>
          </cell>
          <cell r="N1920">
            <v>7.5</v>
          </cell>
          <cell r="O1920">
            <v>0.3528</v>
          </cell>
          <cell r="P1920">
            <v>0</v>
          </cell>
          <cell r="Q1920">
            <v>8.8999999999999999E-3</v>
          </cell>
          <cell r="R1920">
            <v>0.34389999999999998</v>
          </cell>
          <cell r="S1920" t="str">
            <v>NA</v>
          </cell>
          <cell r="T1920">
            <v>60.6</v>
          </cell>
          <cell r="U1920">
            <v>4.9000000000000004</v>
          </cell>
          <cell r="V1920">
            <v>75.7</v>
          </cell>
          <cell r="W1920">
            <v>7.6</v>
          </cell>
          <cell r="X1920">
            <v>52.8</v>
          </cell>
          <cell r="Y1920">
            <v>6.9</v>
          </cell>
          <cell r="Z1920" t="str">
            <v>NA</v>
          </cell>
          <cell r="AA1920" t="str">
            <v>NA</v>
          </cell>
        </row>
        <row r="1921">
          <cell r="A1921">
            <v>45189</v>
          </cell>
          <cell r="B1921" t="str">
            <v>A1</v>
          </cell>
          <cell r="C1921">
            <v>1</v>
          </cell>
          <cell r="D1921">
            <v>2</v>
          </cell>
          <cell r="E1921" t="str">
            <v>ARIS.A1.Aim2.Bin1.LB</v>
          </cell>
          <cell r="F1921">
            <v>4</v>
          </cell>
          <cell r="G1921" t="str">
            <v>Unweighted</v>
          </cell>
          <cell r="H1921" t="str">
            <v>N</v>
          </cell>
          <cell r="I1921" t="str">
            <v>Y</v>
          </cell>
          <cell r="J1921">
            <v>143</v>
          </cell>
          <cell r="K1921">
            <v>0.99990000000000001</v>
          </cell>
          <cell r="L1921">
            <v>0.70199999999999996</v>
          </cell>
          <cell r="M1921">
            <v>19.5</v>
          </cell>
          <cell r="N1921">
            <v>7.9</v>
          </cell>
          <cell r="O1921">
            <v>0.2979</v>
          </cell>
          <cell r="P1921">
            <v>8.3000000000000001E-3</v>
          </cell>
          <cell r="Q1921">
            <v>8.3000000000000001E-3</v>
          </cell>
          <cell r="R1921">
            <v>0.28129999999999999</v>
          </cell>
          <cell r="S1921" t="str">
            <v>NA</v>
          </cell>
          <cell r="T1921">
            <v>60.6</v>
          </cell>
          <cell r="U1921">
            <v>4.9000000000000004</v>
          </cell>
          <cell r="V1921">
            <v>75.7</v>
          </cell>
          <cell r="W1921">
            <v>7.6</v>
          </cell>
          <cell r="X1921">
            <v>52.8</v>
          </cell>
          <cell r="Y1921">
            <v>6.9</v>
          </cell>
          <cell r="Z1921" t="str">
            <v>NA</v>
          </cell>
          <cell r="AA1921" t="str">
            <v>NA</v>
          </cell>
        </row>
        <row r="1922">
          <cell r="A1922">
            <v>45189</v>
          </cell>
          <cell r="B1922" t="str">
            <v>A1</v>
          </cell>
          <cell r="C1922">
            <v>1</v>
          </cell>
          <cell r="D1922" t="str">
            <v>1&amp;2</v>
          </cell>
          <cell r="E1922" t="str">
            <v>ARIS.A1.Aim1&amp;Aim2.Bin1.LB</v>
          </cell>
          <cell r="F1922">
            <v>4</v>
          </cell>
          <cell r="G1922" t="str">
            <v>Unweighted</v>
          </cell>
          <cell r="H1922" t="str">
            <v>N</v>
          </cell>
          <cell r="I1922" t="str">
            <v>Y</v>
          </cell>
          <cell r="J1922">
            <v>308</v>
          </cell>
          <cell r="K1922">
            <v>1</v>
          </cell>
          <cell r="L1922">
            <v>0.68189999999999995</v>
          </cell>
          <cell r="M1922">
            <v>19.899999999999999</v>
          </cell>
          <cell r="N1922">
            <v>7.6</v>
          </cell>
          <cell r="O1922">
            <v>0.31809999999999999</v>
          </cell>
          <cell r="P1922">
            <v>0</v>
          </cell>
          <cell r="Q1922">
            <v>1.29E-2</v>
          </cell>
          <cell r="R1922">
            <v>0.30520000000000003</v>
          </cell>
          <cell r="S1922" t="str">
            <v>NA</v>
          </cell>
          <cell r="T1922">
            <v>60.6</v>
          </cell>
          <cell r="U1922">
            <v>4.9000000000000004</v>
          </cell>
          <cell r="V1922">
            <v>75.7</v>
          </cell>
          <cell r="W1922">
            <v>7.6</v>
          </cell>
          <cell r="X1922">
            <v>52.8</v>
          </cell>
          <cell r="Y1922">
            <v>6.9</v>
          </cell>
          <cell r="Z1922" t="str">
            <v>NA</v>
          </cell>
          <cell r="AA1922" t="str">
            <v>NA</v>
          </cell>
        </row>
        <row r="1923">
          <cell r="A1923">
            <v>45189</v>
          </cell>
          <cell r="B1923" t="str">
            <v>A1</v>
          </cell>
          <cell r="C1923">
            <v>2</v>
          </cell>
          <cell r="D1923">
            <v>3</v>
          </cell>
          <cell r="E1923" t="str">
            <v>ARIS.A1.Aim3.Bin2.LB</v>
          </cell>
          <cell r="F1923">
            <v>4</v>
          </cell>
          <cell r="G1923" t="str">
            <v>Unweighted</v>
          </cell>
          <cell r="H1923" t="str">
            <v>N</v>
          </cell>
          <cell r="I1923" t="str">
            <v>Y</v>
          </cell>
          <cell r="J1923">
            <v>172</v>
          </cell>
          <cell r="K1923">
            <v>1</v>
          </cell>
          <cell r="L1923">
            <v>0.21410000000000001</v>
          </cell>
          <cell r="M1923">
            <v>23.7</v>
          </cell>
          <cell r="N1923">
            <v>9.3000000000000007</v>
          </cell>
          <cell r="O1923">
            <v>0.78590000000000004</v>
          </cell>
          <cell r="P1923">
            <v>0.15989999999999999</v>
          </cell>
          <cell r="Q1923">
            <v>3.49E-2</v>
          </cell>
          <cell r="R1923">
            <v>0.59109999999999996</v>
          </cell>
          <cell r="S1923" t="str">
            <v>NA</v>
          </cell>
          <cell r="T1923">
            <v>60.6</v>
          </cell>
          <cell r="U1923">
            <v>4.9000000000000004</v>
          </cell>
          <cell r="V1923">
            <v>75.7</v>
          </cell>
          <cell r="W1923">
            <v>7.6</v>
          </cell>
          <cell r="X1923">
            <v>52.8</v>
          </cell>
          <cell r="Y1923">
            <v>6.9</v>
          </cell>
          <cell r="Z1923" t="str">
            <v>NA</v>
          </cell>
          <cell r="AA1923" t="str">
            <v>NA</v>
          </cell>
        </row>
        <row r="1924">
          <cell r="A1924">
            <v>45189</v>
          </cell>
          <cell r="B1924" t="str">
            <v>A1</v>
          </cell>
          <cell r="C1924">
            <v>3</v>
          </cell>
          <cell r="D1924">
            <v>3</v>
          </cell>
          <cell r="E1924" t="str">
            <v>ARIS.A1.Aim3.Bin3.LB</v>
          </cell>
          <cell r="F1924">
            <v>4</v>
          </cell>
          <cell r="G1924" t="str">
            <v>Unweighted</v>
          </cell>
          <cell r="H1924" t="str">
            <v>N</v>
          </cell>
          <cell r="I1924" t="str">
            <v>Y</v>
          </cell>
          <cell r="J1924">
            <v>164</v>
          </cell>
          <cell r="K1924">
            <v>1</v>
          </cell>
          <cell r="L1924">
            <v>5.3600000000000002E-2</v>
          </cell>
          <cell r="M1924">
            <v>23.7</v>
          </cell>
          <cell r="N1924">
            <v>12.9</v>
          </cell>
          <cell r="O1924">
            <v>0.94640000000000002</v>
          </cell>
          <cell r="P1924">
            <v>0.2001</v>
          </cell>
          <cell r="Q1924">
            <v>0.21560000000000001</v>
          </cell>
          <cell r="R1924">
            <v>0.53069999999999995</v>
          </cell>
          <cell r="S1924" t="str">
            <v>NA</v>
          </cell>
          <cell r="T1924">
            <v>60.6</v>
          </cell>
          <cell r="U1924">
            <v>4.9000000000000004</v>
          </cell>
          <cell r="V1924">
            <v>75.7</v>
          </cell>
          <cell r="W1924">
            <v>7.6</v>
          </cell>
          <cell r="X1924">
            <v>52.8</v>
          </cell>
          <cell r="Y1924">
            <v>6.9</v>
          </cell>
          <cell r="Z1924" t="str">
            <v>NA</v>
          </cell>
          <cell r="AA1924" t="str">
            <v>NA</v>
          </cell>
        </row>
        <row r="1925">
          <cell r="A1925">
            <v>45189</v>
          </cell>
          <cell r="B1925" t="str">
            <v>A1</v>
          </cell>
          <cell r="C1925">
            <v>4</v>
          </cell>
          <cell r="D1925">
            <v>3</v>
          </cell>
          <cell r="E1925" t="str">
            <v>ARIS.A1.Aim3.Bin4.LB</v>
          </cell>
          <cell r="F1925">
            <v>4</v>
          </cell>
          <cell r="G1925" t="str">
            <v>Unweighted</v>
          </cell>
          <cell r="H1925" t="str">
            <v>N</v>
          </cell>
          <cell r="I1925" t="str">
            <v>Y</v>
          </cell>
          <cell r="J1925">
            <v>164</v>
          </cell>
          <cell r="K1925">
            <v>1</v>
          </cell>
          <cell r="L1925">
            <v>5.3600000000000002E-2</v>
          </cell>
          <cell r="M1925">
            <v>23.7</v>
          </cell>
          <cell r="N1925">
            <v>12.9</v>
          </cell>
          <cell r="O1925">
            <v>0.94640000000000002</v>
          </cell>
          <cell r="P1925">
            <v>0.2001</v>
          </cell>
          <cell r="Q1925">
            <v>0.21560000000000001</v>
          </cell>
          <cell r="R1925">
            <v>0.53069999999999995</v>
          </cell>
          <cell r="S1925" t="str">
            <v>NA</v>
          </cell>
          <cell r="T1925">
            <v>60.6</v>
          </cell>
          <cell r="U1925">
            <v>4.9000000000000004</v>
          </cell>
          <cell r="V1925">
            <v>75.7</v>
          </cell>
          <cell r="W1925">
            <v>7.6</v>
          </cell>
          <cell r="X1925">
            <v>52.8</v>
          </cell>
          <cell r="Y1925">
            <v>6.9</v>
          </cell>
          <cell r="Z1925" t="str">
            <v>NA</v>
          </cell>
          <cell r="AA1925" t="str">
            <v>NA</v>
          </cell>
        </row>
        <row r="1926">
          <cell r="A1926">
            <v>45189</v>
          </cell>
          <cell r="B1926" t="str">
            <v>A2</v>
          </cell>
          <cell r="C1926">
            <v>1</v>
          </cell>
          <cell r="D1926">
            <v>1</v>
          </cell>
          <cell r="E1926" t="str">
            <v>ARIS.A2.Aim1.Bin1.RB</v>
          </cell>
          <cell r="F1926">
            <v>4</v>
          </cell>
          <cell r="G1926" t="str">
            <v>Unweighted</v>
          </cell>
          <cell r="H1926" t="str">
            <v>N</v>
          </cell>
          <cell r="I1926" t="str">
            <v>Y</v>
          </cell>
          <cell r="J1926">
            <v>161</v>
          </cell>
          <cell r="K1926">
            <v>1</v>
          </cell>
          <cell r="L1926">
            <v>0.23039999999999999</v>
          </cell>
          <cell r="M1926">
            <v>14.9</v>
          </cell>
          <cell r="N1926">
            <v>6.4</v>
          </cell>
          <cell r="O1926">
            <v>0.76959999999999995</v>
          </cell>
          <cell r="P1926">
            <v>0.11940000000000001</v>
          </cell>
          <cell r="Q1926">
            <v>2.5999999999999999E-2</v>
          </cell>
          <cell r="R1926">
            <v>0.62419999999999998</v>
          </cell>
          <cell r="S1926" t="str">
            <v>NA</v>
          </cell>
          <cell r="T1926">
            <v>60.6</v>
          </cell>
          <cell r="U1926">
            <v>4.9000000000000004</v>
          </cell>
          <cell r="V1926">
            <v>75.7</v>
          </cell>
          <cell r="W1926">
            <v>7.6</v>
          </cell>
          <cell r="X1926">
            <v>52.3</v>
          </cell>
          <cell r="Y1926">
            <v>6.8</v>
          </cell>
          <cell r="Z1926" t="str">
            <v>NA</v>
          </cell>
          <cell r="AA1926" t="str">
            <v>NA</v>
          </cell>
        </row>
        <row r="1927">
          <cell r="A1927">
            <v>45189</v>
          </cell>
          <cell r="B1927" t="str">
            <v>A2</v>
          </cell>
          <cell r="C1927">
            <v>2</v>
          </cell>
          <cell r="D1927">
            <v>1</v>
          </cell>
          <cell r="E1927" t="str">
            <v>ARIS.A2.Aim1.Bin2.RB</v>
          </cell>
          <cell r="F1927">
            <v>4</v>
          </cell>
          <cell r="G1927" t="str">
            <v>Unweighted</v>
          </cell>
          <cell r="H1927" t="str">
            <v>N</v>
          </cell>
          <cell r="I1927" t="str">
            <v>Y</v>
          </cell>
          <cell r="J1927">
            <v>150</v>
          </cell>
          <cell r="K1927">
            <v>1.0001</v>
          </cell>
          <cell r="L1927">
            <v>0.22259999999999999</v>
          </cell>
          <cell r="M1927">
            <v>23.7</v>
          </cell>
          <cell r="N1927">
            <v>8.9</v>
          </cell>
          <cell r="O1927">
            <v>0.77749999999999997</v>
          </cell>
          <cell r="P1927">
            <v>0.1207</v>
          </cell>
          <cell r="Q1927">
            <v>0.15759999999999999</v>
          </cell>
          <cell r="R1927">
            <v>0.49919999999999998</v>
          </cell>
          <cell r="S1927" t="str">
            <v>NA</v>
          </cell>
          <cell r="T1927">
            <v>60.6</v>
          </cell>
          <cell r="U1927">
            <v>4.9000000000000004</v>
          </cell>
          <cell r="V1927">
            <v>75.7</v>
          </cell>
          <cell r="W1927">
            <v>7.6</v>
          </cell>
          <cell r="X1927">
            <v>52.3</v>
          </cell>
          <cell r="Y1927">
            <v>6.8</v>
          </cell>
          <cell r="Z1927" t="str">
            <v>NA</v>
          </cell>
          <cell r="AA1927" t="str">
            <v>NA</v>
          </cell>
        </row>
        <row r="1928">
          <cell r="A1928">
            <v>45189</v>
          </cell>
          <cell r="B1928" t="str">
            <v>A2</v>
          </cell>
          <cell r="C1928">
            <v>3</v>
          </cell>
          <cell r="D1928">
            <v>1</v>
          </cell>
          <cell r="E1928" t="str">
            <v>ARIS.A2.Aim1.Bin3.RB</v>
          </cell>
          <cell r="F1928">
            <v>4</v>
          </cell>
          <cell r="G1928" t="str">
            <v>Unweighted</v>
          </cell>
          <cell r="H1928" t="str">
            <v>N</v>
          </cell>
          <cell r="I1928" t="str">
            <v>Y</v>
          </cell>
          <cell r="J1928">
            <v>136</v>
          </cell>
          <cell r="K1928">
            <v>0.99990000000000001</v>
          </cell>
          <cell r="L1928">
            <v>0.1124</v>
          </cell>
          <cell r="M1928">
            <v>23.7</v>
          </cell>
          <cell r="N1928">
            <v>10.7</v>
          </cell>
          <cell r="O1928">
            <v>0.88749999999999996</v>
          </cell>
          <cell r="P1928">
            <v>3.85E-2</v>
          </cell>
          <cell r="Q1928">
            <v>0.43540000000000001</v>
          </cell>
          <cell r="R1928">
            <v>0.41360000000000002</v>
          </cell>
          <cell r="S1928" t="str">
            <v>NA</v>
          </cell>
          <cell r="T1928">
            <v>60.6</v>
          </cell>
          <cell r="U1928">
            <v>4.9000000000000004</v>
          </cell>
          <cell r="V1928">
            <v>75.7</v>
          </cell>
          <cell r="W1928">
            <v>7.6</v>
          </cell>
          <cell r="X1928">
            <v>52.3</v>
          </cell>
          <cell r="Y1928">
            <v>6.8</v>
          </cell>
          <cell r="Z1928" t="str">
            <v>NA</v>
          </cell>
          <cell r="AA1928" t="str">
            <v>NA</v>
          </cell>
        </row>
        <row r="1929">
          <cell r="A1929">
            <v>45189</v>
          </cell>
          <cell r="B1929" t="str">
            <v>A2</v>
          </cell>
          <cell r="C1929">
            <v>4</v>
          </cell>
          <cell r="D1929">
            <v>1</v>
          </cell>
          <cell r="E1929" t="str">
            <v>ARIS.A2.Aim1.Bin4.RB</v>
          </cell>
          <cell r="F1929">
            <v>4</v>
          </cell>
          <cell r="G1929" t="str">
            <v>Unweighted</v>
          </cell>
          <cell r="H1929" t="str">
            <v>N</v>
          </cell>
          <cell r="I1929" t="str">
            <v>Y</v>
          </cell>
          <cell r="J1929">
            <v>136</v>
          </cell>
          <cell r="K1929">
            <v>0.99990000000000001</v>
          </cell>
          <cell r="L1929">
            <v>0.1124</v>
          </cell>
          <cell r="M1929">
            <v>23.7</v>
          </cell>
          <cell r="N1929">
            <v>10.7</v>
          </cell>
          <cell r="O1929">
            <v>0.88749999999999996</v>
          </cell>
          <cell r="P1929">
            <v>3.85E-2</v>
          </cell>
          <cell r="Q1929">
            <v>0.43540000000000001</v>
          </cell>
          <cell r="R1929">
            <v>0.41360000000000002</v>
          </cell>
          <cell r="S1929" t="str">
            <v>NA</v>
          </cell>
          <cell r="T1929">
            <v>60.6</v>
          </cell>
          <cell r="U1929">
            <v>4.9000000000000004</v>
          </cell>
          <cell r="V1929">
            <v>75.7</v>
          </cell>
          <cell r="W1929">
            <v>7.6</v>
          </cell>
          <cell r="X1929">
            <v>52.3</v>
          </cell>
          <cell r="Y1929">
            <v>6.8</v>
          </cell>
          <cell r="Z1929" t="str">
            <v>NA</v>
          </cell>
          <cell r="AA1929" t="str">
            <v>NA</v>
          </cell>
        </row>
        <row r="1930">
          <cell r="A1930">
            <v>45190</v>
          </cell>
          <cell r="B1930" t="str">
            <v>A1</v>
          </cell>
          <cell r="C1930">
            <v>1</v>
          </cell>
          <cell r="D1930">
            <v>1</v>
          </cell>
          <cell r="E1930" t="str">
            <v>ARIS.A1.Aim1.Bin1.LB</v>
          </cell>
          <cell r="F1930">
            <v>4</v>
          </cell>
          <cell r="G1930" t="str">
            <v>SplineDFA</v>
          </cell>
          <cell r="H1930" t="str">
            <v>Y</v>
          </cell>
          <cell r="I1930" t="str">
            <v>N</v>
          </cell>
          <cell r="J1930">
            <v>181</v>
          </cell>
          <cell r="K1930">
            <v>1.0001</v>
          </cell>
          <cell r="L1930">
            <v>0.42359999999999998</v>
          </cell>
          <cell r="M1930">
            <v>23.7</v>
          </cell>
          <cell r="N1930">
            <v>2.7</v>
          </cell>
          <cell r="O1930">
            <v>0.57650000000000001</v>
          </cell>
          <cell r="P1930">
            <v>4.5199999999999997E-2</v>
          </cell>
          <cell r="Q1930">
            <v>1.32E-2</v>
          </cell>
          <cell r="R1930">
            <v>0.5181</v>
          </cell>
          <cell r="S1930" t="str">
            <v>NA</v>
          </cell>
          <cell r="T1930">
            <v>60.6</v>
          </cell>
          <cell r="U1930">
            <v>4.9000000000000004</v>
          </cell>
          <cell r="V1930">
            <v>75.7</v>
          </cell>
          <cell r="W1930">
            <v>7.6</v>
          </cell>
          <cell r="X1930">
            <v>52.8</v>
          </cell>
          <cell r="Y1930">
            <v>6.9</v>
          </cell>
          <cell r="Z1930" t="str">
            <v>NA</v>
          </cell>
          <cell r="AA1930" t="str">
            <v>NA</v>
          </cell>
        </row>
        <row r="1931">
          <cell r="A1931">
            <v>45190</v>
          </cell>
          <cell r="B1931" t="str">
            <v>A1</v>
          </cell>
          <cell r="C1931">
            <v>1</v>
          </cell>
          <cell r="D1931">
            <v>2</v>
          </cell>
          <cell r="E1931" t="str">
            <v>ARIS.A1.Aim2.Bin1.LB</v>
          </cell>
          <cell r="F1931">
            <v>4</v>
          </cell>
          <cell r="G1931" t="str">
            <v>SplineDFA</v>
          </cell>
          <cell r="H1931" t="str">
            <v>Y</v>
          </cell>
          <cell r="I1931" t="str">
            <v>N</v>
          </cell>
          <cell r="J1931">
            <v>157</v>
          </cell>
          <cell r="K1931">
            <v>1.0001</v>
          </cell>
          <cell r="L1931">
            <v>0.35010000000000002</v>
          </cell>
          <cell r="M1931">
            <v>23.7</v>
          </cell>
          <cell r="N1931">
            <v>2.7</v>
          </cell>
          <cell r="O1931">
            <v>0.65</v>
          </cell>
          <cell r="P1931">
            <v>0.13869999999999999</v>
          </cell>
          <cell r="Q1931">
            <v>9.1999999999999998E-3</v>
          </cell>
          <cell r="R1931">
            <v>0.50209999999999999</v>
          </cell>
          <cell r="S1931" t="str">
            <v>NA</v>
          </cell>
          <cell r="T1931">
            <v>60.6</v>
          </cell>
          <cell r="U1931">
            <v>4.9000000000000004</v>
          </cell>
          <cell r="V1931">
            <v>75.7</v>
          </cell>
          <cell r="W1931">
            <v>7.6</v>
          </cell>
          <cell r="X1931">
            <v>52.8</v>
          </cell>
          <cell r="Y1931">
            <v>6.9</v>
          </cell>
          <cell r="Z1931" t="str">
            <v>NA</v>
          </cell>
          <cell r="AA1931" t="str">
            <v>NA</v>
          </cell>
        </row>
        <row r="1932">
          <cell r="A1932">
            <v>45190</v>
          </cell>
          <cell r="B1932" t="str">
            <v>A1</v>
          </cell>
          <cell r="C1932">
            <v>2</v>
          </cell>
          <cell r="D1932">
            <v>3</v>
          </cell>
          <cell r="E1932" t="str">
            <v>ARIS.A1.Aim3.Bin2.LB</v>
          </cell>
          <cell r="F1932">
            <v>4</v>
          </cell>
          <cell r="G1932" t="str">
            <v>SplineDFA</v>
          </cell>
          <cell r="H1932" t="str">
            <v>Y</v>
          </cell>
          <cell r="I1932" t="str">
            <v>N</v>
          </cell>
          <cell r="J1932">
            <v>188</v>
          </cell>
          <cell r="K1932">
            <v>1.0001</v>
          </cell>
          <cell r="L1932">
            <v>0.18640000000000001</v>
          </cell>
          <cell r="M1932">
            <v>23.7</v>
          </cell>
          <cell r="N1932">
            <v>2.7</v>
          </cell>
          <cell r="O1932">
            <v>0.81369999999999998</v>
          </cell>
          <cell r="P1932">
            <v>0.2374</v>
          </cell>
          <cell r="Q1932">
            <v>0.1497</v>
          </cell>
          <cell r="R1932">
            <v>0.42659999999999998</v>
          </cell>
          <cell r="S1932" t="str">
            <v>NA</v>
          </cell>
          <cell r="T1932">
            <v>60.6</v>
          </cell>
          <cell r="U1932">
            <v>4.9000000000000004</v>
          </cell>
          <cell r="V1932">
            <v>75.7</v>
          </cell>
          <cell r="W1932">
            <v>7.6</v>
          </cell>
          <cell r="X1932">
            <v>52.8</v>
          </cell>
          <cell r="Y1932">
            <v>6.9</v>
          </cell>
          <cell r="Z1932" t="str">
            <v>NA</v>
          </cell>
          <cell r="AA1932" t="str">
            <v>NA</v>
          </cell>
        </row>
        <row r="1933">
          <cell r="A1933">
            <v>45190</v>
          </cell>
          <cell r="B1933" t="str">
            <v>A1</v>
          </cell>
          <cell r="C1933">
            <v>3</v>
          </cell>
          <cell r="D1933">
            <v>3</v>
          </cell>
          <cell r="E1933" t="str">
            <v>ARIS.A1.Aim3.Bin3.LB</v>
          </cell>
          <cell r="F1933">
            <v>4</v>
          </cell>
          <cell r="G1933" t="str">
            <v>SplineDFA</v>
          </cell>
          <cell r="H1933" t="str">
            <v>Y</v>
          </cell>
          <cell r="I1933" t="str">
            <v>N</v>
          </cell>
          <cell r="J1933">
            <v>183</v>
          </cell>
          <cell r="K1933">
            <v>1</v>
          </cell>
          <cell r="L1933">
            <v>6.7900000000000002E-2</v>
          </cell>
          <cell r="M1933">
            <v>23.7</v>
          </cell>
          <cell r="N1933">
            <v>2.7</v>
          </cell>
          <cell r="O1933">
            <v>0.93210000000000004</v>
          </cell>
          <cell r="P1933">
            <v>0.2142</v>
          </cell>
          <cell r="Q1933">
            <v>0.22439999999999999</v>
          </cell>
          <cell r="R1933">
            <v>0.49349999999999999</v>
          </cell>
          <cell r="S1933" t="str">
            <v>NA</v>
          </cell>
          <cell r="T1933">
            <v>60.6</v>
          </cell>
          <cell r="U1933">
            <v>4.9000000000000004</v>
          </cell>
          <cell r="V1933">
            <v>75.7</v>
          </cell>
          <cell r="W1933">
            <v>7.6</v>
          </cell>
          <cell r="X1933">
            <v>52.8</v>
          </cell>
          <cell r="Y1933">
            <v>6.9</v>
          </cell>
          <cell r="Z1933" t="str">
            <v>NA</v>
          </cell>
          <cell r="AA1933" t="str">
            <v>NA</v>
          </cell>
        </row>
        <row r="1934">
          <cell r="A1934">
            <v>45190</v>
          </cell>
          <cell r="B1934" t="str">
            <v>A1</v>
          </cell>
          <cell r="C1934">
            <v>4</v>
          </cell>
          <cell r="D1934">
            <v>3</v>
          </cell>
          <cell r="E1934" t="str">
            <v>ARIS.A1.Aim3.Bin4.LB</v>
          </cell>
          <cell r="F1934">
            <v>4</v>
          </cell>
          <cell r="G1934" t="str">
            <v>SplineDFA</v>
          </cell>
          <cell r="H1934" t="str">
            <v>Y</v>
          </cell>
          <cell r="I1934" t="str">
            <v>N</v>
          </cell>
          <cell r="J1934">
            <v>183</v>
          </cell>
          <cell r="K1934">
            <v>1</v>
          </cell>
          <cell r="L1934">
            <v>6.7900000000000002E-2</v>
          </cell>
          <cell r="M1934">
            <v>23.7</v>
          </cell>
          <cell r="N1934">
            <v>2.7</v>
          </cell>
          <cell r="O1934">
            <v>0.93210000000000004</v>
          </cell>
          <cell r="P1934">
            <v>0.2142</v>
          </cell>
          <cell r="Q1934">
            <v>0.22439999999999999</v>
          </cell>
          <cell r="R1934">
            <v>0.49349999999999999</v>
          </cell>
          <cell r="S1934" t="str">
            <v>NA</v>
          </cell>
          <cell r="T1934">
            <v>60.6</v>
          </cell>
          <cell r="U1934">
            <v>4.9000000000000004</v>
          </cell>
          <cell r="V1934">
            <v>75.7</v>
          </cell>
          <cell r="W1934">
            <v>7.6</v>
          </cell>
          <cell r="X1934">
            <v>52.8</v>
          </cell>
          <cell r="Y1934">
            <v>6.9</v>
          </cell>
          <cell r="Z1934" t="str">
            <v>NA</v>
          </cell>
          <cell r="AA1934" t="str">
            <v>NA</v>
          </cell>
        </row>
        <row r="1935">
          <cell r="A1935">
            <v>45190</v>
          </cell>
          <cell r="B1935" t="str">
            <v>A2</v>
          </cell>
          <cell r="C1935">
            <v>1</v>
          </cell>
          <cell r="D1935">
            <v>1</v>
          </cell>
          <cell r="E1935" t="str">
            <v>ARIS.A2.Aim1.Bin1.RB</v>
          </cell>
          <cell r="F1935">
            <v>4</v>
          </cell>
          <cell r="G1935" t="str">
            <v>SplineDFA</v>
          </cell>
          <cell r="H1935" t="str">
            <v>Y</v>
          </cell>
          <cell r="I1935" t="str">
            <v>N</v>
          </cell>
          <cell r="J1935">
            <v>166</v>
          </cell>
          <cell r="K1935">
            <v>1</v>
          </cell>
          <cell r="L1935">
            <v>0.18110000000000001</v>
          </cell>
          <cell r="M1935">
            <v>23.7</v>
          </cell>
          <cell r="N1935">
            <v>2.7</v>
          </cell>
          <cell r="O1935">
            <v>0.81889999999999996</v>
          </cell>
          <cell r="P1935">
            <v>0.1721</v>
          </cell>
          <cell r="Q1935">
            <v>3.2199999999999999E-2</v>
          </cell>
          <cell r="R1935">
            <v>0.61460000000000004</v>
          </cell>
          <cell r="S1935" t="str">
            <v>NA</v>
          </cell>
          <cell r="T1935">
            <v>60.6</v>
          </cell>
          <cell r="U1935">
            <v>4.9000000000000004</v>
          </cell>
          <cell r="V1935">
            <v>75.7</v>
          </cell>
          <cell r="W1935">
            <v>7.6</v>
          </cell>
          <cell r="X1935">
            <v>52.8</v>
          </cell>
          <cell r="Y1935">
            <v>6.9</v>
          </cell>
          <cell r="Z1935" t="str">
            <v>NA</v>
          </cell>
          <cell r="AA1935" t="str">
            <v>NA</v>
          </cell>
        </row>
        <row r="1936">
          <cell r="A1936">
            <v>45190</v>
          </cell>
          <cell r="B1936" t="str">
            <v>A2</v>
          </cell>
          <cell r="C1936">
            <v>2</v>
          </cell>
          <cell r="D1936">
            <v>1</v>
          </cell>
          <cell r="E1936" t="str">
            <v>ARIS.A2.Aim1.Bin2.RB</v>
          </cell>
          <cell r="F1936">
            <v>4</v>
          </cell>
          <cell r="G1936" t="str">
            <v>SplineDFA</v>
          </cell>
          <cell r="H1936" t="str">
            <v>Y</v>
          </cell>
          <cell r="I1936" t="str">
            <v>N</v>
          </cell>
          <cell r="J1936">
            <v>163</v>
          </cell>
          <cell r="K1936">
            <v>1</v>
          </cell>
          <cell r="L1936">
            <v>8.5599999999999996E-2</v>
          </cell>
          <cell r="M1936">
            <v>23.7</v>
          </cell>
          <cell r="N1936">
            <v>2.7</v>
          </cell>
          <cell r="O1936">
            <v>0.91439999999999999</v>
          </cell>
          <cell r="P1936">
            <v>0.38529999999999998</v>
          </cell>
          <cell r="Q1936">
            <v>0.19120000000000001</v>
          </cell>
          <cell r="R1936">
            <v>0.33789999999999998</v>
          </cell>
          <cell r="S1936" t="str">
            <v>NA</v>
          </cell>
          <cell r="T1936">
            <v>60.6</v>
          </cell>
          <cell r="U1936">
            <v>4.9000000000000004</v>
          </cell>
          <cell r="V1936">
            <v>75.7</v>
          </cell>
          <cell r="W1936">
            <v>7.6</v>
          </cell>
          <cell r="X1936">
            <v>52.8</v>
          </cell>
          <cell r="Y1936">
            <v>6.9</v>
          </cell>
          <cell r="Z1936" t="str">
            <v>NA</v>
          </cell>
          <cell r="AA1936" t="str">
            <v>NA</v>
          </cell>
        </row>
        <row r="1937">
          <cell r="A1937">
            <v>45190</v>
          </cell>
          <cell r="B1937" t="str">
            <v>A2</v>
          </cell>
          <cell r="C1937">
            <v>3</v>
          </cell>
          <cell r="D1937">
            <v>1</v>
          </cell>
          <cell r="E1937" t="str">
            <v>ARIS.A2.Aim1.Bin3.RB</v>
          </cell>
          <cell r="F1937">
            <v>4</v>
          </cell>
          <cell r="G1937" t="str">
            <v>SplineDFA</v>
          </cell>
          <cell r="H1937" t="str">
            <v>Y</v>
          </cell>
          <cell r="I1937" t="str">
            <v>N</v>
          </cell>
          <cell r="J1937">
            <v>127</v>
          </cell>
          <cell r="K1937">
            <v>1</v>
          </cell>
          <cell r="L1937">
            <v>3.4500000000000003E-2</v>
          </cell>
          <cell r="M1937">
            <v>23.7</v>
          </cell>
          <cell r="N1937">
            <v>2.7</v>
          </cell>
          <cell r="O1937">
            <v>0.96550000000000002</v>
          </cell>
          <cell r="P1937">
            <v>0.18759999999999999</v>
          </cell>
          <cell r="Q1937">
            <v>0.3039</v>
          </cell>
          <cell r="R1937">
            <v>0.47399999999999998</v>
          </cell>
          <cell r="S1937" t="str">
            <v>NA</v>
          </cell>
          <cell r="T1937">
            <v>60.6</v>
          </cell>
          <cell r="U1937">
            <v>4.9000000000000004</v>
          </cell>
          <cell r="V1937">
            <v>75.7</v>
          </cell>
          <cell r="W1937">
            <v>7.6</v>
          </cell>
          <cell r="X1937">
            <v>52.8</v>
          </cell>
          <cell r="Y1937">
            <v>6.9</v>
          </cell>
          <cell r="Z1937" t="str">
            <v>NA</v>
          </cell>
          <cell r="AA1937" t="str">
            <v>NA</v>
          </cell>
        </row>
        <row r="1938">
          <cell r="A1938">
            <v>45190</v>
          </cell>
          <cell r="B1938" t="str">
            <v>A2</v>
          </cell>
          <cell r="C1938">
            <v>4</v>
          </cell>
          <cell r="D1938">
            <v>1</v>
          </cell>
          <cell r="E1938" t="str">
            <v>ARIS.A2.Aim1.Bin4.RB</v>
          </cell>
          <cell r="F1938">
            <v>4</v>
          </cell>
          <cell r="G1938" t="str">
            <v>SplineDFA</v>
          </cell>
          <cell r="H1938" t="str">
            <v>Y</v>
          </cell>
          <cell r="I1938" t="str">
            <v>N</v>
          </cell>
          <cell r="J1938">
            <v>127</v>
          </cell>
          <cell r="K1938">
            <v>1</v>
          </cell>
          <cell r="L1938">
            <v>3.4500000000000003E-2</v>
          </cell>
          <cell r="M1938">
            <v>23.7</v>
          </cell>
          <cell r="N1938">
            <v>2.7</v>
          </cell>
          <cell r="O1938">
            <v>0.96550000000000002</v>
          </cell>
          <cell r="P1938">
            <v>0.18759999999999999</v>
          </cell>
          <cell r="Q1938">
            <v>0.3039</v>
          </cell>
          <cell r="R1938">
            <v>0.47399999999999998</v>
          </cell>
          <cell r="S1938" t="str">
            <v>NA</v>
          </cell>
          <cell r="T1938">
            <v>60.6</v>
          </cell>
          <cell r="U1938">
            <v>4.9000000000000004</v>
          </cell>
          <cell r="V1938">
            <v>75.7</v>
          </cell>
          <cell r="W1938">
            <v>7.6</v>
          </cell>
          <cell r="X1938">
            <v>52.8</v>
          </cell>
          <cell r="Y1938">
            <v>6.9</v>
          </cell>
          <cell r="Z1938" t="str">
            <v>NA</v>
          </cell>
          <cell r="AA1938" t="str">
            <v>NA</v>
          </cell>
        </row>
        <row r="1939">
          <cell r="A1939">
            <v>45190</v>
          </cell>
          <cell r="B1939" t="str">
            <v>A1</v>
          </cell>
          <cell r="C1939">
            <v>1</v>
          </cell>
          <cell r="D1939">
            <v>1</v>
          </cell>
          <cell r="E1939" t="str">
            <v>ARIS.A1.Aim1.Bin1.LB</v>
          </cell>
          <cell r="F1939">
            <v>4</v>
          </cell>
          <cell r="G1939" t="str">
            <v>Unweighted</v>
          </cell>
          <cell r="H1939" t="str">
            <v>N</v>
          </cell>
          <cell r="I1939" t="str">
            <v>Y</v>
          </cell>
          <cell r="J1939">
            <v>181</v>
          </cell>
          <cell r="K1939">
            <v>1.0001</v>
          </cell>
          <cell r="L1939">
            <v>0.66149999999999998</v>
          </cell>
          <cell r="M1939">
            <v>22.4</v>
          </cell>
          <cell r="N1939">
            <v>7.1</v>
          </cell>
          <cell r="O1939">
            <v>0.33860000000000001</v>
          </cell>
          <cell r="P1939">
            <v>0</v>
          </cell>
          <cell r="Q1939">
            <v>1.5E-3</v>
          </cell>
          <cell r="R1939">
            <v>0.33710000000000001</v>
          </cell>
          <cell r="S1939" t="str">
            <v>NA</v>
          </cell>
          <cell r="T1939">
            <v>60.6</v>
          </cell>
          <cell r="U1939">
            <v>4.9000000000000004</v>
          </cell>
          <cell r="V1939">
            <v>75.7</v>
          </cell>
          <cell r="W1939">
            <v>7.6</v>
          </cell>
          <cell r="X1939">
            <v>52.8</v>
          </cell>
          <cell r="Y1939">
            <v>6.9</v>
          </cell>
          <cell r="Z1939" t="str">
            <v>NA</v>
          </cell>
          <cell r="AA1939" t="str">
            <v>NA</v>
          </cell>
        </row>
        <row r="1940">
          <cell r="A1940">
            <v>45190</v>
          </cell>
          <cell r="B1940" t="str">
            <v>A1</v>
          </cell>
          <cell r="C1940">
            <v>1</v>
          </cell>
          <cell r="D1940">
            <v>2</v>
          </cell>
          <cell r="E1940" t="str">
            <v>ARIS.A1.Aim2.Bin1.LB</v>
          </cell>
          <cell r="F1940">
            <v>4</v>
          </cell>
          <cell r="G1940" t="str">
            <v>Unweighted</v>
          </cell>
          <cell r="H1940" t="str">
            <v>N</v>
          </cell>
          <cell r="I1940" t="str">
            <v>Y</v>
          </cell>
          <cell r="J1940">
            <v>157</v>
          </cell>
          <cell r="K1940">
            <v>1</v>
          </cell>
          <cell r="L1940">
            <v>0.56330000000000002</v>
          </cell>
          <cell r="M1940">
            <v>19</v>
          </cell>
          <cell r="N1940">
            <v>9.1999999999999993</v>
          </cell>
          <cell r="O1940">
            <v>0.43669999999999998</v>
          </cell>
          <cell r="P1940">
            <v>0</v>
          </cell>
          <cell r="Q1940">
            <v>6.3E-3</v>
          </cell>
          <cell r="R1940">
            <v>0.4304</v>
          </cell>
          <cell r="S1940" t="str">
            <v>NA</v>
          </cell>
          <cell r="T1940">
            <v>60.6</v>
          </cell>
          <cell r="U1940">
            <v>4.9000000000000004</v>
          </cell>
          <cell r="V1940">
            <v>75.7</v>
          </cell>
          <cell r="W1940">
            <v>7.6</v>
          </cell>
          <cell r="X1940">
            <v>52.8</v>
          </cell>
          <cell r="Y1940">
            <v>6.9</v>
          </cell>
          <cell r="Z1940" t="str">
            <v>NA</v>
          </cell>
          <cell r="AA1940" t="str">
            <v>NA</v>
          </cell>
        </row>
        <row r="1941">
          <cell r="A1941">
            <v>45190</v>
          </cell>
          <cell r="B1941" t="str">
            <v>A1</v>
          </cell>
          <cell r="C1941">
            <v>1</v>
          </cell>
          <cell r="D1941" t="str">
            <v>1&amp;2</v>
          </cell>
          <cell r="E1941" t="str">
            <v>ARIS.A1.Aim1&amp;Aim2.Bin1.LB</v>
          </cell>
          <cell r="F1941">
            <v>4</v>
          </cell>
          <cell r="G1941" t="str">
            <v>Unweighted</v>
          </cell>
          <cell r="H1941" t="str">
            <v>N</v>
          </cell>
          <cell r="I1941" t="str">
            <v>Y</v>
          </cell>
          <cell r="J1941">
            <v>338</v>
          </cell>
          <cell r="K1941">
            <v>1</v>
          </cell>
          <cell r="L1941">
            <v>0.628</v>
          </cell>
          <cell r="M1941">
            <v>21</v>
          </cell>
          <cell r="N1941">
            <v>8.1</v>
          </cell>
          <cell r="O1941">
            <v>0.372</v>
          </cell>
          <cell r="P1941">
            <v>0</v>
          </cell>
          <cell r="Q1941">
            <v>2.8E-3</v>
          </cell>
          <cell r="R1941">
            <v>0.36919999999999997</v>
          </cell>
          <cell r="S1941" t="str">
            <v>NA</v>
          </cell>
          <cell r="T1941">
            <v>60.6</v>
          </cell>
          <cell r="U1941">
            <v>4.9000000000000004</v>
          </cell>
          <cell r="V1941">
            <v>75.7</v>
          </cell>
          <cell r="W1941">
            <v>7.6</v>
          </cell>
          <cell r="X1941">
            <v>52.8</v>
          </cell>
          <cell r="Y1941">
            <v>6.9</v>
          </cell>
          <cell r="Z1941" t="str">
            <v>NA</v>
          </cell>
          <cell r="AA1941" t="str">
            <v>NA</v>
          </cell>
        </row>
        <row r="1942">
          <cell r="A1942">
            <v>45190</v>
          </cell>
          <cell r="B1942" t="str">
            <v>A1</v>
          </cell>
          <cell r="C1942">
            <v>2</v>
          </cell>
          <cell r="D1942">
            <v>3</v>
          </cell>
          <cell r="E1942" t="str">
            <v>ARIS.A1.Aim3.Bin2.LB</v>
          </cell>
          <cell r="F1942">
            <v>4</v>
          </cell>
          <cell r="G1942" t="str">
            <v>Unweighted</v>
          </cell>
          <cell r="H1942" t="str">
            <v>N</v>
          </cell>
          <cell r="I1942" t="str">
            <v>Y</v>
          </cell>
          <cell r="J1942">
            <v>188</v>
          </cell>
          <cell r="K1942">
            <v>1</v>
          </cell>
          <cell r="L1942">
            <v>0.3518</v>
          </cell>
          <cell r="M1942">
            <v>23.7</v>
          </cell>
          <cell r="N1942">
            <v>8.8000000000000007</v>
          </cell>
          <cell r="O1942">
            <v>0.6482</v>
          </cell>
          <cell r="P1942">
            <v>0.12039999999999999</v>
          </cell>
          <cell r="Q1942">
            <v>9.1399999999999995E-2</v>
          </cell>
          <cell r="R1942">
            <v>0.43640000000000001</v>
          </cell>
          <cell r="S1942" t="str">
            <v>NA</v>
          </cell>
          <cell r="T1942">
            <v>60.6</v>
          </cell>
          <cell r="U1942">
            <v>4.9000000000000004</v>
          </cell>
          <cell r="V1942">
            <v>75.7</v>
          </cell>
          <cell r="W1942">
            <v>7.6</v>
          </cell>
          <cell r="X1942">
            <v>52.8</v>
          </cell>
          <cell r="Y1942">
            <v>6.9</v>
          </cell>
          <cell r="Z1942" t="str">
            <v>NA</v>
          </cell>
          <cell r="AA1942" t="str">
            <v>NA</v>
          </cell>
        </row>
        <row r="1943">
          <cell r="A1943">
            <v>45190</v>
          </cell>
          <cell r="B1943" t="str">
            <v>A1</v>
          </cell>
          <cell r="C1943">
            <v>3</v>
          </cell>
          <cell r="D1943">
            <v>3</v>
          </cell>
          <cell r="E1943" t="str">
            <v>ARIS.A1.Aim3.Bin3.LB</v>
          </cell>
          <cell r="F1943">
            <v>4</v>
          </cell>
          <cell r="G1943" t="str">
            <v>Unweighted</v>
          </cell>
          <cell r="H1943" t="str">
            <v>N</v>
          </cell>
          <cell r="I1943" t="str">
            <v>Y</v>
          </cell>
          <cell r="J1943">
            <v>183</v>
          </cell>
          <cell r="K1943">
            <v>1.0001</v>
          </cell>
          <cell r="L1943">
            <v>9.9199999999999997E-2</v>
          </cell>
          <cell r="M1943">
            <v>23.7</v>
          </cell>
          <cell r="N1943">
            <v>11</v>
          </cell>
          <cell r="O1943">
            <v>0.90090000000000003</v>
          </cell>
          <cell r="P1943">
            <v>2.64E-2</v>
          </cell>
          <cell r="Q1943">
            <v>0.30980000000000002</v>
          </cell>
          <cell r="R1943">
            <v>0.56469999999999998</v>
          </cell>
          <cell r="S1943" t="str">
            <v>NA</v>
          </cell>
          <cell r="T1943">
            <v>60.6</v>
          </cell>
          <cell r="U1943">
            <v>4.9000000000000004</v>
          </cell>
          <cell r="V1943">
            <v>75.7</v>
          </cell>
          <cell r="W1943">
            <v>7.6</v>
          </cell>
          <cell r="X1943">
            <v>52.8</v>
          </cell>
          <cell r="Y1943">
            <v>6.9</v>
          </cell>
          <cell r="Z1943" t="str">
            <v>NA</v>
          </cell>
          <cell r="AA1943" t="str">
            <v>NA</v>
          </cell>
        </row>
        <row r="1944">
          <cell r="A1944">
            <v>45190</v>
          </cell>
          <cell r="B1944" t="str">
            <v>A1</v>
          </cell>
          <cell r="C1944">
            <v>4</v>
          </cell>
          <cell r="D1944">
            <v>3</v>
          </cell>
          <cell r="E1944" t="str">
            <v>ARIS.A1.Aim3.Bin4.LB</v>
          </cell>
          <cell r="F1944">
            <v>4</v>
          </cell>
          <cell r="G1944" t="str">
            <v>Unweighted</v>
          </cell>
          <cell r="H1944" t="str">
            <v>N</v>
          </cell>
          <cell r="I1944" t="str">
            <v>Y</v>
          </cell>
          <cell r="J1944">
            <v>183</v>
          </cell>
          <cell r="K1944">
            <v>1.0001</v>
          </cell>
          <cell r="L1944">
            <v>9.9199999999999997E-2</v>
          </cell>
          <cell r="M1944">
            <v>23.7</v>
          </cell>
          <cell r="N1944">
            <v>11</v>
          </cell>
          <cell r="O1944">
            <v>0.90090000000000003</v>
          </cell>
          <cell r="P1944">
            <v>2.64E-2</v>
          </cell>
          <cell r="Q1944">
            <v>0.30980000000000002</v>
          </cell>
          <cell r="R1944">
            <v>0.56469999999999998</v>
          </cell>
          <cell r="S1944" t="str">
            <v>NA</v>
          </cell>
          <cell r="T1944">
            <v>60.6</v>
          </cell>
          <cell r="U1944">
            <v>4.9000000000000004</v>
          </cell>
          <cell r="V1944">
            <v>75.7</v>
          </cell>
          <cell r="W1944">
            <v>7.6</v>
          </cell>
          <cell r="X1944">
            <v>52.8</v>
          </cell>
          <cell r="Y1944">
            <v>6.9</v>
          </cell>
          <cell r="Z1944" t="str">
            <v>NA</v>
          </cell>
          <cell r="AA1944" t="str">
            <v>NA</v>
          </cell>
        </row>
        <row r="1945">
          <cell r="A1945">
            <v>45190</v>
          </cell>
          <cell r="B1945" t="str">
            <v>A2</v>
          </cell>
          <cell r="C1945">
            <v>1</v>
          </cell>
          <cell r="D1945">
            <v>1</v>
          </cell>
          <cell r="E1945" t="str">
            <v>ARIS.A2.Aim1.Bin1.RB</v>
          </cell>
          <cell r="F1945">
            <v>4</v>
          </cell>
          <cell r="G1945" t="str">
            <v>Unweighted</v>
          </cell>
          <cell r="H1945" t="str">
            <v>N</v>
          </cell>
          <cell r="I1945" t="str">
            <v>Y</v>
          </cell>
          <cell r="J1945">
            <v>166</v>
          </cell>
          <cell r="K1945">
            <v>1</v>
          </cell>
          <cell r="L1945">
            <v>0.30249999999999999</v>
          </cell>
          <cell r="M1945">
            <v>20.9</v>
          </cell>
          <cell r="N1945">
            <v>8.1999999999999993</v>
          </cell>
          <cell r="O1945">
            <v>0.69750000000000001</v>
          </cell>
          <cell r="P1945">
            <v>0</v>
          </cell>
          <cell r="Q1945">
            <v>3.7100000000000001E-2</v>
          </cell>
          <cell r="R1945">
            <v>0.66039999999999999</v>
          </cell>
          <cell r="S1945" t="str">
            <v>NA</v>
          </cell>
          <cell r="T1945">
            <v>60.6</v>
          </cell>
          <cell r="U1945">
            <v>4.9000000000000004</v>
          </cell>
          <cell r="V1945">
            <v>75.7</v>
          </cell>
          <cell r="W1945">
            <v>7.6</v>
          </cell>
          <cell r="X1945">
            <v>52.8</v>
          </cell>
          <cell r="Y1945">
            <v>6.9</v>
          </cell>
          <cell r="Z1945" t="str">
            <v>NA</v>
          </cell>
          <cell r="AA1945" t="str">
            <v>NA</v>
          </cell>
        </row>
        <row r="1946">
          <cell r="A1946">
            <v>45190</v>
          </cell>
          <cell r="B1946" t="str">
            <v>A2</v>
          </cell>
          <cell r="C1946">
            <v>2</v>
          </cell>
          <cell r="D1946">
            <v>1</v>
          </cell>
          <cell r="E1946" t="str">
            <v>ARIS.A2.Aim1.Bin2.RB</v>
          </cell>
          <cell r="F1946">
            <v>4</v>
          </cell>
          <cell r="G1946" t="str">
            <v>Unweighted</v>
          </cell>
          <cell r="H1946" t="str">
            <v>N</v>
          </cell>
          <cell r="I1946" t="str">
            <v>Y</v>
          </cell>
          <cell r="J1946">
            <v>163</v>
          </cell>
          <cell r="K1946">
            <v>0.99990000000000001</v>
          </cell>
          <cell r="L1946">
            <v>0.17749999999999999</v>
          </cell>
          <cell r="M1946">
            <v>23.7</v>
          </cell>
          <cell r="N1946">
            <v>9.6</v>
          </cell>
          <cell r="O1946">
            <v>0.82240000000000002</v>
          </cell>
          <cell r="P1946">
            <v>0.2223</v>
          </cell>
          <cell r="Q1946">
            <v>0.14219999999999999</v>
          </cell>
          <cell r="R1946">
            <v>0.45789999999999997</v>
          </cell>
          <cell r="S1946" t="str">
            <v>NA</v>
          </cell>
          <cell r="T1946">
            <v>60.6</v>
          </cell>
          <cell r="U1946">
            <v>4.9000000000000004</v>
          </cell>
          <cell r="V1946">
            <v>75.7</v>
          </cell>
          <cell r="W1946">
            <v>7.6</v>
          </cell>
          <cell r="X1946">
            <v>52.8</v>
          </cell>
          <cell r="Y1946">
            <v>6.9</v>
          </cell>
          <cell r="Z1946" t="str">
            <v>NA</v>
          </cell>
          <cell r="AA1946" t="str">
            <v>NA</v>
          </cell>
        </row>
        <row r="1947">
          <cell r="A1947">
            <v>45190</v>
          </cell>
          <cell r="B1947" t="str">
            <v>A2</v>
          </cell>
          <cell r="C1947">
            <v>3</v>
          </cell>
          <cell r="D1947">
            <v>1</v>
          </cell>
          <cell r="E1947" t="str">
            <v>ARIS.A2.Aim1.Bin3.RB</v>
          </cell>
          <cell r="F1947">
            <v>4</v>
          </cell>
          <cell r="G1947" t="str">
            <v>Unweighted</v>
          </cell>
          <cell r="H1947" t="str">
            <v>N</v>
          </cell>
          <cell r="I1947" t="str">
            <v>Y</v>
          </cell>
          <cell r="J1947">
            <v>127</v>
          </cell>
          <cell r="K1947">
            <v>0.99990000000000001</v>
          </cell>
          <cell r="L1947">
            <v>0.1085</v>
          </cell>
          <cell r="M1947">
            <v>23.7</v>
          </cell>
          <cell r="N1947">
            <v>8.4</v>
          </cell>
          <cell r="O1947">
            <v>0.89139999999999997</v>
          </cell>
          <cell r="P1947">
            <v>0</v>
          </cell>
          <cell r="Q1947">
            <v>0.3735</v>
          </cell>
          <cell r="R1947">
            <v>0.51790000000000003</v>
          </cell>
          <cell r="S1947" t="str">
            <v>NA</v>
          </cell>
          <cell r="T1947">
            <v>60.6</v>
          </cell>
          <cell r="U1947">
            <v>4.9000000000000004</v>
          </cell>
          <cell r="V1947">
            <v>75.7</v>
          </cell>
          <cell r="W1947">
            <v>7.6</v>
          </cell>
          <cell r="X1947">
            <v>52.8</v>
          </cell>
          <cell r="Y1947">
            <v>6.9</v>
          </cell>
          <cell r="Z1947" t="str">
            <v>NA</v>
          </cell>
          <cell r="AA1947" t="str">
            <v>NA</v>
          </cell>
        </row>
        <row r="1948">
          <cell r="A1948">
            <v>45190</v>
          </cell>
          <cell r="B1948" t="str">
            <v>A2</v>
          </cell>
          <cell r="C1948">
            <v>4</v>
          </cell>
          <cell r="D1948">
            <v>1</v>
          </cell>
          <cell r="E1948" t="str">
            <v>ARIS.A2.Aim1.Bin4.RB</v>
          </cell>
          <cell r="F1948">
            <v>4</v>
          </cell>
          <cell r="G1948" t="str">
            <v>Unweighted</v>
          </cell>
          <cell r="H1948" t="str">
            <v>N</v>
          </cell>
          <cell r="I1948" t="str">
            <v>Y</v>
          </cell>
          <cell r="J1948">
            <v>127</v>
          </cell>
          <cell r="K1948">
            <v>0.99990000000000001</v>
          </cell>
          <cell r="L1948">
            <v>0.1085</v>
          </cell>
          <cell r="M1948">
            <v>23.7</v>
          </cell>
          <cell r="N1948">
            <v>8.4</v>
          </cell>
          <cell r="O1948">
            <v>0.89139999999999997</v>
          </cell>
          <cell r="P1948">
            <v>0</v>
          </cell>
          <cell r="Q1948">
            <v>0.3735</v>
          </cell>
          <cell r="R1948">
            <v>0.51790000000000003</v>
          </cell>
          <cell r="S1948" t="str">
            <v>NA</v>
          </cell>
          <cell r="T1948">
            <v>60.6</v>
          </cell>
          <cell r="U1948">
            <v>4.9000000000000004</v>
          </cell>
          <cell r="V1948">
            <v>75.7</v>
          </cell>
          <cell r="W1948">
            <v>7.6</v>
          </cell>
          <cell r="X1948">
            <v>52.8</v>
          </cell>
          <cell r="Y1948">
            <v>6.9</v>
          </cell>
          <cell r="Z1948" t="str">
            <v>NA</v>
          </cell>
          <cell r="AA1948" t="str">
            <v>NA</v>
          </cell>
        </row>
        <row r="1949">
          <cell r="A1949">
            <v>45191</v>
          </cell>
          <cell r="B1949" t="str">
            <v>A1</v>
          </cell>
          <cell r="C1949">
            <v>1</v>
          </cell>
          <cell r="D1949">
            <v>1</v>
          </cell>
          <cell r="E1949" t="str">
            <v>ARIS.A1.Aim1.Bin1.LB</v>
          </cell>
          <cell r="F1949">
            <v>4</v>
          </cell>
          <cell r="G1949" t="str">
            <v>SplineDFA</v>
          </cell>
          <cell r="H1949" t="str">
            <v>Y</v>
          </cell>
          <cell r="I1949" t="str">
            <v>N</v>
          </cell>
          <cell r="J1949">
            <v>163</v>
          </cell>
          <cell r="K1949">
            <v>0.99990000000000001</v>
          </cell>
          <cell r="L1949">
            <v>0.52349999999999997</v>
          </cell>
          <cell r="M1949">
            <v>23.7</v>
          </cell>
          <cell r="N1949">
            <v>2.7</v>
          </cell>
          <cell r="O1949">
            <v>0.47639999999999999</v>
          </cell>
          <cell r="P1949">
            <v>3.9199999999999999E-2</v>
          </cell>
          <cell r="Q1949">
            <v>0</v>
          </cell>
          <cell r="R1949">
            <v>0.43719999999999998</v>
          </cell>
          <cell r="S1949" t="str">
            <v>NA</v>
          </cell>
          <cell r="T1949">
            <v>60.6</v>
          </cell>
          <cell r="U1949">
            <v>4.9000000000000004</v>
          </cell>
          <cell r="V1949">
            <v>75.7</v>
          </cell>
          <cell r="W1949">
            <v>7.6</v>
          </cell>
          <cell r="X1949">
            <v>52.8</v>
          </cell>
          <cell r="Y1949">
            <v>6.9</v>
          </cell>
          <cell r="Z1949" t="str">
            <v>NA</v>
          </cell>
          <cell r="AA1949" t="str">
            <v>NA</v>
          </cell>
        </row>
        <row r="1950">
          <cell r="A1950">
            <v>45191</v>
          </cell>
          <cell r="B1950" t="str">
            <v>A1</v>
          </cell>
          <cell r="C1950">
            <v>1</v>
          </cell>
          <cell r="D1950">
            <v>2</v>
          </cell>
          <cell r="E1950" t="str">
            <v>ARIS.A1.Aim2.Bin1.LB</v>
          </cell>
          <cell r="F1950">
            <v>4</v>
          </cell>
          <cell r="G1950" t="str">
            <v>SplineDFA</v>
          </cell>
          <cell r="H1950" t="str">
            <v>Y</v>
          </cell>
          <cell r="I1950" t="str">
            <v>N</v>
          </cell>
          <cell r="J1950">
            <v>164</v>
          </cell>
          <cell r="K1950">
            <v>1</v>
          </cell>
          <cell r="L1950">
            <v>0.5282</v>
          </cell>
          <cell r="M1950">
            <v>23.7</v>
          </cell>
          <cell r="N1950">
            <v>2.7</v>
          </cell>
          <cell r="O1950">
            <v>0.4718</v>
          </cell>
          <cell r="P1950">
            <v>8.2199999999999995E-2</v>
          </cell>
          <cell r="Q1950">
            <v>2.8E-3</v>
          </cell>
          <cell r="R1950">
            <v>0.38679999999999998</v>
          </cell>
          <cell r="S1950" t="str">
            <v>NA</v>
          </cell>
          <cell r="T1950">
            <v>60.6</v>
          </cell>
          <cell r="U1950">
            <v>4.9000000000000004</v>
          </cell>
          <cell r="V1950">
            <v>75.7</v>
          </cell>
          <cell r="W1950">
            <v>7.6</v>
          </cell>
          <cell r="X1950">
            <v>52.8</v>
          </cell>
          <cell r="Y1950">
            <v>6.9</v>
          </cell>
          <cell r="Z1950" t="str">
            <v>NA</v>
          </cell>
          <cell r="AA1950" t="str">
            <v>NA</v>
          </cell>
        </row>
        <row r="1951">
          <cell r="A1951">
            <v>45191</v>
          </cell>
          <cell r="B1951" t="str">
            <v>A1</v>
          </cell>
          <cell r="C1951">
            <v>2</v>
          </cell>
          <cell r="D1951">
            <v>3</v>
          </cell>
          <cell r="E1951" t="str">
            <v>ARIS.A1.Aim3.Bin2.LB</v>
          </cell>
          <cell r="F1951">
            <v>4</v>
          </cell>
          <cell r="G1951" t="str">
            <v>SplineDFA</v>
          </cell>
          <cell r="H1951" t="str">
            <v>Y</v>
          </cell>
          <cell r="I1951" t="str">
            <v>N</v>
          </cell>
          <cell r="J1951">
            <v>192</v>
          </cell>
          <cell r="K1951">
            <v>0.99990000000000001</v>
          </cell>
          <cell r="L1951">
            <v>0.25230000000000002</v>
          </cell>
          <cell r="M1951">
            <v>23.7</v>
          </cell>
          <cell r="N1951">
            <v>2.7</v>
          </cell>
          <cell r="O1951">
            <v>0.74760000000000004</v>
          </cell>
          <cell r="P1951">
            <v>0.153</v>
          </cell>
          <cell r="Q1951">
            <v>0.104</v>
          </cell>
          <cell r="R1951">
            <v>0.49059999999999998</v>
          </cell>
          <cell r="S1951" t="str">
            <v>NA</v>
          </cell>
          <cell r="T1951">
            <v>60.6</v>
          </cell>
          <cell r="U1951">
            <v>4.9000000000000004</v>
          </cell>
          <cell r="V1951">
            <v>75.7</v>
          </cell>
          <cell r="W1951">
            <v>7.6</v>
          </cell>
          <cell r="X1951">
            <v>52.8</v>
          </cell>
          <cell r="Y1951">
            <v>6.9</v>
          </cell>
          <cell r="Z1951" t="str">
            <v>NA</v>
          </cell>
          <cell r="AA1951" t="str">
            <v>NA</v>
          </cell>
        </row>
        <row r="1952">
          <cell r="A1952">
            <v>45191</v>
          </cell>
          <cell r="B1952" t="str">
            <v>A1</v>
          </cell>
          <cell r="C1952">
            <v>3</v>
          </cell>
          <cell r="D1952">
            <v>3</v>
          </cell>
          <cell r="E1952" t="str">
            <v>ARIS.A1.Aim3.Bin3.LB</v>
          </cell>
          <cell r="F1952">
            <v>4</v>
          </cell>
          <cell r="G1952" t="str">
            <v>SplineDFA</v>
          </cell>
          <cell r="H1952" t="str">
            <v>Y</v>
          </cell>
          <cell r="I1952" t="str">
            <v>N</v>
          </cell>
          <cell r="J1952">
            <v>154</v>
          </cell>
          <cell r="K1952">
            <v>1</v>
          </cell>
          <cell r="L1952">
            <v>3.3999999999999998E-3</v>
          </cell>
          <cell r="M1952">
            <v>23.7</v>
          </cell>
          <cell r="N1952">
            <v>2.7</v>
          </cell>
          <cell r="O1952">
            <v>0.99660000000000004</v>
          </cell>
          <cell r="P1952">
            <v>0.31259999999999999</v>
          </cell>
          <cell r="Q1952">
            <v>0.1416</v>
          </cell>
          <cell r="R1952">
            <v>0.54239999999999999</v>
          </cell>
          <cell r="S1952" t="str">
            <v>NA</v>
          </cell>
          <cell r="T1952">
            <v>60.6</v>
          </cell>
          <cell r="U1952">
            <v>4.9000000000000004</v>
          </cell>
          <cell r="V1952">
            <v>75.7</v>
          </cell>
          <cell r="W1952">
            <v>7.6</v>
          </cell>
          <cell r="X1952">
            <v>52.8</v>
          </cell>
          <cell r="Y1952">
            <v>6.9</v>
          </cell>
          <cell r="Z1952" t="str">
            <v>NA</v>
          </cell>
          <cell r="AA1952" t="str">
            <v>NA</v>
          </cell>
        </row>
        <row r="1953">
          <cell r="A1953">
            <v>45191</v>
          </cell>
          <cell r="B1953" t="str">
            <v>A1</v>
          </cell>
          <cell r="C1953">
            <v>4</v>
          </cell>
          <cell r="D1953">
            <v>3</v>
          </cell>
          <cell r="E1953" t="str">
            <v>ARIS.A1.Aim3.Bin4.LB</v>
          </cell>
          <cell r="F1953">
            <v>4</v>
          </cell>
          <cell r="G1953" t="str">
            <v>SplineDFA</v>
          </cell>
          <cell r="H1953" t="str">
            <v>Y</v>
          </cell>
          <cell r="I1953" t="str">
            <v>N</v>
          </cell>
          <cell r="J1953">
            <v>154</v>
          </cell>
          <cell r="K1953">
            <v>1</v>
          </cell>
          <cell r="L1953">
            <v>3.3999999999999998E-3</v>
          </cell>
          <cell r="M1953">
            <v>23.7</v>
          </cell>
          <cell r="N1953">
            <v>2.7</v>
          </cell>
          <cell r="O1953">
            <v>0.99660000000000004</v>
          </cell>
          <cell r="P1953">
            <v>0.31259999999999999</v>
          </cell>
          <cell r="Q1953">
            <v>0.1416</v>
          </cell>
          <cell r="R1953">
            <v>0.54239999999999999</v>
          </cell>
          <cell r="S1953" t="str">
            <v>NA</v>
          </cell>
          <cell r="T1953">
            <v>60.6</v>
          </cell>
          <cell r="U1953">
            <v>4.9000000000000004</v>
          </cell>
          <cell r="V1953">
            <v>75.7</v>
          </cell>
          <cell r="W1953">
            <v>7.6</v>
          </cell>
          <cell r="X1953">
            <v>52.8</v>
          </cell>
          <cell r="Y1953">
            <v>6.9</v>
          </cell>
          <cell r="Z1953" t="str">
            <v>NA</v>
          </cell>
          <cell r="AA1953" t="str">
            <v>NA</v>
          </cell>
        </row>
        <row r="1954">
          <cell r="A1954">
            <v>45191</v>
          </cell>
          <cell r="B1954" t="str">
            <v>A2</v>
          </cell>
          <cell r="C1954">
            <v>1</v>
          </cell>
          <cell r="D1954">
            <v>1</v>
          </cell>
          <cell r="E1954" t="str">
            <v>ARIS.A2.Aim1.Bin1.RB</v>
          </cell>
          <cell r="F1954">
            <v>4</v>
          </cell>
          <cell r="G1954" t="str">
            <v>SplineDFA</v>
          </cell>
          <cell r="H1954" t="str">
            <v>Y</v>
          </cell>
          <cell r="I1954" t="str">
            <v>N</v>
          </cell>
          <cell r="J1954">
            <v>166</v>
          </cell>
          <cell r="K1954">
            <v>1</v>
          </cell>
          <cell r="L1954">
            <v>0.18110000000000001</v>
          </cell>
          <cell r="M1954">
            <v>23.7</v>
          </cell>
          <cell r="N1954">
            <v>2.7</v>
          </cell>
          <cell r="O1954">
            <v>0.81889999999999996</v>
          </cell>
          <cell r="P1954">
            <v>0.1721</v>
          </cell>
          <cell r="Q1954">
            <v>3.2199999999999999E-2</v>
          </cell>
          <cell r="R1954">
            <v>0.61460000000000004</v>
          </cell>
          <cell r="S1954" t="str">
            <v>NA</v>
          </cell>
          <cell r="T1954">
            <v>60.6</v>
          </cell>
          <cell r="U1954">
            <v>4.9000000000000004</v>
          </cell>
          <cell r="V1954">
            <v>75.7</v>
          </cell>
          <cell r="W1954">
            <v>7.6</v>
          </cell>
          <cell r="X1954">
            <v>52.8</v>
          </cell>
          <cell r="Y1954">
            <v>6.9</v>
          </cell>
          <cell r="Z1954" t="str">
            <v>NA</v>
          </cell>
          <cell r="AA1954" t="str">
            <v>NA</v>
          </cell>
        </row>
        <row r="1955">
          <cell r="A1955">
            <v>45191</v>
          </cell>
          <cell r="B1955" t="str">
            <v>A2</v>
          </cell>
          <cell r="C1955">
            <v>2</v>
          </cell>
          <cell r="D1955">
            <v>1</v>
          </cell>
          <cell r="E1955" t="str">
            <v>ARIS.A2.Aim1.Bin2.RB</v>
          </cell>
          <cell r="F1955">
            <v>4</v>
          </cell>
          <cell r="G1955" t="str">
            <v>SplineDFA</v>
          </cell>
          <cell r="H1955" t="str">
            <v>Y</v>
          </cell>
          <cell r="I1955" t="str">
            <v>N</v>
          </cell>
          <cell r="J1955">
            <v>163</v>
          </cell>
          <cell r="K1955">
            <v>1</v>
          </cell>
          <cell r="L1955">
            <v>8.5599999999999996E-2</v>
          </cell>
          <cell r="M1955">
            <v>23.7</v>
          </cell>
          <cell r="N1955">
            <v>2.7</v>
          </cell>
          <cell r="O1955">
            <v>0.91439999999999999</v>
          </cell>
          <cell r="P1955">
            <v>0.38529999999999998</v>
          </cell>
          <cell r="Q1955">
            <v>0.19120000000000001</v>
          </cell>
          <cell r="R1955">
            <v>0.33789999999999998</v>
          </cell>
          <cell r="S1955" t="str">
            <v>NA</v>
          </cell>
          <cell r="T1955">
            <v>60.6</v>
          </cell>
          <cell r="U1955">
            <v>4.9000000000000004</v>
          </cell>
          <cell r="V1955">
            <v>75.7</v>
          </cell>
          <cell r="W1955">
            <v>7.6</v>
          </cell>
          <cell r="X1955">
            <v>52.8</v>
          </cell>
          <cell r="Y1955">
            <v>6.9</v>
          </cell>
          <cell r="Z1955" t="str">
            <v>NA</v>
          </cell>
          <cell r="AA1955" t="str">
            <v>NA</v>
          </cell>
        </row>
        <row r="1956">
          <cell r="A1956">
            <v>45191</v>
          </cell>
          <cell r="B1956" t="str">
            <v>A2</v>
          </cell>
          <cell r="C1956">
            <v>3</v>
          </cell>
          <cell r="D1956">
            <v>1</v>
          </cell>
          <cell r="E1956" t="str">
            <v>ARIS.A2.Aim1.Bin3.RB</v>
          </cell>
          <cell r="F1956">
            <v>4</v>
          </cell>
          <cell r="G1956" t="str">
            <v>SplineDFA</v>
          </cell>
          <cell r="H1956" t="str">
            <v>Y</v>
          </cell>
          <cell r="I1956" t="str">
            <v>N</v>
          </cell>
          <cell r="J1956">
            <v>127</v>
          </cell>
          <cell r="K1956">
            <v>1</v>
          </cell>
          <cell r="L1956">
            <v>3.4500000000000003E-2</v>
          </cell>
          <cell r="M1956">
            <v>23.7</v>
          </cell>
          <cell r="N1956">
            <v>2.7</v>
          </cell>
          <cell r="O1956">
            <v>0.96550000000000002</v>
          </cell>
          <cell r="P1956">
            <v>0.18759999999999999</v>
          </cell>
          <cell r="Q1956">
            <v>0.3039</v>
          </cell>
          <cell r="R1956">
            <v>0.47399999999999998</v>
          </cell>
          <cell r="S1956" t="str">
            <v>NA</v>
          </cell>
          <cell r="T1956">
            <v>60.6</v>
          </cell>
          <cell r="U1956">
            <v>4.9000000000000004</v>
          </cell>
          <cell r="V1956">
            <v>75.7</v>
          </cell>
          <cell r="W1956">
            <v>7.6</v>
          </cell>
          <cell r="X1956">
            <v>52.8</v>
          </cell>
          <cell r="Y1956">
            <v>6.9</v>
          </cell>
          <cell r="Z1956" t="str">
            <v>NA</v>
          </cell>
          <cell r="AA1956" t="str">
            <v>NA</v>
          </cell>
        </row>
        <row r="1957">
          <cell r="A1957">
            <v>45191</v>
          </cell>
          <cell r="B1957" t="str">
            <v>A2</v>
          </cell>
          <cell r="C1957">
            <v>4</v>
          </cell>
          <cell r="D1957">
            <v>1</v>
          </cell>
          <cell r="E1957" t="str">
            <v>ARIS.A2.Aim1.Bin4.RB</v>
          </cell>
          <cell r="F1957">
            <v>4</v>
          </cell>
          <cell r="G1957" t="str">
            <v>SplineDFA</v>
          </cell>
          <cell r="H1957" t="str">
            <v>Y</v>
          </cell>
          <cell r="I1957" t="str">
            <v>N</v>
          </cell>
          <cell r="J1957">
            <v>127</v>
          </cell>
          <cell r="K1957">
            <v>1</v>
          </cell>
          <cell r="L1957">
            <v>3.4500000000000003E-2</v>
          </cell>
          <cell r="M1957">
            <v>23.7</v>
          </cell>
          <cell r="N1957">
            <v>2.7</v>
          </cell>
          <cell r="O1957">
            <v>0.96550000000000002</v>
          </cell>
          <cell r="P1957">
            <v>0.18759999999999999</v>
          </cell>
          <cell r="Q1957">
            <v>0.3039</v>
          </cell>
          <cell r="R1957">
            <v>0.47399999999999998</v>
          </cell>
          <cell r="S1957" t="str">
            <v>NA</v>
          </cell>
          <cell r="T1957">
            <v>60.6</v>
          </cell>
          <cell r="U1957">
            <v>4.9000000000000004</v>
          </cell>
          <cell r="V1957">
            <v>75.7</v>
          </cell>
          <cell r="W1957">
            <v>7.6</v>
          </cell>
          <cell r="X1957">
            <v>52.8</v>
          </cell>
          <cell r="Y1957">
            <v>6.9</v>
          </cell>
          <cell r="Z1957" t="str">
            <v>NA</v>
          </cell>
          <cell r="AA1957" t="str">
            <v>NA</v>
          </cell>
        </row>
        <row r="1958">
          <cell r="A1958">
            <v>45191</v>
          </cell>
          <cell r="B1958" t="str">
            <v>A1</v>
          </cell>
          <cell r="C1958">
            <v>1</v>
          </cell>
          <cell r="D1958">
            <v>1</v>
          </cell>
          <cell r="E1958" t="str">
            <v>ARIS.A1.Aim1.Bin1.LB</v>
          </cell>
          <cell r="F1958">
            <v>4</v>
          </cell>
          <cell r="G1958" t="str">
            <v>Unweighted</v>
          </cell>
          <cell r="H1958" t="str">
            <v>N</v>
          </cell>
          <cell r="I1958" t="str">
            <v>Y</v>
          </cell>
          <cell r="J1958">
            <v>163</v>
          </cell>
          <cell r="K1958">
            <v>1</v>
          </cell>
          <cell r="L1958">
            <v>0.72199999999999998</v>
          </cell>
          <cell r="M1958">
            <v>22.4</v>
          </cell>
          <cell r="N1958">
            <v>6.1</v>
          </cell>
          <cell r="O1958">
            <v>0.27800000000000002</v>
          </cell>
          <cell r="P1958">
            <v>3.61E-2</v>
          </cell>
          <cell r="Q1958">
            <v>0</v>
          </cell>
          <cell r="R1958">
            <v>0.2419</v>
          </cell>
          <cell r="S1958" t="str">
            <v>NA</v>
          </cell>
          <cell r="T1958">
            <v>60.6</v>
          </cell>
          <cell r="U1958">
            <v>4.9000000000000004</v>
          </cell>
          <cell r="V1958">
            <v>75.7</v>
          </cell>
          <cell r="W1958">
            <v>7.6</v>
          </cell>
          <cell r="X1958">
            <v>52.8</v>
          </cell>
          <cell r="Y1958">
            <v>6.9</v>
          </cell>
          <cell r="Z1958" t="str">
            <v>NA</v>
          </cell>
          <cell r="AA1958" t="str">
            <v>NA</v>
          </cell>
        </row>
        <row r="1959">
          <cell r="A1959">
            <v>45191</v>
          </cell>
          <cell r="B1959" t="str">
            <v>A1</v>
          </cell>
          <cell r="C1959">
            <v>1</v>
          </cell>
          <cell r="D1959">
            <v>2</v>
          </cell>
          <cell r="E1959" t="str">
            <v>ARIS.A1.Aim2.Bin1.LB</v>
          </cell>
          <cell r="F1959">
            <v>4</v>
          </cell>
          <cell r="G1959" t="str">
            <v>Unweighted</v>
          </cell>
          <cell r="H1959" t="str">
            <v>N</v>
          </cell>
          <cell r="I1959" t="str">
            <v>Y</v>
          </cell>
          <cell r="J1959">
            <v>164</v>
          </cell>
          <cell r="K1959">
            <v>1</v>
          </cell>
          <cell r="L1959">
            <v>0.65800000000000003</v>
          </cell>
          <cell r="M1959">
            <v>19.399999999999999</v>
          </cell>
          <cell r="N1959">
            <v>6.8</v>
          </cell>
          <cell r="O1959">
            <v>0.34200000000000003</v>
          </cell>
          <cell r="P1959">
            <v>0</v>
          </cell>
          <cell r="Q1959">
            <v>1E-3</v>
          </cell>
          <cell r="R1959">
            <v>0.34100000000000003</v>
          </cell>
          <cell r="S1959" t="str">
            <v>NA</v>
          </cell>
          <cell r="T1959">
            <v>60.6</v>
          </cell>
          <cell r="U1959">
            <v>4.9000000000000004</v>
          </cell>
          <cell r="V1959">
            <v>75.7</v>
          </cell>
          <cell r="W1959">
            <v>7.6</v>
          </cell>
          <cell r="X1959">
            <v>52.8</v>
          </cell>
          <cell r="Y1959">
            <v>6.9</v>
          </cell>
          <cell r="Z1959" t="str">
            <v>NA</v>
          </cell>
          <cell r="AA1959" t="str">
            <v>NA</v>
          </cell>
        </row>
        <row r="1960">
          <cell r="A1960">
            <v>45191</v>
          </cell>
          <cell r="B1960" t="str">
            <v>A1</v>
          </cell>
          <cell r="C1960">
            <v>1</v>
          </cell>
          <cell r="D1960" t="str">
            <v>1&amp;2</v>
          </cell>
          <cell r="E1960" t="str">
            <v>ARIS.A1.Aim1&amp;Aim2.Bin1.LB</v>
          </cell>
          <cell r="F1960">
            <v>4</v>
          </cell>
          <cell r="G1960" t="str">
            <v>Unweighted</v>
          </cell>
          <cell r="H1960" t="str">
            <v>N</v>
          </cell>
          <cell r="I1960" t="str">
            <v>Y</v>
          </cell>
          <cell r="J1960">
            <v>327</v>
          </cell>
          <cell r="K1960">
            <v>1</v>
          </cell>
          <cell r="L1960">
            <v>0.67779999999999996</v>
          </cell>
          <cell r="M1960">
            <v>21</v>
          </cell>
          <cell r="N1960">
            <v>6.5</v>
          </cell>
          <cell r="O1960">
            <v>0.32219999999999999</v>
          </cell>
          <cell r="P1960">
            <v>5.16E-2</v>
          </cell>
          <cell r="Q1960">
            <v>0</v>
          </cell>
          <cell r="R1960">
            <v>0.27060000000000001</v>
          </cell>
          <cell r="S1960" t="str">
            <v>NA</v>
          </cell>
          <cell r="T1960">
            <v>60.6</v>
          </cell>
          <cell r="U1960">
            <v>4.9000000000000004</v>
          </cell>
          <cell r="V1960">
            <v>75.7</v>
          </cell>
          <cell r="W1960">
            <v>7.6</v>
          </cell>
          <cell r="X1960">
            <v>52.8</v>
          </cell>
          <cell r="Y1960">
            <v>6.9</v>
          </cell>
          <cell r="Z1960" t="str">
            <v>NA</v>
          </cell>
          <cell r="AA1960" t="str">
            <v>NA</v>
          </cell>
        </row>
        <row r="1961">
          <cell r="A1961">
            <v>45191</v>
          </cell>
          <cell r="B1961" t="str">
            <v>A1</v>
          </cell>
          <cell r="C1961">
            <v>2</v>
          </cell>
          <cell r="D1961">
            <v>3</v>
          </cell>
          <cell r="E1961" t="str">
            <v>ARIS.A1.Aim3.Bin2.LB</v>
          </cell>
          <cell r="F1961">
            <v>4</v>
          </cell>
          <cell r="G1961" t="str">
            <v>Unweighted</v>
          </cell>
          <cell r="H1961" t="str">
            <v>N</v>
          </cell>
          <cell r="I1961" t="str">
            <v>Y</v>
          </cell>
          <cell r="J1961">
            <v>192</v>
          </cell>
          <cell r="K1961">
            <v>1.0001</v>
          </cell>
          <cell r="L1961">
            <v>0.49049999999999999</v>
          </cell>
          <cell r="M1961">
            <v>34</v>
          </cell>
          <cell r="N1961">
            <v>9.1999999999999993</v>
          </cell>
          <cell r="O1961">
            <v>0.50960000000000005</v>
          </cell>
          <cell r="P1961">
            <v>0.27439999999999998</v>
          </cell>
          <cell r="Q1961">
            <v>0.1181</v>
          </cell>
          <cell r="R1961">
            <v>0.1171</v>
          </cell>
          <cell r="S1961" t="str">
            <v>NA</v>
          </cell>
          <cell r="T1961">
            <v>60.6</v>
          </cell>
          <cell r="U1961">
            <v>4.9000000000000004</v>
          </cell>
          <cell r="V1961">
            <v>75.7</v>
          </cell>
          <cell r="W1961">
            <v>7.6</v>
          </cell>
          <cell r="X1961">
            <v>52.8</v>
          </cell>
          <cell r="Y1961">
            <v>6.9</v>
          </cell>
          <cell r="Z1961" t="str">
            <v>NA</v>
          </cell>
          <cell r="AA1961" t="str">
            <v>NA</v>
          </cell>
        </row>
        <row r="1962">
          <cell r="A1962">
            <v>45191</v>
          </cell>
          <cell r="B1962" t="str">
            <v>A1</v>
          </cell>
          <cell r="C1962">
            <v>3</v>
          </cell>
          <cell r="D1962">
            <v>3</v>
          </cell>
          <cell r="E1962" t="str">
            <v>ARIS.A1.Aim3.Bin3.LB</v>
          </cell>
          <cell r="F1962">
            <v>4</v>
          </cell>
          <cell r="G1962" t="str">
            <v>Unweighted</v>
          </cell>
          <cell r="H1962" t="str">
            <v>N</v>
          </cell>
          <cell r="I1962" t="str">
            <v>Y</v>
          </cell>
          <cell r="J1962">
            <v>154</v>
          </cell>
          <cell r="K1962">
            <v>0.99990000000000001</v>
          </cell>
          <cell r="L1962">
            <v>5.8799999999999998E-2</v>
          </cell>
          <cell r="M1962">
            <v>23.7</v>
          </cell>
          <cell r="N1962">
            <v>14.1</v>
          </cell>
          <cell r="O1962">
            <v>0.94110000000000005</v>
          </cell>
          <cell r="P1962">
            <v>7.4399999999999994E-2</v>
          </cell>
          <cell r="Q1962">
            <v>0.217</v>
          </cell>
          <cell r="R1962">
            <v>0.64970000000000006</v>
          </cell>
          <cell r="S1962" t="str">
            <v>NA</v>
          </cell>
          <cell r="T1962">
            <v>60.6</v>
          </cell>
          <cell r="U1962">
            <v>4.9000000000000004</v>
          </cell>
          <cell r="V1962">
            <v>75.7</v>
          </cell>
          <cell r="W1962">
            <v>7.6</v>
          </cell>
          <cell r="X1962">
            <v>52.8</v>
          </cell>
          <cell r="Y1962">
            <v>6.9</v>
          </cell>
          <cell r="Z1962" t="str">
            <v>NA</v>
          </cell>
          <cell r="AA1962" t="str">
            <v>NA</v>
          </cell>
        </row>
        <row r="1963">
          <cell r="A1963">
            <v>45191</v>
          </cell>
          <cell r="B1963" t="str">
            <v>A1</v>
          </cell>
          <cell r="C1963">
            <v>4</v>
          </cell>
          <cell r="D1963">
            <v>3</v>
          </cell>
          <cell r="E1963" t="str">
            <v>ARIS.A1.Aim3.Bin4.LB</v>
          </cell>
          <cell r="F1963">
            <v>4</v>
          </cell>
          <cell r="G1963" t="str">
            <v>Unweighted</v>
          </cell>
          <cell r="H1963" t="str">
            <v>N</v>
          </cell>
          <cell r="I1963" t="str">
            <v>Y</v>
          </cell>
          <cell r="J1963">
            <v>154</v>
          </cell>
          <cell r="K1963">
            <v>0.99990000000000001</v>
          </cell>
          <cell r="L1963">
            <v>5.8799999999999998E-2</v>
          </cell>
          <cell r="M1963">
            <v>23.7</v>
          </cell>
          <cell r="N1963">
            <v>14.1</v>
          </cell>
          <cell r="O1963">
            <v>0.94110000000000005</v>
          </cell>
          <cell r="P1963">
            <v>7.4399999999999994E-2</v>
          </cell>
          <cell r="Q1963">
            <v>0.217</v>
          </cell>
          <cell r="R1963">
            <v>0.64970000000000006</v>
          </cell>
          <cell r="S1963" t="str">
            <v>NA</v>
          </cell>
          <cell r="T1963">
            <v>60.6</v>
          </cell>
          <cell r="U1963">
            <v>4.9000000000000004</v>
          </cell>
          <cell r="V1963">
            <v>75.7</v>
          </cell>
          <cell r="W1963">
            <v>7.6</v>
          </cell>
          <cell r="X1963">
            <v>52.8</v>
          </cell>
          <cell r="Y1963">
            <v>6.9</v>
          </cell>
          <cell r="Z1963" t="str">
            <v>NA</v>
          </cell>
          <cell r="AA1963" t="str">
            <v>NA</v>
          </cell>
        </row>
        <row r="1964">
          <cell r="A1964">
            <v>45191</v>
          </cell>
          <cell r="B1964" t="str">
            <v>A2</v>
          </cell>
          <cell r="C1964">
            <v>1</v>
          </cell>
          <cell r="D1964">
            <v>1</v>
          </cell>
          <cell r="E1964" t="str">
            <v>ARIS.A2.Aim1.Bin1.RB</v>
          </cell>
          <cell r="F1964">
            <v>4</v>
          </cell>
          <cell r="G1964" t="str">
            <v>Unweighted</v>
          </cell>
          <cell r="H1964" t="str">
            <v>N</v>
          </cell>
          <cell r="I1964" t="str">
            <v>Y</v>
          </cell>
          <cell r="J1964">
            <v>166</v>
          </cell>
          <cell r="K1964">
            <v>1</v>
          </cell>
          <cell r="L1964">
            <v>0.18110000000000001</v>
          </cell>
          <cell r="M1964">
            <v>23.7</v>
          </cell>
          <cell r="N1964">
            <v>2.7</v>
          </cell>
          <cell r="O1964">
            <v>0.81889999999999996</v>
          </cell>
          <cell r="P1964">
            <v>0.1721</v>
          </cell>
          <cell r="Q1964">
            <v>3.2199999999999999E-2</v>
          </cell>
          <cell r="R1964">
            <v>0.61460000000000004</v>
          </cell>
          <cell r="S1964" t="str">
            <v>NA</v>
          </cell>
          <cell r="T1964">
            <v>60.6</v>
          </cell>
          <cell r="U1964">
            <v>4.9000000000000004</v>
          </cell>
          <cell r="V1964">
            <v>75.7</v>
          </cell>
          <cell r="W1964">
            <v>7.6</v>
          </cell>
          <cell r="X1964">
            <v>52.8</v>
          </cell>
          <cell r="Y1964">
            <v>6.9</v>
          </cell>
          <cell r="Z1964" t="str">
            <v>NA</v>
          </cell>
          <cell r="AA1964" t="str">
            <v>NA</v>
          </cell>
        </row>
        <row r="1965">
          <cell r="A1965">
            <v>45191</v>
          </cell>
          <cell r="B1965" t="str">
            <v>A2</v>
          </cell>
          <cell r="C1965">
            <v>2</v>
          </cell>
          <cell r="D1965">
            <v>1</v>
          </cell>
          <cell r="E1965" t="str">
            <v>ARIS.A2.Aim1.Bin2.RB</v>
          </cell>
          <cell r="F1965">
            <v>4</v>
          </cell>
          <cell r="G1965" t="str">
            <v>Unweighted</v>
          </cell>
          <cell r="H1965" t="str">
            <v>N</v>
          </cell>
          <cell r="I1965" t="str">
            <v>Y</v>
          </cell>
          <cell r="J1965">
            <v>163</v>
          </cell>
          <cell r="K1965">
            <v>1</v>
          </cell>
          <cell r="L1965">
            <v>8.5599999999999996E-2</v>
          </cell>
          <cell r="M1965">
            <v>23.7</v>
          </cell>
          <cell r="N1965">
            <v>2.7</v>
          </cell>
          <cell r="O1965">
            <v>0.91439999999999999</v>
          </cell>
          <cell r="P1965">
            <v>0.38529999999999998</v>
          </cell>
          <cell r="Q1965">
            <v>0.19120000000000001</v>
          </cell>
          <cell r="R1965">
            <v>0.33789999999999998</v>
          </cell>
          <cell r="S1965" t="str">
            <v>NA</v>
          </cell>
          <cell r="T1965">
            <v>60.6</v>
          </cell>
          <cell r="U1965">
            <v>4.9000000000000004</v>
          </cell>
          <cell r="V1965">
            <v>75.7</v>
          </cell>
          <cell r="W1965">
            <v>7.6</v>
          </cell>
          <cell r="X1965">
            <v>52.8</v>
          </cell>
          <cell r="Y1965">
            <v>6.9</v>
          </cell>
          <cell r="Z1965" t="str">
            <v>NA</v>
          </cell>
          <cell r="AA1965" t="str">
            <v>NA</v>
          </cell>
        </row>
        <row r="1966">
          <cell r="A1966">
            <v>45191</v>
          </cell>
          <cell r="B1966" t="str">
            <v>A2</v>
          </cell>
          <cell r="C1966">
            <v>3</v>
          </cell>
          <cell r="D1966">
            <v>1</v>
          </cell>
          <cell r="E1966" t="str">
            <v>ARIS.A2.Aim1.Bin3.RB</v>
          </cell>
          <cell r="F1966">
            <v>4</v>
          </cell>
          <cell r="G1966" t="str">
            <v>Unweighted</v>
          </cell>
          <cell r="H1966" t="str">
            <v>N</v>
          </cell>
          <cell r="I1966" t="str">
            <v>Y</v>
          </cell>
          <cell r="J1966">
            <v>127</v>
          </cell>
          <cell r="K1966">
            <v>1</v>
          </cell>
          <cell r="L1966">
            <v>3.4500000000000003E-2</v>
          </cell>
          <cell r="M1966">
            <v>23.7</v>
          </cell>
          <cell r="N1966">
            <v>2.7</v>
          </cell>
          <cell r="O1966">
            <v>0.96550000000000002</v>
          </cell>
          <cell r="P1966">
            <v>0.18759999999999999</v>
          </cell>
          <cell r="Q1966">
            <v>0.3039</v>
          </cell>
          <cell r="R1966">
            <v>0.47399999999999998</v>
          </cell>
          <cell r="S1966" t="str">
            <v>NA</v>
          </cell>
          <cell r="T1966">
            <v>60.6</v>
          </cell>
          <cell r="U1966">
            <v>4.9000000000000004</v>
          </cell>
          <cell r="V1966">
            <v>75.7</v>
          </cell>
          <cell r="W1966">
            <v>7.6</v>
          </cell>
          <cell r="X1966">
            <v>52.8</v>
          </cell>
          <cell r="Y1966">
            <v>6.9</v>
          </cell>
          <cell r="Z1966" t="str">
            <v>NA</v>
          </cell>
          <cell r="AA1966" t="str">
            <v>NA</v>
          </cell>
        </row>
        <row r="1967">
          <cell r="A1967">
            <v>45191</v>
          </cell>
          <cell r="B1967" t="str">
            <v>A2</v>
          </cell>
          <cell r="C1967">
            <v>4</v>
          </cell>
          <cell r="D1967">
            <v>1</v>
          </cell>
          <cell r="E1967" t="str">
            <v>ARIS.A2.Aim1.Bin4.RB</v>
          </cell>
          <cell r="F1967">
            <v>4</v>
          </cell>
          <cell r="G1967" t="str">
            <v>Unweighted</v>
          </cell>
          <cell r="H1967" t="str">
            <v>N</v>
          </cell>
          <cell r="I1967" t="str">
            <v>Y</v>
          </cell>
          <cell r="J1967">
            <v>127</v>
          </cell>
          <cell r="K1967">
            <v>1</v>
          </cell>
          <cell r="L1967">
            <v>3.4500000000000003E-2</v>
          </cell>
          <cell r="M1967">
            <v>23.7</v>
          </cell>
          <cell r="N1967">
            <v>2.7</v>
          </cell>
          <cell r="O1967">
            <v>0.96550000000000002</v>
          </cell>
          <cell r="P1967">
            <v>0.18759999999999999</v>
          </cell>
          <cell r="Q1967">
            <v>0.3039</v>
          </cell>
          <cell r="R1967">
            <v>0.47399999999999998</v>
          </cell>
          <cell r="S1967" t="str">
            <v>NA</v>
          </cell>
          <cell r="T1967">
            <v>60.6</v>
          </cell>
          <cell r="U1967">
            <v>4.9000000000000004</v>
          </cell>
          <cell r="V1967">
            <v>75.7</v>
          </cell>
          <cell r="W1967">
            <v>7.6</v>
          </cell>
          <cell r="X1967">
            <v>52.8</v>
          </cell>
          <cell r="Y1967">
            <v>6.9</v>
          </cell>
          <cell r="Z1967" t="str">
            <v>NA</v>
          </cell>
          <cell r="AA1967" t="str">
            <v>NA</v>
          </cell>
        </row>
        <row r="1968">
          <cell r="A1968">
            <v>45192</v>
          </cell>
          <cell r="B1968" t="str">
            <v>A1</v>
          </cell>
          <cell r="C1968">
            <v>1</v>
          </cell>
          <cell r="D1968">
            <v>1</v>
          </cell>
          <cell r="E1968" t="str">
            <v>ARIS.A1.Aim1.Bin1.LB</v>
          </cell>
          <cell r="F1968">
            <v>4</v>
          </cell>
          <cell r="G1968" t="str">
            <v>SplineDFA</v>
          </cell>
          <cell r="H1968" t="str">
            <v>Y</v>
          </cell>
          <cell r="I1968" t="str">
            <v>N</v>
          </cell>
          <cell r="J1968">
            <v>185</v>
          </cell>
          <cell r="K1968">
            <v>1</v>
          </cell>
          <cell r="L1968">
            <v>0.53269999999999995</v>
          </cell>
          <cell r="M1968">
            <v>23.7</v>
          </cell>
          <cell r="N1968">
            <v>2.7</v>
          </cell>
          <cell r="O1968">
            <v>0.46729999999999999</v>
          </cell>
          <cell r="P1968">
            <v>5.9700000000000003E-2</v>
          </cell>
          <cell r="Q1968">
            <v>1.1900000000000001E-2</v>
          </cell>
          <cell r="R1968">
            <v>0.3957</v>
          </cell>
          <cell r="S1968" t="str">
            <v>NA</v>
          </cell>
          <cell r="T1968">
            <v>60.6</v>
          </cell>
          <cell r="U1968">
            <v>4.9000000000000004</v>
          </cell>
          <cell r="V1968">
            <v>75.7</v>
          </cell>
          <cell r="W1968">
            <v>7.6</v>
          </cell>
          <cell r="X1968">
            <v>52.8</v>
          </cell>
          <cell r="Y1968">
            <v>6.9</v>
          </cell>
          <cell r="Z1968" t="str">
            <v>NA</v>
          </cell>
          <cell r="AA1968" t="str">
            <v>NA</v>
          </cell>
        </row>
        <row r="1969">
          <cell r="A1969">
            <v>45192</v>
          </cell>
          <cell r="B1969" t="str">
            <v>A1</v>
          </cell>
          <cell r="C1969">
            <v>1</v>
          </cell>
          <cell r="D1969">
            <v>2</v>
          </cell>
          <cell r="E1969" t="str">
            <v>ARIS.A1.Aim2.Bin1.LB</v>
          </cell>
          <cell r="F1969">
            <v>4</v>
          </cell>
          <cell r="G1969" t="str">
            <v>SplineDFA</v>
          </cell>
          <cell r="H1969" t="str">
            <v>Y</v>
          </cell>
          <cell r="I1969" t="str">
            <v>N</v>
          </cell>
          <cell r="J1969">
            <v>170</v>
          </cell>
          <cell r="K1969">
            <v>1</v>
          </cell>
          <cell r="L1969">
            <v>0.51959999999999995</v>
          </cell>
          <cell r="M1969">
            <v>23.7</v>
          </cell>
          <cell r="N1969">
            <v>2.7</v>
          </cell>
          <cell r="O1969">
            <v>0.48039999999999999</v>
          </cell>
          <cell r="P1969">
            <v>0.1019</v>
          </cell>
          <cell r="Q1969">
            <v>1.44E-2</v>
          </cell>
          <cell r="R1969">
            <v>0.36409999999999998</v>
          </cell>
          <cell r="S1969" t="str">
            <v>NA</v>
          </cell>
          <cell r="T1969">
            <v>60.6</v>
          </cell>
          <cell r="U1969">
            <v>4.9000000000000004</v>
          </cell>
          <cell r="V1969">
            <v>75.7</v>
          </cell>
          <cell r="W1969">
            <v>7.6</v>
          </cell>
          <cell r="X1969">
            <v>52.8</v>
          </cell>
          <cell r="Y1969">
            <v>6.9</v>
          </cell>
          <cell r="Z1969" t="str">
            <v>NA</v>
          </cell>
          <cell r="AA1969" t="str">
            <v>NA</v>
          </cell>
        </row>
        <row r="1970">
          <cell r="A1970">
            <v>45192</v>
          </cell>
          <cell r="B1970" t="str">
            <v>A1</v>
          </cell>
          <cell r="C1970">
            <v>2</v>
          </cell>
          <cell r="D1970">
            <v>3</v>
          </cell>
          <cell r="E1970" t="str">
            <v>ARIS.A1.Aim3.Bin2.LB</v>
          </cell>
          <cell r="F1970">
            <v>4</v>
          </cell>
          <cell r="G1970" t="str">
            <v>SplineDFA</v>
          </cell>
          <cell r="H1970" t="str">
            <v>Y</v>
          </cell>
          <cell r="I1970" t="str">
            <v>N</v>
          </cell>
          <cell r="J1970">
            <v>184</v>
          </cell>
          <cell r="K1970">
            <v>1</v>
          </cell>
          <cell r="L1970">
            <v>7.3800000000000004E-2</v>
          </cell>
          <cell r="M1970">
            <v>23.7</v>
          </cell>
          <cell r="N1970">
            <v>2.7</v>
          </cell>
          <cell r="O1970">
            <v>0.92620000000000002</v>
          </cell>
          <cell r="P1970">
            <v>0.36859999999999998</v>
          </cell>
          <cell r="Q1970">
            <v>0.2263</v>
          </cell>
          <cell r="R1970">
            <v>0.33129999999999998</v>
          </cell>
          <cell r="S1970" t="str">
            <v>NA</v>
          </cell>
          <cell r="T1970">
            <v>60.6</v>
          </cell>
          <cell r="U1970">
            <v>4.9000000000000004</v>
          </cell>
          <cell r="V1970">
            <v>75.7</v>
          </cell>
          <cell r="W1970">
            <v>7.6</v>
          </cell>
          <cell r="X1970">
            <v>52.8</v>
          </cell>
          <cell r="Y1970">
            <v>6.9</v>
          </cell>
          <cell r="Z1970" t="str">
            <v>NA</v>
          </cell>
          <cell r="AA1970" t="str">
            <v>NA</v>
          </cell>
        </row>
        <row r="1971">
          <cell r="A1971">
            <v>45192</v>
          </cell>
          <cell r="B1971" t="str">
            <v>A1</v>
          </cell>
          <cell r="C1971">
            <v>3</v>
          </cell>
          <cell r="D1971">
            <v>3</v>
          </cell>
          <cell r="E1971" t="str">
            <v>ARIS.A1.Aim3.Bin3.LB</v>
          </cell>
          <cell r="F1971">
            <v>4</v>
          </cell>
          <cell r="G1971" t="str">
            <v>SplineDFA</v>
          </cell>
          <cell r="H1971" t="str">
            <v>Y</v>
          </cell>
          <cell r="I1971" t="str">
            <v>N</v>
          </cell>
          <cell r="J1971">
            <v>207</v>
          </cell>
          <cell r="K1971">
            <v>1</v>
          </cell>
          <cell r="L1971">
            <v>3.7900000000000003E-2</v>
          </cell>
          <cell r="M1971">
            <v>23.7</v>
          </cell>
          <cell r="N1971">
            <v>2.7</v>
          </cell>
          <cell r="O1971">
            <v>0.96209999999999996</v>
          </cell>
          <cell r="P1971">
            <v>0.33879999999999999</v>
          </cell>
          <cell r="Q1971">
            <v>0.25030000000000002</v>
          </cell>
          <cell r="R1971">
            <v>0.373</v>
          </cell>
          <cell r="S1971" t="str">
            <v>NA</v>
          </cell>
          <cell r="T1971">
            <v>60.6</v>
          </cell>
          <cell r="U1971">
            <v>4.9000000000000004</v>
          </cell>
          <cell r="V1971">
            <v>75.7</v>
          </cell>
          <cell r="W1971">
            <v>7.6</v>
          </cell>
          <cell r="X1971">
            <v>52.8</v>
          </cell>
          <cell r="Y1971">
            <v>6.9</v>
          </cell>
          <cell r="Z1971" t="str">
            <v>NA</v>
          </cell>
          <cell r="AA1971" t="str">
            <v>NA</v>
          </cell>
        </row>
        <row r="1972">
          <cell r="A1972">
            <v>45192</v>
          </cell>
          <cell r="B1972" t="str">
            <v>A1</v>
          </cell>
          <cell r="C1972">
            <v>4</v>
          </cell>
          <cell r="D1972">
            <v>3</v>
          </cell>
          <cell r="E1972" t="str">
            <v>ARIS.A1.Aim3.Bin4.LB</v>
          </cell>
          <cell r="F1972">
            <v>4</v>
          </cell>
          <cell r="G1972" t="str">
            <v>SplineDFA</v>
          </cell>
          <cell r="H1972" t="str">
            <v>Y</v>
          </cell>
          <cell r="I1972" t="str">
            <v>N</v>
          </cell>
          <cell r="J1972">
            <v>207</v>
          </cell>
          <cell r="K1972">
            <v>1</v>
          </cell>
          <cell r="L1972">
            <v>3.7900000000000003E-2</v>
          </cell>
          <cell r="M1972">
            <v>23.7</v>
          </cell>
          <cell r="N1972">
            <v>2.7</v>
          </cell>
          <cell r="O1972">
            <v>0.96209999999999996</v>
          </cell>
          <cell r="P1972">
            <v>0.33879999999999999</v>
          </cell>
          <cell r="Q1972">
            <v>0.25030000000000002</v>
          </cell>
          <cell r="R1972">
            <v>0.373</v>
          </cell>
          <cell r="S1972" t="str">
            <v>NA</v>
          </cell>
          <cell r="T1972">
            <v>60.6</v>
          </cell>
          <cell r="U1972">
            <v>4.9000000000000004</v>
          </cell>
          <cell r="V1972">
            <v>75.7</v>
          </cell>
          <cell r="W1972">
            <v>7.6</v>
          </cell>
          <cell r="X1972">
            <v>52.8</v>
          </cell>
          <cell r="Y1972">
            <v>6.9</v>
          </cell>
          <cell r="Z1972" t="str">
            <v>NA</v>
          </cell>
          <cell r="AA1972" t="str">
            <v>NA</v>
          </cell>
        </row>
        <row r="1973">
          <cell r="A1973">
            <v>45192</v>
          </cell>
          <cell r="B1973" t="str">
            <v>A2</v>
          </cell>
          <cell r="C1973">
            <v>1</v>
          </cell>
          <cell r="D1973">
            <v>1</v>
          </cell>
          <cell r="E1973" t="str">
            <v>ARIS.A2.Aim1.Bin1.RB</v>
          </cell>
          <cell r="F1973">
            <v>4</v>
          </cell>
          <cell r="G1973" t="str">
            <v>SplineDFA</v>
          </cell>
          <cell r="H1973" t="str">
            <v>Y</v>
          </cell>
          <cell r="I1973" t="str">
            <v>N</v>
          </cell>
          <cell r="J1973">
            <v>132</v>
          </cell>
          <cell r="K1973">
            <v>0.99990000000000001</v>
          </cell>
          <cell r="L1973">
            <v>0.3548</v>
          </cell>
          <cell r="M1973">
            <v>23.7</v>
          </cell>
          <cell r="N1973">
            <v>2.7</v>
          </cell>
          <cell r="O1973">
            <v>0.64510000000000001</v>
          </cell>
          <cell r="P1973">
            <v>0.13550000000000001</v>
          </cell>
          <cell r="Q1973">
            <v>2.2200000000000001E-2</v>
          </cell>
          <cell r="R1973">
            <v>0.4874</v>
          </cell>
          <cell r="S1973" t="str">
            <v>NA</v>
          </cell>
          <cell r="T1973">
            <v>60.6</v>
          </cell>
          <cell r="U1973">
            <v>4.9000000000000004</v>
          </cell>
          <cell r="V1973">
            <v>75.7</v>
          </cell>
          <cell r="W1973">
            <v>7.6</v>
          </cell>
          <cell r="X1973">
            <v>52.8</v>
          </cell>
          <cell r="Y1973">
            <v>6.9</v>
          </cell>
          <cell r="Z1973" t="str">
            <v>NA</v>
          </cell>
          <cell r="AA1973" t="str">
            <v>NA</v>
          </cell>
        </row>
        <row r="1974">
          <cell r="A1974">
            <v>45192</v>
          </cell>
          <cell r="B1974" t="str">
            <v>A2</v>
          </cell>
          <cell r="C1974">
            <v>2</v>
          </cell>
          <cell r="D1974">
            <v>1</v>
          </cell>
          <cell r="E1974" t="str">
            <v>ARIS.A2.Aim1.Bin2.RB</v>
          </cell>
          <cell r="F1974">
            <v>4</v>
          </cell>
          <cell r="G1974" t="str">
            <v>SplineDFA</v>
          </cell>
          <cell r="H1974" t="str">
            <v>Y</v>
          </cell>
          <cell r="I1974" t="str">
            <v>N</v>
          </cell>
          <cell r="J1974">
            <v>136</v>
          </cell>
          <cell r="K1974">
            <v>1</v>
          </cell>
          <cell r="L1974">
            <v>0.11459999999999999</v>
          </cell>
          <cell r="M1974">
            <v>23.7</v>
          </cell>
          <cell r="N1974">
            <v>2.7</v>
          </cell>
          <cell r="O1974">
            <v>0.88539999999999996</v>
          </cell>
          <cell r="P1974">
            <v>0.32450000000000001</v>
          </cell>
          <cell r="Q1974">
            <v>0.22170000000000001</v>
          </cell>
          <cell r="R1974">
            <v>0.3392</v>
          </cell>
          <cell r="S1974" t="str">
            <v>NA</v>
          </cell>
          <cell r="T1974">
            <v>60.6</v>
          </cell>
          <cell r="U1974">
            <v>4.9000000000000004</v>
          </cell>
          <cell r="V1974">
            <v>75.7</v>
          </cell>
          <cell r="W1974">
            <v>7.6</v>
          </cell>
          <cell r="X1974">
            <v>52.8</v>
          </cell>
          <cell r="Y1974">
            <v>6.9</v>
          </cell>
          <cell r="Z1974" t="str">
            <v>NA</v>
          </cell>
          <cell r="AA1974" t="str">
            <v>NA</v>
          </cell>
        </row>
        <row r="1975">
          <cell r="A1975">
            <v>45192</v>
          </cell>
          <cell r="B1975" t="str">
            <v>A2</v>
          </cell>
          <cell r="C1975">
            <v>3</v>
          </cell>
          <cell r="D1975">
            <v>1</v>
          </cell>
          <cell r="E1975" t="str">
            <v>ARIS.A2.Aim1.Bin3.RB</v>
          </cell>
          <cell r="F1975">
            <v>4</v>
          </cell>
          <cell r="G1975" t="str">
            <v>SplineDFA</v>
          </cell>
          <cell r="H1975" t="str">
            <v>Y</v>
          </cell>
          <cell r="I1975" t="str">
            <v>N</v>
          </cell>
          <cell r="J1975">
            <v>98</v>
          </cell>
          <cell r="K1975">
            <v>1</v>
          </cell>
          <cell r="L1975">
            <v>0.1089</v>
          </cell>
          <cell r="M1975">
            <v>23.7</v>
          </cell>
          <cell r="N1975">
            <v>2.7</v>
          </cell>
          <cell r="O1975">
            <v>0.8911</v>
          </cell>
          <cell r="P1975">
            <v>0.30880000000000002</v>
          </cell>
          <cell r="Q1975">
            <v>0.27229999999999999</v>
          </cell>
          <cell r="R1975">
            <v>0.31</v>
          </cell>
          <cell r="S1975" t="str">
            <v>NA</v>
          </cell>
          <cell r="T1975">
            <v>60.6</v>
          </cell>
          <cell r="U1975">
            <v>4.9000000000000004</v>
          </cell>
          <cell r="V1975">
            <v>75.7</v>
          </cell>
          <cell r="W1975">
            <v>7.6</v>
          </cell>
          <cell r="X1975">
            <v>52.8</v>
          </cell>
          <cell r="Y1975">
            <v>6.9</v>
          </cell>
          <cell r="Z1975" t="str">
            <v>NA</v>
          </cell>
          <cell r="AA1975" t="str">
            <v>NA</v>
          </cell>
        </row>
        <row r="1976">
          <cell r="A1976">
            <v>45192</v>
          </cell>
          <cell r="B1976" t="str">
            <v>A2</v>
          </cell>
          <cell r="C1976">
            <v>4</v>
          </cell>
          <cell r="D1976">
            <v>1</v>
          </cell>
          <cell r="E1976" t="str">
            <v>ARIS.A2.Aim1.Bin4.RB</v>
          </cell>
          <cell r="F1976">
            <v>4</v>
          </cell>
          <cell r="G1976" t="str">
            <v>SplineDFA</v>
          </cell>
          <cell r="H1976" t="str">
            <v>Y</v>
          </cell>
          <cell r="I1976" t="str">
            <v>N</v>
          </cell>
          <cell r="J1976">
            <v>98</v>
          </cell>
          <cell r="K1976">
            <v>1</v>
          </cell>
          <cell r="L1976">
            <v>0.1089</v>
          </cell>
          <cell r="M1976">
            <v>23.7</v>
          </cell>
          <cell r="N1976">
            <v>2.7</v>
          </cell>
          <cell r="O1976">
            <v>0.8911</v>
          </cell>
          <cell r="P1976">
            <v>0.30880000000000002</v>
          </cell>
          <cell r="Q1976">
            <v>0.27229999999999999</v>
          </cell>
          <cell r="R1976">
            <v>0.31</v>
          </cell>
          <cell r="S1976" t="str">
            <v>NA</v>
          </cell>
          <cell r="T1976">
            <v>60.6</v>
          </cell>
          <cell r="U1976">
            <v>4.9000000000000004</v>
          </cell>
          <cell r="V1976">
            <v>75.7</v>
          </cell>
          <cell r="W1976">
            <v>7.6</v>
          </cell>
          <cell r="X1976">
            <v>52.8</v>
          </cell>
          <cell r="Y1976">
            <v>6.9</v>
          </cell>
          <cell r="Z1976" t="str">
            <v>NA</v>
          </cell>
          <cell r="AA1976" t="str">
            <v>NA</v>
          </cell>
        </row>
        <row r="1977">
          <cell r="A1977">
            <v>45192</v>
          </cell>
          <cell r="B1977" t="str">
            <v>A1</v>
          </cell>
          <cell r="C1977">
            <v>1</v>
          </cell>
          <cell r="D1977">
            <v>1</v>
          </cell>
          <cell r="E1977" t="str">
            <v>ARIS.A1.Aim1.Bin1.LB</v>
          </cell>
          <cell r="F1977">
            <v>4</v>
          </cell>
          <cell r="G1977" t="str">
            <v>Unweighted</v>
          </cell>
          <cell r="H1977" t="str">
            <v>N</v>
          </cell>
          <cell r="I1977" t="str">
            <v>Y</v>
          </cell>
          <cell r="J1977">
            <v>185</v>
          </cell>
          <cell r="K1977">
            <v>1</v>
          </cell>
          <cell r="L1977">
            <v>0.70630000000000004</v>
          </cell>
          <cell r="M1977">
            <v>21.7</v>
          </cell>
          <cell r="N1977">
            <v>7.7</v>
          </cell>
          <cell r="O1977">
            <v>0.29370000000000002</v>
          </cell>
          <cell r="P1977">
            <v>0</v>
          </cell>
          <cell r="Q1977">
            <v>8.0000000000000002E-3</v>
          </cell>
          <cell r="R1977">
            <v>0.28570000000000001</v>
          </cell>
          <cell r="S1977" t="str">
            <v>NA</v>
          </cell>
          <cell r="T1977">
            <v>60.6</v>
          </cell>
          <cell r="U1977">
            <v>4.9000000000000004</v>
          </cell>
          <cell r="V1977">
            <v>75.7</v>
          </cell>
          <cell r="W1977">
            <v>7.6</v>
          </cell>
          <cell r="X1977">
            <v>52.8</v>
          </cell>
          <cell r="Y1977">
            <v>6.9</v>
          </cell>
          <cell r="Z1977" t="str">
            <v>NA</v>
          </cell>
          <cell r="AA1977" t="str">
            <v>NA</v>
          </cell>
        </row>
        <row r="1978">
          <cell r="A1978">
            <v>45192</v>
          </cell>
          <cell r="B1978" t="str">
            <v>A1</v>
          </cell>
          <cell r="C1978">
            <v>1</v>
          </cell>
          <cell r="D1978">
            <v>2</v>
          </cell>
          <cell r="E1978" t="str">
            <v>ARIS.A1.Aim2.Bin1.LB</v>
          </cell>
          <cell r="F1978">
            <v>4</v>
          </cell>
          <cell r="G1978" t="str">
            <v>Unweighted</v>
          </cell>
          <cell r="H1978" t="str">
            <v>N</v>
          </cell>
          <cell r="I1978" t="str">
            <v>Y</v>
          </cell>
          <cell r="J1978">
            <v>170</v>
          </cell>
          <cell r="K1978">
            <v>1</v>
          </cell>
          <cell r="L1978">
            <v>0.48010000000000003</v>
          </cell>
          <cell r="M1978">
            <v>19.399999999999999</v>
          </cell>
          <cell r="N1978">
            <v>8.6</v>
          </cell>
          <cell r="O1978">
            <v>0.51990000000000003</v>
          </cell>
          <cell r="P1978">
            <v>0</v>
          </cell>
          <cell r="Q1978">
            <v>6.4000000000000003E-3</v>
          </cell>
          <cell r="R1978">
            <v>0.51349999999999996</v>
          </cell>
          <cell r="S1978" t="str">
            <v>NA</v>
          </cell>
          <cell r="T1978">
            <v>60.6</v>
          </cell>
          <cell r="U1978">
            <v>4.9000000000000004</v>
          </cell>
          <cell r="V1978">
            <v>75.7</v>
          </cell>
          <cell r="W1978">
            <v>7.6</v>
          </cell>
          <cell r="X1978">
            <v>52.8</v>
          </cell>
          <cell r="Y1978">
            <v>6.9</v>
          </cell>
          <cell r="Z1978" t="str">
            <v>NA</v>
          </cell>
          <cell r="AA1978" t="str">
            <v>NA</v>
          </cell>
        </row>
        <row r="1979">
          <cell r="A1979">
            <v>45192</v>
          </cell>
          <cell r="B1979" t="str">
            <v>A1</v>
          </cell>
          <cell r="C1979">
            <v>1</v>
          </cell>
          <cell r="D1979" t="str">
            <v>1&amp;2</v>
          </cell>
          <cell r="E1979" t="str">
            <v>ARIS.A1.Aim1&amp;Aim2.Bin1.LB</v>
          </cell>
          <cell r="F1979">
            <v>4</v>
          </cell>
          <cell r="G1979" t="str">
            <v>Unweighted</v>
          </cell>
          <cell r="H1979" t="str">
            <v>N</v>
          </cell>
          <cell r="I1979" t="str">
            <v>Y</v>
          </cell>
          <cell r="J1979">
            <v>355</v>
          </cell>
          <cell r="K1979">
            <v>1</v>
          </cell>
          <cell r="L1979">
            <v>0.61150000000000004</v>
          </cell>
          <cell r="M1979">
            <v>20.9</v>
          </cell>
          <cell r="N1979">
            <v>8.1</v>
          </cell>
          <cell r="O1979">
            <v>0.38850000000000001</v>
          </cell>
          <cell r="P1979">
            <v>0</v>
          </cell>
          <cell r="Q1979">
            <v>8.6E-3</v>
          </cell>
          <cell r="R1979">
            <v>0.37990000000000002</v>
          </cell>
          <cell r="S1979" t="str">
            <v>NA</v>
          </cell>
          <cell r="T1979">
            <v>60.6</v>
          </cell>
          <cell r="U1979">
            <v>4.9000000000000004</v>
          </cell>
          <cell r="V1979">
            <v>75.7</v>
          </cell>
          <cell r="W1979">
            <v>7.6</v>
          </cell>
          <cell r="X1979">
            <v>52.8</v>
          </cell>
          <cell r="Y1979">
            <v>6.9</v>
          </cell>
          <cell r="Z1979" t="str">
            <v>NA</v>
          </cell>
          <cell r="AA1979" t="str">
            <v>NA</v>
          </cell>
        </row>
        <row r="1980">
          <cell r="A1980">
            <v>45192</v>
          </cell>
          <cell r="B1980" t="str">
            <v>A1</v>
          </cell>
          <cell r="C1980">
            <v>2</v>
          </cell>
          <cell r="D1980">
            <v>3</v>
          </cell>
          <cell r="E1980" t="str">
            <v>ARIS.A1.Aim3.Bin2.LB</v>
          </cell>
          <cell r="F1980">
            <v>4</v>
          </cell>
          <cell r="G1980" t="str">
            <v>Unweighted</v>
          </cell>
          <cell r="H1980" t="str">
            <v>N</v>
          </cell>
          <cell r="I1980" t="str">
            <v>Y</v>
          </cell>
          <cell r="J1980">
            <v>184</v>
          </cell>
          <cell r="K1980">
            <v>1</v>
          </cell>
          <cell r="L1980">
            <v>9.7699999999999995E-2</v>
          </cell>
          <cell r="M1980">
            <v>23.7</v>
          </cell>
          <cell r="N1980">
            <v>5.6</v>
          </cell>
          <cell r="O1980">
            <v>0.90229999999999999</v>
          </cell>
          <cell r="P1980">
            <v>0.216</v>
          </cell>
          <cell r="Q1980">
            <v>0.15459999999999999</v>
          </cell>
          <cell r="R1980">
            <v>0.53169999999999995</v>
          </cell>
          <cell r="S1980" t="str">
            <v>NA</v>
          </cell>
          <cell r="T1980">
            <v>60.6</v>
          </cell>
          <cell r="U1980">
            <v>4.9000000000000004</v>
          </cell>
          <cell r="V1980">
            <v>75.7</v>
          </cell>
          <cell r="W1980">
            <v>7.6</v>
          </cell>
          <cell r="X1980">
            <v>52.8</v>
          </cell>
          <cell r="Y1980">
            <v>6.9</v>
          </cell>
          <cell r="Z1980" t="str">
            <v>NA</v>
          </cell>
          <cell r="AA1980" t="str">
            <v>NA</v>
          </cell>
        </row>
        <row r="1981">
          <cell r="A1981">
            <v>45192</v>
          </cell>
          <cell r="B1981" t="str">
            <v>A1</v>
          </cell>
          <cell r="C1981">
            <v>3</v>
          </cell>
          <cell r="D1981">
            <v>3</v>
          </cell>
          <cell r="E1981" t="str">
            <v>ARIS.A1.Aim3.Bin3.LB</v>
          </cell>
          <cell r="F1981">
            <v>4</v>
          </cell>
          <cell r="G1981" t="str">
            <v>Unweighted</v>
          </cell>
          <cell r="H1981" t="str">
            <v>N</v>
          </cell>
          <cell r="I1981" t="str">
            <v>Y</v>
          </cell>
          <cell r="J1981">
            <v>207</v>
          </cell>
          <cell r="K1981">
            <v>1.0001</v>
          </cell>
          <cell r="L1981">
            <v>8.1600000000000006E-2</v>
          </cell>
          <cell r="M1981">
            <v>23.7</v>
          </cell>
          <cell r="N1981">
            <v>12</v>
          </cell>
          <cell r="O1981">
            <v>0.91849999999999998</v>
          </cell>
          <cell r="P1981">
            <v>0.20499999999999999</v>
          </cell>
          <cell r="Q1981">
            <v>0.28799999999999998</v>
          </cell>
          <cell r="R1981">
            <v>0.42549999999999999</v>
          </cell>
          <cell r="S1981" t="str">
            <v>NA</v>
          </cell>
          <cell r="T1981">
            <v>60.6</v>
          </cell>
          <cell r="U1981">
            <v>4.9000000000000004</v>
          </cell>
          <cell r="V1981">
            <v>75.7</v>
          </cell>
          <cell r="W1981">
            <v>7.6</v>
          </cell>
          <cell r="X1981">
            <v>52.8</v>
          </cell>
          <cell r="Y1981">
            <v>6.9</v>
          </cell>
          <cell r="Z1981" t="str">
            <v>NA</v>
          </cell>
          <cell r="AA1981" t="str">
            <v>NA</v>
          </cell>
        </row>
        <row r="1982">
          <cell r="A1982">
            <v>45192</v>
          </cell>
          <cell r="B1982" t="str">
            <v>A1</v>
          </cell>
          <cell r="C1982">
            <v>4</v>
          </cell>
          <cell r="D1982">
            <v>3</v>
          </cell>
          <cell r="E1982" t="str">
            <v>ARIS.A1.Aim3.Bin4.LB</v>
          </cell>
          <cell r="F1982">
            <v>4</v>
          </cell>
          <cell r="G1982" t="str">
            <v>Unweighted</v>
          </cell>
          <cell r="H1982" t="str">
            <v>N</v>
          </cell>
          <cell r="I1982" t="str">
            <v>Y</v>
          </cell>
          <cell r="J1982">
            <v>207</v>
          </cell>
          <cell r="K1982">
            <v>1.0001</v>
          </cell>
          <cell r="L1982">
            <v>8.1600000000000006E-2</v>
          </cell>
          <cell r="M1982">
            <v>23.7</v>
          </cell>
          <cell r="N1982">
            <v>12</v>
          </cell>
          <cell r="O1982">
            <v>0.91849999999999998</v>
          </cell>
          <cell r="P1982">
            <v>0.20499999999999999</v>
          </cell>
          <cell r="Q1982">
            <v>0.28799999999999998</v>
          </cell>
          <cell r="R1982">
            <v>0.42549999999999999</v>
          </cell>
          <cell r="S1982" t="str">
            <v>NA</v>
          </cell>
          <cell r="T1982">
            <v>60.6</v>
          </cell>
          <cell r="U1982">
            <v>4.9000000000000004</v>
          </cell>
          <cell r="V1982">
            <v>75.7</v>
          </cell>
          <cell r="W1982">
            <v>7.6</v>
          </cell>
          <cell r="X1982">
            <v>52.8</v>
          </cell>
          <cell r="Y1982">
            <v>6.9</v>
          </cell>
          <cell r="Z1982" t="str">
            <v>NA</v>
          </cell>
          <cell r="AA1982" t="str">
            <v>NA</v>
          </cell>
        </row>
        <row r="1983">
          <cell r="A1983">
            <v>45192</v>
          </cell>
          <cell r="B1983" t="str">
            <v>A2</v>
          </cell>
          <cell r="C1983">
            <v>1</v>
          </cell>
          <cell r="D1983">
            <v>1</v>
          </cell>
          <cell r="E1983" t="str">
            <v>ARIS.A2.Aim1.Bin1.RB</v>
          </cell>
          <cell r="F1983">
            <v>4</v>
          </cell>
          <cell r="G1983" t="str">
            <v>Unweighted</v>
          </cell>
          <cell r="H1983" t="str">
            <v>N</v>
          </cell>
          <cell r="I1983" t="str">
            <v>Y</v>
          </cell>
          <cell r="J1983">
            <v>132</v>
          </cell>
          <cell r="K1983">
            <v>1</v>
          </cell>
          <cell r="L1983">
            <v>0.4899</v>
          </cell>
          <cell r="M1983">
            <v>19.5</v>
          </cell>
          <cell r="N1983">
            <v>8.6</v>
          </cell>
          <cell r="O1983">
            <v>0.5101</v>
          </cell>
          <cell r="P1983">
            <v>0</v>
          </cell>
          <cell r="Q1983">
            <v>2.4400000000000002E-2</v>
          </cell>
          <cell r="R1983">
            <v>0.48570000000000002</v>
          </cell>
          <cell r="S1983" t="str">
            <v>NA</v>
          </cell>
          <cell r="T1983">
            <v>60.6</v>
          </cell>
          <cell r="U1983">
            <v>4.9000000000000004</v>
          </cell>
          <cell r="V1983">
            <v>75.7</v>
          </cell>
          <cell r="W1983">
            <v>7.6</v>
          </cell>
          <cell r="X1983">
            <v>52.8</v>
          </cell>
          <cell r="Y1983">
            <v>6.9</v>
          </cell>
          <cell r="Z1983" t="str">
            <v>NA</v>
          </cell>
          <cell r="AA1983" t="str">
            <v>NA</v>
          </cell>
        </row>
        <row r="1984">
          <cell r="A1984">
            <v>45192</v>
          </cell>
          <cell r="B1984" t="str">
            <v>A2</v>
          </cell>
          <cell r="C1984">
            <v>2</v>
          </cell>
          <cell r="D1984">
            <v>1</v>
          </cell>
          <cell r="E1984" t="str">
            <v>ARIS.A2.Aim1.Bin2.RB</v>
          </cell>
          <cell r="F1984">
            <v>4</v>
          </cell>
          <cell r="G1984" t="str">
            <v>Unweighted</v>
          </cell>
          <cell r="H1984" t="str">
            <v>N</v>
          </cell>
          <cell r="I1984" t="str">
            <v>Y</v>
          </cell>
          <cell r="J1984">
            <v>136</v>
          </cell>
          <cell r="K1984">
            <v>1</v>
          </cell>
          <cell r="L1984">
            <v>0.27279999999999999</v>
          </cell>
          <cell r="M1984">
            <v>30.9</v>
          </cell>
          <cell r="N1984">
            <v>9.6</v>
          </cell>
          <cell r="O1984">
            <v>0.72719999999999996</v>
          </cell>
          <cell r="P1984">
            <v>0.25790000000000002</v>
          </cell>
          <cell r="Q1984">
            <v>0.1605</v>
          </cell>
          <cell r="R1984">
            <v>0.30880000000000002</v>
          </cell>
          <cell r="S1984" t="str">
            <v>NA</v>
          </cell>
          <cell r="T1984">
            <v>60.6</v>
          </cell>
          <cell r="U1984">
            <v>4.9000000000000004</v>
          </cell>
          <cell r="V1984">
            <v>75.7</v>
          </cell>
          <cell r="W1984">
            <v>7.6</v>
          </cell>
          <cell r="X1984">
            <v>52.8</v>
          </cell>
          <cell r="Y1984">
            <v>6.9</v>
          </cell>
          <cell r="Z1984" t="str">
            <v>NA</v>
          </cell>
          <cell r="AA1984" t="str">
            <v>NA</v>
          </cell>
        </row>
        <row r="1985">
          <cell r="A1985">
            <v>45192</v>
          </cell>
          <cell r="B1985" t="str">
            <v>A2</v>
          </cell>
          <cell r="C1985">
            <v>3</v>
          </cell>
          <cell r="D1985">
            <v>1</v>
          </cell>
          <cell r="E1985" t="str">
            <v>ARIS.A2.Aim1.Bin3.RB</v>
          </cell>
          <cell r="F1985">
            <v>4</v>
          </cell>
          <cell r="G1985" t="str">
            <v>Unweighted</v>
          </cell>
          <cell r="H1985" t="str">
            <v>N</v>
          </cell>
          <cell r="I1985" t="str">
            <v>Y</v>
          </cell>
          <cell r="J1985">
            <v>98</v>
          </cell>
          <cell r="K1985">
            <v>0.99990000000000001</v>
          </cell>
          <cell r="L1985">
            <v>0.1022</v>
          </cell>
          <cell r="M1985">
            <v>29.8</v>
          </cell>
          <cell r="N1985">
            <v>8.6999999999999993</v>
          </cell>
          <cell r="O1985">
            <v>0.89770000000000005</v>
          </cell>
          <cell r="P1985">
            <v>0.18490000000000001</v>
          </cell>
          <cell r="Q1985">
            <v>0.3054</v>
          </cell>
          <cell r="R1985">
            <v>0.40739999999999998</v>
          </cell>
          <cell r="S1985" t="str">
            <v>NA</v>
          </cell>
          <cell r="T1985">
            <v>60.6</v>
          </cell>
          <cell r="U1985">
            <v>4.9000000000000004</v>
          </cell>
          <cell r="V1985">
            <v>75.7</v>
          </cell>
          <cell r="W1985">
            <v>7.6</v>
          </cell>
          <cell r="X1985">
            <v>52.8</v>
          </cell>
          <cell r="Y1985">
            <v>6.9</v>
          </cell>
          <cell r="Z1985" t="str">
            <v>NA</v>
          </cell>
          <cell r="AA1985" t="str">
            <v>NA</v>
          </cell>
        </row>
        <row r="1986">
          <cell r="A1986">
            <v>45192</v>
          </cell>
          <cell r="B1986" t="str">
            <v>A2</v>
          </cell>
          <cell r="C1986">
            <v>4</v>
          </cell>
          <cell r="D1986">
            <v>1</v>
          </cell>
          <cell r="E1986" t="str">
            <v>ARIS.A2.Aim1.Bin4.RB</v>
          </cell>
          <cell r="F1986">
            <v>4</v>
          </cell>
          <cell r="G1986" t="str">
            <v>Unweighted</v>
          </cell>
          <cell r="H1986" t="str">
            <v>N</v>
          </cell>
          <cell r="I1986" t="str">
            <v>Y</v>
          </cell>
          <cell r="J1986">
            <v>98</v>
          </cell>
          <cell r="K1986">
            <v>0.99990000000000001</v>
          </cell>
          <cell r="L1986">
            <v>0.1022</v>
          </cell>
          <cell r="M1986">
            <v>29.8</v>
          </cell>
          <cell r="N1986">
            <v>8.6999999999999993</v>
          </cell>
          <cell r="O1986">
            <v>0.89770000000000005</v>
          </cell>
          <cell r="P1986">
            <v>0.18490000000000001</v>
          </cell>
          <cell r="Q1986">
            <v>0.3054</v>
          </cell>
          <cell r="R1986">
            <v>0.40739999999999998</v>
          </cell>
          <cell r="S1986" t="str">
            <v>NA</v>
          </cell>
          <cell r="T1986">
            <v>60.6</v>
          </cell>
          <cell r="U1986">
            <v>4.9000000000000004</v>
          </cell>
          <cell r="V1986">
            <v>75.7</v>
          </cell>
          <cell r="W1986">
            <v>7.6</v>
          </cell>
          <cell r="X1986">
            <v>52.8</v>
          </cell>
          <cell r="Y1986">
            <v>6.9</v>
          </cell>
          <cell r="Z1986" t="str">
            <v>NA</v>
          </cell>
          <cell r="AA1986" t="str">
            <v>NA</v>
          </cell>
        </row>
        <row r="1987">
          <cell r="A1987">
            <v>45193</v>
          </cell>
          <cell r="B1987" t="str">
            <v>A1</v>
          </cell>
          <cell r="C1987">
            <v>1</v>
          </cell>
          <cell r="D1987">
            <v>1</v>
          </cell>
          <cell r="E1987" t="str">
            <v>ARIS.A1.Aim1.Bin1.LB</v>
          </cell>
          <cell r="F1987">
            <v>4</v>
          </cell>
          <cell r="G1987" t="str">
            <v>SplineDFA</v>
          </cell>
          <cell r="H1987" t="str">
            <v>Y</v>
          </cell>
          <cell r="I1987" t="str">
            <v>N</v>
          </cell>
          <cell r="J1987">
            <v>159</v>
          </cell>
          <cell r="K1987">
            <v>1</v>
          </cell>
          <cell r="L1987">
            <v>0.44369999999999998</v>
          </cell>
          <cell r="M1987">
            <v>23.7</v>
          </cell>
          <cell r="N1987">
            <v>2.7</v>
          </cell>
          <cell r="O1987">
            <v>0.55630000000000002</v>
          </cell>
          <cell r="P1987">
            <v>7.5700000000000003E-2</v>
          </cell>
          <cell r="Q1987">
            <v>1.54E-2</v>
          </cell>
          <cell r="R1987">
            <v>0.4652</v>
          </cell>
          <cell r="S1987" t="str">
            <v>NA</v>
          </cell>
          <cell r="T1987">
            <v>60.6</v>
          </cell>
          <cell r="U1987">
            <v>4.9000000000000004</v>
          </cell>
          <cell r="V1987">
            <v>75.7</v>
          </cell>
          <cell r="W1987">
            <v>7.6</v>
          </cell>
          <cell r="X1987">
            <v>52.8</v>
          </cell>
          <cell r="Y1987">
            <v>6.9</v>
          </cell>
          <cell r="Z1987" t="str">
            <v>NA</v>
          </cell>
          <cell r="AA1987" t="str">
            <v>NA</v>
          </cell>
        </row>
        <row r="1988">
          <cell r="A1988">
            <v>45193</v>
          </cell>
          <cell r="B1988" t="str">
            <v>A1</v>
          </cell>
          <cell r="C1988">
            <v>1</v>
          </cell>
          <cell r="D1988">
            <v>2</v>
          </cell>
          <cell r="E1988" t="str">
            <v>ARIS.A1.Aim2.Bin1.LB</v>
          </cell>
          <cell r="F1988">
            <v>4</v>
          </cell>
          <cell r="G1988" t="str">
            <v>SplineDFA</v>
          </cell>
          <cell r="H1988" t="str">
            <v>Y</v>
          </cell>
          <cell r="I1988" t="str">
            <v>N</v>
          </cell>
          <cell r="J1988">
            <v>131</v>
          </cell>
          <cell r="K1988">
            <v>1</v>
          </cell>
          <cell r="L1988">
            <v>0.62409999999999999</v>
          </cell>
          <cell r="M1988">
            <v>23.7</v>
          </cell>
          <cell r="N1988">
            <v>2.7</v>
          </cell>
          <cell r="O1988">
            <v>0.37590000000000001</v>
          </cell>
          <cell r="P1988">
            <v>0.1065</v>
          </cell>
          <cell r="Q1988">
            <v>1.35E-2</v>
          </cell>
          <cell r="R1988">
            <v>0.25590000000000002</v>
          </cell>
          <cell r="S1988" t="str">
            <v>NA</v>
          </cell>
          <cell r="T1988">
            <v>60.6</v>
          </cell>
          <cell r="U1988">
            <v>4.9000000000000004</v>
          </cell>
          <cell r="V1988">
            <v>75.7</v>
          </cell>
          <cell r="W1988">
            <v>7.6</v>
          </cell>
          <cell r="X1988">
            <v>52.8</v>
          </cell>
          <cell r="Y1988">
            <v>6.9</v>
          </cell>
          <cell r="Z1988" t="str">
            <v>NA</v>
          </cell>
          <cell r="AA1988" t="str">
            <v>NA</v>
          </cell>
        </row>
        <row r="1989">
          <cell r="A1989">
            <v>45193</v>
          </cell>
          <cell r="B1989" t="str">
            <v>A1</v>
          </cell>
          <cell r="C1989">
            <v>2</v>
          </cell>
          <cell r="D1989">
            <v>3</v>
          </cell>
          <cell r="E1989" t="str">
            <v>ARIS.A1.Aim3.Bin2.LB</v>
          </cell>
          <cell r="F1989">
            <v>4</v>
          </cell>
          <cell r="G1989" t="str">
            <v>SplineDFA</v>
          </cell>
          <cell r="H1989" t="str">
            <v>Y</v>
          </cell>
          <cell r="I1989" t="str">
            <v>N</v>
          </cell>
          <cell r="J1989">
            <v>160</v>
          </cell>
          <cell r="K1989">
            <v>1</v>
          </cell>
          <cell r="L1989">
            <v>6.5799999999999997E-2</v>
          </cell>
          <cell r="M1989">
            <v>23.7</v>
          </cell>
          <cell r="N1989">
            <v>2.7</v>
          </cell>
          <cell r="O1989">
            <v>0.93420000000000003</v>
          </cell>
          <cell r="P1989">
            <v>0.23480000000000001</v>
          </cell>
          <cell r="Q1989">
            <v>9.1600000000000001E-2</v>
          </cell>
          <cell r="R1989">
            <v>0.60780000000000001</v>
          </cell>
          <cell r="S1989" t="str">
            <v>NA</v>
          </cell>
          <cell r="T1989">
            <v>60.6</v>
          </cell>
          <cell r="U1989">
            <v>4.9000000000000004</v>
          </cell>
          <cell r="V1989">
            <v>75.7</v>
          </cell>
          <cell r="W1989">
            <v>7.6</v>
          </cell>
          <cell r="X1989">
            <v>52.8</v>
          </cell>
          <cell r="Y1989">
            <v>6.9</v>
          </cell>
          <cell r="Z1989" t="str">
            <v>NA</v>
          </cell>
          <cell r="AA1989" t="str">
            <v>NA</v>
          </cell>
        </row>
        <row r="1990">
          <cell r="A1990">
            <v>45193</v>
          </cell>
          <cell r="B1990" t="str">
            <v>A1</v>
          </cell>
          <cell r="C1990">
            <v>3</v>
          </cell>
          <cell r="D1990">
            <v>3</v>
          </cell>
          <cell r="E1990" t="str">
            <v>ARIS.A1.Aim3.Bin3.LB</v>
          </cell>
          <cell r="F1990">
            <v>4</v>
          </cell>
          <cell r="G1990" t="str">
            <v>SplineDFA</v>
          </cell>
          <cell r="H1990" t="str">
            <v>Y</v>
          </cell>
          <cell r="I1990" t="str">
            <v>N</v>
          </cell>
          <cell r="J1990">
            <v>168</v>
          </cell>
          <cell r="K1990">
            <v>0.99990000000000001</v>
          </cell>
          <cell r="L1990">
            <v>7.0000000000000007E-2</v>
          </cell>
          <cell r="M1990">
            <v>23.7</v>
          </cell>
          <cell r="N1990">
            <v>2.7</v>
          </cell>
          <cell r="O1990">
            <v>0.92989999999999995</v>
          </cell>
          <cell r="P1990">
            <v>0.27150000000000002</v>
          </cell>
          <cell r="Q1990">
            <v>0.19009999999999999</v>
          </cell>
          <cell r="R1990">
            <v>0.46829999999999999</v>
          </cell>
          <cell r="S1990" t="str">
            <v>NA</v>
          </cell>
          <cell r="T1990">
            <v>60.6</v>
          </cell>
          <cell r="U1990">
            <v>4.9000000000000004</v>
          </cell>
          <cell r="V1990">
            <v>75.7</v>
          </cell>
          <cell r="W1990">
            <v>7.6</v>
          </cell>
          <cell r="X1990">
            <v>52.8</v>
          </cell>
          <cell r="Y1990">
            <v>6.9</v>
          </cell>
          <cell r="Z1990" t="str">
            <v>NA</v>
          </cell>
          <cell r="AA1990" t="str">
            <v>NA</v>
          </cell>
        </row>
        <row r="1991">
          <cell r="A1991">
            <v>45193</v>
          </cell>
          <cell r="B1991" t="str">
            <v>A1</v>
          </cell>
          <cell r="C1991">
            <v>4</v>
          </cell>
          <cell r="D1991">
            <v>3</v>
          </cell>
          <cell r="E1991" t="str">
            <v>ARIS.A1.Aim3.Bin4.LB</v>
          </cell>
          <cell r="F1991">
            <v>4</v>
          </cell>
          <cell r="G1991" t="str">
            <v>SplineDFA</v>
          </cell>
          <cell r="H1991" t="str">
            <v>Y</v>
          </cell>
          <cell r="I1991" t="str">
            <v>N</v>
          </cell>
          <cell r="J1991">
            <v>168</v>
          </cell>
          <cell r="K1991">
            <v>0.99990000000000001</v>
          </cell>
          <cell r="L1991">
            <v>7.0000000000000007E-2</v>
          </cell>
          <cell r="M1991">
            <v>23.7</v>
          </cell>
          <cell r="N1991">
            <v>2.7</v>
          </cell>
          <cell r="O1991">
            <v>0.92989999999999995</v>
          </cell>
          <cell r="P1991">
            <v>0.27150000000000002</v>
          </cell>
          <cell r="Q1991">
            <v>0.19009999999999999</v>
          </cell>
          <cell r="R1991">
            <v>0.46829999999999999</v>
          </cell>
          <cell r="S1991" t="str">
            <v>NA</v>
          </cell>
          <cell r="T1991">
            <v>60.6</v>
          </cell>
          <cell r="U1991">
            <v>4.9000000000000004</v>
          </cell>
          <cell r="V1991">
            <v>75.7</v>
          </cell>
          <cell r="W1991">
            <v>7.6</v>
          </cell>
          <cell r="X1991">
            <v>52.8</v>
          </cell>
          <cell r="Y1991">
            <v>6.9</v>
          </cell>
          <cell r="Z1991" t="str">
            <v>NA</v>
          </cell>
          <cell r="AA1991" t="str">
            <v>NA</v>
          </cell>
        </row>
        <row r="1992">
          <cell r="A1992">
            <v>45193</v>
          </cell>
          <cell r="B1992" t="str">
            <v>A2</v>
          </cell>
          <cell r="C1992">
            <v>1</v>
          </cell>
          <cell r="D1992">
            <v>1</v>
          </cell>
          <cell r="E1992" t="str">
            <v>ARIS.A2.Aim1.Bin1.RB</v>
          </cell>
          <cell r="F1992">
            <v>4</v>
          </cell>
          <cell r="G1992" t="str">
            <v>SplineDFA</v>
          </cell>
          <cell r="H1992" t="str">
            <v>Y</v>
          </cell>
          <cell r="I1992" t="str">
            <v>N</v>
          </cell>
          <cell r="J1992">
            <v>132</v>
          </cell>
          <cell r="K1992">
            <v>0.99990000000000001</v>
          </cell>
          <cell r="L1992">
            <v>0.3548</v>
          </cell>
          <cell r="M1992">
            <v>23.7</v>
          </cell>
          <cell r="N1992">
            <v>2.7</v>
          </cell>
          <cell r="O1992">
            <v>0.64510000000000001</v>
          </cell>
          <cell r="P1992">
            <v>0.13550000000000001</v>
          </cell>
          <cell r="Q1992">
            <v>2.2200000000000001E-2</v>
          </cell>
          <cell r="R1992">
            <v>0.4874</v>
          </cell>
          <cell r="S1992" t="str">
            <v>NA</v>
          </cell>
          <cell r="T1992">
            <v>60.6</v>
          </cell>
          <cell r="U1992">
            <v>4.9000000000000004</v>
          </cell>
          <cell r="V1992">
            <v>75.7</v>
          </cell>
          <cell r="W1992">
            <v>7.6</v>
          </cell>
          <cell r="X1992">
            <v>52.8</v>
          </cell>
          <cell r="Y1992">
            <v>6.9</v>
          </cell>
          <cell r="Z1992" t="str">
            <v>NA</v>
          </cell>
          <cell r="AA1992" t="str">
            <v>NA</v>
          </cell>
        </row>
        <row r="1993">
          <cell r="A1993">
            <v>45193</v>
          </cell>
          <cell r="B1993" t="str">
            <v>A2</v>
          </cell>
          <cell r="C1993">
            <v>2</v>
          </cell>
          <cell r="D1993">
            <v>1</v>
          </cell>
          <cell r="E1993" t="str">
            <v>ARIS.A2.Aim1.Bin2.RB</v>
          </cell>
          <cell r="F1993">
            <v>4</v>
          </cell>
          <cell r="G1993" t="str">
            <v>SplineDFA</v>
          </cell>
          <cell r="H1993" t="str">
            <v>Y</v>
          </cell>
          <cell r="I1993" t="str">
            <v>N</v>
          </cell>
          <cell r="J1993">
            <v>136</v>
          </cell>
          <cell r="K1993">
            <v>1</v>
          </cell>
          <cell r="L1993">
            <v>0.11459999999999999</v>
          </cell>
          <cell r="M1993">
            <v>23.7</v>
          </cell>
          <cell r="N1993">
            <v>2.7</v>
          </cell>
          <cell r="O1993">
            <v>0.88539999999999996</v>
          </cell>
          <cell r="P1993">
            <v>0.32450000000000001</v>
          </cell>
          <cell r="Q1993">
            <v>0.22170000000000001</v>
          </cell>
          <cell r="R1993">
            <v>0.3392</v>
          </cell>
          <cell r="S1993" t="str">
            <v>NA</v>
          </cell>
          <cell r="T1993">
            <v>60.6</v>
          </cell>
          <cell r="U1993">
            <v>4.9000000000000004</v>
          </cell>
          <cell r="V1993">
            <v>75.7</v>
          </cell>
          <cell r="W1993">
            <v>7.6</v>
          </cell>
          <cell r="X1993">
            <v>52.8</v>
          </cell>
          <cell r="Y1993">
            <v>6.9</v>
          </cell>
          <cell r="Z1993" t="str">
            <v>NA</v>
          </cell>
          <cell r="AA1993" t="str">
            <v>NA</v>
          </cell>
        </row>
        <row r="1994">
          <cell r="A1994">
            <v>45193</v>
          </cell>
          <cell r="B1994" t="str">
            <v>A2</v>
          </cell>
          <cell r="C1994">
            <v>3</v>
          </cell>
          <cell r="D1994">
            <v>1</v>
          </cell>
          <cell r="E1994" t="str">
            <v>ARIS.A2.Aim1.Bin3.RB</v>
          </cell>
          <cell r="F1994">
            <v>4</v>
          </cell>
          <cell r="G1994" t="str">
            <v>SplineDFA</v>
          </cell>
          <cell r="H1994" t="str">
            <v>Y</v>
          </cell>
          <cell r="I1994" t="str">
            <v>N</v>
          </cell>
          <cell r="J1994">
            <v>98</v>
          </cell>
          <cell r="K1994">
            <v>1</v>
          </cell>
          <cell r="L1994">
            <v>0.1089</v>
          </cell>
          <cell r="M1994">
            <v>23.7</v>
          </cell>
          <cell r="N1994">
            <v>2.7</v>
          </cell>
          <cell r="O1994">
            <v>0.8911</v>
          </cell>
          <cell r="P1994">
            <v>0.30880000000000002</v>
          </cell>
          <cell r="Q1994">
            <v>0.27229999999999999</v>
          </cell>
          <cell r="R1994">
            <v>0.31</v>
          </cell>
          <cell r="S1994" t="str">
            <v>NA</v>
          </cell>
          <cell r="T1994">
            <v>60.6</v>
          </cell>
          <cell r="U1994">
            <v>4.9000000000000004</v>
          </cell>
          <cell r="V1994">
            <v>75.7</v>
          </cell>
          <cell r="W1994">
            <v>7.6</v>
          </cell>
          <cell r="X1994">
            <v>52.8</v>
          </cell>
          <cell r="Y1994">
            <v>6.9</v>
          </cell>
          <cell r="Z1994" t="str">
            <v>NA</v>
          </cell>
          <cell r="AA1994" t="str">
            <v>NA</v>
          </cell>
        </row>
        <row r="1995">
          <cell r="A1995">
            <v>45193</v>
          </cell>
          <cell r="B1995" t="str">
            <v>A2</v>
          </cell>
          <cell r="C1995">
            <v>4</v>
          </cell>
          <cell r="D1995">
            <v>1</v>
          </cell>
          <cell r="E1995" t="str">
            <v>ARIS.A2.Aim1.Bin4.RB</v>
          </cell>
          <cell r="F1995">
            <v>4</v>
          </cell>
          <cell r="G1995" t="str">
            <v>SplineDFA</v>
          </cell>
          <cell r="H1995" t="str">
            <v>Y</v>
          </cell>
          <cell r="I1995" t="str">
            <v>N</v>
          </cell>
          <cell r="J1995">
            <v>98</v>
          </cell>
          <cell r="K1995">
            <v>1</v>
          </cell>
          <cell r="L1995">
            <v>0.1089</v>
          </cell>
          <cell r="M1995">
            <v>23.7</v>
          </cell>
          <cell r="N1995">
            <v>2.7</v>
          </cell>
          <cell r="O1995">
            <v>0.8911</v>
          </cell>
          <cell r="P1995">
            <v>0.30880000000000002</v>
          </cell>
          <cell r="Q1995">
            <v>0.27229999999999999</v>
          </cell>
          <cell r="R1995">
            <v>0.31</v>
          </cell>
          <cell r="S1995" t="str">
            <v>NA</v>
          </cell>
          <cell r="T1995">
            <v>60.6</v>
          </cell>
          <cell r="U1995">
            <v>4.9000000000000004</v>
          </cell>
          <cell r="V1995">
            <v>75.7</v>
          </cell>
          <cell r="W1995">
            <v>7.6</v>
          </cell>
          <cell r="X1995">
            <v>52.8</v>
          </cell>
          <cell r="Y1995">
            <v>6.9</v>
          </cell>
          <cell r="Z1995" t="str">
            <v>NA</v>
          </cell>
          <cell r="AA1995" t="str">
            <v>NA</v>
          </cell>
        </row>
        <row r="1996">
          <cell r="A1996">
            <v>45193</v>
          </cell>
          <cell r="B1996" t="str">
            <v>A1</v>
          </cell>
          <cell r="C1996">
            <v>1</v>
          </cell>
          <cell r="D1996">
            <v>1</v>
          </cell>
          <cell r="E1996" t="str">
            <v>ARIS.A1.Aim1.Bin1.LB</v>
          </cell>
          <cell r="F1996">
            <v>4</v>
          </cell>
          <cell r="G1996" t="str">
            <v>Unweighted</v>
          </cell>
          <cell r="H1996" t="str">
            <v>N</v>
          </cell>
          <cell r="I1996" t="str">
            <v>Y</v>
          </cell>
          <cell r="J1996">
            <v>159</v>
          </cell>
          <cell r="K1996">
            <v>1.0001</v>
          </cell>
          <cell r="L1996">
            <v>0.68899999999999995</v>
          </cell>
          <cell r="M1996">
            <v>21.5</v>
          </cell>
          <cell r="N1996">
            <v>7.4</v>
          </cell>
          <cell r="O1996">
            <v>0.31109999999999999</v>
          </cell>
          <cell r="P1996">
            <v>0</v>
          </cell>
          <cell r="Q1996">
            <v>3.1E-2</v>
          </cell>
          <cell r="R1996">
            <v>0.28010000000000002</v>
          </cell>
          <cell r="S1996" t="str">
            <v>NA</v>
          </cell>
          <cell r="T1996">
            <v>60.6</v>
          </cell>
          <cell r="U1996">
            <v>4.9000000000000004</v>
          </cell>
          <cell r="V1996">
            <v>75.7</v>
          </cell>
          <cell r="W1996">
            <v>7.6</v>
          </cell>
          <cell r="X1996">
            <v>52.8</v>
          </cell>
          <cell r="Y1996">
            <v>6.9</v>
          </cell>
          <cell r="Z1996" t="str">
            <v>NA</v>
          </cell>
          <cell r="AA1996" t="str">
            <v>NA</v>
          </cell>
        </row>
        <row r="1997">
          <cell r="A1997">
            <v>45193</v>
          </cell>
          <cell r="B1997" t="str">
            <v>A1</v>
          </cell>
          <cell r="C1997">
            <v>1</v>
          </cell>
          <cell r="D1997">
            <v>2</v>
          </cell>
          <cell r="E1997" t="str">
            <v>ARIS.A1.Aim2.Bin1.LB</v>
          </cell>
          <cell r="F1997">
            <v>4</v>
          </cell>
          <cell r="G1997" t="str">
            <v>Unweighted</v>
          </cell>
          <cell r="H1997" t="str">
            <v>N</v>
          </cell>
          <cell r="I1997" t="str">
            <v>Y</v>
          </cell>
          <cell r="J1997">
            <v>131</v>
          </cell>
          <cell r="K1997">
            <v>1</v>
          </cell>
          <cell r="L1997">
            <v>0.64080000000000004</v>
          </cell>
          <cell r="M1997">
            <v>22.5</v>
          </cell>
          <cell r="N1997">
            <v>8.1</v>
          </cell>
          <cell r="O1997">
            <v>0.35920000000000002</v>
          </cell>
          <cell r="P1997">
            <v>3.2500000000000001E-2</v>
          </cell>
          <cell r="Q1997">
            <v>2.06E-2</v>
          </cell>
          <cell r="R1997">
            <v>0.30609999999999998</v>
          </cell>
          <cell r="S1997" t="str">
            <v>NA</v>
          </cell>
          <cell r="T1997">
            <v>60.6</v>
          </cell>
          <cell r="U1997">
            <v>4.9000000000000004</v>
          </cell>
          <cell r="V1997">
            <v>75.7</v>
          </cell>
          <cell r="W1997">
            <v>7.6</v>
          </cell>
          <cell r="X1997">
            <v>52.8</v>
          </cell>
          <cell r="Y1997">
            <v>6.9</v>
          </cell>
          <cell r="Z1997" t="str">
            <v>NA</v>
          </cell>
          <cell r="AA1997" t="str">
            <v>NA</v>
          </cell>
        </row>
        <row r="1998">
          <cell r="A1998">
            <v>45193</v>
          </cell>
          <cell r="B1998" t="str">
            <v>A1</v>
          </cell>
          <cell r="C1998">
            <v>1</v>
          </cell>
          <cell r="D1998" t="str">
            <v>1&amp;2</v>
          </cell>
          <cell r="E1998" t="str">
            <v>ARIS.A1.Aim1&amp;Aim2.Bin1.LB</v>
          </cell>
          <cell r="F1998">
            <v>4</v>
          </cell>
          <cell r="G1998" t="str">
            <v>Unweighted</v>
          </cell>
          <cell r="H1998" t="str">
            <v>N</v>
          </cell>
          <cell r="I1998" t="str">
            <v>Y</v>
          </cell>
          <cell r="J1998">
            <v>290</v>
          </cell>
          <cell r="K1998">
            <v>1</v>
          </cell>
          <cell r="L1998">
            <v>0.68710000000000004</v>
          </cell>
          <cell r="M1998">
            <v>21.3</v>
          </cell>
          <cell r="N1998">
            <v>7.6</v>
          </cell>
          <cell r="O1998">
            <v>0.31290000000000001</v>
          </cell>
          <cell r="P1998">
            <v>0</v>
          </cell>
          <cell r="Q1998">
            <v>1.8700000000000001E-2</v>
          </cell>
          <cell r="R1998">
            <v>0.29420000000000002</v>
          </cell>
          <cell r="S1998" t="str">
            <v>NA</v>
          </cell>
          <cell r="T1998">
            <v>60.6</v>
          </cell>
          <cell r="U1998">
            <v>4.9000000000000004</v>
          </cell>
          <cell r="V1998">
            <v>75.7</v>
          </cell>
          <cell r="W1998">
            <v>7.6</v>
          </cell>
          <cell r="X1998">
            <v>52.8</v>
          </cell>
          <cell r="Y1998">
            <v>6.9</v>
          </cell>
          <cell r="Z1998" t="str">
            <v>NA</v>
          </cell>
          <cell r="AA1998" t="str">
            <v>NA</v>
          </cell>
        </row>
        <row r="1999">
          <cell r="A1999">
            <v>45193</v>
          </cell>
          <cell r="B1999" t="str">
            <v>A1</v>
          </cell>
          <cell r="C1999">
            <v>2</v>
          </cell>
          <cell r="D1999">
            <v>3</v>
          </cell>
          <cell r="E1999" t="str">
            <v>ARIS.A1.Aim3.Bin2.LB</v>
          </cell>
          <cell r="F1999">
            <v>4</v>
          </cell>
          <cell r="G1999" t="str">
            <v>Unweighted</v>
          </cell>
          <cell r="H1999" t="str">
            <v>N</v>
          </cell>
          <cell r="I1999" t="str">
            <v>Y</v>
          </cell>
          <cell r="J1999">
            <v>160</v>
          </cell>
          <cell r="K1999">
            <v>1</v>
          </cell>
          <cell r="L1999">
            <v>0.12920000000000001</v>
          </cell>
          <cell r="M1999">
            <v>23.7</v>
          </cell>
          <cell r="N1999">
            <v>7.5</v>
          </cell>
          <cell r="O1999">
            <v>0.87080000000000002</v>
          </cell>
          <cell r="P1999">
            <v>2.2200000000000001E-2</v>
          </cell>
          <cell r="Q1999">
            <v>9.1399999999999995E-2</v>
          </cell>
          <cell r="R1999">
            <v>0.75719999999999998</v>
          </cell>
          <cell r="S1999" t="str">
            <v>NA</v>
          </cell>
          <cell r="T1999">
            <v>60.6</v>
          </cell>
          <cell r="U1999">
            <v>4.9000000000000004</v>
          </cell>
          <cell r="V1999">
            <v>75.7</v>
          </cell>
          <cell r="W1999">
            <v>7.6</v>
          </cell>
          <cell r="X1999">
            <v>52.8</v>
          </cell>
          <cell r="Y1999">
            <v>6.9</v>
          </cell>
          <cell r="Z1999" t="str">
            <v>NA</v>
          </cell>
          <cell r="AA1999" t="str">
            <v>NA</v>
          </cell>
        </row>
        <row r="2000">
          <cell r="A2000">
            <v>45193</v>
          </cell>
          <cell r="B2000" t="str">
            <v>A1</v>
          </cell>
          <cell r="C2000">
            <v>3</v>
          </cell>
          <cell r="D2000">
            <v>3</v>
          </cell>
          <cell r="E2000" t="str">
            <v>ARIS.A1.Aim3.Bin3.LB</v>
          </cell>
          <cell r="F2000">
            <v>4</v>
          </cell>
          <cell r="G2000" t="str">
            <v>Unweighted</v>
          </cell>
          <cell r="H2000" t="str">
            <v>N</v>
          </cell>
          <cell r="I2000" t="str">
            <v>Y</v>
          </cell>
          <cell r="J2000">
            <v>168</v>
          </cell>
          <cell r="K2000">
            <v>1</v>
          </cell>
          <cell r="L2000">
            <v>9.35E-2</v>
          </cell>
          <cell r="M2000">
            <v>23.7</v>
          </cell>
          <cell r="N2000">
            <v>11.3</v>
          </cell>
          <cell r="O2000">
            <v>0.90649999999999997</v>
          </cell>
          <cell r="P2000">
            <v>3.5900000000000001E-2</v>
          </cell>
          <cell r="Q2000">
            <v>0.23250000000000001</v>
          </cell>
          <cell r="R2000">
            <v>0.6381</v>
          </cell>
          <cell r="S2000" t="str">
            <v>NA</v>
          </cell>
          <cell r="T2000">
            <v>60.6</v>
          </cell>
          <cell r="U2000">
            <v>4.9000000000000004</v>
          </cell>
          <cell r="V2000">
            <v>75.7</v>
          </cell>
          <cell r="W2000">
            <v>7.6</v>
          </cell>
          <cell r="X2000">
            <v>52.8</v>
          </cell>
          <cell r="Y2000">
            <v>6.9</v>
          </cell>
          <cell r="Z2000" t="str">
            <v>NA</v>
          </cell>
          <cell r="AA2000" t="str">
            <v>NA</v>
          </cell>
        </row>
        <row r="2001">
          <cell r="A2001">
            <v>45193</v>
          </cell>
          <cell r="B2001" t="str">
            <v>A1</v>
          </cell>
          <cell r="C2001">
            <v>4</v>
          </cell>
          <cell r="D2001">
            <v>3</v>
          </cell>
          <cell r="E2001" t="str">
            <v>ARIS.A1.Aim3.Bin4.LB</v>
          </cell>
          <cell r="F2001">
            <v>4</v>
          </cell>
          <cell r="G2001" t="str">
            <v>Unweighted</v>
          </cell>
          <cell r="H2001" t="str">
            <v>N</v>
          </cell>
          <cell r="I2001" t="str">
            <v>Y</v>
          </cell>
          <cell r="J2001">
            <v>168</v>
          </cell>
          <cell r="K2001">
            <v>1</v>
          </cell>
          <cell r="L2001">
            <v>9.35E-2</v>
          </cell>
          <cell r="M2001">
            <v>23.7</v>
          </cell>
          <cell r="N2001">
            <v>11.3</v>
          </cell>
          <cell r="O2001">
            <v>0.90649999999999997</v>
          </cell>
          <cell r="P2001">
            <v>3.5900000000000001E-2</v>
          </cell>
          <cell r="Q2001">
            <v>0.23250000000000001</v>
          </cell>
          <cell r="R2001">
            <v>0.6381</v>
          </cell>
          <cell r="S2001" t="str">
            <v>NA</v>
          </cell>
          <cell r="T2001">
            <v>60.6</v>
          </cell>
          <cell r="U2001">
            <v>4.9000000000000004</v>
          </cell>
          <cell r="V2001">
            <v>75.7</v>
          </cell>
          <cell r="W2001">
            <v>7.6</v>
          </cell>
          <cell r="X2001">
            <v>52.8</v>
          </cell>
          <cell r="Y2001">
            <v>6.9</v>
          </cell>
          <cell r="Z2001" t="str">
            <v>NA</v>
          </cell>
          <cell r="AA2001" t="str">
            <v>NA</v>
          </cell>
        </row>
        <row r="2002">
          <cell r="A2002">
            <v>45193</v>
          </cell>
          <cell r="B2002" t="str">
            <v>A2</v>
          </cell>
          <cell r="C2002">
            <v>1</v>
          </cell>
          <cell r="D2002">
            <v>1</v>
          </cell>
          <cell r="E2002" t="str">
            <v>ARIS.A2.Aim1.Bin1.RB</v>
          </cell>
          <cell r="F2002">
            <v>4</v>
          </cell>
          <cell r="G2002" t="str">
            <v>Unweighted</v>
          </cell>
          <cell r="H2002" t="str">
            <v>N</v>
          </cell>
          <cell r="I2002" t="str">
            <v>Y</v>
          </cell>
          <cell r="J2002">
            <v>132</v>
          </cell>
          <cell r="K2002">
            <v>1</v>
          </cell>
          <cell r="L2002">
            <v>0.4899</v>
          </cell>
          <cell r="M2002">
            <v>19.5</v>
          </cell>
          <cell r="N2002">
            <v>8.6</v>
          </cell>
          <cell r="O2002">
            <v>0.5101</v>
          </cell>
          <cell r="P2002">
            <v>0</v>
          </cell>
          <cell r="Q2002">
            <v>2.4400000000000002E-2</v>
          </cell>
          <cell r="R2002">
            <v>0.48570000000000002</v>
          </cell>
          <cell r="S2002" t="str">
            <v>NA</v>
          </cell>
          <cell r="T2002">
            <v>60.6</v>
          </cell>
          <cell r="U2002">
            <v>4.9000000000000004</v>
          </cell>
          <cell r="V2002">
            <v>75.7</v>
          </cell>
          <cell r="W2002">
            <v>7.6</v>
          </cell>
          <cell r="X2002">
            <v>52.8</v>
          </cell>
          <cell r="Y2002">
            <v>6.9</v>
          </cell>
          <cell r="Z2002" t="str">
            <v>NA</v>
          </cell>
          <cell r="AA2002" t="str">
            <v>NA</v>
          </cell>
        </row>
        <row r="2003">
          <cell r="A2003">
            <v>45193</v>
          </cell>
          <cell r="B2003" t="str">
            <v>A2</v>
          </cell>
          <cell r="C2003">
            <v>2</v>
          </cell>
          <cell r="D2003">
            <v>1</v>
          </cell>
          <cell r="E2003" t="str">
            <v>ARIS.A2.Aim1.Bin2.RB</v>
          </cell>
          <cell r="F2003">
            <v>4</v>
          </cell>
          <cell r="G2003" t="str">
            <v>Unweighted</v>
          </cell>
          <cell r="H2003" t="str">
            <v>N</v>
          </cell>
          <cell r="I2003" t="str">
            <v>Y</v>
          </cell>
          <cell r="J2003">
            <v>136</v>
          </cell>
          <cell r="K2003">
            <v>1</v>
          </cell>
          <cell r="L2003">
            <v>0.27279999999999999</v>
          </cell>
          <cell r="M2003">
            <v>30.9</v>
          </cell>
          <cell r="N2003">
            <v>9.6</v>
          </cell>
          <cell r="O2003">
            <v>0.72719999999999996</v>
          </cell>
          <cell r="P2003">
            <v>0.25790000000000002</v>
          </cell>
          <cell r="Q2003">
            <v>0.1605</v>
          </cell>
          <cell r="R2003">
            <v>0.30880000000000002</v>
          </cell>
          <cell r="S2003" t="str">
            <v>NA</v>
          </cell>
          <cell r="T2003">
            <v>60.6</v>
          </cell>
          <cell r="U2003">
            <v>4.9000000000000004</v>
          </cell>
          <cell r="V2003">
            <v>75.7</v>
          </cell>
          <cell r="W2003">
            <v>7.6</v>
          </cell>
          <cell r="X2003">
            <v>52.8</v>
          </cell>
          <cell r="Y2003">
            <v>6.9</v>
          </cell>
          <cell r="Z2003" t="str">
            <v>NA</v>
          </cell>
          <cell r="AA2003" t="str">
            <v>NA</v>
          </cell>
        </row>
        <row r="2004">
          <cell r="A2004">
            <v>45193</v>
          </cell>
          <cell r="B2004" t="str">
            <v>A2</v>
          </cell>
          <cell r="C2004">
            <v>3</v>
          </cell>
          <cell r="D2004">
            <v>1</v>
          </cell>
          <cell r="E2004" t="str">
            <v>ARIS.A2.Aim1.Bin3.RB</v>
          </cell>
          <cell r="F2004">
            <v>4</v>
          </cell>
          <cell r="G2004" t="str">
            <v>Unweighted</v>
          </cell>
          <cell r="H2004" t="str">
            <v>N</v>
          </cell>
          <cell r="I2004" t="str">
            <v>Y</v>
          </cell>
          <cell r="J2004">
            <v>98</v>
          </cell>
          <cell r="K2004">
            <v>0.99990000000000001</v>
          </cell>
          <cell r="L2004">
            <v>0.1022</v>
          </cell>
          <cell r="M2004">
            <v>29.8</v>
          </cell>
          <cell r="N2004">
            <v>8.6999999999999993</v>
          </cell>
          <cell r="O2004">
            <v>0.89770000000000005</v>
          </cell>
          <cell r="P2004">
            <v>0.18490000000000001</v>
          </cell>
          <cell r="Q2004">
            <v>0.3054</v>
          </cell>
          <cell r="R2004">
            <v>0.40739999999999998</v>
          </cell>
          <cell r="S2004" t="str">
            <v>NA</v>
          </cell>
          <cell r="T2004">
            <v>60.6</v>
          </cell>
          <cell r="U2004">
            <v>4.9000000000000004</v>
          </cell>
          <cell r="V2004">
            <v>75.7</v>
          </cell>
          <cell r="W2004">
            <v>7.6</v>
          </cell>
          <cell r="X2004">
            <v>52.8</v>
          </cell>
          <cell r="Y2004">
            <v>6.9</v>
          </cell>
          <cell r="Z2004" t="str">
            <v>NA</v>
          </cell>
          <cell r="AA2004" t="str">
            <v>NA</v>
          </cell>
        </row>
        <row r="2005">
          <cell r="A2005">
            <v>45193</v>
          </cell>
          <cell r="B2005" t="str">
            <v>A2</v>
          </cell>
          <cell r="C2005">
            <v>4</v>
          </cell>
          <cell r="D2005">
            <v>1</v>
          </cell>
          <cell r="E2005" t="str">
            <v>ARIS.A2.Aim1.Bin4.RB</v>
          </cell>
          <cell r="F2005">
            <v>4</v>
          </cell>
          <cell r="G2005" t="str">
            <v>Unweighted</v>
          </cell>
          <cell r="H2005" t="str">
            <v>N</v>
          </cell>
          <cell r="I2005" t="str">
            <v>Y</v>
          </cell>
          <cell r="J2005">
            <v>98</v>
          </cell>
          <cell r="K2005">
            <v>0.99990000000000001</v>
          </cell>
          <cell r="L2005">
            <v>0.1022</v>
          </cell>
          <cell r="M2005">
            <v>29.8</v>
          </cell>
          <cell r="N2005">
            <v>8.6999999999999993</v>
          </cell>
          <cell r="O2005">
            <v>0.89770000000000005</v>
          </cell>
          <cell r="P2005">
            <v>0.18490000000000001</v>
          </cell>
          <cell r="Q2005">
            <v>0.3054</v>
          </cell>
          <cell r="R2005">
            <v>0.40739999999999998</v>
          </cell>
          <cell r="S2005" t="str">
            <v>NA</v>
          </cell>
          <cell r="T2005">
            <v>60.6</v>
          </cell>
          <cell r="U2005">
            <v>4.9000000000000004</v>
          </cell>
          <cell r="V2005">
            <v>75.7</v>
          </cell>
          <cell r="W2005">
            <v>7.6</v>
          </cell>
          <cell r="X2005">
            <v>52.8</v>
          </cell>
          <cell r="Y2005">
            <v>6.9</v>
          </cell>
          <cell r="Z2005" t="str">
            <v>NA</v>
          </cell>
          <cell r="AA2005" t="str">
            <v>NA</v>
          </cell>
        </row>
        <row r="2006">
          <cell r="A2006">
            <v>45194</v>
          </cell>
          <cell r="B2006" t="str">
            <v>A1</v>
          </cell>
          <cell r="C2006">
            <v>1</v>
          </cell>
          <cell r="D2006">
            <v>1</v>
          </cell>
          <cell r="E2006" t="str">
            <v>ARIS.A1.Aim1.Bin1.LB</v>
          </cell>
          <cell r="F2006">
            <v>4</v>
          </cell>
          <cell r="G2006" t="str">
            <v>SplineDFA</v>
          </cell>
          <cell r="H2006" t="str">
            <v>Y</v>
          </cell>
          <cell r="I2006" t="str">
            <v>N</v>
          </cell>
          <cell r="J2006">
            <v>135</v>
          </cell>
          <cell r="K2006">
            <v>1.0001</v>
          </cell>
          <cell r="L2006">
            <v>0.51900000000000002</v>
          </cell>
          <cell r="M2006">
            <v>23.7</v>
          </cell>
          <cell r="N2006">
            <v>2.7</v>
          </cell>
          <cell r="O2006">
            <v>0.48110000000000003</v>
          </cell>
          <cell r="P2006">
            <v>6.4199999999999993E-2</v>
          </cell>
          <cell r="Q2006">
            <v>1.6E-2</v>
          </cell>
          <cell r="R2006">
            <v>0.40089999999999998</v>
          </cell>
          <cell r="S2006" t="str">
            <v>NA</v>
          </cell>
          <cell r="T2006">
            <v>61.6</v>
          </cell>
          <cell r="U2006">
            <v>5</v>
          </cell>
          <cell r="V2006">
            <v>82.6</v>
          </cell>
          <cell r="W2006">
            <v>8.3000000000000007</v>
          </cell>
          <cell r="X2006">
            <v>52.5</v>
          </cell>
          <cell r="Y2006">
            <v>6.8</v>
          </cell>
          <cell r="Z2006" t="str">
            <v>NA</v>
          </cell>
          <cell r="AA2006" t="str">
            <v>NA</v>
          </cell>
        </row>
        <row r="2007">
          <cell r="A2007">
            <v>45194</v>
          </cell>
          <cell r="B2007" t="str">
            <v>A1</v>
          </cell>
          <cell r="C2007">
            <v>1</v>
          </cell>
          <cell r="D2007">
            <v>2</v>
          </cell>
          <cell r="E2007" t="str">
            <v>ARIS.A1.Aim2.Bin1.LB</v>
          </cell>
          <cell r="F2007">
            <v>4</v>
          </cell>
          <cell r="G2007" t="str">
            <v>SplineDFA</v>
          </cell>
          <cell r="H2007" t="str">
            <v>Y</v>
          </cell>
          <cell r="I2007" t="str">
            <v>N</v>
          </cell>
          <cell r="J2007">
            <v>152</v>
          </cell>
          <cell r="K2007">
            <v>1.0001</v>
          </cell>
          <cell r="L2007">
            <v>0.48499999999999999</v>
          </cell>
          <cell r="M2007">
            <v>23.7</v>
          </cell>
          <cell r="N2007">
            <v>2.7</v>
          </cell>
          <cell r="O2007">
            <v>0.5151</v>
          </cell>
          <cell r="P2007">
            <v>0.15279999999999999</v>
          </cell>
          <cell r="Q2007">
            <v>5.5999999999999999E-3</v>
          </cell>
          <cell r="R2007">
            <v>0.35670000000000002</v>
          </cell>
          <cell r="S2007" t="str">
            <v>NA</v>
          </cell>
          <cell r="T2007">
            <v>61.6</v>
          </cell>
          <cell r="U2007">
            <v>5</v>
          </cell>
          <cell r="V2007">
            <v>82.6</v>
          </cell>
          <cell r="W2007">
            <v>8.3000000000000007</v>
          </cell>
          <cell r="X2007">
            <v>52.5</v>
          </cell>
          <cell r="Y2007">
            <v>6.8</v>
          </cell>
          <cell r="Z2007" t="str">
            <v>NA</v>
          </cell>
          <cell r="AA2007" t="str">
            <v>NA</v>
          </cell>
        </row>
        <row r="2008">
          <cell r="A2008">
            <v>45194</v>
          </cell>
          <cell r="B2008" t="str">
            <v>A1</v>
          </cell>
          <cell r="C2008">
            <v>2</v>
          </cell>
          <cell r="D2008">
            <v>3</v>
          </cell>
          <cell r="E2008" t="str">
            <v>ARIS.A1.Aim3.Bin2.LB</v>
          </cell>
          <cell r="F2008">
            <v>4</v>
          </cell>
          <cell r="G2008" t="str">
            <v>SplineDFA</v>
          </cell>
          <cell r="H2008" t="str">
            <v>Y</v>
          </cell>
          <cell r="I2008" t="str">
            <v>N</v>
          </cell>
          <cell r="J2008">
            <v>192</v>
          </cell>
          <cell r="K2008">
            <v>0.99990000000000001</v>
          </cell>
          <cell r="L2008">
            <v>0.18360000000000001</v>
          </cell>
          <cell r="M2008">
            <v>23.7</v>
          </cell>
          <cell r="N2008">
            <v>2.7</v>
          </cell>
          <cell r="O2008">
            <v>0.81630000000000003</v>
          </cell>
          <cell r="P2008">
            <v>0.28610000000000002</v>
          </cell>
          <cell r="Q2008">
            <v>4.1700000000000001E-2</v>
          </cell>
          <cell r="R2008">
            <v>0.48849999999999999</v>
          </cell>
          <cell r="S2008" t="str">
            <v>NA</v>
          </cell>
          <cell r="T2008">
            <v>61.6</v>
          </cell>
          <cell r="U2008">
            <v>5</v>
          </cell>
          <cell r="V2008">
            <v>82.6</v>
          </cell>
          <cell r="W2008">
            <v>8.3000000000000007</v>
          </cell>
          <cell r="X2008">
            <v>52.5</v>
          </cell>
          <cell r="Y2008">
            <v>6.8</v>
          </cell>
          <cell r="Z2008" t="str">
            <v>NA</v>
          </cell>
          <cell r="AA2008" t="str">
            <v>NA</v>
          </cell>
        </row>
        <row r="2009">
          <cell r="A2009">
            <v>45194</v>
          </cell>
          <cell r="B2009" t="str">
            <v>A1</v>
          </cell>
          <cell r="C2009">
            <v>3</v>
          </cell>
          <cell r="D2009">
            <v>3</v>
          </cell>
          <cell r="E2009" t="str">
            <v>ARIS.A1.Aim3.Bin3.LB</v>
          </cell>
          <cell r="F2009">
            <v>4</v>
          </cell>
          <cell r="G2009" t="str">
            <v>SplineDFA</v>
          </cell>
          <cell r="H2009" t="str">
            <v>Y</v>
          </cell>
          <cell r="I2009" t="str">
            <v>N</v>
          </cell>
          <cell r="J2009">
            <v>159</v>
          </cell>
          <cell r="K2009">
            <v>1</v>
          </cell>
          <cell r="L2009">
            <v>5.7299999999999997E-2</v>
          </cell>
          <cell r="M2009">
            <v>23.7</v>
          </cell>
          <cell r="N2009">
            <v>2.7</v>
          </cell>
          <cell r="O2009">
            <v>0.94269999999999998</v>
          </cell>
          <cell r="P2009">
            <v>0.38640000000000002</v>
          </cell>
          <cell r="Q2009">
            <v>0.1865</v>
          </cell>
          <cell r="R2009">
            <v>0.36980000000000002</v>
          </cell>
          <cell r="S2009" t="str">
            <v>NA</v>
          </cell>
          <cell r="T2009">
            <v>61.6</v>
          </cell>
          <cell r="U2009">
            <v>5</v>
          </cell>
          <cell r="V2009">
            <v>82.6</v>
          </cell>
          <cell r="W2009">
            <v>8.3000000000000007</v>
          </cell>
          <cell r="X2009">
            <v>52.5</v>
          </cell>
          <cell r="Y2009">
            <v>6.8</v>
          </cell>
          <cell r="Z2009" t="str">
            <v>NA</v>
          </cell>
          <cell r="AA2009" t="str">
            <v>NA</v>
          </cell>
        </row>
        <row r="2010">
          <cell r="A2010">
            <v>45194</v>
          </cell>
          <cell r="B2010" t="str">
            <v>A1</v>
          </cell>
          <cell r="C2010">
            <v>4</v>
          </cell>
          <cell r="D2010">
            <v>3</v>
          </cell>
          <cell r="E2010" t="str">
            <v>ARIS.A1.Aim3.Bin4.LB</v>
          </cell>
          <cell r="F2010">
            <v>4</v>
          </cell>
          <cell r="G2010" t="str">
            <v>SplineDFA</v>
          </cell>
          <cell r="H2010" t="str">
            <v>Y</v>
          </cell>
          <cell r="I2010" t="str">
            <v>N</v>
          </cell>
          <cell r="J2010">
            <v>159</v>
          </cell>
          <cell r="K2010">
            <v>1</v>
          </cell>
          <cell r="L2010">
            <v>5.7299999999999997E-2</v>
          </cell>
          <cell r="M2010">
            <v>23.7</v>
          </cell>
          <cell r="N2010">
            <v>2.7</v>
          </cell>
          <cell r="O2010">
            <v>0.94269999999999998</v>
          </cell>
          <cell r="P2010">
            <v>0.38640000000000002</v>
          </cell>
          <cell r="Q2010">
            <v>0.1865</v>
          </cell>
          <cell r="R2010">
            <v>0.36980000000000002</v>
          </cell>
          <cell r="S2010" t="str">
            <v>NA</v>
          </cell>
          <cell r="T2010">
            <v>61.6</v>
          </cell>
          <cell r="U2010">
            <v>5</v>
          </cell>
          <cell r="V2010">
            <v>82.6</v>
          </cell>
          <cell r="W2010">
            <v>8.3000000000000007</v>
          </cell>
          <cell r="X2010">
            <v>52.5</v>
          </cell>
          <cell r="Y2010">
            <v>6.8</v>
          </cell>
          <cell r="Z2010" t="str">
            <v>NA</v>
          </cell>
          <cell r="AA2010" t="str">
            <v>NA</v>
          </cell>
        </row>
        <row r="2011">
          <cell r="A2011">
            <v>45194</v>
          </cell>
          <cell r="B2011" t="str">
            <v>A2</v>
          </cell>
          <cell r="C2011">
            <v>1</v>
          </cell>
          <cell r="D2011">
            <v>1</v>
          </cell>
          <cell r="E2011" t="str">
            <v>ARIS.A2.Aim1.Bin1.RB</v>
          </cell>
          <cell r="F2011">
            <v>4</v>
          </cell>
          <cell r="G2011" t="str">
            <v>SplineDFA</v>
          </cell>
          <cell r="H2011" t="str">
            <v>Y</v>
          </cell>
          <cell r="I2011" t="str">
            <v>N</v>
          </cell>
          <cell r="J2011">
            <v>109</v>
          </cell>
          <cell r="K2011">
            <v>1</v>
          </cell>
          <cell r="L2011">
            <v>0.4667</v>
          </cell>
          <cell r="M2011">
            <v>23.7</v>
          </cell>
          <cell r="N2011">
            <v>2.7</v>
          </cell>
          <cell r="O2011">
            <v>0.5333</v>
          </cell>
          <cell r="P2011">
            <v>0.1905</v>
          </cell>
          <cell r="Q2011">
            <v>2.8500000000000001E-2</v>
          </cell>
          <cell r="R2011">
            <v>0.31430000000000002</v>
          </cell>
          <cell r="S2011" t="str">
            <v>NA</v>
          </cell>
          <cell r="T2011">
            <v>61.6</v>
          </cell>
          <cell r="U2011">
            <v>5</v>
          </cell>
          <cell r="V2011">
            <v>82.6</v>
          </cell>
          <cell r="W2011">
            <v>8.3000000000000007</v>
          </cell>
          <cell r="X2011">
            <v>52.5</v>
          </cell>
          <cell r="Y2011">
            <v>6.8</v>
          </cell>
          <cell r="Z2011" t="str">
            <v>NA</v>
          </cell>
          <cell r="AA2011" t="str">
            <v>NA</v>
          </cell>
        </row>
        <row r="2012">
          <cell r="A2012">
            <v>45194</v>
          </cell>
          <cell r="B2012" t="str">
            <v>A2</v>
          </cell>
          <cell r="C2012">
            <v>2</v>
          </cell>
          <cell r="D2012">
            <v>1</v>
          </cell>
          <cell r="E2012" t="str">
            <v>ARIS.A2.Aim1.Bin2.RB</v>
          </cell>
          <cell r="F2012">
            <v>4</v>
          </cell>
          <cell r="G2012" t="str">
            <v>SplineDFA</v>
          </cell>
          <cell r="H2012" t="str">
            <v>Y</v>
          </cell>
          <cell r="I2012" t="str">
            <v>N</v>
          </cell>
          <cell r="J2012">
            <v>114</v>
          </cell>
          <cell r="K2012">
            <v>1</v>
          </cell>
          <cell r="L2012">
            <v>0.1686</v>
          </cell>
          <cell r="M2012">
            <v>23.7</v>
          </cell>
          <cell r="N2012">
            <v>2.7</v>
          </cell>
          <cell r="O2012">
            <v>0.83140000000000003</v>
          </cell>
          <cell r="P2012">
            <v>0.3785</v>
          </cell>
          <cell r="Q2012">
            <v>0.1003</v>
          </cell>
          <cell r="R2012">
            <v>0.35260000000000002</v>
          </cell>
          <cell r="S2012" t="str">
            <v>NA</v>
          </cell>
          <cell r="T2012">
            <v>61.6</v>
          </cell>
          <cell r="U2012">
            <v>5</v>
          </cell>
          <cell r="V2012">
            <v>82.6</v>
          </cell>
          <cell r="W2012">
            <v>8.3000000000000007</v>
          </cell>
          <cell r="X2012">
            <v>52.5</v>
          </cell>
          <cell r="Y2012">
            <v>6.8</v>
          </cell>
          <cell r="Z2012" t="str">
            <v>NA</v>
          </cell>
          <cell r="AA2012" t="str">
            <v>NA</v>
          </cell>
        </row>
        <row r="2013">
          <cell r="A2013">
            <v>45194</v>
          </cell>
          <cell r="B2013" t="str">
            <v>A2</v>
          </cell>
          <cell r="C2013">
            <v>3</v>
          </cell>
          <cell r="D2013">
            <v>1</v>
          </cell>
          <cell r="E2013" t="str">
            <v>ARIS.A2.Aim1.Bin3.RB</v>
          </cell>
          <cell r="F2013">
            <v>4</v>
          </cell>
          <cell r="G2013" t="str">
            <v>SplineDFA</v>
          </cell>
          <cell r="H2013" t="str">
            <v>Y</v>
          </cell>
          <cell r="I2013" t="str">
            <v>N</v>
          </cell>
          <cell r="J2013">
            <v>95</v>
          </cell>
          <cell r="K2013">
            <v>1.0001</v>
          </cell>
          <cell r="L2013">
            <v>7.6999999999999999E-2</v>
          </cell>
          <cell r="M2013">
            <v>23.7</v>
          </cell>
          <cell r="N2013">
            <v>2.7</v>
          </cell>
          <cell r="O2013">
            <v>0.92310000000000003</v>
          </cell>
          <cell r="P2013">
            <v>0.34039999999999998</v>
          </cell>
          <cell r="Q2013">
            <v>0.37090000000000001</v>
          </cell>
          <cell r="R2013">
            <v>0.21179999999999999</v>
          </cell>
          <cell r="S2013" t="str">
            <v>NA</v>
          </cell>
          <cell r="T2013">
            <v>61.6</v>
          </cell>
          <cell r="U2013">
            <v>5</v>
          </cell>
          <cell r="V2013">
            <v>82.6</v>
          </cell>
          <cell r="W2013">
            <v>8.3000000000000007</v>
          </cell>
          <cell r="X2013">
            <v>52.5</v>
          </cell>
          <cell r="Y2013">
            <v>6.8</v>
          </cell>
          <cell r="Z2013" t="str">
            <v>NA</v>
          </cell>
          <cell r="AA2013" t="str">
            <v>NA</v>
          </cell>
        </row>
        <row r="2014">
          <cell r="A2014">
            <v>45194</v>
          </cell>
          <cell r="B2014" t="str">
            <v>A2</v>
          </cell>
          <cell r="C2014">
            <v>4</v>
          </cell>
          <cell r="D2014">
            <v>1</v>
          </cell>
          <cell r="E2014" t="str">
            <v>ARIS.A2.Aim1.Bin4.RB</v>
          </cell>
          <cell r="F2014">
            <v>4</v>
          </cell>
          <cell r="G2014" t="str">
            <v>SplineDFA</v>
          </cell>
          <cell r="H2014" t="str">
            <v>Y</v>
          </cell>
          <cell r="I2014" t="str">
            <v>N</v>
          </cell>
          <cell r="J2014">
            <v>95</v>
          </cell>
          <cell r="K2014">
            <v>1.0001</v>
          </cell>
          <cell r="L2014">
            <v>7.6999999999999999E-2</v>
          </cell>
          <cell r="M2014">
            <v>23.7</v>
          </cell>
          <cell r="N2014">
            <v>2.7</v>
          </cell>
          <cell r="O2014">
            <v>0.92310000000000003</v>
          </cell>
          <cell r="P2014">
            <v>0.34039999999999998</v>
          </cell>
          <cell r="Q2014">
            <v>0.37090000000000001</v>
          </cell>
          <cell r="R2014">
            <v>0.21179999999999999</v>
          </cell>
          <cell r="S2014" t="str">
            <v>NA</v>
          </cell>
          <cell r="T2014">
            <v>61.6</v>
          </cell>
          <cell r="U2014">
            <v>5</v>
          </cell>
          <cell r="V2014">
            <v>82.6</v>
          </cell>
          <cell r="W2014">
            <v>8.3000000000000007</v>
          </cell>
          <cell r="X2014">
            <v>52.5</v>
          </cell>
          <cell r="Y2014">
            <v>6.8</v>
          </cell>
          <cell r="Z2014" t="str">
            <v>NA</v>
          </cell>
          <cell r="AA2014" t="str">
            <v>NA</v>
          </cell>
        </row>
        <row r="2015">
          <cell r="A2015">
            <v>45194</v>
          </cell>
          <cell r="B2015" t="str">
            <v>A1</v>
          </cell>
          <cell r="C2015">
            <v>1</v>
          </cell>
          <cell r="D2015">
            <v>1</v>
          </cell>
          <cell r="E2015" t="str">
            <v>ARIS.A1.Aim1.Bin1.LB</v>
          </cell>
          <cell r="F2015">
            <v>4</v>
          </cell>
          <cell r="G2015" t="str">
            <v>Unweighted</v>
          </cell>
          <cell r="H2015" t="str">
            <v>N</v>
          </cell>
          <cell r="I2015" t="str">
            <v>Y</v>
          </cell>
          <cell r="J2015">
            <v>135</v>
          </cell>
          <cell r="K2015">
            <v>1</v>
          </cell>
          <cell r="L2015">
            <v>0.66169999999999995</v>
          </cell>
          <cell r="M2015">
            <v>22.3</v>
          </cell>
          <cell r="N2015">
            <v>6</v>
          </cell>
          <cell r="O2015">
            <v>0.33829999999999999</v>
          </cell>
          <cell r="P2015">
            <v>0</v>
          </cell>
          <cell r="Q2015">
            <v>1.4800000000000001E-2</v>
          </cell>
          <cell r="R2015">
            <v>0.32350000000000001</v>
          </cell>
          <cell r="S2015" t="str">
            <v>NA</v>
          </cell>
          <cell r="T2015">
            <v>61.6</v>
          </cell>
          <cell r="U2015">
            <v>5</v>
          </cell>
          <cell r="V2015">
            <v>82.6</v>
          </cell>
          <cell r="W2015">
            <v>8.3000000000000007</v>
          </cell>
          <cell r="X2015">
            <v>52.5</v>
          </cell>
          <cell r="Y2015">
            <v>6.8</v>
          </cell>
          <cell r="Z2015" t="str">
            <v>NA</v>
          </cell>
          <cell r="AA2015" t="str">
            <v>NA</v>
          </cell>
        </row>
        <row r="2016">
          <cell r="A2016">
            <v>45194</v>
          </cell>
          <cell r="B2016" t="str">
            <v>A1</v>
          </cell>
          <cell r="C2016">
            <v>1</v>
          </cell>
          <cell r="D2016">
            <v>2</v>
          </cell>
          <cell r="E2016" t="str">
            <v>ARIS.A1.Aim2.Bin1.LB</v>
          </cell>
          <cell r="F2016">
            <v>4</v>
          </cell>
          <cell r="G2016" t="str">
            <v>Unweighted</v>
          </cell>
          <cell r="H2016" t="str">
            <v>N</v>
          </cell>
          <cell r="I2016" t="str">
            <v>Y</v>
          </cell>
          <cell r="J2016">
            <v>152</v>
          </cell>
          <cell r="K2016">
            <v>1</v>
          </cell>
          <cell r="L2016">
            <v>0.54749999999999999</v>
          </cell>
          <cell r="M2016">
            <v>19.5</v>
          </cell>
          <cell r="N2016">
            <v>7.1</v>
          </cell>
          <cell r="O2016">
            <v>0.45250000000000001</v>
          </cell>
          <cell r="P2016">
            <v>0.14249999999999999</v>
          </cell>
          <cell r="Q2016">
            <v>0</v>
          </cell>
          <cell r="R2016">
            <v>0.31</v>
          </cell>
          <cell r="S2016" t="str">
            <v>NA</v>
          </cell>
          <cell r="T2016">
            <v>61.6</v>
          </cell>
          <cell r="U2016">
            <v>5</v>
          </cell>
          <cell r="V2016">
            <v>82.6</v>
          </cell>
          <cell r="W2016">
            <v>8.3000000000000007</v>
          </cell>
          <cell r="X2016">
            <v>52.5</v>
          </cell>
          <cell r="Y2016">
            <v>6.8</v>
          </cell>
          <cell r="Z2016" t="str">
            <v>NA</v>
          </cell>
          <cell r="AA2016" t="str">
            <v>NA</v>
          </cell>
        </row>
        <row r="2017">
          <cell r="A2017">
            <v>45194</v>
          </cell>
          <cell r="B2017" t="str">
            <v>A1</v>
          </cell>
          <cell r="C2017">
            <v>1</v>
          </cell>
          <cell r="D2017" t="str">
            <v>1&amp;2</v>
          </cell>
          <cell r="E2017" t="str">
            <v>ARIS.A1.Aim1&amp;Aim2.Bin1.LB</v>
          </cell>
          <cell r="F2017">
            <v>4</v>
          </cell>
          <cell r="G2017" t="str">
            <v>Unweighted</v>
          </cell>
          <cell r="H2017" t="str">
            <v>N</v>
          </cell>
          <cell r="I2017" t="str">
            <v>Y</v>
          </cell>
          <cell r="J2017">
            <v>287</v>
          </cell>
          <cell r="K2017">
            <v>1</v>
          </cell>
          <cell r="L2017">
            <v>0.62039999999999995</v>
          </cell>
          <cell r="M2017">
            <v>21.9</v>
          </cell>
          <cell r="N2017">
            <v>7.4</v>
          </cell>
          <cell r="O2017">
            <v>0.37959999999999999</v>
          </cell>
          <cell r="P2017">
            <v>7.7999999999999996E-3</v>
          </cell>
          <cell r="Q2017">
            <v>7.6E-3</v>
          </cell>
          <cell r="R2017">
            <v>0.36420000000000002</v>
          </cell>
          <cell r="S2017" t="str">
            <v>NA</v>
          </cell>
          <cell r="T2017">
            <v>61.6</v>
          </cell>
          <cell r="U2017">
            <v>5</v>
          </cell>
          <cell r="V2017">
            <v>82.6</v>
          </cell>
          <cell r="W2017">
            <v>8.3000000000000007</v>
          </cell>
          <cell r="X2017">
            <v>52.5</v>
          </cell>
          <cell r="Y2017">
            <v>6.8</v>
          </cell>
          <cell r="Z2017" t="str">
            <v>NA</v>
          </cell>
          <cell r="AA2017" t="str">
            <v>NA</v>
          </cell>
        </row>
        <row r="2018">
          <cell r="A2018">
            <v>45194</v>
          </cell>
          <cell r="B2018" t="str">
            <v>A1</v>
          </cell>
          <cell r="C2018">
            <v>2</v>
          </cell>
          <cell r="D2018">
            <v>3</v>
          </cell>
          <cell r="E2018" t="str">
            <v>ARIS.A1.Aim3.Bin2.LB</v>
          </cell>
          <cell r="F2018">
            <v>4</v>
          </cell>
          <cell r="G2018" t="str">
            <v>Unweighted</v>
          </cell>
          <cell r="H2018" t="str">
            <v>N</v>
          </cell>
          <cell r="I2018" t="str">
            <v>Y</v>
          </cell>
          <cell r="J2018">
            <v>192</v>
          </cell>
          <cell r="K2018">
            <v>1</v>
          </cell>
          <cell r="L2018">
            <v>0.3664</v>
          </cell>
          <cell r="M2018">
            <v>28.6</v>
          </cell>
          <cell r="N2018">
            <v>8.4</v>
          </cell>
          <cell r="O2018">
            <v>0.63360000000000005</v>
          </cell>
          <cell r="P2018">
            <v>0.28139999999999998</v>
          </cell>
          <cell r="Q2018">
            <v>4.8500000000000001E-2</v>
          </cell>
          <cell r="R2018">
            <v>0.30370000000000003</v>
          </cell>
          <cell r="S2018" t="str">
            <v>NA</v>
          </cell>
          <cell r="T2018">
            <v>61.6</v>
          </cell>
          <cell r="U2018">
            <v>5</v>
          </cell>
          <cell r="V2018">
            <v>82.6</v>
          </cell>
          <cell r="W2018">
            <v>8.3000000000000007</v>
          </cell>
          <cell r="X2018">
            <v>52.5</v>
          </cell>
          <cell r="Y2018">
            <v>6.8</v>
          </cell>
          <cell r="Z2018" t="str">
            <v>NA</v>
          </cell>
          <cell r="AA2018" t="str">
            <v>NA</v>
          </cell>
        </row>
        <row r="2019">
          <cell r="A2019">
            <v>45194</v>
          </cell>
          <cell r="B2019" t="str">
            <v>A1</v>
          </cell>
          <cell r="C2019">
            <v>3</v>
          </cell>
          <cell r="D2019">
            <v>3</v>
          </cell>
          <cell r="E2019" t="str">
            <v>ARIS.A1.Aim3.Bin3.LB</v>
          </cell>
          <cell r="F2019">
            <v>4</v>
          </cell>
          <cell r="G2019" t="str">
            <v>Unweighted</v>
          </cell>
          <cell r="H2019" t="str">
            <v>N</v>
          </cell>
          <cell r="I2019" t="str">
            <v>Y</v>
          </cell>
          <cell r="J2019">
            <v>159</v>
          </cell>
          <cell r="K2019">
            <v>1.0001</v>
          </cell>
          <cell r="L2019">
            <v>0.12909999999999999</v>
          </cell>
          <cell r="M2019">
            <v>23.7</v>
          </cell>
          <cell r="N2019">
            <v>12.5</v>
          </cell>
          <cell r="O2019">
            <v>0.871</v>
          </cell>
          <cell r="P2019">
            <v>0.35599999999999998</v>
          </cell>
          <cell r="Q2019">
            <v>0.19209999999999999</v>
          </cell>
          <cell r="R2019">
            <v>0.32290000000000002</v>
          </cell>
          <cell r="S2019" t="str">
            <v>NA</v>
          </cell>
          <cell r="T2019">
            <v>61.6</v>
          </cell>
          <cell r="U2019">
            <v>5</v>
          </cell>
          <cell r="V2019">
            <v>82.6</v>
          </cell>
          <cell r="W2019">
            <v>8.3000000000000007</v>
          </cell>
          <cell r="X2019">
            <v>52.5</v>
          </cell>
          <cell r="Y2019">
            <v>6.8</v>
          </cell>
          <cell r="Z2019" t="str">
            <v>NA</v>
          </cell>
          <cell r="AA2019" t="str">
            <v>NA</v>
          </cell>
        </row>
        <row r="2020">
          <cell r="A2020">
            <v>45194</v>
          </cell>
          <cell r="B2020" t="str">
            <v>A1</v>
          </cell>
          <cell r="C2020">
            <v>4</v>
          </cell>
          <cell r="D2020">
            <v>3</v>
          </cell>
          <cell r="E2020" t="str">
            <v>ARIS.A1.Aim3.Bin4.LB</v>
          </cell>
          <cell r="F2020">
            <v>4</v>
          </cell>
          <cell r="G2020" t="str">
            <v>Unweighted</v>
          </cell>
          <cell r="H2020" t="str">
            <v>N</v>
          </cell>
          <cell r="I2020" t="str">
            <v>Y</v>
          </cell>
          <cell r="J2020">
            <v>159</v>
          </cell>
          <cell r="K2020">
            <v>1.0001</v>
          </cell>
          <cell r="L2020">
            <v>0.12909999999999999</v>
          </cell>
          <cell r="M2020">
            <v>23.7</v>
          </cell>
          <cell r="N2020">
            <v>12.5</v>
          </cell>
          <cell r="O2020">
            <v>0.871</v>
          </cell>
          <cell r="P2020">
            <v>0.35599999999999998</v>
          </cell>
          <cell r="Q2020">
            <v>0.19209999999999999</v>
          </cell>
          <cell r="R2020">
            <v>0.32290000000000002</v>
          </cell>
          <cell r="S2020" t="str">
            <v>NA</v>
          </cell>
          <cell r="T2020">
            <v>61.6</v>
          </cell>
          <cell r="U2020">
            <v>5</v>
          </cell>
          <cell r="V2020">
            <v>82.6</v>
          </cell>
          <cell r="W2020">
            <v>8.3000000000000007</v>
          </cell>
          <cell r="X2020">
            <v>52.5</v>
          </cell>
          <cell r="Y2020">
            <v>6.8</v>
          </cell>
          <cell r="Z2020" t="str">
            <v>NA</v>
          </cell>
          <cell r="AA2020" t="str">
            <v>NA</v>
          </cell>
        </row>
        <row r="2021">
          <cell r="A2021">
            <v>45194</v>
          </cell>
          <cell r="B2021" t="str">
            <v>A2</v>
          </cell>
          <cell r="C2021">
            <v>1</v>
          </cell>
          <cell r="D2021">
            <v>1</v>
          </cell>
          <cell r="E2021" t="str">
            <v>ARIS.A2.Aim1.Bin1.RB</v>
          </cell>
          <cell r="F2021">
            <v>4</v>
          </cell>
          <cell r="G2021" t="str">
            <v>Unweighted</v>
          </cell>
          <cell r="H2021" t="str">
            <v>N</v>
          </cell>
          <cell r="I2021" t="str">
            <v>Y</v>
          </cell>
          <cell r="J2021">
            <v>109</v>
          </cell>
          <cell r="K2021">
            <v>1.0001</v>
          </cell>
          <cell r="L2021">
            <v>0.45889999999999997</v>
          </cell>
          <cell r="M2021">
            <v>14.6</v>
          </cell>
          <cell r="N2021">
            <v>6.1</v>
          </cell>
          <cell r="O2021">
            <v>0.54120000000000001</v>
          </cell>
          <cell r="P2021">
            <v>0.2087</v>
          </cell>
          <cell r="Q2021">
            <v>6.3E-3</v>
          </cell>
          <cell r="R2021">
            <v>0.32619999999999999</v>
          </cell>
          <cell r="S2021" t="str">
            <v>NA</v>
          </cell>
          <cell r="T2021">
            <v>61.6</v>
          </cell>
          <cell r="U2021">
            <v>5</v>
          </cell>
          <cell r="V2021">
            <v>82.6</v>
          </cell>
          <cell r="W2021">
            <v>8.3000000000000007</v>
          </cell>
          <cell r="X2021">
            <v>52.5</v>
          </cell>
          <cell r="Y2021">
            <v>6.8</v>
          </cell>
          <cell r="Z2021" t="str">
            <v>NA</v>
          </cell>
          <cell r="AA2021" t="str">
            <v>NA</v>
          </cell>
        </row>
        <row r="2022">
          <cell r="A2022">
            <v>45194</v>
          </cell>
          <cell r="B2022" t="str">
            <v>A2</v>
          </cell>
          <cell r="C2022">
            <v>2</v>
          </cell>
          <cell r="D2022">
            <v>1</v>
          </cell>
          <cell r="E2022" t="str">
            <v>ARIS.A2.Aim1.Bin2.RB</v>
          </cell>
          <cell r="F2022">
            <v>4</v>
          </cell>
          <cell r="G2022" t="str">
            <v>Unweighted</v>
          </cell>
          <cell r="H2022" t="str">
            <v>N</v>
          </cell>
          <cell r="I2022" t="str">
            <v>Y</v>
          </cell>
          <cell r="J2022">
            <v>114</v>
          </cell>
          <cell r="K2022">
            <v>1.0001</v>
          </cell>
          <cell r="L2022">
            <v>0.31669999999999998</v>
          </cell>
          <cell r="M2022">
            <v>22.7</v>
          </cell>
          <cell r="N2022">
            <v>8.3000000000000007</v>
          </cell>
          <cell r="O2022">
            <v>0.68340000000000001</v>
          </cell>
          <cell r="P2022">
            <v>0.26079999999999998</v>
          </cell>
          <cell r="Q2022">
            <v>0.1009</v>
          </cell>
          <cell r="R2022">
            <v>0.32169999999999999</v>
          </cell>
          <cell r="S2022" t="str">
            <v>NA</v>
          </cell>
          <cell r="T2022">
            <v>61.6</v>
          </cell>
          <cell r="U2022">
            <v>5</v>
          </cell>
          <cell r="V2022">
            <v>82.6</v>
          </cell>
          <cell r="W2022">
            <v>8.3000000000000007</v>
          </cell>
          <cell r="X2022">
            <v>52.5</v>
          </cell>
          <cell r="Y2022">
            <v>6.8</v>
          </cell>
          <cell r="Z2022" t="str">
            <v>NA</v>
          </cell>
          <cell r="AA2022" t="str">
            <v>NA</v>
          </cell>
        </row>
        <row r="2023">
          <cell r="A2023">
            <v>45194</v>
          </cell>
          <cell r="B2023" t="str">
            <v>A2</v>
          </cell>
          <cell r="C2023">
            <v>3</v>
          </cell>
          <cell r="D2023">
            <v>1</v>
          </cell>
          <cell r="E2023" t="str">
            <v>ARIS.A2.Aim1.Bin3.RB</v>
          </cell>
          <cell r="F2023">
            <v>4</v>
          </cell>
          <cell r="G2023" t="str">
            <v>Unweighted</v>
          </cell>
          <cell r="H2023" t="str">
            <v>N</v>
          </cell>
          <cell r="I2023" t="str">
            <v>Y</v>
          </cell>
          <cell r="J2023">
            <v>95</v>
          </cell>
          <cell r="K2023">
            <v>0.99990000000000001</v>
          </cell>
          <cell r="L2023">
            <v>0.1399</v>
          </cell>
          <cell r="M2023">
            <v>23.7</v>
          </cell>
          <cell r="N2023">
            <v>9</v>
          </cell>
          <cell r="O2023">
            <v>0.86</v>
          </cell>
          <cell r="P2023">
            <v>0.28100000000000003</v>
          </cell>
          <cell r="Q2023">
            <v>0.35949999999999999</v>
          </cell>
          <cell r="R2023">
            <v>0.2195</v>
          </cell>
          <cell r="S2023" t="str">
            <v>NA</v>
          </cell>
          <cell r="T2023">
            <v>61.6</v>
          </cell>
          <cell r="U2023">
            <v>5</v>
          </cell>
          <cell r="V2023">
            <v>82.6</v>
          </cell>
          <cell r="W2023">
            <v>8.3000000000000007</v>
          </cell>
          <cell r="X2023">
            <v>52.5</v>
          </cell>
          <cell r="Y2023">
            <v>6.8</v>
          </cell>
          <cell r="Z2023" t="str">
            <v>NA</v>
          </cell>
          <cell r="AA2023" t="str">
            <v>NA</v>
          </cell>
        </row>
        <row r="2024">
          <cell r="A2024">
            <v>45194</v>
          </cell>
          <cell r="B2024" t="str">
            <v>A2</v>
          </cell>
          <cell r="C2024">
            <v>4</v>
          </cell>
          <cell r="D2024">
            <v>1</v>
          </cell>
          <cell r="E2024" t="str">
            <v>ARIS.A2.Aim1.Bin4.RB</v>
          </cell>
          <cell r="F2024">
            <v>4</v>
          </cell>
          <cell r="G2024" t="str">
            <v>Unweighted</v>
          </cell>
          <cell r="H2024" t="str">
            <v>N</v>
          </cell>
          <cell r="I2024" t="str">
            <v>Y</v>
          </cell>
          <cell r="J2024">
            <v>95</v>
          </cell>
          <cell r="K2024">
            <v>0.99990000000000001</v>
          </cell>
          <cell r="L2024">
            <v>0.1399</v>
          </cell>
          <cell r="M2024">
            <v>23.7</v>
          </cell>
          <cell r="N2024">
            <v>9</v>
          </cell>
          <cell r="O2024">
            <v>0.86</v>
          </cell>
          <cell r="P2024">
            <v>0.28100000000000003</v>
          </cell>
          <cell r="Q2024">
            <v>0.35949999999999999</v>
          </cell>
          <cell r="R2024">
            <v>0.2195</v>
          </cell>
          <cell r="S2024" t="str">
            <v>NA</v>
          </cell>
          <cell r="T2024">
            <v>61.6</v>
          </cell>
          <cell r="U2024">
            <v>5</v>
          </cell>
          <cell r="V2024">
            <v>82.6</v>
          </cell>
          <cell r="W2024">
            <v>8.3000000000000007</v>
          </cell>
          <cell r="X2024">
            <v>52.5</v>
          </cell>
          <cell r="Y2024">
            <v>6.8</v>
          </cell>
          <cell r="Z2024" t="str">
            <v>NA</v>
          </cell>
          <cell r="AA2024" t="str">
            <v>NA</v>
          </cell>
        </row>
        <row r="2025">
          <cell r="A2025">
            <v>45195</v>
          </cell>
          <cell r="B2025" t="str">
            <v>A1</v>
          </cell>
          <cell r="C2025">
            <v>1</v>
          </cell>
          <cell r="D2025">
            <v>1</v>
          </cell>
          <cell r="E2025" t="str">
            <v>ARIS.A1.Aim1.Bin1.LB</v>
          </cell>
          <cell r="F2025">
            <v>4</v>
          </cell>
          <cell r="G2025" t="str">
            <v>SplineDFA</v>
          </cell>
          <cell r="H2025" t="str">
            <v>Y</v>
          </cell>
          <cell r="I2025" t="str">
            <v>N</v>
          </cell>
          <cell r="J2025">
            <v>148</v>
          </cell>
          <cell r="K2025">
            <v>0.99990000000000001</v>
          </cell>
          <cell r="L2025">
            <v>0.499</v>
          </cell>
          <cell r="M2025">
            <v>23.7</v>
          </cell>
          <cell r="N2025">
            <v>2.7</v>
          </cell>
          <cell r="O2025">
            <v>0.50090000000000001</v>
          </cell>
          <cell r="P2025">
            <v>7.7799999999999994E-2</v>
          </cell>
          <cell r="Q2025">
            <v>0</v>
          </cell>
          <cell r="R2025">
            <v>0.42309999999999998</v>
          </cell>
          <cell r="S2025" t="str">
            <v>NA</v>
          </cell>
          <cell r="T2025">
            <v>61.6</v>
          </cell>
          <cell r="U2025">
            <v>5</v>
          </cell>
          <cell r="V2025">
            <v>82.6</v>
          </cell>
          <cell r="W2025">
            <v>8.3000000000000007</v>
          </cell>
          <cell r="X2025">
            <v>52.5</v>
          </cell>
          <cell r="Y2025">
            <v>6.8</v>
          </cell>
          <cell r="Z2025" t="str">
            <v>NA</v>
          </cell>
          <cell r="AA2025" t="str">
            <v>NA</v>
          </cell>
        </row>
        <row r="2026">
          <cell r="A2026">
            <v>45195</v>
          </cell>
          <cell r="B2026" t="str">
            <v>A1</v>
          </cell>
          <cell r="C2026">
            <v>1</v>
          </cell>
          <cell r="D2026">
            <v>2</v>
          </cell>
          <cell r="E2026" t="str">
            <v>ARIS.A1.Aim2.Bin1.LB</v>
          </cell>
          <cell r="F2026">
            <v>4</v>
          </cell>
          <cell r="G2026" t="str">
            <v>SplineDFA</v>
          </cell>
          <cell r="H2026" t="str">
            <v>Y</v>
          </cell>
          <cell r="I2026" t="str">
            <v>N</v>
          </cell>
          <cell r="J2026">
            <v>150</v>
          </cell>
          <cell r="K2026">
            <v>1.0001</v>
          </cell>
          <cell r="L2026">
            <v>0.50329999999999997</v>
          </cell>
          <cell r="M2026">
            <v>23.7</v>
          </cell>
          <cell r="N2026">
            <v>2.7</v>
          </cell>
          <cell r="O2026">
            <v>0.49680000000000002</v>
          </cell>
          <cell r="P2026">
            <v>0.13750000000000001</v>
          </cell>
          <cell r="Q2026">
            <v>3.8899999999999997E-2</v>
          </cell>
          <cell r="R2026">
            <v>0.32040000000000002</v>
          </cell>
          <cell r="S2026" t="str">
            <v>NA</v>
          </cell>
          <cell r="T2026">
            <v>61.6</v>
          </cell>
          <cell r="U2026">
            <v>5</v>
          </cell>
          <cell r="V2026">
            <v>82.6</v>
          </cell>
          <cell r="W2026">
            <v>8.3000000000000007</v>
          </cell>
          <cell r="X2026">
            <v>52.5</v>
          </cell>
          <cell r="Y2026">
            <v>6.8</v>
          </cell>
          <cell r="Z2026" t="str">
            <v>NA</v>
          </cell>
          <cell r="AA2026" t="str">
            <v>NA</v>
          </cell>
        </row>
        <row r="2027">
          <cell r="A2027">
            <v>45195</v>
          </cell>
          <cell r="B2027" t="str">
            <v>A1</v>
          </cell>
          <cell r="C2027">
            <v>2</v>
          </cell>
          <cell r="D2027">
            <v>3</v>
          </cell>
          <cell r="E2027" t="str">
            <v>ARIS.A1.Aim3.Bin2.LB</v>
          </cell>
          <cell r="F2027">
            <v>4</v>
          </cell>
          <cell r="G2027" t="str">
            <v>SplineDFA</v>
          </cell>
          <cell r="H2027" t="str">
            <v>Y</v>
          </cell>
          <cell r="I2027" t="str">
            <v>N</v>
          </cell>
          <cell r="J2027">
            <v>167</v>
          </cell>
          <cell r="K2027">
            <v>1</v>
          </cell>
          <cell r="L2027">
            <v>0.1333</v>
          </cell>
          <cell r="M2027">
            <v>23.7</v>
          </cell>
          <cell r="N2027">
            <v>2.7</v>
          </cell>
          <cell r="O2027">
            <v>0.86670000000000003</v>
          </cell>
          <cell r="P2027">
            <v>0.2303</v>
          </cell>
          <cell r="Q2027">
            <v>5.4699999999999999E-2</v>
          </cell>
          <cell r="R2027">
            <v>0.58169999999999999</v>
          </cell>
          <cell r="S2027" t="str">
            <v>NA</v>
          </cell>
          <cell r="T2027">
            <v>61.6</v>
          </cell>
          <cell r="U2027">
            <v>5</v>
          </cell>
          <cell r="V2027">
            <v>82.6</v>
          </cell>
          <cell r="W2027">
            <v>8.3000000000000007</v>
          </cell>
          <cell r="X2027">
            <v>52.5</v>
          </cell>
          <cell r="Y2027">
            <v>6.8</v>
          </cell>
          <cell r="Z2027" t="str">
            <v>NA</v>
          </cell>
          <cell r="AA2027" t="str">
            <v>NA</v>
          </cell>
        </row>
        <row r="2028">
          <cell r="A2028">
            <v>45195</v>
          </cell>
          <cell r="B2028" t="str">
            <v>A1</v>
          </cell>
          <cell r="C2028">
            <v>3</v>
          </cell>
          <cell r="D2028">
            <v>3</v>
          </cell>
          <cell r="E2028" t="str">
            <v>ARIS.A1.Aim3.Bin3.LB</v>
          </cell>
          <cell r="F2028">
            <v>4</v>
          </cell>
          <cell r="G2028" t="str">
            <v>SplineDFA</v>
          </cell>
          <cell r="H2028" t="str">
            <v>Y</v>
          </cell>
          <cell r="I2028" t="str">
            <v>N</v>
          </cell>
          <cell r="J2028">
            <v>164</v>
          </cell>
          <cell r="K2028">
            <v>0.99980000000000002</v>
          </cell>
          <cell r="L2028">
            <v>3.61E-2</v>
          </cell>
          <cell r="M2028">
            <v>23.7</v>
          </cell>
          <cell r="N2028">
            <v>2.7</v>
          </cell>
          <cell r="O2028">
            <v>0.9637</v>
          </cell>
          <cell r="P2028">
            <v>0.38040000000000002</v>
          </cell>
          <cell r="Q2028">
            <v>6.8199999999999997E-2</v>
          </cell>
          <cell r="R2028">
            <v>0.5151</v>
          </cell>
          <cell r="S2028" t="str">
            <v>NA</v>
          </cell>
          <cell r="T2028">
            <v>61.6</v>
          </cell>
          <cell r="U2028">
            <v>5</v>
          </cell>
          <cell r="V2028">
            <v>82.6</v>
          </cell>
          <cell r="W2028">
            <v>8.3000000000000007</v>
          </cell>
          <cell r="X2028">
            <v>52.5</v>
          </cell>
          <cell r="Y2028">
            <v>6.8</v>
          </cell>
          <cell r="Z2028" t="str">
            <v>NA</v>
          </cell>
          <cell r="AA2028" t="str">
            <v>NA</v>
          </cell>
        </row>
        <row r="2029">
          <cell r="A2029">
            <v>45195</v>
          </cell>
          <cell r="B2029" t="str">
            <v>A1</v>
          </cell>
          <cell r="C2029">
            <v>4</v>
          </cell>
          <cell r="D2029">
            <v>3</v>
          </cell>
          <cell r="E2029" t="str">
            <v>ARIS.A1.Aim3.Bin4.LB</v>
          </cell>
          <cell r="F2029">
            <v>4</v>
          </cell>
          <cell r="G2029" t="str">
            <v>SplineDFA</v>
          </cell>
          <cell r="H2029" t="str">
            <v>Y</v>
          </cell>
          <cell r="I2029" t="str">
            <v>N</v>
          </cell>
          <cell r="J2029">
            <v>164</v>
          </cell>
          <cell r="K2029">
            <v>0.99980000000000002</v>
          </cell>
          <cell r="L2029">
            <v>3.61E-2</v>
          </cell>
          <cell r="M2029">
            <v>23.7</v>
          </cell>
          <cell r="N2029">
            <v>2.7</v>
          </cell>
          <cell r="O2029">
            <v>0.9637</v>
          </cell>
          <cell r="P2029">
            <v>0.38040000000000002</v>
          </cell>
          <cell r="Q2029">
            <v>6.8199999999999997E-2</v>
          </cell>
          <cell r="R2029">
            <v>0.5151</v>
          </cell>
          <cell r="S2029" t="str">
            <v>NA</v>
          </cell>
          <cell r="T2029">
            <v>61.6</v>
          </cell>
          <cell r="U2029">
            <v>5</v>
          </cell>
          <cell r="V2029">
            <v>82.6</v>
          </cell>
          <cell r="W2029">
            <v>8.3000000000000007</v>
          </cell>
          <cell r="X2029">
            <v>52.5</v>
          </cell>
          <cell r="Y2029">
            <v>6.8</v>
          </cell>
          <cell r="Z2029" t="str">
            <v>NA</v>
          </cell>
          <cell r="AA2029" t="str">
            <v>NA</v>
          </cell>
        </row>
        <row r="2030">
          <cell r="A2030">
            <v>45195</v>
          </cell>
          <cell r="B2030" t="str">
            <v>A2</v>
          </cell>
          <cell r="C2030">
            <v>1</v>
          </cell>
          <cell r="D2030">
            <v>1</v>
          </cell>
          <cell r="E2030" t="str">
            <v>ARIS.A2.Aim1.Bin1.RB</v>
          </cell>
          <cell r="F2030">
            <v>4</v>
          </cell>
          <cell r="G2030" t="str">
            <v>SplineDFA</v>
          </cell>
          <cell r="H2030" t="str">
            <v>Y</v>
          </cell>
          <cell r="I2030" t="str">
            <v>N</v>
          </cell>
          <cell r="J2030">
            <v>109</v>
          </cell>
          <cell r="K2030">
            <v>1</v>
          </cell>
          <cell r="L2030">
            <v>0.4667</v>
          </cell>
          <cell r="M2030">
            <v>23.7</v>
          </cell>
          <cell r="N2030">
            <v>2.7</v>
          </cell>
          <cell r="O2030">
            <v>0.5333</v>
          </cell>
          <cell r="P2030">
            <v>0.1905</v>
          </cell>
          <cell r="Q2030">
            <v>2.8500000000000001E-2</v>
          </cell>
          <cell r="R2030">
            <v>0.31430000000000002</v>
          </cell>
          <cell r="S2030" t="str">
            <v>NA</v>
          </cell>
          <cell r="T2030">
            <v>61.6</v>
          </cell>
          <cell r="U2030">
            <v>5</v>
          </cell>
          <cell r="V2030">
            <v>82.6</v>
          </cell>
          <cell r="W2030">
            <v>8.3000000000000007</v>
          </cell>
          <cell r="X2030">
            <v>52.5</v>
          </cell>
          <cell r="Y2030">
            <v>6.8</v>
          </cell>
          <cell r="Z2030" t="str">
            <v>NA</v>
          </cell>
          <cell r="AA2030" t="str">
            <v>NA</v>
          </cell>
        </row>
        <row r="2031">
          <cell r="A2031">
            <v>45195</v>
          </cell>
          <cell r="B2031" t="str">
            <v>A2</v>
          </cell>
          <cell r="C2031">
            <v>2</v>
          </cell>
          <cell r="D2031">
            <v>1</v>
          </cell>
          <cell r="E2031" t="str">
            <v>ARIS.A2.Aim1.Bin2.RB</v>
          </cell>
          <cell r="F2031">
            <v>4</v>
          </cell>
          <cell r="G2031" t="str">
            <v>SplineDFA</v>
          </cell>
          <cell r="H2031" t="str">
            <v>Y</v>
          </cell>
          <cell r="I2031" t="str">
            <v>N</v>
          </cell>
          <cell r="J2031">
            <v>114</v>
          </cell>
          <cell r="K2031">
            <v>1</v>
          </cell>
          <cell r="L2031">
            <v>0.1686</v>
          </cell>
          <cell r="M2031">
            <v>23.7</v>
          </cell>
          <cell r="N2031">
            <v>2.7</v>
          </cell>
          <cell r="O2031">
            <v>0.83140000000000003</v>
          </cell>
          <cell r="P2031">
            <v>0.3785</v>
          </cell>
          <cell r="Q2031">
            <v>0.1003</v>
          </cell>
          <cell r="R2031">
            <v>0.35260000000000002</v>
          </cell>
          <cell r="S2031" t="str">
            <v>NA</v>
          </cell>
          <cell r="T2031">
            <v>61.6</v>
          </cell>
          <cell r="U2031">
            <v>5</v>
          </cell>
          <cell r="V2031">
            <v>82.6</v>
          </cell>
          <cell r="W2031">
            <v>8.3000000000000007</v>
          </cell>
          <cell r="X2031">
            <v>52.5</v>
          </cell>
          <cell r="Y2031">
            <v>6.8</v>
          </cell>
          <cell r="Z2031" t="str">
            <v>NA</v>
          </cell>
          <cell r="AA2031" t="str">
            <v>NA</v>
          </cell>
        </row>
        <row r="2032">
          <cell r="A2032">
            <v>45195</v>
          </cell>
          <cell r="B2032" t="str">
            <v>A2</v>
          </cell>
          <cell r="C2032">
            <v>3</v>
          </cell>
          <cell r="D2032">
            <v>1</v>
          </cell>
          <cell r="E2032" t="str">
            <v>ARIS.A2.Aim1.Bin3.RB</v>
          </cell>
          <cell r="F2032">
            <v>4</v>
          </cell>
          <cell r="G2032" t="str">
            <v>SplineDFA</v>
          </cell>
          <cell r="H2032" t="str">
            <v>Y</v>
          </cell>
          <cell r="I2032" t="str">
            <v>N</v>
          </cell>
          <cell r="J2032">
            <v>95</v>
          </cell>
          <cell r="K2032">
            <v>1.0001</v>
          </cell>
          <cell r="L2032">
            <v>7.6999999999999999E-2</v>
          </cell>
          <cell r="M2032">
            <v>23.7</v>
          </cell>
          <cell r="N2032">
            <v>2.7</v>
          </cell>
          <cell r="O2032">
            <v>0.92310000000000003</v>
          </cell>
          <cell r="P2032">
            <v>0.34039999999999998</v>
          </cell>
          <cell r="Q2032">
            <v>0.37090000000000001</v>
          </cell>
          <cell r="R2032">
            <v>0.21179999999999999</v>
          </cell>
          <cell r="S2032" t="str">
            <v>NA</v>
          </cell>
          <cell r="T2032">
            <v>61.6</v>
          </cell>
          <cell r="U2032">
            <v>5</v>
          </cell>
          <cell r="V2032">
            <v>82.6</v>
          </cell>
          <cell r="W2032">
            <v>8.3000000000000007</v>
          </cell>
          <cell r="X2032">
            <v>52.5</v>
          </cell>
          <cell r="Y2032">
            <v>6.8</v>
          </cell>
          <cell r="Z2032" t="str">
            <v>NA</v>
          </cell>
          <cell r="AA2032" t="str">
            <v>NA</v>
          </cell>
        </row>
        <row r="2033">
          <cell r="A2033">
            <v>45195</v>
          </cell>
          <cell r="B2033" t="str">
            <v>A2</v>
          </cell>
          <cell r="C2033">
            <v>4</v>
          </cell>
          <cell r="D2033">
            <v>1</v>
          </cell>
          <cell r="E2033" t="str">
            <v>ARIS.A2.Aim1.Bin4.RB</v>
          </cell>
          <cell r="F2033">
            <v>4</v>
          </cell>
          <cell r="G2033" t="str">
            <v>SplineDFA</v>
          </cell>
          <cell r="H2033" t="str">
            <v>Y</v>
          </cell>
          <cell r="I2033" t="str">
            <v>N</v>
          </cell>
          <cell r="J2033">
            <v>95</v>
          </cell>
          <cell r="K2033">
            <v>1.0001</v>
          </cell>
          <cell r="L2033">
            <v>7.6999999999999999E-2</v>
          </cell>
          <cell r="M2033">
            <v>23.7</v>
          </cell>
          <cell r="N2033">
            <v>2.7</v>
          </cell>
          <cell r="O2033">
            <v>0.92310000000000003</v>
          </cell>
          <cell r="P2033">
            <v>0.34039999999999998</v>
          </cell>
          <cell r="Q2033">
            <v>0.37090000000000001</v>
          </cell>
          <cell r="R2033">
            <v>0.21179999999999999</v>
          </cell>
          <cell r="S2033" t="str">
            <v>NA</v>
          </cell>
          <cell r="T2033">
            <v>61.6</v>
          </cell>
          <cell r="U2033">
            <v>5</v>
          </cell>
          <cell r="V2033">
            <v>82.6</v>
          </cell>
          <cell r="W2033">
            <v>8.3000000000000007</v>
          </cell>
          <cell r="X2033">
            <v>52.5</v>
          </cell>
          <cell r="Y2033">
            <v>6.8</v>
          </cell>
          <cell r="Z2033" t="str">
            <v>NA</v>
          </cell>
          <cell r="AA2033" t="str">
            <v>NA</v>
          </cell>
        </row>
        <row r="2034">
          <cell r="A2034">
            <v>45195</v>
          </cell>
          <cell r="B2034" t="str">
            <v>A1</v>
          </cell>
          <cell r="C2034">
            <v>1</v>
          </cell>
          <cell r="D2034">
            <v>1</v>
          </cell>
          <cell r="E2034" t="str">
            <v>ARIS.A1.Aim1.Bin1.LB</v>
          </cell>
          <cell r="F2034">
            <v>4</v>
          </cell>
          <cell r="G2034" t="str">
            <v>Unweighted</v>
          </cell>
          <cell r="H2034" t="str">
            <v>N</v>
          </cell>
          <cell r="I2034" t="str">
            <v>Y</v>
          </cell>
          <cell r="J2034">
            <v>148</v>
          </cell>
          <cell r="K2034">
            <v>1</v>
          </cell>
          <cell r="L2034">
            <v>0.60819999999999996</v>
          </cell>
          <cell r="M2034">
            <v>23.4</v>
          </cell>
          <cell r="N2034">
            <v>5.9</v>
          </cell>
          <cell r="O2034">
            <v>0.39179999999999998</v>
          </cell>
          <cell r="P2034">
            <v>6.6400000000000001E-2</v>
          </cell>
          <cell r="Q2034">
            <v>0</v>
          </cell>
          <cell r="R2034">
            <v>0.32540000000000002</v>
          </cell>
          <cell r="S2034" t="str">
            <v>NA</v>
          </cell>
          <cell r="T2034">
            <v>61.6</v>
          </cell>
          <cell r="U2034">
            <v>5</v>
          </cell>
          <cell r="V2034">
            <v>82.6</v>
          </cell>
          <cell r="W2034">
            <v>8.3000000000000007</v>
          </cell>
          <cell r="X2034">
            <v>52.5</v>
          </cell>
          <cell r="Y2034">
            <v>6.8</v>
          </cell>
          <cell r="Z2034" t="str">
            <v>NA</v>
          </cell>
          <cell r="AA2034" t="str">
            <v>NA</v>
          </cell>
        </row>
        <row r="2035">
          <cell r="A2035">
            <v>45195</v>
          </cell>
          <cell r="B2035" t="str">
            <v>A1</v>
          </cell>
          <cell r="C2035">
            <v>1</v>
          </cell>
          <cell r="D2035">
            <v>2</v>
          </cell>
          <cell r="E2035" t="str">
            <v>ARIS.A1.Aim2.Bin1.LB</v>
          </cell>
          <cell r="F2035">
            <v>4</v>
          </cell>
          <cell r="G2035" t="str">
            <v>Unweighted</v>
          </cell>
          <cell r="H2035" t="str">
            <v>N</v>
          </cell>
          <cell r="I2035" t="str">
            <v>Y</v>
          </cell>
          <cell r="J2035">
            <v>150</v>
          </cell>
          <cell r="K2035">
            <v>1</v>
          </cell>
          <cell r="L2035">
            <v>0.5726</v>
          </cell>
          <cell r="M2035">
            <v>22.1</v>
          </cell>
          <cell r="N2035">
            <v>8.3000000000000007</v>
          </cell>
          <cell r="O2035">
            <v>0.4274</v>
          </cell>
          <cell r="P2035">
            <v>0.1103</v>
          </cell>
          <cell r="Q2035">
            <v>2.1499999999999998E-2</v>
          </cell>
          <cell r="R2035">
            <v>0.29559999999999997</v>
          </cell>
          <cell r="S2035" t="str">
            <v>NA</v>
          </cell>
          <cell r="T2035">
            <v>61.6</v>
          </cell>
          <cell r="U2035">
            <v>5</v>
          </cell>
          <cell r="V2035">
            <v>82.6</v>
          </cell>
          <cell r="W2035">
            <v>8.3000000000000007</v>
          </cell>
          <cell r="X2035">
            <v>52.5</v>
          </cell>
          <cell r="Y2035">
            <v>6.8</v>
          </cell>
          <cell r="Z2035" t="str">
            <v>NA</v>
          </cell>
          <cell r="AA2035" t="str">
            <v>NA</v>
          </cell>
        </row>
        <row r="2036">
          <cell r="A2036">
            <v>45195</v>
          </cell>
          <cell r="B2036" t="str">
            <v>A1</v>
          </cell>
          <cell r="C2036">
            <v>1</v>
          </cell>
          <cell r="D2036" t="str">
            <v>1&amp;2</v>
          </cell>
          <cell r="E2036" t="str">
            <v>ARIS.A1.Aim1&amp;Aim2.Bin1.LB</v>
          </cell>
          <cell r="F2036">
            <v>4</v>
          </cell>
          <cell r="G2036" t="str">
            <v>Unweighted</v>
          </cell>
          <cell r="H2036" t="str">
            <v>N</v>
          </cell>
          <cell r="I2036" t="str">
            <v>Y</v>
          </cell>
          <cell r="J2036">
            <v>298</v>
          </cell>
          <cell r="K2036">
            <v>1</v>
          </cell>
          <cell r="L2036">
            <v>0.65859999999999996</v>
          </cell>
          <cell r="M2036">
            <v>24.5</v>
          </cell>
          <cell r="N2036">
            <v>8.6</v>
          </cell>
          <cell r="O2036">
            <v>0.34139999999999998</v>
          </cell>
          <cell r="P2036">
            <v>4.9700000000000001E-2</v>
          </cell>
          <cell r="Q2036">
            <v>1.1900000000000001E-2</v>
          </cell>
          <cell r="R2036">
            <v>0.27979999999999999</v>
          </cell>
          <cell r="S2036" t="str">
            <v>NA</v>
          </cell>
          <cell r="T2036">
            <v>61.6</v>
          </cell>
          <cell r="U2036">
            <v>5</v>
          </cell>
          <cell r="V2036">
            <v>82.6</v>
          </cell>
          <cell r="W2036">
            <v>8.3000000000000007</v>
          </cell>
          <cell r="X2036">
            <v>52.5</v>
          </cell>
          <cell r="Y2036">
            <v>6.8</v>
          </cell>
          <cell r="Z2036" t="str">
            <v>NA</v>
          </cell>
          <cell r="AA2036" t="str">
            <v>NA</v>
          </cell>
        </row>
        <row r="2037">
          <cell r="A2037">
            <v>45195</v>
          </cell>
          <cell r="B2037" t="str">
            <v>A1</v>
          </cell>
          <cell r="C2037">
            <v>2</v>
          </cell>
          <cell r="D2037">
            <v>3</v>
          </cell>
          <cell r="E2037" t="str">
            <v>ARIS.A1.Aim3.Bin2.LB</v>
          </cell>
          <cell r="F2037">
            <v>4</v>
          </cell>
          <cell r="G2037" t="str">
            <v>Unweighted</v>
          </cell>
          <cell r="H2037" t="str">
            <v>N</v>
          </cell>
          <cell r="I2037" t="str">
            <v>Y</v>
          </cell>
          <cell r="J2037">
            <v>167</v>
          </cell>
          <cell r="K2037">
            <v>1</v>
          </cell>
          <cell r="L2037">
            <v>0.38550000000000001</v>
          </cell>
          <cell r="M2037">
            <v>34.4</v>
          </cell>
          <cell r="N2037">
            <v>8</v>
          </cell>
          <cell r="O2037">
            <v>0.61450000000000005</v>
          </cell>
          <cell r="P2037">
            <v>0.22109999999999999</v>
          </cell>
          <cell r="Q2037">
            <v>8.5000000000000006E-2</v>
          </cell>
          <cell r="R2037">
            <v>0.30840000000000001</v>
          </cell>
          <cell r="S2037" t="str">
            <v>NA</v>
          </cell>
          <cell r="T2037">
            <v>61.6</v>
          </cell>
          <cell r="U2037">
            <v>5</v>
          </cell>
          <cell r="V2037">
            <v>82.6</v>
          </cell>
          <cell r="W2037">
            <v>8.3000000000000007</v>
          </cell>
          <cell r="X2037">
            <v>52.5</v>
          </cell>
          <cell r="Y2037">
            <v>6.8</v>
          </cell>
          <cell r="Z2037" t="str">
            <v>NA</v>
          </cell>
          <cell r="AA2037" t="str">
            <v>NA</v>
          </cell>
        </row>
        <row r="2038">
          <cell r="A2038">
            <v>45195</v>
          </cell>
          <cell r="B2038" t="str">
            <v>A1</v>
          </cell>
          <cell r="C2038">
            <v>3</v>
          </cell>
          <cell r="D2038">
            <v>3</v>
          </cell>
          <cell r="E2038" t="str">
            <v>ARIS.A1.Aim3.Bin3.LB</v>
          </cell>
          <cell r="F2038">
            <v>4</v>
          </cell>
          <cell r="G2038" t="str">
            <v>Unweighted</v>
          </cell>
          <cell r="H2038" t="str">
            <v>N</v>
          </cell>
          <cell r="I2038" t="str">
            <v>Y</v>
          </cell>
          <cell r="J2038">
            <v>164</v>
          </cell>
          <cell r="K2038">
            <v>1</v>
          </cell>
          <cell r="L2038">
            <v>0.1128</v>
          </cell>
          <cell r="M2038">
            <v>23.7</v>
          </cell>
          <cell r="N2038">
            <v>13.5</v>
          </cell>
          <cell r="O2038">
            <v>0.88719999999999999</v>
          </cell>
          <cell r="P2038">
            <v>0.29620000000000002</v>
          </cell>
          <cell r="Q2038">
            <v>7.4700000000000003E-2</v>
          </cell>
          <cell r="R2038">
            <v>0.51629999999999998</v>
          </cell>
          <cell r="S2038" t="str">
            <v>NA</v>
          </cell>
          <cell r="T2038">
            <v>61.6</v>
          </cell>
          <cell r="U2038">
            <v>5</v>
          </cell>
          <cell r="V2038">
            <v>82.6</v>
          </cell>
          <cell r="W2038">
            <v>8.3000000000000007</v>
          </cell>
          <cell r="X2038">
            <v>52.5</v>
          </cell>
          <cell r="Y2038">
            <v>6.8</v>
          </cell>
          <cell r="Z2038" t="str">
            <v>NA</v>
          </cell>
          <cell r="AA2038" t="str">
            <v>NA</v>
          </cell>
        </row>
        <row r="2039">
          <cell r="A2039">
            <v>45195</v>
          </cell>
          <cell r="B2039" t="str">
            <v>A1</v>
          </cell>
          <cell r="C2039">
            <v>4</v>
          </cell>
          <cell r="D2039">
            <v>3</v>
          </cell>
          <cell r="E2039" t="str">
            <v>ARIS.A1.Aim3.Bin4.LB</v>
          </cell>
          <cell r="F2039">
            <v>4</v>
          </cell>
          <cell r="G2039" t="str">
            <v>Unweighted</v>
          </cell>
          <cell r="H2039" t="str">
            <v>N</v>
          </cell>
          <cell r="I2039" t="str">
            <v>Y</v>
          </cell>
          <cell r="J2039">
            <v>164</v>
          </cell>
          <cell r="K2039">
            <v>1</v>
          </cell>
          <cell r="L2039">
            <v>0.1128</v>
          </cell>
          <cell r="M2039">
            <v>23.7</v>
          </cell>
          <cell r="N2039">
            <v>13.5</v>
          </cell>
          <cell r="O2039">
            <v>0.88719999999999999</v>
          </cell>
          <cell r="P2039">
            <v>0.29620000000000002</v>
          </cell>
          <cell r="Q2039">
            <v>7.4700000000000003E-2</v>
          </cell>
          <cell r="R2039">
            <v>0.51629999999999998</v>
          </cell>
          <cell r="S2039" t="str">
            <v>NA</v>
          </cell>
          <cell r="T2039">
            <v>61.6</v>
          </cell>
          <cell r="U2039">
            <v>5</v>
          </cell>
          <cell r="V2039">
            <v>82.6</v>
          </cell>
          <cell r="W2039">
            <v>8.3000000000000007</v>
          </cell>
          <cell r="X2039">
            <v>52.5</v>
          </cell>
          <cell r="Y2039">
            <v>6.8</v>
          </cell>
          <cell r="Z2039" t="str">
            <v>NA</v>
          </cell>
          <cell r="AA2039" t="str">
            <v>NA</v>
          </cell>
        </row>
        <row r="2040">
          <cell r="A2040">
            <v>45195</v>
          </cell>
          <cell r="B2040" t="str">
            <v>A2</v>
          </cell>
          <cell r="C2040">
            <v>1</v>
          </cell>
          <cell r="D2040">
            <v>1</v>
          </cell>
          <cell r="E2040" t="str">
            <v>ARIS.A2.Aim1.Bin1.RB</v>
          </cell>
          <cell r="F2040">
            <v>4</v>
          </cell>
          <cell r="G2040" t="str">
            <v>Unweighted</v>
          </cell>
          <cell r="H2040" t="str">
            <v>N</v>
          </cell>
          <cell r="I2040" t="str">
            <v>Y</v>
          </cell>
          <cell r="J2040">
            <v>109</v>
          </cell>
          <cell r="K2040">
            <v>1.0001</v>
          </cell>
          <cell r="L2040">
            <v>0.45889999999999997</v>
          </cell>
          <cell r="M2040">
            <v>14.6</v>
          </cell>
          <cell r="N2040">
            <v>6.1</v>
          </cell>
          <cell r="O2040">
            <v>0.54120000000000001</v>
          </cell>
          <cell r="P2040">
            <v>0.2087</v>
          </cell>
          <cell r="Q2040">
            <v>6.3E-3</v>
          </cell>
          <cell r="R2040">
            <v>0.32619999999999999</v>
          </cell>
          <cell r="S2040" t="str">
            <v>NA</v>
          </cell>
          <cell r="T2040">
            <v>61.6</v>
          </cell>
          <cell r="U2040">
            <v>5</v>
          </cell>
          <cell r="V2040">
            <v>82.6</v>
          </cell>
          <cell r="W2040">
            <v>8.3000000000000007</v>
          </cell>
          <cell r="X2040">
            <v>52.5</v>
          </cell>
          <cell r="Y2040">
            <v>6.8</v>
          </cell>
          <cell r="Z2040" t="str">
            <v>NA</v>
          </cell>
          <cell r="AA2040" t="str">
            <v>NA</v>
          </cell>
        </row>
        <row r="2041">
          <cell r="A2041">
            <v>45195</v>
          </cell>
          <cell r="B2041" t="str">
            <v>A2</v>
          </cell>
          <cell r="C2041">
            <v>2</v>
          </cell>
          <cell r="D2041">
            <v>1</v>
          </cell>
          <cell r="E2041" t="str">
            <v>ARIS.A2.Aim1.Bin2.RB</v>
          </cell>
          <cell r="F2041">
            <v>4</v>
          </cell>
          <cell r="G2041" t="str">
            <v>Unweighted</v>
          </cell>
          <cell r="H2041" t="str">
            <v>N</v>
          </cell>
          <cell r="I2041" t="str">
            <v>Y</v>
          </cell>
          <cell r="J2041">
            <v>114</v>
          </cell>
          <cell r="K2041">
            <v>1.0001</v>
          </cell>
          <cell r="L2041">
            <v>0.31669999999999998</v>
          </cell>
          <cell r="M2041">
            <v>22.7</v>
          </cell>
          <cell r="N2041">
            <v>8.3000000000000007</v>
          </cell>
          <cell r="O2041">
            <v>0.68340000000000001</v>
          </cell>
          <cell r="P2041">
            <v>0.26079999999999998</v>
          </cell>
          <cell r="Q2041">
            <v>0.1009</v>
          </cell>
          <cell r="R2041">
            <v>0.32169999999999999</v>
          </cell>
          <cell r="S2041" t="str">
            <v>NA</v>
          </cell>
          <cell r="T2041">
            <v>61.6</v>
          </cell>
          <cell r="U2041">
            <v>5</v>
          </cell>
          <cell r="V2041">
            <v>82.6</v>
          </cell>
          <cell r="W2041">
            <v>8.3000000000000007</v>
          </cell>
          <cell r="X2041">
            <v>52.5</v>
          </cell>
          <cell r="Y2041">
            <v>6.8</v>
          </cell>
          <cell r="Z2041" t="str">
            <v>NA</v>
          </cell>
          <cell r="AA2041" t="str">
            <v>NA</v>
          </cell>
        </row>
        <row r="2042">
          <cell r="A2042">
            <v>45195</v>
          </cell>
          <cell r="B2042" t="str">
            <v>A2</v>
          </cell>
          <cell r="C2042">
            <v>3</v>
          </cell>
          <cell r="D2042">
            <v>1</v>
          </cell>
          <cell r="E2042" t="str">
            <v>ARIS.A2.Aim1.Bin3.RB</v>
          </cell>
          <cell r="F2042">
            <v>4</v>
          </cell>
          <cell r="G2042" t="str">
            <v>Unweighted</v>
          </cell>
          <cell r="H2042" t="str">
            <v>N</v>
          </cell>
          <cell r="I2042" t="str">
            <v>Y</v>
          </cell>
          <cell r="J2042">
            <v>95</v>
          </cell>
          <cell r="K2042">
            <v>0.99990000000000001</v>
          </cell>
          <cell r="L2042">
            <v>0.1399</v>
          </cell>
          <cell r="M2042">
            <v>23.7</v>
          </cell>
          <cell r="N2042">
            <v>9</v>
          </cell>
          <cell r="O2042">
            <v>0.86</v>
          </cell>
          <cell r="P2042">
            <v>0.28100000000000003</v>
          </cell>
          <cell r="Q2042">
            <v>0.35949999999999999</v>
          </cell>
          <cell r="R2042">
            <v>0.2195</v>
          </cell>
          <cell r="S2042" t="str">
            <v>NA</v>
          </cell>
          <cell r="T2042">
            <v>61.6</v>
          </cell>
          <cell r="U2042">
            <v>5</v>
          </cell>
          <cell r="V2042">
            <v>82.6</v>
          </cell>
          <cell r="W2042">
            <v>8.3000000000000007</v>
          </cell>
          <cell r="X2042">
            <v>52.5</v>
          </cell>
          <cell r="Y2042">
            <v>6.8</v>
          </cell>
          <cell r="Z2042" t="str">
            <v>NA</v>
          </cell>
          <cell r="AA2042" t="str">
            <v>NA</v>
          </cell>
        </row>
        <row r="2043">
          <cell r="A2043">
            <v>45195</v>
          </cell>
          <cell r="B2043" t="str">
            <v>A2</v>
          </cell>
          <cell r="C2043">
            <v>4</v>
          </cell>
          <cell r="D2043">
            <v>1</v>
          </cell>
          <cell r="E2043" t="str">
            <v>ARIS.A2.Aim1.Bin4.RB</v>
          </cell>
          <cell r="F2043">
            <v>4</v>
          </cell>
          <cell r="G2043" t="str">
            <v>Unweighted</v>
          </cell>
          <cell r="H2043" t="str">
            <v>N</v>
          </cell>
          <cell r="I2043" t="str">
            <v>Y</v>
          </cell>
          <cell r="J2043">
            <v>95</v>
          </cell>
          <cell r="K2043">
            <v>0.99990000000000001</v>
          </cell>
          <cell r="L2043">
            <v>0.1399</v>
          </cell>
          <cell r="M2043">
            <v>23.7</v>
          </cell>
          <cell r="N2043">
            <v>9</v>
          </cell>
          <cell r="O2043">
            <v>0.86</v>
          </cell>
          <cell r="P2043">
            <v>0.28100000000000003</v>
          </cell>
          <cell r="Q2043">
            <v>0.35949999999999999</v>
          </cell>
          <cell r="R2043">
            <v>0.2195</v>
          </cell>
          <cell r="S2043" t="str">
            <v>NA</v>
          </cell>
          <cell r="T2043">
            <v>61.6</v>
          </cell>
          <cell r="U2043">
            <v>5</v>
          </cell>
          <cell r="V2043">
            <v>82.6</v>
          </cell>
          <cell r="W2043">
            <v>8.3000000000000007</v>
          </cell>
          <cell r="X2043">
            <v>52.5</v>
          </cell>
          <cell r="Y2043">
            <v>6.8</v>
          </cell>
          <cell r="Z2043" t="str">
            <v>NA</v>
          </cell>
          <cell r="AA2043" t="str">
            <v>NA</v>
          </cell>
        </row>
        <row r="2044">
          <cell r="A2044">
            <v>45196</v>
          </cell>
          <cell r="B2044" t="str">
            <v>A1</v>
          </cell>
          <cell r="C2044">
            <v>1</v>
          </cell>
          <cell r="D2044">
            <v>1</v>
          </cell>
          <cell r="E2044" t="str">
            <v>ARIS.A1.Aim1.Bin1.LB</v>
          </cell>
          <cell r="F2044">
            <v>4</v>
          </cell>
          <cell r="G2044" t="str">
            <v>SplineDFA</v>
          </cell>
          <cell r="H2044" t="str">
            <v>Y</v>
          </cell>
          <cell r="I2044" t="str">
            <v>N</v>
          </cell>
          <cell r="J2044">
            <v>200</v>
          </cell>
          <cell r="K2044">
            <v>1</v>
          </cell>
          <cell r="L2044">
            <v>0.42830000000000001</v>
          </cell>
          <cell r="M2044">
            <v>23.7</v>
          </cell>
          <cell r="N2044">
            <v>2.7</v>
          </cell>
          <cell r="O2044">
            <v>0.57169999999999999</v>
          </cell>
          <cell r="P2044">
            <v>0.1057</v>
          </cell>
          <cell r="Q2044">
            <v>2.3E-2</v>
          </cell>
          <cell r="R2044">
            <v>0.443</v>
          </cell>
          <cell r="S2044" t="str">
            <v>NA</v>
          </cell>
          <cell r="T2044">
            <v>61.6</v>
          </cell>
          <cell r="U2044">
            <v>5</v>
          </cell>
          <cell r="V2044">
            <v>82.6</v>
          </cell>
          <cell r="W2044">
            <v>8.3000000000000007</v>
          </cell>
          <cell r="X2044">
            <v>52.5</v>
          </cell>
          <cell r="Y2044">
            <v>6.8</v>
          </cell>
          <cell r="Z2044" t="str">
            <v>NA</v>
          </cell>
          <cell r="AA2044" t="str">
            <v>NA</v>
          </cell>
        </row>
        <row r="2045">
          <cell r="A2045">
            <v>45196</v>
          </cell>
          <cell r="B2045" t="str">
            <v>A1</v>
          </cell>
          <cell r="C2045">
            <v>1</v>
          </cell>
          <cell r="D2045">
            <v>2</v>
          </cell>
          <cell r="E2045" t="str">
            <v>ARIS.A1.Aim2.Bin1.LB</v>
          </cell>
          <cell r="F2045">
            <v>4</v>
          </cell>
          <cell r="G2045" t="str">
            <v>SplineDFA</v>
          </cell>
          <cell r="H2045" t="str">
            <v>Y</v>
          </cell>
          <cell r="I2045" t="str">
            <v>N</v>
          </cell>
          <cell r="J2045">
            <v>190</v>
          </cell>
          <cell r="K2045">
            <v>1</v>
          </cell>
          <cell r="L2045">
            <v>0.19600000000000001</v>
          </cell>
          <cell r="M2045">
            <v>23.7</v>
          </cell>
          <cell r="N2045">
            <v>2.7</v>
          </cell>
          <cell r="O2045">
            <v>0.80400000000000005</v>
          </cell>
          <cell r="P2045">
            <v>0.1903</v>
          </cell>
          <cell r="Q2045">
            <v>2.69E-2</v>
          </cell>
          <cell r="R2045">
            <v>0.58679999999999999</v>
          </cell>
          <cell r="S2045" t="str">
            <v>NA</v>
          </cell>
          <cell r="T2045">
            <v>61.6</v>
          </cell>
          <cell r="U2045">
            <v>5</v>
          </cell>
          <cell r="V2045">
            <v>82.6</v>
          </cell>
          <cell r="W2045">
            <v>8.3000000000000007</v>
          </cell>
          <cell r="X2045">
            <v>52.5</v>
          </cell>
          <cell r="Y2045">
            <v>6.8</v>
          </cell>
          <cell r="Z2045" t="str">
            <v>NA</v>
          </cell>
          <cell r="AA2045" t="str">
            <v>NA</v>
          </cell>
        </row>
        <row r="2046">
          <cell r="A2046">
            <v>45196</v>
          </cell>
          <cell r="B2046" t="str">
            <v>A1</v>
          </cell>
          <cell r="C2046">
            <v>2</v>
          </cell>
          <cell r="D2046">
            <v>3</v>
          </cell>
          <cell r="E2046" t="str">
            <v>ARIS.A1.Aim3.Bin2.LB</v>
          </cell>
          <cell r="F2046">
            <v>4</v>
          </cell>
          <cell r="G2046" t="str">
            <v>SplineDFA</v>
          </cell>
          <cell r="H2046" t="str">
            <v>Y</v>
          </cell>
          <cell r="I2046" t="str">
            <v>N</v>
          </cell>
          <cell r="J2046">
            <v>153</v>
          </cell>
          <cell r="K2046">
            <v>1</v>
          </cell>
          <cell r="L2046">
            <v>0.16339999999999999</v>
          </cell>
          <cell r="M2046">
            <v>23.7</v>
          </cell>
          <cell r="N2046">
            <v>2.7</v>
          </cell>
          <cell r="O2046">
            <v>0.83660000000000001</v>
          </cell>
          <cell r="P2046">
            <v>0.16719999999999999</v>
          </cell>
          <cell r="Q2046">
            <v>6.9699999999999998E-2</v>
          </cell>
          <cell r="R2046">
            <v>0.59970000000000001</v>
          </cell>
          <cell r="S2046" t="str">
            <v>NA</v>
          </cell>
          <cell r="T2046">
            <v>61.6</v>
          </cell>
          <cell r="U2046">
            <v>5</v>
          </cell>
          <cell r="V2046">
            <v>82.6</v>
          </cell>
          <cell r="W2046">
            <v>8.3000000000000007</v>
          </cell>
          <cell r="X2046">
            <v>52.5</v>
          </cell>
          <cell r="Y2046">
            <v>6.8</v>
          </cell>
          <cell r="Z2046" t="str">
            <v>NA</v>
          </cell>
          <cell r="AA2046" t="str">
            <v>NA</v>
          </cell>
        </row>
        <row r="2047">
          <cell r="A2047">
            <v>45196</v>
          </cell>
          <cell r="B2047" t="str">
            <v>A1</v>
          </cell>
          <cell r="C2047">
            <v>3</v>
          </cell>
          <cell r="D2047">
            <v>3</v>
          </cell>
          <cell r="E2047" t="str">
            <v>ARIS.A1.Aim3.Bin3.LB</v>
          </cell>
          <cell r="F2047">
            <v>4</v>
          </cell>
          <cell r="G2047" t="str">
            <v>SplineDFA</v>
          </cell>
          <cell r="H2047" t="str">
            <v>Y</v>
          </cell>
          <cell r="I2047" t="str">
            <v>N</v>
          </cell>
          <cell r="J2047">
            <v>132</v>
          </cell>
          <cell r="K2047">
            <v>0.99990000000000001</v>
          </cell>
          <cell r="L2047">
            <v>8.1299999999999997E-2</v>
          </cell>
          <cell r="M2047">
            <v>23.7</v>
          </cell>
          <cell r="N2047">
            <v>2.7</v>
          </cell>
          <cell r="O2047">
            <v>0.91859999999999997</v>
          </cell>
          <cell r="P2047">
            <v>0.2298</v>
          </cell>
          <cell r="Q2047">
            <v>0.16750000000000001</v>
          </cell>
          <cell r="R2047">
            <v>0.52129999999999999</v>
          </cell>
          <cell r="S2047" t="str">
            <v>NA</v>
          </cell>
          <cell r="T2047">
            <v>61.6</v>
          </cell>
          <cell r="U2047">
            <v>5</v>
          </cell>
          <cell r="V2047">
            <v>82.6</v>
          </cell>
          <cell r="W2047">
            <v>8.3000000000000007</v>
          </cell>
          <cell r="X2047">
            <v>52.5</v>
          </cell>
          <cell r="Y2047">
            <v>6.8</v>
          </cell>
          <cell r="Z2047" t="str">
            <v>NA</v>
          </cell>
          <cell r="AA2047" t="str">
            <v>NA</v>
          </cell>
        </row>
        <row r="2048">
          <cell r="A2048">
            <v>45196</v>
          </cell>
          <cell r="B2048" t="str">
            <v>A1</v>
          </cell>
          <cell r="C2048">
            <v>4</v>
          </cell>
          <cell r="D2048">
            <v>3</v>
          </cell>
          <cell r="E2048" t="str">
            <v>ARIS.A1.Aim3.Bin4.LB</v>
          </cell>
          <cell r="F2048">
            <v>4</v>
          </cell>
          <cell r="G2048" t="str">
            <v>SplineDFA</v>
          </cell>
          <cell r="H2048" t="str">
            <v>Y</v>
          </cell>
          <cell r="I2048" t="str">
            <v>N</v>
          </cell>
          <cell r="J2048">
            <v>132</v>
          </cell>
          <cell r="K2048">
            <v>0.99990000000000001</v>
          </cell>
          <cell r="L2048">
            <v>8.1299999999999997E-2</v>
          </cell>
          <cell r="M2048">
            <v>23.7</v>
          </cell>
          <cell r="N2048">
            <v>2.7</v>
          </cell>
          <cell r="O2048">
            <v>0.91859999999999997</v>
          </cell>
          <cell r="P2048">
            <v>0.2298</v>
          </cell>
          <cell r="Q2048">
            <v>0.16750000000000001</v>
          </cell>
          <cell r="R2048">
            <v>0.52129999999999999</v>
          </cell>
          <cell r="S2048" t="str">
            <v>NA</v>
          </cell>
          <cell r="T2048">
            <v>61.6</v>
          </cell>
          <cell r="U2048">
            <v>5</v>
          </cell>
          <cell r="V2048">
            <v>82.6</v>
          </cell>
          <cell r="W2048">
            <v>8.3000000000000007</v>
          </cell>
          <cell r="X2048">
            <v>52.5</v>
          </cell>
          <cell r="Y2048">
            <v>6.8</v>
          </cell>
          <cell r="Z2048" t="str">
            <v>NA</v>
          </cell>
          <cell r="AA2048" t="str">
            <v>NA</v>
          </cell>
        </row>
        <row r="2049">
          <cell r="A2049">
            <v>45196</v>
          </cell>
          <cell r="B2049" t="str">
            <v>A2</v>
          </cell>
          <cell r="C2049">
            <v>1</v>
          </cell>
          <cell r="D2049">
            <v>1</v>
          </cell>
          <cell r="E2049" t="str">
            <v>ARIS.A2.Aim1.Bin1.RB</v>
          </cell>
          <cell r="F2049">
            <v>4</v>
          </cell>
          <cell r="G2049" t="str">
            <v>SplineDFA</v>
          </cell>
          <cell r="H2049" t="str">
            <v>Y</v>
          </cell>
          <cell r="I2049" t="str">
            <v>N</v>
          </cell>
          <cell r="J2049">
            <v>134</v>
          </cell>
          <cell r="K2049">
            <v>1</v>
          </cell>
          <cell r="L2049">
            <v>0.19239999999999999</v>
          </cell>
          <cell r="M2049">
            <v>23.7</v>
          </cell>
          <cell r="N2049">
            <v>2.7</v>
          </cell>
          <cell r="O2049">
            <v>0.80759999999999998</v>
          </cell>
          <cell r="P2049">
            <v>0.23280000000000001</v>
          </cell>
          <cell r="Q2049">
            <v>7.4999999999999997E-2</v>
          </cell>
          <cell r="R2049">
            <v>0.49980000000000002</v>
          </cell>
          <cell r="S2049" t="str">
            <v>NA</v>
          </cell>
          <cell r="T2049">
            <v>61.6</v>
          </cell>
          <cell r="U2049">
            <v>5</v>
          </cell>
          <cell r="V2049">
            <v>82.6</v>
          </cell>
          <cell r="W2049">
            <v>8.3000000000000007</v>
          </cell>
          <cell r="X2049">
            <v>52.5</v>
          </cell>
          <cell r="Y2049">
            <v>6.8</v>
          </cell>
          <cell r="Z2049" t="str">
            <v>NA</v>
          </cell>
          <cell r="AA2049" t="str">
            <v>NA</v>
          </cell>
        </row>
        <row r="2050">
          <cell r="A2050">
            <v>45196</v>
          </cell>
          <cell r="B2050" t="str">
            <v>A2</v>
          </cell>
          <cell r="C2050">
            <v>2</v>
          </cell>
          <cell r="D2050">
            <v>1</v>
          </cell>
          <cell r="E2050" t="str">
            <v>ARIS.A2.Aim1.Bin2.RB</v>
          </cell>
          <cell r="F2050">
            <v>4</v>
          </cell>
          <cell r="G2050" t="str">
            <v>SplineDFA</v>
          </cell>
          <cell r="H2050" t="str">
            <v>Y</v>
          </cell>
          <cell r="I2050" t="str">
            <v>N</v>
          </cell>
          <cell r="J2050">
            <v>99</v>
          </cell>
          <cell r="K2050">
            <v>1</v>
          </cell>
          <cell r="L2050">
            <v>0.17449999999999999</v>
          </cell>
          <cell r="M2050">
            <v>23.7</v>
          </cell>
          <cell r="N2050">
            <v>2.7</v>
          </cell>
          <cell r="O2050">
            <v>0.82550000000000001</v>
          </cell>
          <cell r="P2050">
            <v>0.2072</v>
          </cell>
          <cell r="Q2050">
            <v>0.1971</v>
          </cell>
          <cell r="R2050">
            <v>0.42120000000000002</v>
          </cell>
          <cell r="S2050" t="str">
            <v>NA</v>
          </cell>
          <cell r="T2050">
            <v>61.6</v>
          </cell>
          <cell r="U2050">
            <v>5</v>
          </cell>
          <cell r="V2050">
            <v>82.6</v>
          </cell>
          <cell r="W2050">
            <v>8.3000000000000007</v>
          </cell>
          <cell r="X2050">
            <v>52.5</v>
          </cell>
          <cell r="Y2050">
            <v>6.8</v>
          </cell>
          <cell r="Z2050" t="str">
            <v>NA</v>
          </cell>
          <cell r="AA2050" t="str">
            <v>NA</v>
          </cell>
        </row>
        <row r="2051">
          <cell r="A2051">
            <v>45196</v>
          </cell>
          <cell r="B2051" t="str">
            <v>A2</v>
          </cell>
          <cell r="C2051">
            <v>3</v>
          </cell>
          <cell r="D2051">
            <v>1</v>
          </cell>
          <cell r="E2051" t="str">
            <v>ARIS.A2.Aim1.Bin3.RB</v>
          </cell>
          <cell r="F2051">
            <v>4</v>
          </cell>
          <cell r="G2051" t="str">
            <v>SplineDFA</v>
          </cell>
          <cell r="H2051" t="str">
            <v>Y</v>
          </cell>
          <cell r="I2051" t="str">
            <v>N</v>
          </cell>
          <cell r="J2051">
            <v>91</v>
          </cell>
          <cell r="K2051">
            <v>1</v>
          </cell>
          <cell r="L2051">
            <v>0.1119</v>
          </cell>
          <cell r="M2051">
            <v>23.7</v>
          </cell>
          <cell r="N2051">
            <v>2.7</v>
          </cell>
          <cell r="O2051">
            <v>0.8881</v>
          </cell>
          <cell r="P2051">
            <v>0.20430000000000001</v>
          </cell>
          <cell r="Q2051">
            <v>0.31269999999999998</v>
          </cell>
          <cell r="R2051">
            <v>0.37109999999999999</v>
          </cell>
          <cell r="S2051" t="str">
            <v>NA</v>
          </cell>
          <cell r="T2051">
            <v>61.6</v>
          </cell>
          <cell r="U2051">
            <v>5</v>
          </cell>
          <cell r="V2051">
            <v>82.6</v>
          </cell>
          <cell r="W2051">
            <v>8.3000000000000007</v>
          </cell>
          <cell r="X2051">
            <v>52.5</v>
          </cell>
          <cell r="Y2051">
            <v>6.8</v>
          </cell>
          <cell r="Z2051" t="str">
            <v>NA</v>
          </cell>
          <cell r="AA2051" t="str">
            <v>NA</v>
          </cell>
        </row>
        <row r="2052">
          <cell r="A2052">
            <v>45196</v>
          </cell>
          <cell r="B2052" t="str">
            <v>A2</v>
          </cell>
          <cell r="C2052">
            <v>4</v>
          </cell>
          <cell r="D2052">
            <v>1</v>
          </cell>
          <cell r="E2052" t="str">
            <v>ARIS.A2.Aim1.Bin4.RB</v>
          </cell>
          <cell r="F2052">
            <v>4</v>
          </cell>
          <cell r="G2052" t="str">
            <v>SplineDFA</v>
          </cell>
          <cell r="H2052" t="str">
            <v>Y</v>
          </cell>
          <cell r="I2052" t="str">
            <v>N</v>
          </cell>
          <cell r="J2052">
            <v>91</v>
          </cell>
          <cell r="K2052">
            <v>1</v>
          </cell>
          <cell r="L2052">
            <v>0.1119</v>
          </cell>
          <cell r="M2052">
            <v>23.7</v>
          </cell>
          <cell r="N2052">
            <v>2.7</v>
          </cell>
          <cell r="O2052">
            <v>0.8881</v>
          </cell>
          <cell r="P2052">
            <v>0.20430000000000001</v>
          </cell>
          <cell r="Q2052">
            <v>0.31269999999999998</v>
          </cell>
          <cell r="R2052">
            <v>0.37109999999999999</v>
          </cell>
          <cell r="S2052" t="str">
            <v>NA</v>
          </cell>
          <cell r="T2052">
            <v>61.6</v>
          </cell>
          <cell r="U2052">
            <v>5</v>
          </cell>
          <cell r="V2052">
            <v>82.6</v>
          </cell>
          <cell r="W2052">
            <v>8.3000000000000007</v>
          </cell>
          <cell r="X2052">
            <v>52.5</v>
          </cell>
          <cell r="Y2052">
            <v>6.8</v>
          </cell>
          <cell r="Z2052" t="str">
            <v>NA</v>
          </cell>
          <cell r="AA2052" t="str">
            <v>NA</v>
          </cell>
        </row>
        <row r="2053">
          <cell r="A2053">
            <v>45196</v>
          </cell>
          <cell r="B2053" t="str">
            <v>A1</v>
          </cell>
          <cell r="C2053">
            <v>1</v>
          </cell>
          <cell r="D2053">
            <v>1</v>
          </cell>
          <cell r="E2053" t="str">
            <v>ARIS.A1.Aim1.Bin1.LB</v>
          </cell>
          <cell r="F2053">
            <v>4</v>
          </cell>
          <cell r="G2053" t="str">
            <v>Unweighted</v>
          </cell>
          <cell r="H2053" t="str">
            <v>N</v>
          </cell>
          <cell r="I2053" t="str">
            <v>Y</v>
          </cell>
          <cell r="J2053">
            <v>200</v>
          </cell>
          <cell r="K2053">
            <v>0.99990000000000001</v>
          </cell>
          <cell r="L2053">
            <v>0.75849999999999995</v>
          </cell>
          <cell r="M2053">
            <v>24.3</v>
          </cell>
          <cell r="N2053">
            <v>7.9</v>
          </cell>
          <cell r="O2053">
            <v>0.2414</v>
          </cell>
          <cell r="P2053">
            <v>2.0299999999999999E-2</v>
          </cell>
          <cell r="Q2053">
            <v>2.23E-2</v>
          </cell>
          <cell r="R2053">
            <v>0.1988</v>
          </cell>
          <cell r="S2053" t="str">
            <v>NA</v>
          </cell>
          <cell r="T2053">
            <v>61.6</v>
          </cell>
          <cell r="U2053">
            <v>5</v>
          </cell>
          <cell r="V2053">
            <v>82.6</v>
          </cell>
          <cell r="W2053">
            <v>8.3000000000000007</v>
          </cell>
          <cell r="X2053">
            <v>52.5</v>
          </cell>
          <cell r="Y2053">
            <v>6.8</v>
          </cell>
          <cell r="Z2053" t="str">
            <v>NA</v>
          </cell>
          <cell r="AA2053" t="str">
            <v>NA</v>
          </cell>
        </row>
        <row r="2054">
          <cell r="A2054">
            <v>45196</v>
          </cell>
          <cell r="B2054" t="str">
            <v>A1</v>
          </cell>
          <cell r="C2054">
            <v>1</v>
          </cell>
          <cell r="D2054">
            <v>2</v>
          </cell>
          <cell r="E2054" t="str">
            <v>ARIS.A1.Aim2.Bin1.LB</v>
          </cell>
          <cell r="F2054">
            <v>4</v>
          </cell>
          <cell r="G2054" t="str">
            <v>Unweighted</v>
          </cell>
          <cell r="H2054" t="str">
            <v>N</v>
          </cell>
          <cell r="I2054" t="str">
            <v>Y</v>
          </cell>
          <cell r="J2054">
            <v>190</v>
          </cell>
          <cell r="K2054">
            <v>1</v>
          </cell>
          <cell r="L2054">
            <v>0.39460000000000001</v>
          </cell>
          <cell r="M2054">
            <v>21.4</v>
          </cell>
          <cell r="N2054">
            <v>5.6</v>
          </cell>
          <cell r="O2054">
            <v>0.60540000000000005</v>
          </cell>
          <cell r="P2054">
            <v>0.1953</v>
          </cell>
          <cell r="Q2054">
            <v>0</v>
          </cell>
          <cell r="R2054">
            <v>0.41010000000000002</v>
          </cell>
          <cell r="S2054" t="str">
            <v>NA</v>
          </cell>
          <cell r="T2054">
            <v>61.6</v>
          </cell>
          <cell r="U2054">
            <v>5</v>
          </cell>
          <cell r="V2054">
            <v>82.6</v>
          </cell>
          <cell r="W2054">
            <v>8.3000000000000007</v>
          </cell>
          <cell r="X2054">
            <v>52.5</v>
          </cell>
          <cell r="Y2054">
            <v>6.8</v>
          </cell>
          <cell r="Z2054" t="str">
            <v>NA</v>
          </cell>
          <cell r="AA2054" t="str">
            <v>NA</v>
          </cell>
        </row>
        <row r="2055">
          <cell r="A2055">
            <v>45196</v>
          </cell>
          <cell r="B2055" t="str">
            <v>A1</v>
          </cell>
          <cell r="C2055">
            <v>1</v>
          </cell>
          <cell r="D2055" t="str">
            <v>1&amp;2</v>
          </cell>
          <cell r="E2055" t="str">
            <v>ARIS.A1.Aim1&amp;Aim2.Bin1.LB</v>
          </cell>
          <cell r="F2055">
            <v>4</v>
          </cell>
          <cell r="G2055" t="str">
            <v>Unweighted</v>
          </cell>
          <cell r="H2055" t="str">
            <v>N</v>
          </cell>
          <cell r="I2055" t="str">
            <v>Y</v>
          </cell>
          <cell r="J2055">
            <v>390</v>
          </cell>
          <cell r="K2055">
            <v>1</v>
          </cell>
          <cell r="L2055">
            <v>0.5998</v>
          </cell>
          <cell r="M2055">
            <v>23.8</v>
          </cell>
          <cell r="N2055">
            <v>7.6</v>
          </cell>
          <cell r="O2055">
            <v>0.4002</v>
          </cell>
          <cell r="P2055">
            <v>4.6600000000000003E-2</v>
          </cell>
          <cell r="Q2055">
            <v>1.03E-2</v>
          </cell>
          <cell r="R2055">
            <v>0.34329999999999999</v>
          </cell>
          <cell r="S2055" t="str">
            <v>NA</v>
          </cell>
          <cell r="T2055">
            <v>61.6</v>
          </cell>
          <cell r="U2055">
            <v>5</v>
          </cell>
          <cell r="V2055">
            <v>82.6</v>
          </cell>
          <cell r="W2055">
            <v>8.3000000000000007</v>
          </cell>
          <cell r="X2055">
            <v>52.5</v>
          </cell>
          <cell r="Y2055">
            <v>6.8</v>
          </cell>
          <cell r="Z2055" t="str">
            <v>NA</v>
          </cell>
          <cell r="AA2055" t="str">
            <v>NA</v>
          </cell>
        </row>
        <row r="2056">
          <cell r="A2056">
            <v>45196</v>
          </cell>
          <cell r="B2056" t="str">
            <v>A1</v>
          </cell>
          <cell r="C2056">
            <v>2</v>
          </cell>
          <cell r="D2056">
            <v>3</v>
          </cell>
          <cell r="E2056" t="str">
            <v>ARIS.A1.Aim3.Bin2.LB</v>
          </cell>
          <cell r="F2056">
            <v>4</v>
          </cell>
          <cell r="G2056" t="str">
            <v>Unweighted</v>
          </cell>
          <cell r="H2056" t="str">
            <v>N</v>
          </cell>
          <cell r="I2056" t="str">
            <v>Y</v>
          </cell>
          <cell r="J2056">
            <v>153</v>
          </cell>
          <cell r="K2056">
            <v>0.99990000000000001</v>
          </cell>
          <cell r="L2056">
            <v>0.34520000000000001</v>
          </cell>
          <cell r="M2056">
            <v>27.2</v>
          </cell>
          <cell r="N2056">
            <v>6.2</v>
          </cell>
          <cell r="O2056">
            <v>0.65469999999999995</v>
          </cell>
          <cell r="P2056">
            <v>0.10879999999999999</v>
          </cell>
          <cell r="Q2056">
            <v>5.4699999999999999E-2</v>
          </cell>
          <cell r="R2056">
            <v>0.49120000000000003</v>
          </cell>
          <cell r="S2056" t="str">
            <v>NA</v>
          </cell>
          <cell r="T2056">
            <v>61.6</v>
          </cell>
          <cell r="U2056">
            <v>5</v>
          </cell>
          <cell r="V2056">
            <v>82.6</v>
          </cell>
          <cell r="W2056">
            <v>8.3000000000000007</v>
          </cell>
          <cell r="X2056">
            <v>52.5</v>
          </cell>
          <cell r="Y2056">
            <v>6.8</v>
          </cell>
          <cell r="Z2056" t="str">
            <v>NA</v>
          </cell>
          <cell r="AA2056" t="str">
            <v>NA</v>
          </cell>
        </row>
        <row r="2057">
          <cell r="A2057">
            <v>45196</v>
          </cell>
          <cell r="B2057" t="str">
            <v>A1</v>
          </cell>
          <cell r="C2057">
            <v>3</v>
          </cell>
          <cell r="D2057">
            <v>3</v>
          </cell>
          <cell r="E2057" t="str">
            <v>ARIS.A1.Aim3.Bin3.LB</v>
          </cell>
          <cell r="F2057">
            <v>4</v>
          </cell>
          <cell r="G2057" t="str">
            <v>Unweighted</v>
          </cell>
          <cell r="H2057" t="str">
            <v>N</v>
          </cell>
          <cell r="I2057" t="str">
            <v>Y</v>
          </cell>
          <cell r="J2057">
            <v>132</v>
          </cell>
          <cell r="K2057">
            <v>1</v>
          </cell>
          <cell r="L2057">
            <v>0.1923</v>
          </cell>
          <cell r="M2057">
            <v>23.7</v>
          </cell>
          <cell r="N2057">
            <v>7.3</v>
          </cell>
          <cell r="O2057">
            <v>0.80769999999999997</v>
          </cell>
          <cell r="P2057">
            <v>0.1041</v>
          </cell>
          <cell r="Q2057">
            <v>0.21909999999999999</v>
          </cell>
          <cell r="R2057">
            <v>0.48449999999999999</v>
          </cell>
          <cell r="S2057" t="str">
            <v>NA</v>
          </cell>
          <cell r="T2057">
            <v>61.6</v>
          </cell>
          <cell r="U2057">
            <v>5</v>
          </cell>
          <cell r="V2057">
            <v>82.6</v>
          </cell>
          <cell r="W2057">
            <v>8.3000000000000007</v>
          </cell>
          <cell r="X2057">
            <v>52.5</v>
          </cell>
          <cell r="Y2057">
            <v>6.8</v>
          </cell>
          <cell r="Z2057" t="str">
            <v>NA</v>
          </cell>
          <cell r="AA2057" t="str">
            <v>NA</v>
          </cell>
        </row>
        <row r="2058">
          <cell r="A2058">
            <v>45196</v>
          </cell>
          <cell r="B2058" t="str">
            <v>A1</v>
          </cell>
          <cell r="C2058">
            <v>4</v>
          </cell>
          <cell r="D2058">
            <v>3</v>
          </cell>
          <cell r="E2058" t="str">
            <v>ARIS.A1.Aim3.Bin4.LB</v>
          </cell>
          <cell r="F2058">
            <v>4</v>
          </cell>
          <cell r="G2058" t="str">
            <v>Unweighted</v>
          </cell>
          <cell r="H2058" t="str">
            <v>N</v>
          </cell>
          <cell r="I2058" t="str">
            <v>Y</v>
          </cell>
          <cell r="J2058">
            <v>132</v>
          </cell>
          <cell r="K2058">
            <v>1</v>
          </cell>
          <cell r="L2058">
            <v>0.1923</v>
          </cell>
          <cell r="M2058">
            <v>23.7</v>
          </cell>
          <cell r="N2058">
            <v>7.3</v>
          </cell>
          <cell r="O2058">
            <v>0.80769999999999997</v>
          </cell>
          <cell r="P2058">
            <v>0.1041</v>
          </cell>
          <cell r="Q2058">
            <v>0.21909999999999999</v>
          </cell>
          <cell r="R2058">
            <v>0.48449999999999999</v>
          </cell>
          <cell r="S2058" t="str">
            <v>NA</v>
          </cell>
          <cell r="T2058">
            <v>61.6</v>
          </cell>
          <cell r="U2058">
            <v>5</v>
          </cell>
          <cell r="V2058">
            <v>82.6</v>
          </cell>
          <cell r="W2058">
            <v>8.3000000000000007</v>
          </cell>
          <cell r="X2058">
            <v>52.5</v>
          </cell>
          <cell r="Y2058">
            <v>6.8</v>
          </cell>
          <cell r="Z2058" t="str">
            <v>NA</v>
          </cell>
          <cell r="AA2058" t="str">
            <v>NA</v>
          </cell>
        </row>
        <row r="2059">
          <cell r="A2059">
            <v>45196</v>
          </cell>
          <cell r="B2059" t="str">
            <v>A2</v>
          </cell>
          <cell r="C2059">
            <v>1</v>
          </cell>
          <cell r="D2059">
            <v>1</v>
          </cell>
          <cell r="E2059" t="str">
            <v>ARIS.A2.Aim1.Bin1.RB</v>
          </cell>
          <cell r="F2059">
            <v>4</v>
          </cell>
          <cell r="G2059" t="str">
            <v>Unweighted</v>
          </cell>
          <cell r="H2059" t="str">
            <v>N</v>
          </cell>
          <cell r="I2059" t="str">
            <v>Y</v>
          </cell>
          <cell r="J2059">
            <v>134</v>
          </cell>
          <cell r="K2059">
            <v>1.0001</v>
          </cell>
          <cell r="L2059">
            <v>0.45179999999999998</v>
          </cell>
          <cell r="M2059">
            <v>25.9</v>
          </cell>
          <cell r="N2059">
            <v>7.9</v>
          </cell>
          <cell r="O2059">
            <v>0.54830000000000001</v>
          </cell>
          <cell r="P2059">
            <v>0.1331</v>
          </cell>
          <cell r="Q2059">
            <v>5.21E-2</v>
          </cell>
          <cell r="R2059">
            <v>0.36309999999999998</v>
          </cell>
          <cell r="S2059" t="str">
            <v>NA</v>
          </cell>
          <cell r="T2059">
            <v>61.6</v>
          </cell>
          <cell r="U2059">
            <v>5</v>
          </cell>
          <cell r="V2059">
            <v>82.6</v>
          </cell>
          <cell r="W2059">
            <v>8.3000000000000007</v>
          </cell>
          <cell r="X2059">
            <v>52.5</v>
          </cell>
          <cell r="Y2059">
            <v>6.8</v>
          </cell>
          <cell r="Z2059" t="str">
            <v>NA</v>
          </cell>
          <cell r="AA2059" t="str">
            <v>NA</v>
          </cell>
        </row>
        <row r="2060">
          <cell r="A2060">
            <v>45196</v>
          </cell>
          <cell r="B2060" t="str">
            <v>A2</v>
          </cell>
          <cell r="C2060">
            <v>2</v>
          </cell>
          <cell r="D2060">
            <v>1</v>
          </cell>
          <cell r="E2060" t="str">
            <v>ARIS.A2.Aim1.Bin2.RB</v>
          </cell>
          <cell r="F2060">
            <v>4</v>
          </cell>
          <cell r="G2060" t="str">
            <v>Unweighted</v>
          </cell>
          <cell r="H2060" t="str">
            <v>N</v>
          </cell>
          <cell r="I2060" t="str">
            <v>Y</v>
          </cell>
          <cell r="J2060">
            <v>99</v>
          </cell>
          <cell r="K2060">
            <v>1</v>
          </cell>
          <cell r="L2060">
            <v>0.33350000000000002</v>
          </cell>
          <cell r="M2060">
            <v>30.6</v>
          </cell>
          <cell r="N2060">
            <v>6</v>
          </cell>
          <cell r="O2060">
            <v>0.66649999999999998</v>
          </cell>
          <cell r="P2060">
            <v>0.2089</v>
          </cell>
          <cell r="Q2060">
            <v>7.7700000000000005E-2</v>
          </cell>
          <cell r="R2060">
            <v>0.37990000000000002</v>
          </cell>
          <cell r="S2060" t="str">
            <v>NA</v>
          </cell>
          <cell r="T2060">
            <v>61.6</v>
          </cell>
          <cell r="U2060">
            <v>5</v>
          </cell>
          <cell r="V2060">
            <v>82.6</v>
          </cell>
          <cell r="W2060">
            <v>8.3000000000000007</v>
          </cell>
          <cell r="X2060">
            <v>52.5</v>
          </cell>
          <cell r="Y2060">
            <v>6.8</v>
          </cell>
          <cell r="Z2060" t="str">
            <v>NA</v>
          </cell>
          <cell r="AA2060" t="str">
            <v>NA</v>
          </cell>
        </row>
        <row r="2061">
          <cell r="A2061">
            <v>45196</v>
          </cell>
          <cell r="B2061" t="str">
            <v>A2</v>
          </cell>
          <cell r="C2061">
            <v>3</v>
          </cell>
          <cell r="D2061">
            <v>1</v>
          </cell>
          <cell r="E2061" t="str">
            <v>ARIS.A2.Aim1.Bin3.RB</v>
          </cell>
          <cell r="F2061">
            <v>4</v>
          </cell>
          <cell r="G2061" t="str">
            <v>Unweighted</v>
          </cell>
          <cell r="H2061" t="str">
            <v>N</v>
          </cell>
          <cell r="I2061" t="str">
            <v>Y</v>
          </cell>
          <cell r="J2061">
            <v>91</v>
          </cell>
          <cell r="K2061">
            <v>1</v>
          </cell>
          <cell r="L2061">
            <v>0.27510000000000001</v>
          </cell>
          <cell r="M2061">
            <v>23.7</v>
          </cell>
          <cell r="N2061">
            <v>11.3</v>
          </cell>
          <cell r="O2061">
            <v>0.72489999999999999</v>
          </cell>
          <cell r="P2061">
            <v>0.11360000000000001</v>
          </cell>
          <cell r="Q2061">
            <v>0.23719999999999999</v>
          </cell>
          <cell r="R2061">
            <v>0.37409999999999999</v>
          </cell>
          <cell r="S2061" t="str">
            <v>NA</v>
          </cell>
          <cell r="T2061">
            <v>61.6</v>
          </cell>
          <cell r="U2061">
            <v>5</v>
          </cell>
          <cell r="V2061">
            <v>82.6</v>
          </cell>
          <cell r="W2061">
            <v>8.3000000000000007</v>
          </cell>
          <cell r="X2061">
            <v>52.5</v>
          </cell>
          <cell r="Y2061">
            <v>6.8</v>
          </cell>
          <cell r="Z2061" t="str">
            <v>NA</v>
          </cell>
          <cell r="AA2061" t="str">
            <v>NA</v>
          </cell>
        </row>
        <row r="2062">
          <cell r="A2062">
            <v>45196</v>
          </cell>
          <cell r="B2062" t="str">
            <v>A2</v>
          </cell>
          <cell r="C2062">
            <v>4</v>
          </cell>
          <cell r="D2062">
            <v>1</v>
          </cell>
          <cell r="E2062" t="str">
            <v>ARIS.A2.Aim1.Bin4.RB</v>
          </cell>
          <cell r="F2062">
            <v>4</v>
          </cell>
          <cell r="G2062" t="str">
            <v>Unweighted</v>
          </cell>
          <cell r="H2062" t="str">
            <v>N</v>
          </cell>
          <cell r="I2062" t="str">
            <v>Y</v>
          </cell>
          <cell r="J2062">
            <v>91</v>
          </cell>
          <cell r="K2062">
            <v>1</v>
          </cell>
          <cell r="L2062">
            <v>0.27510000000000001</v>
          </cell>
          <cell r="M2062">
            <v>23.7</v>
          </cell>
          <cell r="N2062">
            <v>11.3</v>
          </cell>
          <cell r="O2062">
            <v>0.72489999999999999</v>
          </cell>
          <cell r="P2062">
            <v>0.11360000000000001</v>
          </cell>
          <cell r="Q2062">
            <v>0.23719999999999999</v>
          </cell>
          <cell r="R2062">
            <v>0.37409999999999999</v>
          </cell>
          <cell r="S2062" t="str">
            <v>NA</v>
          </cell>
          <cell r="T2062">
            <v>61.6</v>
          </cell>
          <cell r="U2062">
            <v>5</v>
          </cell>
          <cell r="V2062">
            <v>82.6</v>
          </cell>
          <cell r="W2062">
            <v>8.3000000000000007</v>
          </cell>
          <cell r="X2062">
            <v>52.5</v>
          </cell>
          <cell r="Y2062">
            <v>6.8</v>
          </cell>
          <cell r="Z2062" t="str">
            <v>NA</v>
          </cell>
          <cell r="AA2062" t="str">
            <v>NA</v>
          </cell>
        </row>
        <row r="2063">
          <cell r="A2063">
            <v>45197</v>
          </cell>
          <cell r="B2063" t="str">
            <v>A1</v>
          </cell>
          <cell r="C2063">
            <v>1</v>
          </cell>
          <cell r="D2063">
            <v>1</v>
          </cell>
          <cell r="E2063" t="str">
            <v>ARIS.A1.Aim1.Bin1.LB</v>
          </cell>
          <cell r="F2063">
            <v>4</v>
          </cell>
          <cell r="G2063" t="str">
            <v>SplineDFA</v>
          </cell>
          <cell r="H2063" t="str">
            <v>Y</v>
          </cell>
          <cell r="I2063" t="str">
            <v>N</v>
          </cell>
          <cell r="J2063">
            <v>186</v>
          </cell>
          <cell r="K2063">
            <v>1</v>
          </cell>
          <cell r="L2063">
            <v>0.35289999999999999</v>
          </cell>
          <cell r="M2063">
            <v>23.7</v>
          </cell>
          <cell r="N2063">
            <v>2.7</v>
          </cell>
          <cell r="O2063">
            <v>0.64710000000000001</v>
          </cell>
          <cell r="P2063">
            <v>0.22420000000000001</v>
          </cell>
          <cell r="Q2063">
            <v>4.2799999999999998E-2</v>
          </cell>
          <cell r="R2063">
            <v>0.38009999999999999</v>
          </cell>
          <cell r="S2063" t="str">
            <v>NA</v>
          </cell>
          <cell r="T2063">
            <v>61.6</v>
          </cell>
          <cell r="U2063">
            <v>5</v>
          </cell>
          <cell r="V2063">
            <v>82.6</v>
          </cell>
          <cell r="W2063">
            <v>8.3000000000000007</v>
          </cell>
          <cell r="X2063">
            <v>52.5</v>
          </cell>
          <cell r="Y2063">
            <v>6.8</v>
          </cell>
          <cell r="Z2063" t="str">
            <v>NA</v>
          </cell>
          <cell r="AA2063" t="str">
            <v>NA</v>
          </cell>
        </row>
        <row r="2064">
          <cell r="A2064">
            <v>45197</v>
          </cell>
          <cell r="B2064" t="str">
            <v>A1</v>
          </cell>
          <cell r="C2064">
            <v>1</v>
          </cell>
          <cell r="D2064">
            <v>2</v>
          </cell>
          <cell r="E2064" t="str">
            <v>ARIS.A1.Aim2.Bin1.LB</v>
          </cell>
          <cell r="F2064">
            <v>4</v>
          </cell>
          <cell r="G2064" t="str">
            <v>SplineDFA</v>
          </cell>
          <cell r="H2064" t="str">
            <v>Y</v>
          </cell>
          <cell r="I2064" t="str">
            <v>N</v>
          </cell>
          <cell r="J2064">
            <v>125</v>
          </cell>
          <cell r="K2064">
            <v>1</v>
          </cell>
          <cell r="L2064">
            <v>0.2853</v>
          </cell>
          <cell r="M2064">
            <v>23.7</v>
          </cell>
          <cell r="N2064">
            <v>2.7</v>
          </cell>
          <cell r="O2064">
            <v>0.7147</v>
          </cell>
          <cell r="P2064">
            <v>0.17580000000000001</v>
          </cell>
          <cell r="Q2064">
            <v>2.7900000000000001E-2</v>
          </cell>
          <cell r="R2064">
            <v>0.51100000000000001</v>
          </cell>
          <cell r="S2064" t="str">
            <v>NA</v>
          </cell>
          <cell r="T2064">
            <v>61.6</v>
          </cell>
          <cell r="U2064">
            <v>5</v>
          </cell>
          <cell r="V2064">
            <v>82.6</v>
          </cell>
          <cell r="W2064">
            <v>8.3000000000000007</v>
          </cell>
          <cell r="X2064">
            <v>52.5</v>
          </cell>
          <cell r="Y2064">
            <v>6.8</v>
          </cell>
          <cell r="Z2064" t="str">
            <v>NA</v>
          </cell>
          <cell r="AA2064" t="str">
            <v>NA</v>
          </cell>
        </row>
        <row r="2065">
          <cell r="A2065">
            <v>45197</v>
          </cell>
          <cell r="B2065" t="str">
            <v>A1</v>
          </cell>
          <cell r="C2065">
            <v>2</v>
          </cell>
          <cell r="D2065">
            <v>3</v>
          </cell>
          <cell r="E2065" t="str">
            <v>ARIS.A1.Aim3.Bin2.LB</v>
          </cell>
          <cell r="F2065">
            <v>4</v>
          </cell>
          <cell r="G2065" t="str">
            <v>SplineDFA</v>
          </cell>
          <cell r="H2065" t="str">
            <v>Y</v>
          </cell>
          <cell r="I2065" t="str">
            <v>N</v>
          </cell>
          <cell r="J2065">
            <v>135</v>
          </cell>
          <cell r="K2065">
            <v>1</v>
          </cell>
          <cell r="L2065">
            <v>0.12620000000000001</v>
          </cell>
          <cell r="M2065">
            <v>23.7</v>
          </cell>
          <cell r="N2065">
            <v>2.7</v>
          </cell>
          <cell r="O2065">
            <v>0.87380000000000002</v>
          </cell>
          <cell r="P2065">
            <v>0.34129999999999999</v>
          </cell>
          <cell r="Q2065">
            <v>0.22270000000000001</v>
          </cell>
          <cell r="R2065">
            <v>0.30980000000000002</v>
          </cell>
          <cell r="S2065" t="str">
            <v>NA</v>
          </cell>
          <cell r="T2065">
            <v>61.6</v>
          </cell>
          <cell r="U2065">
            <v>5</v>
          </cell>
          <cell r="V2065">
            <v>82.6</v>
          </cell>
          <cell r="W2065">
            <v>8.3000000000000007</v>
          </cell>
          <cell r="X2065">
            <v>52.5</v>
          </cell>
          <cell r="Y2065">
            <v>6.8</v>
          </cell>
          <cell r="Z2065" t="str">
            <v>NA</v>
          </cell>
          <cell r="AA2065" t="str">
            <v>NA</v>
          </cell>
        </row>
        <row r="2066">
          <cell r="A2066">
            <v>45197</v>
          </cell>
          <cell r="B2066" t="str">
            <v>A1</v>
          </cell>
          <cell r="C2066">
            <v>3</v>
          </cell>
          <cell r="D2066">
            <v>3</v>
          </cell>
          <cell r="E2066" t="str">
            <v>ARIS.A1.Aim3.Bin3.LB</v>
          </cell>
          <cell r="F2066">
            <v>4</v>
          </cell>
          <cell r="G2066" t="str">
            <v>SplineDFA</v>
          </cell>
          <cell r="H2066" t="str">
            <v>Y</v>
          </cell>
          <cell r="I2066" t="str">
            <v>N</v>
          </cell>
          <cell r="J2066">
            <v>164</v>
          </cell>
          <cell r="K2066">
            <v>1.0001</v>
          </cell>
          <cell r="L2066">
            <v>6.3100000000000003E-2</v>
          </cell>
          <cell r="M2066">
            <v>23.7</v>
          </cell>
          <cell r="N2066">
            <v>2.7</v>
          </cell>
          <cell r="O2066">
            <v>0.93700000000000006</v>
          </cell>
          <cell r="P2066">
            <v>0.3</v>
          </cell>
          <cell r="Q2066">
            <v>0.20910000000000001</v>
          </cell>
          <cell r="R2066">
            <v>0.4279</v>
          </cell>
          <cell r="S2066" t="str">
            <v>NA</v>
          </cell>
          <cell r="T2066">
            <v>61.6</v>
          </cell>
          <cell r="U2066">
            <v>5</v>
          </cell>
          <cell r="V2066">
            <v>82.6</v>
          </cell>
          <cell r="W2066">
            <v>8.3000000000000007</v>
          </cell>
          <cell r="X2066">
            <v>52.5</v>
          </cell>
          <cell r="Y2066">
            <v>6.8</v>
          </cell>
          <cell r="Z2066" t="str">
            <v>NA</v>
          </cell>
          <cell r="AA2066" t="str">
            <v>NA</v>
          </cell>
        </row>
        <row r="2067">
          <cell r="A2067">
            <v>45197</v>
          </cell>
          <cell r="B2067" t="str">
            <v>A1</v>
          </cell>
          <cell r="C2067">
            <v>4</v>
          </cell>
          <cell r="D2067">
            <v>3</v>
          </cell>
          <cell r="E2067" t="str">
            <v>ARIS.A1.Aim3.Bin4.LB</v>
          </cell>
          <cell r="F2067">
            <v>4</v>
          </cell>
          <cell r="G2067" t="str">
            <v>SplineDFA</v>
          </cell>
          <cell r="H2067" t="str">
            <v>Y</v>
          </cell>
          <cell r="I2067" t="str">
            <v>N</v>
          </cell>
          <cell r="J2067">
            <v>164</v>
          </cell>
          <cell r="K2067">
            <v>1.0001</v>
          </cell>
          <cell r="L2067">
            <v>6.3100000000000003E-2</v>
          </cell>
          <cell r="M2067">
            <v>23.7</v>
          </cell>
          <cell r="N2067">
            <v>2.7</v>
          </cell>
          <cell r="O2067">
            <v>0.93700000000000006</v>
          </cell>
          <cell r="P2067">
            <v>0.3</v>
          </cell>
          <cell r="Q2067">
            <v>0.20910000000000001</v>
          </cell>
          <cell r="R2067">
            <v>0.4279</v>
          </cell>
          <cell r="S2067" t="str">
            <v>NA</v>
          </cell>
          <cell r="T2067">
            <v>61.6</v>
          </cell>
          <cell r="U2067">
            <v>5</v>
          </cell>
          <cell r="V2067">
            <v>82.6</v>
          </cell>
          <cell r="W2067">
            <v>8.3000000000000007</v>
          </cell>
          <cell r="X2067">
            <v>52.5</v>
          </cell>
          <cell r="Y2067">
            <v>6.8</v>
          </cell>
          <cell r="Z2067" t="str">
            <v>NA</v>
          </cell>
          <cell r="AA2067" t="str">
            <v>NA</v>
          </cell>
        </row>
        <row r="2068">
          <cell r="A2068">
            <v>45197</v>
          </cell>
          <cell r="B2068" t="str">
            <v>A2</v>
          </cell>
          <cell r="C2068">
            <v>1</v>
          </cell>
          <cell r="D2068">
            <v>1</v>
          </cell>
          <cell r="E2068" t="str">
            <v>ARIS.A2.Aim1.Bin1.RB</v>
          </cell>
          <cell r="F2068">
            <v>4</v>
          </cell>
          <cell r="G2068" t="str">
            <v>SplineDFA</v>
          </cell>
          <cell r="H2068" t="str">
            <v>Y</v>
          </cell>
          <cell r="I2068" t="str">
            <v>N</v>
          </cell>
          <cell r="J2068">
            <v>134</v>
          </cell>
          <cell r="K2068">
            <v>1</v>
          </cell>
          <cell r="L2068">
            <v>0.19239999999999999</v>
          </cell>
          <cell r="M2068">
            <v>23.7</v>
          </cell>
          <cell r="N2068">
            <v>2.7</v>
          </cell>
          <cell r="O2068">
            <v>0.80759999999999998</v>
          </cell>
          <cell r="P2068">
            <v>0.23280000000000001</v>
          </cell>
          <cell r="Q2068">
            <v>7.4999999999999997E-2</v>
          </cell>
          <cell r="R2068">
            <v>0.49980000000000002</v>
          </cell>
          <cell r="S2068" t="str">
            <v>NA</v>
          </cell>
          <cell r="T2068">
            <v>61.6</v>
          </cell>
          <cell r="U2068">
            <v>5</v>
          </cell>
          <cell r="V2068">
            <v>82.6</v>
          </cell>
          <cell r="W2068">
            <v>8.3000000000000007</v>
          </cell>
          <cell r="X2068">
            <v>52.5</v>
          </cell>
          <cell r="Y2068">
            <v>6.8</v>
          </cell>
          <cell r="Z2068" t="str">
            <v>NA</v>
          </cell>
          <cell r="AA2068" t="str">
            <v>NA</v>
          </cell>
        </row>
        <row r="2069">
          <cell r="A2069">
            <v>45197</v>
          </cell>
          <cell r="B2069" t="str">
            <v>A2</v>
          </cell>
          <cell r="C2069">
            <v>2</v>
          </cell>
          <cell r="D2069">
            <v>1</v>
          </cell>
          <cell r="E2069" t="str">
            <v>ARIS.A2.Aim1.Bin2.RB</v>
          </cell>
          <cell r="F2069">
            <v>4</v>
          </cell>
          <cell r="G2069" t="str">
            <v>SplineDFA</v>
          </cell>
          <cell r="H2069" t="str">
            <v>Y</v>
          </cell>
          <cell r="I2069" t="str">
            <v>N</v>
          </cell>
          <cell r="J2069">
            <v>99</v>
          </cell>
          <cell r="K2069">
            <v>1</v>
          </cell>
          <cell r="L2069">
            <v>0.17449999999999999</v>
          </cell>
          <cell r="M2069">
            <v>23.7</v>
          </cell>
          <cell r="N2069">
            <v>2.7</v>
          </cell>
          <cell r="O2069">
            <v>0.82550000000000001</v>
          </cell>
          <cell r="P2069">
            <v>0.2072</v>
          </cell>
          <cell r="Q2069">
            <v>0.1971</v>
          </cell>
          <cell r="R2069">
            <v>0.42120000000000002</v>
          </cell>
          <cell r="S2069" t="str">
            <v>NA</v>
          </cell>
          <cell r="T2069">
            <v>61.6</v>
          </cell>
          <cell r="U2069">
            <v>5</v>
          </cell>
          <cell r="V2069">
            <v>82.6</v>
          </cell>
          <cell r="W2069">
            <v>8.3000000000000007</v>
          </cell>
          <cell r="X2069">
            <v>52.5</v>
          </cell>
          <cell r="Y2069">
            <v>6.8</v>
          </cell>
          <cell r="Z2069" t="str">
            <v>NA</v>
          </cell>
          <cell r="AA2069" t="str">
            <v>NA</v>
          </cell>
        </row>
        <row r="2070">
          <cell r="A2070">
            <v>45197</v>
          </cell>
          <cell r="B2070" t="str">
            <v>A2</v>
          </cell>
          <cell r="C2070">
            <v>3</v>
          </cell>
          <cell r="D2070">
            <v>1</v>
          </cell>
          <cell r="E2070" t="str">
            <v>ARIS.A2.Aim1.Bin3.RB</v>
          </cell>
          <cell r="F2070">
            <v>4</v>
          </cell>
          <cell r="G2070" t="str">
            <v>SplineDFA</v>
          </cell>
          <cell r="H2070" t="str">
            <v>Y</v>
          </cell>
          <cell r="I2070" t="str">
            <v>N</v>
          </cell>
          <cell r="J2070">
            <v>91</v>
          </cell>
          <cell r="K2070">
            <v>1</v>
          </cell>
          <cell r="L2070">
            <v>0.1119</v>
          </cell>
          <cell r="M2070">
            <v>23.7</v>
          </cell>
          <cell r="N2070">
            <v>2.7</v>
          </cell>
          <cell r="O2070">
            <v>0.8881</v>
          </cell>
          <cell r="P2070">
            <v>0.20430000000000001</v>
          </cell>
          <cell r="Q2070">
            <v>0.31269999999999998</v>
          </cell>
          <cell r="R2070">
            <v>0.37109999999999999</v>
          </cell>
          <cell r="S2070" t="str">
            <v>NA</v>
          </cell>
          <cell r="T2070">
            <v>61.6</v>
          </cell>
          <cell r="U2070">
            <v>5</v>
          </cell>
          <cell r="V2070">
            <v>82.6</v>
          </cell>
          <cell r="W2070">
            <v>8.3000000000000007</v>
          </cell>
          <cell r="X2070">
            <v>52.5</v>
          </cell>
          <cell r="Y2070">
            <v>6.8</v>
          </cell>
          <cell r="Z2070" t="str">
            <v>NA</v>
          </cell>
          <cell r="AA2070" t="str">
            <v>NA</v>
          </cell>
        </row>
        <row r="2071">
          <cell r="A2071">
            <v>45197</v>
          </cell>
          <cell r="B2071" t="str">
            <v>A2</v>
          </cell>
          <cell r="C2071">
            <v>4</v>
          </cell>
          <cell r="D2071">
            <v>1</v>
          </cell>
          <cell r="E2071" t="str">
            <v>ARIS.A2.Aim1.Bin4.RB</v>
          </cell>
          <cell r="F2071">
            <v>4</v>
          </cell>
          <cell r="G2071" t="str">
            <v>SplineDFA</v>
          </cell>
          <cell r="H2071" t="str">
            <v>Y</v>
          </cell>
          <cell r="I2071" t="str">
            <v>N</v>
          </cell>
          <cell r="J2071">
            <v>91</v>
          </cell>
          <cell r="K2071">
            <v>1</v>
          </cell>
          <cell r="L2071">
            <v>0.1119</v>
          </cell>
          <cell r="M2071">
            <v>23.7</v>
          </cell>
          <cell r="N2071">
            <v>2.7</v>
          </cell>
          <cell r="O2071">
            <v>0.8881</v>
          </cell>
          <cell r="P2071">
            <v>0.20430000000000001</v>
          </cell>
          <cell r="Q2071">
            <v>0.31269999999999998</v>
          </cell>
          <cell r="R2071">
            <v>0.37109999999999999</v>
          </cell>
          <cell r="S2071" t="str">
            <v>NA</v>
          </cell>
          <cell r="T2071">
            <v>61.6</v>
          </cell>
          <cell r="U2071">
            <v>5</v>
          </cell>
          <cell r="V2071">
            <v>82.6</v>
          </cell>
          <cell r="W2071">
            <v>8.3000000000000007</v>
          </cell>
          <cell r="X2071">
            <v>52.5</v>
          </cell>
          <cell r="Y2071">
            <v>6.8</v>
          </cell>
          <cell r="Z2071" t="str">
            <v>NA</v>
          </cell>
          <cell r="AA2071" t="str">
            <v>NA</v>
          </cell>
        </row>
        <row r="2072">
          <cell r="A2072">
            <v>45197</v>
          </cell>
          <cell r="B2072" t="str">
            <v>A1</v>
          </cell>
          <cell r="C2072">
            <v>1</v>
          </cell>
          <cell r="D2072">
            <v>1</v>
          </cell>
          <cell r="E2072" t="str">
            <v>ARIS.A1.Aim1.Bin1.LB</v>
          </cell>
          <cell r="F2072">
            <v>4</v>
          </cell>
          <cell r="G2072" t="str">
            <v>Unweighted</v>
          </cell>
          <cell r="H2072" t="str">
            <v>N</v>
          </cell>
          <cell r="I2072" t="str">
            <v>Y</v>
          </cell>
          <cell r="J2072">
            <v>186</v>
          </cell>
          <cell r="K2072">
            <v>0.99990000000000001</v>
          </cell>
          <cell r="L2072">
            <v>0.64159999999999995</v>
          </cell>
          <cell r="M2072">
            <v>25.7</v>
          </cell>
          <cell r="N2072">
            <v>6.6</v>
          </cell>
          <cell r="O2072">
            <v>0.35830000000000001</v>
          </cell>
          <cell r="P2072">
            <v>0.1095</v>
          </cell>
          <cell r="Q2072">
            <v>1.04E-2</v>
          </cell>
          <cell r="R2072">
            <v>0.2384</v>
          </cell>
          <cell r="S2072" t="str">
            <v>NA</v>
          </cell>
          <cell r="T2072">
            <v>61.6</v>
          </cell>
          <cell r="U2072">
            <v>5</v>
          </cell>
          <cell r="V2072">
            <v>82.6</v>
          </cell>
          <cell r="W2072">
            <v>8.3000000000000007</v>
          </cell>
          <cell r="X2072">
            <v>52.5</v>
          </cell>
          <cell r="Y2072">
            <v>6.8</v>
          </cell>
          <cell r="Z2072" t="str">
            <v>NA</v>
          </cell>
          <cell r="AA2072" t="str">
            <v>NA</v>
          </cell>
        </row>
        <row r="2073">
          <cell r="A2073">
            <v>45197</v>
          </cell>
          <cell r="B2073" t="str">
            <v>A1</v>
          </cell>
          <cell r="C2073">
            <v>1</v>
          </cell>
          <cell r="D2073">
            <v>2</v>
          </cell>
          <cell r="E2073" t="str">
            <v>ARIS.A1.Aim2.Bin1.LB</v>
          </cell>
          <cell r="F2073">
            <v>4</v>
          </cell>
          <cell r="G2073" t="str">
            <v>Unweighted</v>
          </cell>
          <cell r="H2073" t="str">
            <v>N</v>
          </cell>
          <cell r="I2073" t="str">
            <v>Y</v>
          </cell>
          <cell r="J2073">
            <v>125</v>
          </cell>
          <cell r="K2073">
            <v>1</v>
          </cell>
          <cell r="L2073">
            <v>0.47870000000000001</v>
          </cell>
          <cell r="M2073">
            <v>21.7</v>
          </cell>
          <cell r="N2073">
            <v>6.7</v>
          </cell>
          <cell r="O2073">
            <v>0.52129999999999999</v>
          </cell>
          <cell r="P2073">
            <v>5.3699999999999998E-2</v>
          </cell>
          <cell r="Q2073">
            <v>1.0999999999999999E-2</v>
          </cell>
          <cell r="R2073">
            <v>0.45660000000000001</v>
          </cell>
          <cell r="S2073" t="str">
            <v>NA</v>
          </cell>
          <cell r="T2073">
            <v>61.6</v>
          </cell>
          <cell r="U2073">
            <v>5</v>
          </cell>
          <cell r="V2073">
            <v>82.6</v>
          </cell>
          <cell r="W2073">
            <v>8.3000000000000007</v>
          </cell>
          <cell r="X2073">
            <v>52.5</v>
          </cell>
          <cell r="Y2073">
            <v>6.8</v>
          </cell>
          <cell r="Z2073" t="str">
            <v>NA</v>
          </cell>
          <cell r="AA2073" t="str">
            <v>NA</v>
          </cell>
        </row>
        <row r="2074">
          <cell r="A2074">
            <v>45197</v>
          </cell>
          <cell r="B2074" t="str">
            <v>A1</v>
          </cell>
          <cell r="C2074">
            <v>1</v>
          </cell>
          <cell r="D2074" t="str">
            <v>1&amp;2</v>
          </cell>
          <cell r="E2074" t="str">
            <v>ARIS.A1.Aim1&amp;Aim2.Bin1.LB</v>
          </cell>
          <cell r="F2074">
            <v>4</v>
          </cell>
          <cell r="G2074" t="str">
            <v>Unweighted</v>
          </cell>
          <cell r="H2074" t="str">
            <v>N</v>
          </cell>
          <cell r="I2074" t="str">
            <v>Y</v>
          </cell>
          <cell r="J2074">
            <v>311</v>
          </cell>
          <cell r="K2074">
            <v>0.99990000000000001</v>
          </cell>
          <cell r="L2074">
            <v>0.58120000000000005</v>
          </cell>
          <cell r="M2074">
            <v>24.5</v>
          </cell>
          <cell r="N2074">
            <v>7</v>
          </cell>
          <cell r="O2074">
            <v>0.41870000000000002</v>
          </cell>
          <cell r="P2074">
            <v>8.8700000000000001E-2</v>
          </cell>
          <cell r="Q2074">
            <v>1.06E-2</v>
          </cell>
          <cell r="R2074">
            <v>0.31940000000000002</v>
          </cell>
          <cell r="S2074" t="str">
            <v>NA</v>
          </cell>
          <cell r="T2074">
            <v>61.6</v>
          </cell>
          <cell r="U2074">
            <v>5</v>
          </cell>
          <cell r="V2074">
            <v>82.6</v>
          </cell>
          <cell r="W2074">
            <v>8.3000000000000007</v>
          </cell>
          <cell r="X2074">
            <v>52.5</v>
          </cell>
          <cell r="Y2074">
            <v>6.8</v>
          </cell>
          <cell r="Z2074" t="str">
            <v>NA</v>
          </cell>
          <cell r="AA2074" t="str">
            <v>NA</v>
          </cell>
        </row>
        <row r="2075">
          <cell r="A2075">
            <v>45197</v>
          </cell>
          <cell r="B2075" t="str">
            <v>A1</v>
          </cell>
          <cell r="C2075">
            <v>2</v>
          </cell>
          <cell r="D2075">
            <v>3</v>
          </cell>
          <cell r="E2075" t="str">
            <v>ARIS.A1.Aim3.Bin2.LB</v>
          </cell>
          <cell r="F2075">
            <v>4</v>
          </cell>
          <cell r="G2075" t="str">
            <v>Unweighted</v>
          </cell>
          <cell r="H2075" t="str">
            <v>N</v>
          </cell>
          <cell r="I2075" t="str">
            <v>Y</v>
          </cell>
          <cell r="J2075">
            <v>135</v>
          </cell>
          <cell r="K2075">
            <v>1</v>
          </cell>
          <cell r="L2075">
            <v>0.3841</v>
          </cell>
          <cell r="M2075">
            <v>33.799999999999997</v>
          </cell>
          <cell r="N2075">
            <v>7.1</v>
          </cell>
          <cell r="O2075">
            <v>0.6159</v>
          </cell>
          <cell r="P2075">
            <v>0.2331</v>
          </cell>
          <cell r="Q2075">
            <v>0.17180000000000001</v>
          </cell>
          <cell r="R2075">
            <v>0.21099999999999999</v>
          </cell>
          <cell r="S2075" t="str">
            <v>NA</v>
          </cell>
          <cell r="T2075">
            <v>61.6</v>
          </cell>
          <cell r="U2075">
            <v>5</v>
          </cell>
          <cell r="V2075">
            <v>82.6</v>
          </cell>
          <cell r="W2075">
            <v>8.3000000000000007</v>
          </cell>
          <cell r="X2075">
            <v>52.5</v>
          </cell>
          <cell r="Y2075">
            <v>6.8</v>
          </cell>
          <cell r="Z2075" t="str">
            <v>NA</v>
          </cell>
          <cell r="AA2075" t="str">
            <v>NA</v>
          </cell>
        </row>
        <row r="2076">
          <cell r="A2076">
            <v>45197</v>
          </cell>
          <cell r="B2076" t="str">
            <v>A1</v>
          </cell>
          <cell r="C2076">
            <v>3</v>
          </cell>
          <cell r="D2076">
            <v>3</v>
          </cell>
          <cell r="E2076" t="str">
            <v>ARIS.A1.Aim3.Bin3.LB</v>
          </cell>
          <cell r="F2076">
            <v>4</v>
          </cell>
          <cell r="G2076" t="str">
            <v>Unweighted</v>
          </cell>
          <cell r="H2076" t="str">
            <v>N</v>
          </cell>
          <cell r="I2076" t="str">
            <v>Y</v>
          </cell>
          <cell r="J2076">
            <v>164</v>
          </cell>
          <cell r="K2076">
            <v>1</v>
          </cell>
          <cell r="L2076">
            <v>0.13819999999999999</v>
          </cell>
          <cell r="M2076">
            <v>23.7</v>
          </cell>
          <cell r="N2076">
            <v>11.6</v>
          </cell>
          <cell r="O2076">
            <v>0.86180000000000001</v>
          </cell>
          <cell r="P2076">
            <v>0.19650000000000001</v>
          </cell>
          <cell r="Q2076">
            <v>0.22720000000000001</v>
          </cell>
          <cell r="R2076">
            <v>0.43809999999999999</v>
          </cell>
          <cell r="S2076" t="str">
            <v>NA</v>
          </cell>
          <cell r="T2076">
            <v>61.6</v>
          </cell>
          <cell r="U2076">
            <v>5</v>
          </cell>
          <cell r="V2076">
            <v>82.6</v>
          </cell>
          <cell r="W2076">
            <v>8.3000000000000007</v>
          </cell>
          <cell r="X2076">
            <v>52.5</v>
          </cell>
          <cell r="Y2076">
            <v>6.8</v>
          </cell>
          <cell r="Z2076" t="str">
            <v>NA</v>
          </cell>
          <cell r="AA2076" t="str">
            <v>NA</v>
          </cell>
        </row>
        <row r="2077">
          <cell r="A2077">
            <v>45197</v>
          </cell>
          <cell r="B2077" t="str">
            <v>A1</v>
          </cell>
          <cell r="C2077">
            <v>4</v>
          </cell>
          <cell r="D2077">
            <v>3</v>
          </cell>
          <cell r="E2077" t="str">
            <v>ARIS.A1.Aim3.Bin4.LB</v>
          </cell>
          <cell r="F2077">
            <v>4</v>
          </cell>
          <cell r="G2077" t="str">
            <v>Unweighted</v>
          </cell>
          <cell r="H2077" t="str">
            <v>N</v>
          </cell>
          <cell r="I2077" t="str">
            <v>Y</v>
          </cell>
          <cell r="J2077">
            <v>164</v>
          </cell>
          <cell r="K2077">
            <v>1</v>
          </cell>
          <cell r="L2077">
            <v>0.13819999999999999</v>
          </cell>
          <cell r="M2077">
            <v>23.7</v>
          </cell>
          <cell r="N2077">
            <v>11.6</v>
          </cell>
          <cell r="O2077">
            <v>0.86180000000000001</v>
          </cell>
          <cell r="P2077">
            <v>0.19650000000000001</v>
          </cell>
          <cell r="Q2077">
            <v>0.22720000000000001</v>
          </cell>
          <cell r="R2077">
            <v>0.43809999999999999</v>
          </cell>
          <cell r="S2077" t="str">
            <v>NA</v>
          </cell>
          <cell r="T2077">
            <v>61.6</v>
          </cell>
          <cell r="U2077">
            <v>5</v>
          </cell>
          <cell r="V2077">
            <v>82.6</v>
          </cell>
          <cell r="W2077">
            <v>8.3000000000000007</v>
          </cell>
          <cell r="X2077">
            <v>52.5</v>
          </cell>
          <cell r="Y2077">
            <v>6.8</v>
          </cell>
          <cell r="Z2077" t="str">
            <v>NA</v>
          </cell>
          <cell r="AA2077" t="str">
            <v>NA</v>
          </cell>
        </row>
        <row r="2078">
          <cell r="A2078">
            <v>45197</v>
          </cell>
          <cell r="B2078" t="str">
            <v>A2</v>
          </cell>
          <cell r="C2078">
            <v>1</v>
          </cell>
          <cell r="D2078">
            <v>1</v>
          </cell>
          <cell r="E2078" t="str">
            <v>ARIS.A2.Aim1.Bin1.RB</v>
          </cell>
          <cell r="F2078">
            <v>4</v>
          </cell>
          <cell r="G2078" t="str">
            <v>Unweighted</v>
          </cell>
          <cell r="H2078" t="str">
            <v>N</v>
          </cell>
          <cell r="I2078" t="str">
            <v>Y</v>
          </cell>
          <cell r="J2078">
            <v>134</v>
          </cell>
          <cell r="K2078">
            <v>1.0001</v>
          </cell>
          <cell r="L2078">
            <v>0.45179999999999998</v>
          </cell>
          <cell r="M2078">
            <v>25.9</v>
          </cell>
          <cell r="N2078">
            <v>7.9</v>
          </cell>
          <cell r="O2078">
            <v>0.54830000000000001</v>
          </cell>
          <cell r="P2078">
            <v>0.1331</v>
          </cell>
          <cell r="Q2078">
            <v>5.21E-2</v>
          </cell>
          <cell r="R2078">
            <v>0.36309999999999998</v>
          </cell>
          <cell r="S2078" t="str">
            <v>NA</v>
          </cell>
          <cell r="T2078">
            <v>61.6</v>
          </cell>
          <cell r="U2078">
            <v>5</v>
          </cell>
          <cell r="V2078">
            <v>82.6</v>
          </cell>
          <cell r="W2078">
            <v>8.3000000000000007</v>
          </cell>
          <cell r="X2078">
            <v>52.5</v>
          </cell>
          <cell r="Y2078">
            <v>6.8</v>
          </cell>
          <cell r="Z2078" t="str">
            <v>NA</v>
          </cell>
          <cell r="AA2078" t="str">
            <v>NA</v>
          </cell>
        </row>
        <row r="2079">
          <cell r="A2079">
            <v>45197</v>
          </cell>
          <cell r="B2079" t="str">
            <v>A2</v>
          </cell>
          <cell r="C2079">
            <v>2</v>
          </cell>
          <cell r="D2079">
            <v>1</v>
          </cell>
          <cell r="E2079" t="str">
            <v>ARIS.A2.Aim1.Bin2.RB</v>
          </cell>
          <cell r="F2079">
            <v>4</v>
          </cell>
          <cell r="G2079" t="str">
            <v>Unweighted</v>
          </cell>
          <cell r="H2079" t="str">
            <v>N</v>
          </cell>
          <cell r="I2079" t="str">
            <v>Y</v>
          </cell>
          <cell r="J2079">
            <v>99</v>
          </cell>
          <cell r="K2079">
            <v>1</v>
          </cell>
          <cell r="L2079">
            <v>0.33350000000000002</v>
          </cell>
          <cell r="M2079">
            <v>30.6</v>
          </cell>
          <cell r="N2079">
            <v>6</v>
          </cell>
          <cell r="O2079">
            <v>0.66649999999999998</v>
          </cell>
          <cell r="P2079">
            <v>0.2089</v>
          </cell>
          <cell r="Q2079">
            <v>7.7700000000000005E-2</v>
          </cell>
          <cell r="R2079">
            <v>0.37990000000000002</v>
          </cell>
          <cell r="S2079" t="str">
            <v>NA</v>
          </cell>
          <cell r="T2079">
            <v>61.6</v>
          </cell>
          <cell r="U2079">
            <v>5</v>
          </cell>
          <cell r="V2079">
            <v>82.6</v>
          </cell>
          <cell r="W2079">
            <v>8.3000000000000007</v>
          </cell>
          <cell r="X2079">
            <v>52.5</v>
          </cell>
          <cell r="Y2079">
            <v>6.8</v>
          </cell>
          <cell r="Z2079" t="str">
            <v>NA</v>
          </cell>
          <cell r="AA2079" t="str">
            <v>NA</v>
          </cell>
        </row>
        <row r="2080">
          <cell r="A2080">
            <v>45197</v>
          </cell>
          <cell r="B2080" t="str">
            <v>A2</v>
          </cell>
          <cell r="C2080">
            <v>3</v>
          </cell>
          <cell r="D2080">
            <v>1</v>
          </cell>
          <cell r="E2080" t="str">
            <v>ARIS.A2.Aim1.Bin3.RB</v>
          </cell>
          <cell r="F2080">
            <v>4</v>
          </cell>
          <cell r="G2080" t="str">
            <v>Unweighted</v>
          </cell>
          <cell r="H2080" t="str">
            <v>N</v>
          </cell>
          <cell r="I2080" t="str">
            <v>Y</v>
          </cell>
          <cell r="J2080">
            <v>91</v>
          </cell>
          <cell r="K2080">
            <v>1</v>
          </cell>
          <cell r="L2080">
            <v>0.27510000000000001</v>
          </cell>
          <cell r="M2080">
            <v>23.7</v>
          </cell>
          <cell r="N2080">
            <v>11.3</v>
          </cell>
          <cell r="O2080">
            <v>0.72489999999999999</v>
          </cell>
          <cell r="P2080">
            <v>0.11360000000000001</v>
          </cell>
          <cell r="Q2080">
            <v>0.23719999999999999</v>
          </cell>
          <cell r="R2080">
            <v>0.37409999999999999</v>
          </cell>
          <cell r="S2080" t="str">
            <v>NA</v>
          </cell>
          <cell r="T2080">
            <v>61.6</v>
          </cell>
          <cell r="U2080">
            <v>5</v>
          </cell>
          <cell r="V2080">
            <v>82.6</v>
          </cell>
          <cell r="W2080">
            <v>8.3000000000000007</v>
          </cell>
          <cell r="X2080">
            <v>52.5</v>
          </cell>
          <cell r="Y2080">
            <v>6.8</v>
          </cell>
          <cell r="Z2080" t="str">
            <v>NA</v>
          </cell>
          <cell r="AA2080" t="str">
            <v>NA</v>
          </cell>
        </row>
        <row r="2081">
          <cell r="A2081">
            <v>45197</v>
          </cell>
          <cell r="B2081" t="str">
            <v>A2</v>
          </cell>
          <cell r="C2081">
            <v>4</v>
          </cell>
          <cell r="D2081">
            <v>1</v>
          </cell>
          <cell r="E2081" t="str">
            <v>ARIS.A2.Aim1.Bin4.RB</v>
          </cell>
          <cell r="F2081">
            <v>4</v>
          </cell>
          <cell r="G2081" t="str">
            <v>Unweighted</v>
          </cell>
          <cell r="H2081" t="str">
            <v>N</v>
          </cell>
          <cell r="I2081" t="str">
            <v>Y</v>
          </cell>
          <cell r="J2081">
            <v>91</v>
          </cell>
          <cell r="K2081">
            <v>1</v>
          </cell>
          <cell r="L2081">
            <v>0.27510000000000001</v>
          </cell>
          <cell r="M2081">
            <v>23.7</v>
          </cell>
          <cell r="N2081">
            <v>11.3</v>
          </cell>
          <cell r="O2081">
            <v>0.72489999999999999</v>
          </cell>
          <cell r="P2081">
            <v>0.11360000000000001</v>
          </cell>
          <cell r="Q2081">
            <v>0.23719999999999999</v>
          </cell>
          <cell r="R2081">
            <v>0.37409999999999999</v>
          </cell>
          <cell r="S2081" t="str">
            <v>NA</v>
          </cell>
          <cell r="T2081">
            <v>61.6</v>
          </cell>
          <cell r="U2081">
            <v>5</v>
          </cell>
          <cell r="V2081">
            <v>82.6</v>
          </cell>
          <cell r="W2081">
            <v>8.3000000000000007</v>
          </cell>
          <cell r="X2081">
            <v>52.5</v>
          </cell>
          <cell r="Y2081">
            <v>6.8</v>
          </cell>
          <cell r="Z2081" t="str">
            <v>NA</v>
          </cell>
          <cell r="AA2081" t="str">
            <v>NA</v>
          </cell>
        </row>
        <row r="2082">
          <cell r="A2082">
            <v>45198</v>
          </cell>
          <cell r="B2082" t="str">
            <v>A1</v>
          </cell>
          <cell r="C2082">
            <v>1</v>
          </cell>
          <cell r="D2082">
            <v>1</v>
          </cell>
          <cell r="E2082" t="str">
            <v>ARIS.A1.Aim1.Bin1.LB</v>
          </cell>
          <cell r="F2082">
            <v>4</v>
          </cell>
          <cell r="G2082" t="str">
            <v>SplineDFA</v>
          </cell>
          <cell r="H2082" t="str">
            <v>Y</v>
          </cell>
          <cell r="I2082" t="str">
            <v>N</v>
          </cell>
          <cell r="J2082">
            <v>183</v>
          </cell>
          <cell r="K2082">
            <v>1</v>
          </cell>
          <cell r="L2082">
            <v>0.18379999999999999</v>
          </cell>
          <cell r="M2082">
            <v>23.7</v>
          </cell>
          <cell r="N2082">
            <v>2.7</v>
          </cell>
          <cell r="O2082">
            <v>0.81620000000000004</v>
          </cell>
          <cell r="P2082">
            <v>0.1774</v>
          </cell>
          <cell r="Q2082">
            <v>3.0300000000000001E-2</v>
          </cell>
          <cell r="R2082">
            <v>0.60850000000000004</v>
          </cell>
          <cell r="S2082" t="str">
            <v>NA</v>
          </cell>
          <cell r="T2082">
            <v>61.6</v>
          </cell>
          <cell r="U2082">
            <v>5</v>
          </cell>
          <cell r="V2082">
            <v>82.6</v>
          </cell>
          <cell r="W2082">
            <v>8.3000000000000007</v>
          </cell>
          <cell r="X2082">
            <v>52.5</v>
          </cell>
          <cell r="Y2082">
            <v>6.8</v>
          </cell>
          <cell r="Z2082" t="str">
            <v>NA</v>
          </cell>
          <cell r="AA2082" t="str">
            <v>NA</v>
          </cell>
        </row>
        <row r="2083">
          <cell r="A2083">
            <v>45198</v>
          </cell>
          <cell r="B2083" t="str">
            <v>A1</v>
          </cell>
          <cell r="C2083">
            <v>1</v>
          </cell>
          <cell r="D2083">
            <v>2</v>
          </cell>
          <cell r="E2083" t="str">
            <v>ARIS.A1.Aim2.Bin1.LB</v>
          </cell>
          <cell r="F2083">
            <v>4</v>
          </cell>
          <cell r="G2083" t="str">
            <v>SplineDFA</v>
          </cell>
          <cell r="H2083" t="str">
            <v>Y</v>
          </cell>
          <cell r="I2083" t="str">
            <v>N</v>
          </cell>
          <cell r="J2083">
            <v>113</v>
          </cell>
          <cell r="K2083">
            <v>1</v>
          </cell>
          <cell r="L2083">
            <v>0.43480000000000002</v>
          </cell>
          <cell r="M2083">
            <v>23.7</v>
          </cell>
          <cell r="N2083">
            <v>2.7</v>
          </cell>
          <cell r="O2083">
            <v>0.56520000000000004</v>
          </cell>
          <cell r="P2083">
            <v>0.1048</v>
          </cell>
          <cell r="Q2083">
            <v>8.1699999999999995E-2</v>
          </cell>
          <cell r="R2083">
            <v>0.37869999999999998</v>
          </cell>
          <cell r="S2083" t="str">
            <v>NA</v>
          </cell>
          <cell r="T2083">
            <v>61.6</v>
          </cell>
          <cell r="U2083">
            <v>5</v>
          </cell>
          <cell r="V2083">
            <v>82.6</v>
          </cell>
          <cell r="W2083">
            <v>8.3000000000000007</v>
          </cell>
          <cell r="X2083">
            <v>52.5</v>
          </cell>
          <cell r="Y2083">
            <v>6.8</v>
          </cell>
          <cell r="Z2083" t="str">
            <v>NA</v>
          </cell>
          <cell r="AA2083" t="str">
            <v>NA</v>
          </cell>
        </row>
        <row r="2084">
          <cell r="A2084">
            <v>45198</v>
          </cell>
          <cell r="B2084" t="str">
            <v>A1</v>
          </cell>
          <cell r="C2084">
            <v>2</v>
          </cell>
          <cell r="D2084">
            <v>3</v>
          </cell>
          <cell r="E2084" t="str">
            <v>ARIS.A1.Aim3.Bin2.LB</v>
          </cell>
          <cell r="F2084">
            <v>4</v>
          </cell>
          <cell r="G2084" t="str">
            <v>SplineDFA</v>
          </cell>
          <cell r="H2084" t="str">
            <v>Y</v>
          </cell>
          <cell r="I2084" t="str">
            <v>N</v>
          </cell>
          <cell r="J2084">
            <v>177</v>
          </cell>
          <cell r="K2084">
            <v>1</v>
          </cell>
          <cell r="L2084">
            <v>9.5600000000000004E-2</v>
          </cell>
          <cell r="M2084">
            <v>23.7</v>
          </cell>
          <cell r="N2084">
            <v>2.7</v>
          </cell>
          <cell r="O2084">
            <v>0.90439999999999998</v>
          </cell>
          <cell r="P2084">
            <v>0.22359999999999999</v>
          </cell>
          <cell r="Q2084">
            <v>0.1273</v>
          </cell>
          <cell r="R2084">
            <v>0.55349999999999999</v>
          </cell>
          <cell r="S2084" t="str">
            <v>NA</v>
          </cell>
          <cell r="T2084">
            <v>61.6</v>
          </cell>
          <cell r="U2084">
            <v>5</v>
          </cell>
          <cell r="V2084">
            <v>82.6</v>
          </cell>
          <cell r="W2084">
            <v>8.3000000000000007</v>
          </cell>
          <cell r="X2084">
            <v>52.5</v>
          </cell>
          <cell r="Y2084">
            <v>6.8</v>
          </cell>
          <cell r="Z2084" t="str">
            <v>NA</v>
          </cell>
          <cell r="AA2084" t="str">
            <v>NA</v>
          </cell>
        </row>
        <row r="2085">
          <cell r="A2085">
            <v>45198</v>
          </cell>
          <cell r="B2085" t="str">
            <v>A1</v>
          </cell>
          <cell r="C2085">
            <v>3</v>
          </cell>
          <cell r="D2085">
            <v>3</v>
          </cell>
          <cell r="E2085" t="str">
            <v>ARIS.A1.Aim3.Bin3.LB</v>
          </cell>
          <cell r="F2085">
            <v>4</v>
          </cell>
          <cell r="G2085" t="str">
            <v>SplineDFA</v>
          </cell>
          <cell r="H2085" t="str">
            <v>Y</v>
          </cell>
          <cell r="I2085" t="str">
            <v>N</v>
          </cell>
          <cell r="J2085">
            <v>181</v>
          </cell>
          <cell r="K2085">
            <v>1</v>
          </cell>
          <cell r="L2085">
            <v>1.7299999999999999E-2</v>
          </cell>
          <cell r="M2085">
            <v>23.7</v>
          </cell>
          <cell r="N2085">
            <v>2.7</v>
          </cell>
          <cell r="O2085">
            <v>0.98270000000000002</v>
          </cell>
          <cell r="P2085">
            <v>0.37609999999999999</v>
          </cell>
          <cell r="Q2085">
            <v>0.2142</v>
          </cell>
          <cell r="R2085">
            <v>0.39240000000000003</v>
          </cell>
          <cell r="S2085" t="str">
            <v>NA</v>
          </cell>
          <cell r="T2085">
            <v>61.6</v>
          </cell>
          <cell r="U2085">
            <v>5</v>
          </cell>
          <cell r="V2085">
            <v>82.6</v>
          </cell>
          <cell r="W2085">
            <v>8.3000000000000007</v>
          </cell>
          <cell r="X2085">
            <v>52.5</v>
          </cell>
          <cell r="Y2085">
            <v>6.8</v>
          </cell>
          <cell r="Z2085" t="str">
            <v>NA</v>
          </cell>
          <cell r="AA2085" t="str">
            <v>NA</v>
          </cell>
        </row>
        <row r="2086">
          <cell r="A2086">
            <v>45198</v>
          </cell>
          <cell r="B2086" t="str">
            <v>A1</v>
          </cell>
          <cell r="C2086">
            <v>4</v>
          </cell>
          <cell r="D2086">
            <v>3</v>
          </cell>
          <cell r="E2086" t="str">
            <v>ARIS.A1.Aim3.Bin4.LB</v>
          </cell>
          <cell r="F2086">
            <v>4</v>
          </cell>
          <cell r="G2086" t="str">
            <v>SplineDFA</v>
          </cell>
          <cell r="H2086" t="str">
            <v>Y</v>
          </cell>
          <cell r="I2086" t="str">
            <v>N</v>
          </cell>
          <cell r="J2086">
            <v>181</v>
          </cell>
          <cell r="K2086">
            <v>1</v>
          </cell>
          <cell r="L2086">
            <v>1.7299999999999999E-2</v>
          </cell>
          <cell r="M2086">
            <v>23.7</v>
          </cell>
          <cell r="N2086">
            <v>2.7</v>
          </cell>
          <cell r="O2086">
            <v>0.98270000000000002</v>
          </cell>
          <cell r="P2086">
            <v>0.37609999999999999</v>
          </cell>
          <cell r="Q2086">
            <v>0.2142</v>
          </cell>
          <cell r="R2086">
            <v>0.39240000000000003</v>
          </cell>
          <cell r="S2086" t="str">
            <v>NA</v>
          </cell>
          <cell r="T2086">
            <v>61.6</v>
          </cell>
          <cell r="U2086">
            <v>5</v>
          </cell>
          <cell r="V2086">
            <v>82.6</v>
          </cell>
          <cell r="W2086">
            <v>8.3000000000000007</v>
          </cell>
          <cell r="X2086">
            <v>52.5</v>
          </cell>
          <cell r="Y2086">
            <v>6.8</v>
          </cell>
          <cell r="Z2086" t="str">
            <v>NA</v>
          </cell>
          <cell r="AA2086" t="str">
            <v>NA</v>
          </cell>
        </row>
        <row r="2087">
          <cell r="A2087">
            <v>45198</v>
          </cell>
          <cell r="B2087" t="str">
            <v>A1</v>
          </cell>
          <cell r="C2087">
            <v>1</v>
          </cell>
          <cell r="D2087">
            <v>1</v>
          </cell>
          <cell r="E2087" t="str">
            <v>ARIS.A1.Aim1.Bin1.LB</v>
          </cell>
          <cell r="F2087">
            <v>4</v>
          </cell>
          <cell r="G2087" t="str">
            <v>Unweighted</v>
          </cell>
          <cell r="H2087" t="str">
            <v>N</v>
          </cell>
          <cell r="I2087" t="str">
            <v>Y</v>
          </cell>
          <cell r="J2087">
            <v>183</v>
          </cell>
          <cell r="K2087">
            <v>1</v>
          </cell>
          <cell r="L2087">
            <v>0.62709999999999999</v>
          </cell>
          <cell r="M2087">
            <v>31.3</v>
          </cell>
          <cell r="N2087">
            <v>8.8000000000000007</v>
          </cell>
          <cell r="O2087">
            <v>0.37290000000000001</v>
          </cell>
          <cell r="P2087">
            <v>9.9900000000000003E-2</v>
          </cell>
          <cell r="Q2087">
            <v>5.1999999999999998E-3</v>
          </cell>
          <cell r="R2087">
            <v>0.26779999999999998</v>
          </cell>
          <cell r="S2087" t="str">
            <v>NA</v>
          </cell>
          <cell r="T2087">
            <v>61.6</v>
          </cell>
          <cell r="U2087">
            <v>5</v>
          </cell>
          <cell r="V2087">
            <v>82.6</v>
          </cell>
          <cell r="W2087">
            <v>8.3000000000000007</v>
          </cell>
          <cell r="X2087">
            <v>52.5</v>
          </cell>
          <cell r="Y2087">
            <v>6.8</v>
          </cell>
          <cell r="Z2087" t="str">
            <v>NA</v>
          </cell>
          <cell r="AA2087" t="str">
            <v>NA</v>
          </cell>
        </row>
        <row r="2088">
          <cell r="A2088">
            <v>45198</v>
          </cell>
          <cell r="B2088" t="str">
            <v>A1</v>
          </cell>
          <cell r="C2088">
            <v>1</v>
          </cell>
          <cell r="D2088">
            <v>2</v>
          </cell>
          <cell r="E2088" t="str">
            <v>ARIS.A1.Aim2.Bin1.LB</v>
          </cell>
          <cell r="F2088">
            <v>4</v>
          </cell>
          <cell r="G2088" t="str">
            <v>Unweighted</v>
          </cell>
          <cell r="H2088" t="str">
            <v>N</v>
          </cell>
          <cell r="I2088" t="str">
            <v>Y</v>
          </cell>
          <cell r="J2088">
            <v>113</v>
          </cell>
          <cell r="K2088">
            <v>0.99990000000000001</v>
          </cell>
          <cell r="L2088">
            <v>0.67879999999999996</v>
          </cell>
          <cell r="M2088">
            <v>21.3</v>
          </cell>
          <cell r="N2088">
            <v>8.6999999999999993</v>
          </cell>
          <cell r="O2088">
            <v>0.3211</v>
          </cell>
          <cell r="P2088">
            <v>5.5500000000000001E-2</v>
          </cell>
          <cell r="Q2088">
            <v>3.2300000000000002E-2</v>
          </cell>
          <cell r="R2088">
            <v>0.23330000000000001</v>
          </cell>
          <cell r="S2088" t="str">
            <v>NA</v>
          </cell>
          <cell r="T2088">
            <v>61.6</v>
          </cell>
          <cell r="U2088">
            <v>5</v>
          </cell>
          <cell r="V2088">
            <v>82.6</v>
          </cell>
          <cell r="W2088">
            <v>8.3000000000000007</v>
          </cell>
          <cell r="X2088">
            <v>52.5</v>
          </cell>
          <cell r="Y2088">
            <v>6.8</v>
          </cell>
          <cell r="Z2088" t="str">
            <v>NA</v>
          </cell>
          <cell r="AA2088" t="str">
            <v>NA</v>
          </cell>
        </row>
        <row r="2089">
          <cell r="A2089">
            <v>45198</v>
          </cell>
          <cell r="B2089" t="str">
            <v>A1</v>
          </cell>
          <cell r="C2089">
            <v>1</v>
          </cell>
          <cell r="D2089" t="str">
            <v>1&amp;2</v>
          </cell>
          <cell r="E2089" t="str">
            <v>ARIS.A1.Aim1&amp;Aim2.Bin1.LB</v>
          </cell>
          <cell r="F2089">
            <v>4</v>
          </cell>
          <cell r="G2089" t="str">
            <v>Unweighted</v>
          </cell>
          <cell r="H2089" t="str">
            <v>N</v>
          </cell>
          <cell r="I2089" t="str">
            <v>Y</v>
          </cell>
          <cell r="J2089">
            <v>296</v>
          </cell>
          <cell r="K2089">
            <v>1</v>
          </cell>
          <cell r="L2089">
            <v>0.64380000000000004</v>
          </cell>
          <cell r="M2089">
            <v>27.2</v>
          </cell>
          <cell r="N2089">
            <v>10.1</v>
          </cell>
          <cell r="O2089">
            <v>0.35620000000000002</v>
          </cell>
          <cell r="P2089">
            <v>8.7499999999999994E-2</v>
          </cell>
          <cell r="Q2089">
            <v>1.2200000000000001E-2</v>
          </cell>
          <cell r="R2089">
            <v>0.25650000000000001</v>
          </cell>
          <cell r="S2089" t="str">
            <v>NA</v>
          </cell>
          <cell r="T2089">
            <v>61.6</v>
          </cell>
          <cell r="U2089">
            <v>5</v>
          </cell>
          <cell r="V2089">
            <v>82.6</v>
          </cell>
          <cell r="W2089">
            <v>8.3000000000000007</v>
          </cell>
          <cell r="X2089">
            <v>52.5</v>
          </cell>
          <cell r="Y2089">
            <v>6.8</v>
          </cell>
          <cell r="Z2089" t="str">
            <v>NA</v>
          </cell>
          <cell r="AA2089" t="str">
            <v>NA</v>
          </cell>
        </row>
        <row r="2090">
          <cell r="A2090">
            <v>45198</v>
          </cell>
          <cell r="B2090" t="str">
            <v>A1</v>
          </cell>
          <cell r="C2090">
            <v>2</v>
          </cell>
          <cell r="D2090">
            <v>3</v>
          </cell>
          <cell r="E2090" t="str">
            <v>ARIS.A1.Aim3.Bin2.LB</v>
          </cell>
          <cell r="F2090">
            <v>4</v>
          </cell>
          <cell r="G2090" t="str">
            <v>Unweighted</v>
          </cell>
          <cell r="H2090" t="str">
            <v>N</v>
          </cell>
          <cell r="I2090" t="str">
            <v>Y</v>
          </cell>
          <cell r="J2090">
            <v>177</v>
          </cell>
          <cell r="K2090">
            <v>1</v>
          </cell>
          <cell r="L2090">
            <v>0.46539999999999998</v>
          </cell>
          <cell r="M2090">
            <v>34.5</v>
          </cell>
          <cell r="N2090">
            <v>6.6</v>
          </cell>
          <cell r="O2090">
            <v>0.53459999999999996</v>
          </cell>
          <cell r="P2090">
            <v>0.2056</v>
          </cell>
          <cell r="Q2090">
            <v>0.1017</v>
          </cell>
          <cell r="R2090">
            <v>0.2273</v>
          </cell>
          <cell r="S2090" t="str">
            <v>NA</v>
          </cell>
          <cell r="T2090">
            <v>61.6</v>
          </cell>
          <cell r="U2090">
            <v>5</v>
          </cell>
          <cell r="V2090">
            <v>82.6</v>
          </cell>
          <cell r="W2090">
            <v>8.3000000000000007</v>
          </cell>
          <cell r="X2090">
            <v>52.5</v>
          </cell>
          <cell r="Y2090">
            <v>6.8</v>
          </cell>
          <cell r="Z2090" t="str">
            <v>NA</v>
          </cell>
          <cell r="AA2090" t="str">
            <v>NA</v>
          </cell>
        </row>
        <row r="2091">
          <cell r="A2091">
            <v>45198</v>
          </cell>
          <cell r="B2091" t="str">
            <v>A1</v>
          </cell>
          <cell r="C2091">
            <v>3</v>
          </cell>
          <cell r="D2091">
            <v>3</v>
          </cell>
          <cell r="E2091" t="str">
            <v>ARIS.A1.Aim3.Bin3.LB</v>
          </cell>
          <cell r="F2091">
            <v>4</v>
          </cell>
          <cell r="G2091" t="str">
            <v>Unweighted</v>
          </cell>
          <cell r="H2091" t="str">
            <v>N</v>
          </cell>
          <cell r="I2091" t="str">
            <v>Y</v>
          </cell>
          <cell r="J2091">
            <v>181</v>
          </cell>
          <cell r="K2091">
            <v>1</v>
          </cell>
          <cell r="L2091">
            <v>6.1600000000000002E-2</v>
          </cell>
          <cell r="M2091">
            <v>23.7</v>
          </cell>
          <cell r="N2091">
            <v>12.9</v>
          </cell>
          <cell r="O2091">
            <v>0.93840000000000001</v>
          </cell>
          <cell r="P2091">
            <v>0.23449999999999999</v>
          </cell>
          <cell r="Q2091">
            <v>0.2001</v>
          </cell>
          <cell r="R2091">
            <v>0.50380000000000003</v>
          </cell>
          <cell r="S2091" t="str">
            <v>NA</v>
          </cell>
          <cell r="T2091">
            <v>61.6</v>
          </cell>
          <cell r="U2091">
            <v>5</v>
          </cell>
          <cell r="V2091">
            <v>82.6</v>
          </cell>
          <cell r="W2091">
            <v>8.3000000000000007</v>
          </cell>
          <cell r="X2091">
            <v>52.5</v>
          </cell>
          <cell r="Y2091">
            <v>6.8</v>
          </cell>
          <cell r="Z2091" t="str">
            <v>NA</v>
          </cell>
          <cell r="AA2091" t="str">
            <v>NA</v>
          </cell>
        </row>
        <row r="2092">
          <cell r="A2092">
            <v>45198</v>
          </cell>
          <cell r="B2092" t="str">
            <v>A1</v>
          </cell>
          <cell r="C2092">
            <v>4</v>
          </cell>
          <cell r="D2092">
            <v>3</v>
          </cell>
          <cell r="E2092" t="str">
            <v>ARIS.A1.Aim3.Bin4.LB</v>
          </cell>
          <cell r="F2092">
            <v>4</v>
          </cell>
          <cell r="G2092" t="str">
            <v>Unweighted</v>
          </cell>
          <cell r="H2092" t="str">
            <v>N</v>
          </cell>
          <cell r="I2092" t="str">
            <v>Y</v>
          </cell>
          <cell r="J2092">
            <v>181</v>
          </cell>
          <cell r="K2092">
            <v>1</v>
          </cell>
          <cell r="L2092">
            <v>6.1600000000000002E-2</v>
          </cell>
          <cell r="M2092">
            <v>23.7</v>
          </cell>
          <cell r="N2092">
            <v>12.9</v>
          </cell>
          <cell r="O2092">
            <v>0.93840000000000001</v>
          </cell>
          <cell r="P2092">
            <v>0.23449999999999999</v>
          </cell>
          <cell r="Q2092">
            <v>0.2001</v>
          </cell>
          <cell r="R2092">
            <v>0.50380000000000003</v>
          </cell>
          <cell r="S2092" t="str">
            <v>NA</v>
          </cell>
          <cell r="T2092">
            <v>61.6</v>
          </cell>
          <cell r="U2092">
            <v>5</v>
          </cell>
          <cell r="V2092">
            <v>82.6</v>
          </cell>
          <cell r="W2092">
            <v>8.3000000000000007</v>
          </cell>
          <cell r="X2092">
            <v>52.5</v>
          </cell>
          <cell r="Y2092">
            <v>6.8</v>
          </cell>
          <cell r="Z2092" t="str">
            <v>NA</v>
          </cell>
          <cell r="AA2092" t="str">
            <v>NA</v>
          </cell>
        </row>
        <row r="2093">
          <cell r="A2093">
            <v>45199</v>
          </cell>
          <cell r="B2093" t="str">
            <v>A1</v>
          </cell>
          <cell r="C2093">
            <v>1</v>
          </cell>
          <cell r="D2093">
            <v>1</v>
          </cell>
          <cell r="E2093" t="str">
            <v>ARIS.A1.Aim1.Bin1.LB</v>
          </cell>
          <cell r="F2093">
            <v>4</v>
          </cell>
          <cell r="G2093" t="str">
            <v>SplineDFA</v>
          </cell>
          <cell r="H2093" t="str">
            <v>Y</v>
          </cell>
          <cell r="I2093" t="str">
            <v>N</v>
          </cell>
          <cell r="J2093">
            <v>182</v>
          </cell>
          <cell r="K2093">
            <v>1</v>
          </cell>
          <cell r="L2093">
            <v>0.28470000000000001</v>
          </cell>
          <cell r="M2093">
            <v>23.7</v>
          </cell>
          <cell r="N2093">
            <v>2.7</v>
          </cell>
          <cell r="O2093">
            <v>0.71530000000000005</v>
          </cell>
          <cell r="P2093">
            <v>0.2094</v>
          </cell>
          <cell r="Q2093">
            <v>5.1299999999999998E-2</v>
          </cell>
          <cell r="R2093">
            <v>0.4546</v>
          </cell>
          <cell r="S2093" t="str">
            <v>NA</v>
          </cell>
          <cell r="T2093">
            <v>61.6</v>
          </cell>
          <cell r="U2093">
            <v>5</v>
          </cell>
          <cell r="V2093">
            <v>82.6</v>
          </cell>
          <cell r="W2093">
            <v>8.3000000000000007</v>
          </cell>
          <cell r="X2093">
            <v>52.5</v>
          </cell>
          <cell r="Y2093">
            <v>6.8</v>
          </cell>
          <cell r="Z2093" t="str">
            <v>NA</v>
          </cell>
          <cell r="AA2093" t="str">
            <v>NA</v>
          </cell>
        </row>
        <row r="2094">
          <cell r="A2094">
            <v>45199</v>
          </cell>
          <cell r="B2094" t="str">
            <v>A1</v>
          </cell>
          <cell r="C2094">
            <v>1</v>
          </cell>
          <cell r="D2094">
            <v>2</v>
          </cell>
          <cell r="E2094" t="str">
            <v>ARIS.A1.Aim2.Bin1.LB</v>
          </cell>
          <cell r="F2094">
            <v>4</v>
          </cell>
          <cell r="G2094" t="str">
            <v>SplineDFA</v>
          </cell>
          <cell r="H2094" t="str">
            <v>Y</v>
          </cell>
          <cell r="I2094" t="str">
            <v>N</v>
          </cell>
          <cell r="J2094">
            <v>140</v>
          </cell>
          <cell r="K2094">
            <v>0.99990000000000001</v>
          </cell>
          <cell r="L2094">
            <v>0.50609999999999999</v>
          </cell>
          <cell r="M2094">
            <v>23.7</v>
          </cell>
          <cell r="N2094">
            <v>2.7</v>
          </cell>
          <cell r="O2094">
            <v>0.49380000000000002</v>
          </cell>
          <cell r="P2094">
            <v>7.9200000000000007E-2</v>
          </cell>
          <cell r="Q2094">
            <v>2E-3</v>
          </cell>
          <cell r="R2094">
            <v>0.41260000000000002</v>
          </cell>
          <cell r="S2094" t="str">
            <v>NA</v>
          </cell>
          <cell r="T2094">
            <v>61.6</v>
          </cell>
          <cell r="U2094">
            <v>5</v>
          </cell>
          <cell r="V2094">
            <v>82.6</v>
          </cell>
          <cell r="W2094">
            <v>8.3000000000000007</v>
          </cell>
          <cell r="X2094">
            <v>52.5</v>
          </cell>
          <cell r="Y2094">
            <v>6.8</v>
          </cell>
          <cell r="Z2094" t="str">
            <v>NA</v>
          </cell>
          <cell r="AA2094" t="str">
            <v>NA</v>
          </cell>
        </row>
        <row r="2095">
          <cell r="A2095">
            <v>45199</v>
          </cell>
          <cell r="B2095" t="str">
            <v>A1</v>
          </cell>
          <cell r="C2095">
            <v>2</v>
          </cell>
          <cell r="D2095">
            <v>3</v>
          </cell>
          <cell r="E2095" t="str">
            <v>ARIS.A1.Aim3.Bin2.LB</v>
          </cell>
          <cell r="F2095">
            <v>4</v>
          </cell>
          <cell r="G2095" t="str">
            <v>SplineDFA</v>
          </cell>
          <cell r="H2095" t="str">
            <v>Y</v>
          </cell>
          <cell r="I2095" t="str">
            <v>N</v>
          </cell>
          <cell r="J2095">
            <v>169</v>
          </cell>
          <cell r="K2095">
            <v>1.0001</v>
          </cell>
          <cell r="L2095">
            <v>0.1067</v>
          </cell>
          <cell r="M2095">
            <v>23.7</v>
          </cell>
          <cell r="N2095">
            <v>2.7</v>
          </cell>
          <cell r="O2095">
            <v>0.89339999999999997</v>
          </cell>
          <cell r="P2095">
            <v>0.28449999999999998</v>
          </cell>
          <cell r="Q2095">
            <v>0.1484</v>
          </cell>
          <cell r="R2095">
            <v>0.46050000000000002</v>
          </cell>
          <cell r="S2095" t="str">
            <v>NA</v>
          </cell>
          <cell r="T2095">
            <v>61.6</v>
          </cell>
          <cell r="U2095">
            <v>5</v>
          </cell>
          <cell r="V2095">
            <v>82.6</v>
          </cell>
          <cell r="W2095">
            <v>8.3000000000000007</v>
          </cell>
          <cell r="X2095">
            <v>52.5</v>
          </cell>
          <cell r="Y2095">
            <v>6.8</v>
          </cell>
          <cell r="Z2095" t="str">
            <v>NA</v>
          </cell>
          <cell r="AA2095" t="str">
            <v>NA</v>
          </cell>
        </row>
        <row r="2096">
          <cell r="A2096">
            <v>45199</v>
          </cell>
          <cell r="B2096" t="str">
            <v>A1</v>
          </cell>
          <cell r="C2096">
            <v>3</v>
          </cell>
          <cell r="D2096">
            <v>3</v>
          </cell>
          <cell r="E2096" t="str">
            <v>ARIS.A1.Aim3.Bin3.LB</v>
          </cell>
          <cell r="F2096">
            <v>4</v>
          </cell>
          <cell r="G2096" t="str">
            <v>SplineDFA</v>
          </cell>
          <cell r="H2096" t="str">
            <v>Y</v>
          </cell>
          <cell r="I2096" t="str">
            <v>N</v>
          </cell>
          <cell r="J2096">
            <v>170</v>
          </cell>
          <cell r="K2096">
            <v>0.99990000000000001</v>
          </cell>
          <cell r="L2096">
            <v>4.82E-2</v>
          </cell>
          <cell r="M2096">
            <v>23.7</v>
          </cell>
          <cell r="N2096">
            <v>2.7</v>
          </cell>
          <cell r="O2096">
            <v>0.95169999999999999</v>
          </cell>
          <cell r="P2096">
            <v>0.33110000000000001</v>
          </cell>
          <cell r="Q2096">
            <v>0.2311</v>
          </cell>
          <cell r="R2096">
            <v>0.38950000000000001</v>
          </cell>
          <cell r="S2096" t="str">
            <v>NA</v>
          </cell>
          <cell r="T2096">
            <v>61.6</v>
          </cell>
          <cell r="U2096">
            <v>5</v>
          </cell>
          <cell r="V2096">
            <v>82.6</v>
          </cell>
          <cell r="W2096">
            <v>8.3000000000000007</v>
          </cell>
          <cell r="X2096">
            <v>52.5</v>
          </cell>
          <cell r="Y2096">
            <v>6.8</v>
          </cell>
          <cell r="Z2096" t="str">
            <v>NA</v>
          </cell>
          <cell r="AA2096" t="str">
            <v>NA</v>
          </cell>
        </row>
        <row r="2097">
          <cell r="A2097">
            <v>45199</v>
          </cell>
          <cell r="B2097" t="str">
            <v>A1</v>
          </cell>
          <cell r="C2097">
            <v>4</v>
          </cell>
          <cell r="D2097">
            <v>3</v>
          </cell>
          <cell r="E2097" t="str">
            <v>ARIS.A1.Aim3.Bin4.LB</v>
          </cell>
          <cell r="F2097">
            <v>4</v>
          </cell>
          <cell r="G2097" t="str">
            <v>SplineDFA</v>
          </cell>
          <cell r="H2097" t="str">
            <v>Y</v>
          </cell>
          <cell r="I2097" t="str">
            <v>N</v>
          </cell>
          <cell r="J2097">
            <v>170</v>
          </cell>
          <cell r="K2097">
            <v>0.99990000000000001</v>
          </cell>
          <cell r="L2097">
            <v>4.82E-2</v>
          </cell>
          <cell r="M2097">
            <v>23.7</v>
          </cell>
          <cell r="N2097">
            <v>2.7</v>
          </cell>
          <cell r="O2097">
            <v>0.95169999999999999</v>
          </cell>
          <cell r="P2097">
            <v>0.33110000000000001</v>
          </cell>
          <cell r="Q2097">
            <v>0.2311</v>
          </cell>
          <cell r="R2097">
            <v>0.38950000000000001</v>
          </cell>
          <cell r="S2097" t="str">
            <v>NA</v>
          </cell>
          <cell r="T2097">
            <v>61.6</v>
          </cell>
          <cell r="U2097">
            <v>5</v>
          </cell>
          <cell r="V2097">
            <v>82.6</v>
          </cell>
          <cell r="W2097">
            <v>8.3000000000000007</v>
          </cell>
          <cell r="X2097">
            <v>52.5</v>
          </cell>
          <cell r="Y2097">
            <v>6.8</v>
          </cell>
          <cell r="Z2097" t="str">
            <v>NA</v>
          </cell>
          <cell r="AA2097" t="str">
            <v>NA</v>
          </cell>
        </row>
        <row r="2098">
          <cell r="A2098">
            <v>45199</v>
          </cell>
          <cell r="B2098" t="str">
            <v>A1</v>
          </cell>
          <cell r="C2098">
            <v>1</v>
          </cell>
          <cell r="D2098">
            <v>1</v>
          </cell>
          <cell r="E2098" t="str">
            <v>ARIS.A1.Aim1.Bin1.LB</v>
          </cell>
          <cell r="F2098">
            <v>4</v>
          </cell>
          <cell r="G2098" t="str">
            <v>Unweighted</v>
          </cell>
          <cell r="H2098" t="str">
            <v>N</v>
          </cell>
          <cell r="I2098" t="str">
            <v>Y</v>
          </cell>
          <cell r="J2098">
            <v>182</v>
          </cell>
          <cell r="K2098">
            <v>1.0001</v>
          </cell>
          <cell r="L2098">
            <v>0.50039999999999996</v>
          </cell>
          <cell r="M2098">
            <v>27.5</v>
          </cell>
          <cell r="N2098">
            <v>7.3</v>
          </cell>
          <cell r="O2098">
            <v>0.49969999999999998</v>
          </cell>
          <cell r="P2098">
            <v>6.5600000000000006E-2</v>
          </cell>
          <cell r="Q2098">
            <v>3.39E-2</v>
          </cell>
          <cell r="R2098">
            <v>0.4002</v>
          </cell>
          <cell r="S2098" t="str">
            <v>NA</v>
          </cell>
          <cell r="T2098">
            <v>61.6</v>
          </cell>
          <cell r="U2098">
            <v>5</v>
          </cell>
          <cell r="V2098">
            <v>82.6</v>
          </cell>
          <cell r="W2098">
            <v>8.3000000000000007</v>
          </cell>
          <cell r="X2098">
            <v>52.5</v>
          </cell>
          <cell r="Y2098">
            <v>6.8</v>
          </cell>
          <cell r="Z2098" t="str">
            <v>NA</v>
          </cell>
          <cell r="AA2098" t="str">
            <v>NA</v>
          </cell>
        </row>
        <row r="2099">
          <cell r="A2099">
            <v>45199</v>
          </cell>
          <cell r="B2099" t="str">
            <v>A1</v>
          </cell>
          <cell r="C2099">
            <v>1</v>
          </cell>
          <cell r="D2099">
            <v>2</v>
          </cell>
          <cell r="E2099" t="str">
            <v>ARIS.A1.Aim2.Bin1.LB</v>
          </cell>
          <cell r="F2099">
            <v>4</v>
          </cell>
          <cell r="G2099" t="str">
            <v>Unweighted</v>
          </cell>
          <cell r="H2099" t="str">
            <v>N</v>
          </cell>
          <cell r="I2099" t="str">
            <v>Y</v>
          </cell>
          <cell r="J2099">
            <v>140</v>
          </cell>
          <cell r="K2099">
            <v>1</v>
          </cell>
          <cell r="L2099">
            <v>0.55389999999999995</v>
          </cell>
          <cell r="M2099">
            <v>21.9</v>
          </cell>
          <cell r="N2099">
            <v>7.4</v>
          </cell>
          <cell r="O2099">
            <v>0.4461</v>
          </cell>
          <cell r="P2099">
            <v>5.67E-2</v>
          </cell>
          <cell r="Q2099">
            <v>2.7400000000000001E-2</v>
          </cell>
          <cell r="R2099">
            <v>0.36199999999999999</v>
          </cell>
          <cell r="S2099" t="str">
            <v>NA</v>
          </cell>
          <cell r="T2099">
            <v>61.6</v>
          </cell>
          <cell r="U2099">
            <v>5</v>
          </cell>
          <cell r="V2099">
            <v>82.6</v>
          </cell>
          <cell r="W2099">
            <v>8.3000000000000007</v>
          </cell>
          <cell r="X2099">
            <v>52.5</v>
          </cell>
          <cell r="Y2099">
            <v>6.8</v>
          </cell>
          <cell r="Z2099" t="str">
            <v>NA</v>
          </cell>
          <cell r="AA2099" t="str">
            <v>NA</v>
          </cell>
        </row>
        <row r="2100">
          <cell r="A2100">
            <v>45199</v>
          </cell>
          <cell r="B2100" t="str">
            <v>A1</v>
          </cell>
          <cell r="C2100">
            <v>1</v>
          </cell>
          <cell r="D2100" t="str">
            <v>1&amp;2</v>
          </cell>
          <cell r="E2100" t="str">
            <v>ARIS.A1.Aim1&amp;Aim2.Bin1.LB</v>
          </cell>
          <cell r="F2100">
            <v>4</v>
          </cell>
          <cell r="G2100" t="str">
            <v>Unweighted</v>
          </cell>
          <cell r="H2100" t="str">
            <v>N</v>
          </cell>
          <cell r="I2100" t="str">
            <v>Y</v>
          </cell>
          <cell r="J2100">
            <v>322</v>
          </cell>
          <cell r="K2100">
            <v>1</v>
          </cell>
          <cell r="L2100">
            <v>0.52249999999999996</v>
          </cell>
          <cell r="M2100">
            <v>24.9</v>
          </cell>
          <cell r="N2100">
            <v>7.8</v>
          </cell>
          <cell r="O2100">
            <v>0.47749999999999998</v>
          </cell>
          <cell r="P2100">
            <v>6.1400000000000003E-2</v>
          </cell>
          <cell r="Q2100">
            <v>3.1E-2</v>
          </cell>
          <cell r="R2100">
            <v>0.3851</v>
          </cell>
          <cell r="S2100" t="str">
            <v>NA</v>
          </cell>
          <cell r="T2100">
            <v>61.6</v>
          </cell>
          <cell r="U2100">
            <v>5</v>
          </cell>
          <cell r="V2100">
            <v>82.6</v>
          </cell>
          <cell r="W2100">
            <v>8.3000000000000007</v>
          </cell>
          <cell r="X2100">
            <v>52.5</v>
          </cell>
          <cell r="Y2100">
            <v>6.8</v>
          </cell>
          <cell r="Z2100" t="str">
            <v>NA</v>
          </cell>
          <cell r="AA2100" t="str">
            <v>NA</v>
          </cell>
        </row>
        <row r="2101">
          <cell r="A2101">
            <v>45199</v>
          </cell>
          <cell r="B2101" t="str">
            <v>A1</v>
          </cell>
          <cell r="C2101">
            <v>2</v>
          </cell>
          <cell r="D2101">
            <v>3</v>
          </cell>
          <cell r="E2101" t="str">
            <v>ARIS.A1.Aim3.Bin2.LB</v>
          </cell>
          <cell r="F2101">
            <v>4</v>
          </cell>
          <cell r="G2101" t="str">
            <v>Unweighted</v>
          </cell>
          <cell r="H2101" t="str">
            <v>N</v>
          </cell>
          <cell r="I2101" t="str">
            <v>Y</v>
          </cell>
          <cell r="J2101">
            <v>169</v>
          </cell>
          <cell r="K2101">
            <v>1</v>
          </cell>
          <cell r="L2101">
            <v>0.36380000000000001</v>
          </cell>
          <cell r="M2101">
            <v>29.9</v>
          </cell>
          <cell r="N2101">
            <v>7.5</v>
          </cell>
          <cell r="O2101">
            <v>0.63619999999999999</v>
          </cell>
          <cell r="P2101">
            <v>0.14330000000000001</v>
          </cell>
          <cell r="Q2101">
            <v>0.1027</v>
          </cell>
          <cell r="R2101">
            <v>0.39019999999999999</v>
          </cell>
          <cell r="S2101" t="str">
            <v>NA</v>
          </cell>
          <cell r="T2101">
            <v>61.6</v>
          </cell>
          <cell r="U2101">
            <v>5</v>
          </cell>
          <cell r="V2101">
            <v>82.6</v>
          </cell>
          <cell r="W2101">
            <v>8.3000000000000007</v>
          </cell>
          <cell r="X2101">
            <v>52.5</v>
          </cell>
          <cell r="Y2101">
            <v>6.8</v>
          </cell>
          <cell r="Z2101" t="str">
            <v>NA</v>
          </cell>
          <cell r="AA2101" t="str">
            <v>NA</v>
          </cell>
        </row>
        <row r="2102">
          <cell r="A2102">
            <v>45199</v>
          </cell>
          <cell r="B2102" t="str">
            <v>A1</v>
          </cell>
          <cell r="C2102">
            <v>3</v>
          </cell>
          <cell r="D2102">
            <v>3</v>
          </cell>
          <cell r="E2102" t="str">
            <v>ARIS.A1.Aim3.Bin3.LB</v>
          </cell>
          <cell r="F2102">
            <v>4</v>
          </cell>
          <cell r="G2102" t="str">
            <v>Unweighted</v>
          </cell>
          <cell r="H2102" t="str">
            <v>N</v>
          </cell>
          <cell r="I2102" t="str">
            <v>Y</v>
          </cell>
          <cell r="J2102">
            <v>170</v>
          </cell>
          <cell r="K2102">
            <v>1</v>
          </cell>
          <cell r="L2102">
            <v>0.14910000000000001</v>
          </cell>
          <cell r="M2102">
            <v>23.7</v>
          </cell>
          <cell r="N2102">
            <v>10.7</v>
          </cell>
          <cell r="O2102">
            <v>0.85089999999999999</v>
          </cell>
          <cell r="P2102">
            <v>0.14949999999999999</v>
          </cell>
          <cell r="Q2102">
            <v>0.24079999999999999</v>
          </cell>
          <cell r="R2102">
            <v>0.46060000000000001</v>
          </cell>
          <cell r="S2102" t="str">
            <v>NA</v>
          </cell>
          <cell r="T2102">
            <v>61.6</v>
          </cell>
          <cell r="U2102">
            <v>5</v>
          </cell>
          <cell r="V2102">
            <v>82.6</v>
          </cell>
          <cell r="W2102">
            <v>8.3000000000000007</v>
          </cell>
          <cell r="X2102">
            <v>52.5</v>
          </cell>
          <cell r="Y2102">
            <v>6.8</v>
          </cell>
          <cell r="Z2102" t="str">
            <v>NA</v>
          </cell>
          <cell r="AA2102" t="str">
            <v>NA</v>
          </cell>
        </row>
        <row r="2103">
          <cell r="A2103">
            <v>45199</v>
          </cell>
          <cell r="B2103" t="str">
            <v>A1</v>
          </cell>
          <cell r="C2103">
            <v>4</v>
          </cell>
          <cell r="D2103">
            <v>3</v>
          </cell>
          <cell r="E2103" t="str">
            <v>ARIS.A1.Aim3.Bin4.LB</v>
          </cell>
          <cell r="F2103">
            <v>4</v>
          </cell>
          <cell r="G2103" t="str">
            <v>Unweighted</v>
          </cell>
          <cell r="H2103" t="str">
            <v>N</v>
          </cell>
          <cell r="I2103" t="str">
            <v>Y</v>
          </cell>
          <cell r="J2103">
            <v>170</v>
          </cell>
          <cell r="K2103">
            <v>1</v>
          </cell>
          <cell r="L2103">
            <v>0.14910000000000001</v>
          </cell>
          <cell r="M2103">
            <v>23.7</v>
          </cell>
          <cell r="N2103">
            <v>10.7</v>
          </cell>
          <cell r="O2103">
            <v>0.85089999999999999</v>
          </cell>
          <cell r="P2103">
            <v>0.14949999999999999</v>
          </cell>
          <cell r="Q2103">
            <v>0.24079999999999999</v>
          </cell>
          <cell r="R2103">
            <v>0.46060000000000001</v>
          </cell>
          <cell r="S2103" t="str">
            <v>NA</v>
          </cell>
          <cell r="T2103">
            <v>61.6</v>
          </cell>
          <cell r="U2103">
            <v>5</v>
          </cell>
          <cell r="V2103">
            <v>82.6</v>
          </cell>
          <cell r="W2103">
            <v>8.3000000000000007</v>
          </cell>
          <cell r="X2103">
            <v>52.5</v>
          </cell>
          <cell r="Y2103">
            <v>6.8</v>
          </cell>
          <cell r="Z2103" t="str">
            <v>NA</v>
          </cell>
          <cell r="AA2103" t="str">
            <v>NA</v>
          </cell>
        </row>
        <row r="2104">
          <cell r="A2104">
            <v>45200</v>
          </cell>
          <cell r="B2104" t="str">
            <v>A1</v>
          </cell>
          <cell r="C2104">
            <v>1</v>
          </cell>
          <cell r="D2104">
            <v>1</v>
          </cell>
          <cell r="E2104" t="str">
            <v>ARIS.A1.Aim1.Bin1.LB</v>
          </cell>
          <cell r="F2104">
            <v>4</v>
          </cell>
          <cell r="G2104" t="str">
            <v>SplineDFA</v>
          </cell>
          <cell r="H2104" t="str">
            <v>Y</v>
          </cell>
          <cell r="I2104" t="str">
            <v>N</v>
          </cell>
          <cell r="J2104">
            <v>154</v>
          </cell>
          <cell r="K2104">
            <v>1</v>
          </cell>
          <cell r="L2104">
            <v>0.19520000000000001</v>
          </cell>
          <cell r="M2104">
            <v>23.7</v>
          </cell>
          <cell r="N2104">
            <v>2.7</v>
          </cell>
          <cell r="O2104">
            <v>0.80479999999999996</v>
          </cell>
          <cell r="P2104">
            <v>0.2737</v>
          </cell>
          <cell r="Q2104">
            <v>2.69E-2</v>
          </cell>
          <cell r="R2104">
            <v>0.50419999999999998</v>
          </cell>
          <cell r="S2104" t="str">
            <v>NA</v>
          </cell>
          <cell r="T2104">
            <v>61.6</v>
          </cell>
          <cell r="U2104">
            <v>5</v>
          </cell>
          <cell r="V2104">
            <v>82.6</v>
          </cell>
          <cell r="W2104">
            <v>8.3000000000000007</v>
          </cell>
          <cell r="X2104">
            <v>52.5</v>
          </cell>
          <cell r="Y2104">
            <v>6.8</v>
          </cell>
          <cell r="Z2104" t="str">
            <v>NA</v>
          </cell>
          <cell r="AA2104" t="str">
            <v>NA</v>
          </cell>
        </row>
        <row r="2105">
          <cell r="A2105">
            <v>45200</v>
          </cell>
          <cell r="B2105" t="str">
            <v>A1</v>
          </cell>
          <cell r="C2105">
            <v>1</v>
          </cell>
          <cell r="D2105">
            <v>2</v>
          </cell>
          <cell r="E2105" t="str">
            <v>ARIS.A1.Aim2.Bin1.LB</v>
          </cell>
          <cell r="F2105">
            <v>4</v>
          </cell>
          <cell r="G2105" t="str">
            <v>SplineDFA</v>
          </cell>
          <cell r="H2105" t="str">
            <v>Y</v>
          </cell>
          <cell r="I2105" t="str">
            <v>N</v>
          </cell>
          <cell r="J2105">
            <v>110</v>
          </cell>
          <cell r="K2105">
            <v>1</v>
          </cell>
          <cell r="L2105">
            <v>0.46739999999999998</v>
          </cell>
          <cell r="M2105">
            <v>23.7</v>
          </cell>
          <cell r="N2105">
            <v>2.7</v>
          </cell>
          <cell r="O2105">
            <v>0.53259999999999996</v>
          </cell>
          <cell r="P2105">
            <v>0.14949999999999999</v>
          </cell>
          <cell r="Q2105">
            <v>2.6800000000000001E-2</v>
          </cell>
          <cell r="R2105">
            <v>0.35630000000000001</v>
          </cell>
          <cell r="S2105" t="str">
            <v>NA</v>
          </cell>
          <cell r="T2105">
            <v>61.6</v>
          </cell>
          <cell r="U2105">
            <v>5</v>
          </cell>
          <cell r="V2105">
            <v>82.6</v>
          </cell>
          <cell r="W2105">
            <v>8.3000000000000007</v>
          </cell>
          <cell r="X2105">
            <v>52.5</v>
          </cell>
          <cell r="Y2105">
            <v>6.8</v>
          </cell>
          <cell r="Z2105" t="str">
            <v>NA</v>
          </cell>
          <cell r="AA2105" t="str">
            <v>NA</v>
          </cell>
        </row>
        <row r="2106">
          <cell r="A2106">
            <v>45200</v>
          </cell>
          <cell r="B2106" t="str">
            <v>A1</v>
          </cell>
          <cell r="C2106">
            <v>2</v>
          </cell>
          <cell r="D2106">
            <v>3</v>
          </cell>
          <cell r="E2106" t="str">
            <v>ARIS.A1.Aim3.Bin2.LB</v>
          </cell>
          <cell r="F2106">
            <v>4</v>
          </cell>
          <cell r="G2106" t="str">
            <v>SplineDFA</v>
          </cell>
          <cell r="H2106" t="str">
            <v>Y</v>
          </cell>
          <cell r="I2106" t="str">
            <v>N</v>
          </cell>
          <cell r="J2106">
            <v>138</v>
          </cell>
          <cell r="K2106">
            <v>1</v>
          </cell>
          <cell r="L2106">
            <v>0.13489999999999999</v>
          </cell>
          <cell r="M2106">
            <v>23.7</v>
          </cell>
          <cell r="N2106">
            <v>2.7</v>
          </cell>
          <cell r="O2106">
            <v>0.86509999999999998</v>
          </cell>
          <cell r="P2106">
            <v>0.26829999999999998</v>
          </cell>
          <cell r="Q2106">
            <v>0.14899999999999999</v>
          </cell>
          <cell r="R2106">
            <v>0.44779999999999998</v>
          </cell>
          <cell r="S2106" t="str">
            <v>NA</v>
          </cell>
          <cell r="T2106">
            <v>61.6</v>
          </cell>
          <cell r="U2106">
            <v>5</v>
          </cell>
          <cell r="V2106">
            <v>82.6</v>
          </cell>
          <cell r="W2106">
            <v>8.3000000000000007</v>
          </cell>
          <cell r="X2106">
            <v>52.5</v>
          </cell>
          <cell r="Y2106">
            <v>6.8</v>
          </cell>
          <cell r="Z2106" t="str">
            <v>NA</v>
          </cell>
          <cell r="AA2106" t="str">
            <v>NA</v>
          </cell>
        </row>
        <row r="2107">
          <cell r="A2107">
            <v>45200</v>
          </cell>
          <cell r="B2107" t="str">
            <v>A1</v>
          </cell>
          <cell r="C2107">
            <v>3</v>
          </cell>
          <cell r="D2107">
            <v>3</v>
          </cell>
          <cell r="E2107" t="str">
            <v>ARIS.A1.Aim3.Bin3.LB</v>
          </cell>
          <cell r="F2107">
            <v>4</v>
          </cell>
          <cell r="G2107" t="str">
            <v>SplineDFA</v>
          </cell>
          <cell r="H2107" t="str">
            <v>Y</v>
          </cell>
          <cell r="I2107" t="str">
            <v>N</v>
          </cell>
          <cell r="J2107">
            <v>162</v>
          </cell>
          <cell r="K2107">
            <v>0.99990000000000001</v>
          </cell>
          <cell r="L2107">
            <v>4.2700000000000002E-2</v>
          </cell>
          <cell r="M2107">
            <v>23.7</v>
          </cell>
          <cell r="N2107">
            <v>2.7</v>
          </cell>
          <cell r="O2107">
            <v>0.95720000000000005</v>
          </cell>
          <cell r="P2107">
            <v>0.2606</v>
          </cell>
          <cell r="Q2107">
            <v>0.27839999999999998</v>
          </cell>
          <cell r="R2107">
            <v>0.41820000000000002</v>
          </cell>
          <cell r="S2107" t="str">
            <v>NA</v>
          </cell>
          <cell r="T2107">
            <v>61.6</v>
          </cell>
          <cell r="U2107">
            <v>5</v>
          </cell>
          <cell r="V2107">
            <v>82.6</v>
          </cell>
          <cell r="W2107">
            <v>8.3000000000000007</v>
          </cell>
          <cell r="X2107">
            <v>52.5</v>
          </cell>
          <cell r="Y2107">
            <v>6.8</v>
          </cell>
          <cell r="Z2107" t="str">
            <v>NA</v>
          </cell>
          <cell r="AA2107" t="str">
            <v>NA</v>
          </cell>
        </row>
        <row r="2108">
          <cell r="A2108">
            <v>45200</v>
          </cell>
          <cell r="B2108" t="str">
            <v>A1</v>
          </cell>
          <cell r="C2108">
            <v>4</v>
          </cell>
          <cell r="D2108">
            <v>3</v>
          </cell>
          <cell r="E2108" t="str">
            <v>ARIS.A1.Aim3.Bin4.LB</v>
          </cell>
          <cell r="F2108">
            <v>4</v>
          </cell>
          <cell r="G2108" t="str">
            <v>SplineDFA</v>
          </cell>
          <cell r="H2108" t="str">
            <v>Y</v>
          </cell>
          <cell r="I2108" t="str">
            <v>N</v>
          </cell>
          <cell r="J2108">
            <v>162</v>
          </cell>
          <cell r="K2108">
            <v>0.99990000000000001</v>
          </cell>
          <cell r="L2108">
            <v>4.2700000000000002E-2</v>
          </cell>
          <cell r="M2108">
            <v>23.7</v>
          </cell>
          <cell r="N2108">
            <v>2.7</v>
          </cell>
          <cell r="O2108">
            <v>0.95720000000000005</v>
          </cell>
          <cell r="P2108">
            <v>0.2606</v>
          </cell>
          <cell r="Q2108">
            <v>0.27839999999999998</v>
          </cell>
          <cell r="R2108">
            <v>0.41820000000000002</v>
          </cell>
          <cell r="S2108" t="str">
            <v>NA</v>
          </cell>
          <cell r="T2108">
            <v>61.6</v>
          </cell>
          <cell r="U2108">
            <v>5</v>
          </cell>
          <cell r="V2108">
            <v>82.6</v>
          </cell>
          <cell r="W2108">
            <v>8.3000000000000007</v>
          </cell>
          <cell r="X2108">
            <v>52.5</v>
          </cell>
          <cell r="Y2108">
            <v>6.8</v>
          </cell>
          <cell r="Z2108" t="str">
            <v>NA</v>
          </cell>
          <cell r="AA2108" t="str">
            <v>NA</v>
          </cell>
        </row>
        <row r="2109">
          <cell r="A2109">
            <v>45200</v>
          </cell>
          <cell r="B2109" t="str">
            <v>A1</v>
          </cell>
          <cell r="C2109">
            <v>1</v>
          </cell>
          <cell r="D2109">
            <v>1</v>
          </cell>
          <cell r="E2109" t="str">
            <v>ARIS.A1.Aim1.Bin1.LB</v>
          </cell>
          <cell r="F2109">
            <v>4</v>
          </cell>
          <cell r="G2109" t="str">
            <v>Unweighted</v>
          </cell>
          <cell r="H2109" t="str">
            <v>N</v>
          </cell>
          <cell r="I2109" t="str">
            <v>Y</v>
          </cell>
          <cell r="J2109">
            <v>154</v>
          </cell>
          <cell r="K2109">
            <v>1</v>
          </cell>
          <cell r="L2109">
            <v>0.39090000000000003</v>
          </cell>
          <cell r="M2109">
            <v>26.8</v>
          </cell>
          <cell r="N2109">
            <v>7.5</v>
          </cell>
          <cell r="O2109">
            <v>0.60909999999999997</v>
          </cell>
          <cell r="P2109">
            <v>0.1208</v>
          </cell>
          <cell r="Q2109">
            <v>9.7999999999999997E-3</v>
          </cell>
          <cell r="R2109">
            <v>0.47849999999999998</v>
          </cell>
          <cell r="S2109" t="str">
            <v>NA</v>
          </cell>
          <cell r="T2109">
            <v>61.6</v>
          </cell>
          <cell r="U2109">
            <v>5</v>
          </cell>
          <cell r="V2109">
            <v>82.6</v>
          </cell>
          <cell r="W2109">
            <v>8.3000000000000007</v>
          </cell>
          <cell r="X2109">
            <v>52.5</v>
          </cell>
          <cell r="Y2109">
            <v>6.8</v>
          </cell>
          <cell r="Z2109" t="str">
            <v>NA</v>
          </cell>
          <cell r="AA2109" t="str">
            <v>NA</v>
          </cell>
        </row>
        <row r="2110">
          <cell r="A2110">
            <v>45200</v>
          </cell>
          <cell r="B2110" t="str">
            <v>A1</v>
          </cell>
          <cell r="C2110">
            <v>1</v>
          </cell>
          <cell r="D2110">
            <v>2</v>
          </cell>
          <cell r="E2110" t="str">
            <v>ARIS.A1.Aim2.Bin1.LB</v>
          </cell>
          <cell r="F2110">
            <v>4</v>
          </cell>
          <cell r="G2110" t="str">
            <v>Unweighted</v>
          </cell>
          <cell r="H2110" t="str">
            <v>N</v>
          </cell>
          <cell r="I2110" t="str">
            <v>Y</v>
          </cell>
          <cell r="J2110">
            <v>110</v>
          </cell>
          <cell r="K2110">
            <v>1</v>
          </cell>
          <cell r="L2110">
            <v>0.34860000000000002</v>
          </cell>
          <cell r="M2110">
            <v>19.2</v>
          </cell>
          <cell r="N2110">
            <v>7.9</v>
          </cell>
          <cell r="O2110">
            <v>0.65139999999999998</v>
          </cell>
          <cell r="P2110">
            <v>0.19159999999999999</v>
          </cell>
          <cell r="Q2110">
            <v>5.2999999999999999E-2</v>
          </cell>
          <cell r="R2110">
            <v>0.40679999999999999</v>
          </cell>
          <cell r="S2110" t="str">
            <v>NA</v>
          </cell>
          <cell r="T2110">
            <v>61.6</v>
          </cell>
          <cell r="U2110">
            <v>5</v>
          </cell>
          <cell r="V2110">
            <v>82.6</v>
          </cell>
          <cell r="W2110">
            <v>8.3000000000000007</v>
          </cell>
          <cell r="X2110">
            <v>52.5</v>
          </cell>
          <cell r="Y2110">
            <v>6.8</v>
          </cell>
          <cell r="Z2110" t="str">
            <v>NA</v>
          </cell>
          <cell r="AA2110" t="str">
            <v>NA</v>
          </cell>
        </row>
        <row r="2111">
          <cell r="A2111">
            <v>45200</v>
          </cell>
          <cell r="B2111" t="str">
            <v>A1</v>
          </cell>
          <cell r="C2111">
            <v>1</v>
          </cell>
          <cell r="D2111" t="str">
            <v>1&amp;2</v>
          </cell>
          <cell r="E2111" t="str">
            <v>ARIS.A1.Aim1&amp;Aim2.Bin1.LB</v>
          </cell>
          <cell r="F2111">
            <v>4</v>
          </cell>
          <cell r="G2111" t="str">
            <v>Unweighted</v>
          </cell>
          <cell r="H2111" t="str">
            <v>N</v>
          </cell>
          <cell r="I2111" t="str">
            <v>Y</v>
          </cell>
          <cell r="J2111">
            <v>264</v>
          </cell>
          <cell r="K2111">
            <v>1</v>
          </cell>
          <cell r="L2111">
            <v>0.36830000000000002</v>
          </cell>
          <cell r="M2111">
            <v>24</v>
          </cell>
          <cell r="N2111">
            <v>7.7</v>
          </cell>
          <cell r="O2111">
            <v>0.63170000000000004</v>
          </cell>
          <cell r="P2111">
            <v>0.14990000000000001</v>
          </cell>
          <cell r="Q2111">
            <v>2.7E-2</v>
          </cell>
          <cell r="R2111">
            <v>0.45479999999999998</v>
          </cell>
          <cell r="S2111" t="str">
            <v>NA</v>
          </cell>
          <cell r="T2111">
            <v>61.6</v>
          </cell>
          <cell r="U2111">
            <v>5</v>
          </cell>
          <cell r="V2111">
            <v>82.6</v>
          </cell>
          <cell r="W2111">
            <v>8.3000000000000007</v>
          </cell>
          <cell r="X2111">
            <v>52.5</v>
          </cell>
          <cell r="Y2111">
            <v>6.8</v>
          </cell>
          <cell r="Z2111" t="str">
            <v>NA</v>
          </cell>
          <cell r="AA2111" t="str">
            <v>NA</v>
          </cell>
        </row>
        <row r="2112">
          <cell r="A2112">
            <v>45200</v>
          </cell>
          <cell r="B2112" t="str">
            <v>A1</v>
          </cell>
          <cell r="C2112">
            <v>2</v>
          </cell>
          <cell r="D2112">
            <v>3</v>
          </cell>
          <cell r="E2112" t="str">
            <v>ARIS.A1.Aim3.Bin2.LB</v>
          </cell>
          <cell r="F2112">
            <v>4</v>
          </cell>
          <cell r="G2112" t="str">
            <v>Unweighted</v>
          </cell>
          <cell r="H2112" t="str">
            <v>N</v>
          </cell>
          <cell r="I2112" t="str">
            <v>Y</v>
          </cell>
          <cell r="J2112">
            <v>138</v>
          </cell>
          <cell r="K2112">
            <v>1</v>
          </cell>
          <cell r="L2112">
            <v>0.34010000000000001</v>
          </cell>
          <cell r="M2112">
            <v>28.8</v>
          </cell>
          <cell r="N2112">
            <v>9.6999999999999993</v>
          </cell>
          <cell r="O2112">
            <v>0.65990000000000004</v>
          </cell>
          <cell r="P2112">
            <v>0.1905</v>
          </cell>
          <cell r="Q2112">
            <v>0.1031</v>
          </cell>
          <cell r="R2112">
            <v>0.36630000000000001</v>
          </cell>
          <cell r="S2112" t="str">
            <v>NA</v>
          </cell>
          <cell r="T2112">
            <v>61.6</v>
          </cell>
          <cell r="U2112">
            <v>5</v>
          </cell>
          <cell r="V2112">
            <v>82.6</v>
          </cell>
          <cell r="W2112">
            <v>8.3000000000000007</v>
          </cell>
          <cell r="X2112">
            <v>52.5</v>
          </cell>
          <cell r="Y2112">
            <v>6.8</v>
          </cell>
          <cell r="Z2112" t="str">
            <v>NA</v>
          </cell>
          <cell r="AA2112" t="str">
            <v>NA</v>
          </cell>
        </row>
        <row r="2113">
          <cell r="A2113">
            <v>45200</v>
          </cell>
          <cell r="B2113" t="str">
            <v>A1</v>
          </cell>
          <cell r="C2113">
            <v>3</v>
          </cell>
          <cell r="D2113">
            <v>3</v>
          </cell>
          <cell r="E2113" t="str">
            <v>ARIS.A1.Aim3.Bin3.LB</v>
          </cell>
          <cell r="F2113">
            <v>4</v>
          </cell>
          <cell r="G2113" t="str">
            <v>Unweighted</v>
          </cell>
          <cell r="H2113" t="str">
            <v>N</v>
          </cell>
          <cell r="I2113" t="str">
            <v>Y</v>
          </cell>
          <cell r="J2113">
            <v>162</v>
          </cell>
          <cell r="K2113">
            <v>1</v>
          </cell>
          <cell r="L2113">
            <v>0.1356</v>
          </cell>
          <cell r="M2113">
            <v>23.7</v>
          </cell>
          <cell r="N2113">
            <v>13.2</v>
          </cell>
          <cell r="O2113">
            <v>0.86439999999999995</v>
          </cell>
          <cell r="P2113">
            <v>0.16669999999999999</v>
          </cell>
          <cell r="Q2113">
            <v>0.2288</v>
          </cell>
          <cell r="R2113">
            <v>0.46889999999999998</v>
          </cell>
          <cell r="S2113" t="str">
            <v>NA</v>
          </cell>
          <cell r="T2113">
            <v>61.6</v>
          </cell>
          <cell r="U2113">
            <v>5</v>
          </cell>
          <cell r="V2113">
            <v>82.6</v>
          </cell>
          <cell r="W2113">
            <v>8.3000000000000007</v>
          </cell>
          <cell r="X2113">
            <v>52.5</v>
          </cell>
          <cell r="Y2113">
            <v>6.8</v>
          </cell>
          <cell r="Z2113" t="str">
            <v>NA</v>
          </cell>
          <cell r="AA2113" t="str">
            <v>NA</v>
          </cell>
        </row>
        <row r="2114">
          <cell r="A2114">
            <v>45200</v>
          </cell>
          <cell r="B2114" t="str">
            <v>A1</v>
          </cell>
          <cell r="C2114">
            <v>4</v>
          </cell>
          <cell r="D2114">
            <v>3</v>
          </cell>
          <cell r="E2114" t="str">
            <v>ARIS.A1.Aim3.Bin4.LB</v>
          </cell>
          <cell r="F2114">
            <v>4</v>
          </cell>
          <cell r="G2114" t="str">
            <v>Unweighted</v>
          </cell>
          <cell r="H2114" t="str">
            <v>N</v>
          </cell>
          <cell r="I2114" t="str">
            <v>Y</v>
          </cell>
          <cell r="J2114">
            <v>162</v>
          </cell>
          <cell r="K2114">
            <v>1</v>
          </cell>
          <cell r="L2114">
            <v>0.1356</v>
          </cell>
          <cell r="M2114">
            <v>23.7</v>
          </cell>
          <cell r="N2114">
            <v>13.2</v>
          </cell>
          <cell r="O2114">
            <v>0.86439999999999995</v>
          </cell>
          <cell r="P2114">
            <v>0.16669999999999999</v>
          </cell>
          <cell r="Q2114">
            <v>0.2288</v>
          </cell>
          <cell r="R2114">
            <v>0.46889999999999998</v>
          </cell>
          <cell r="S2114" t="str">
            <v>NA</v>
          </cell>
          <cell r="T2114">
            <v>61.6</v>
          </cell>
          <cell r="U2114">
            <v>5</v>
          </cell>
          <cell r="V2114">
            <v>82.6</v>
          </cell>
          <cell r="W2114">
            <v>8.3000000000000007</v>
          </cell>
          <cell r="X2114">
            <v>52.5</v>
          </cell>
          <cell r="Y2114">
            <v>6.8</v>
          </cell>
          <cell r="Z2114" t="str">
            <v>NA</v>
          </cell>
          <cell r="AA2114" t="str">
            <v>NA</v>
          </cell>
        </row>
        <row r="2115">
          <cell r="A2115">
            <v>45201</v>
          </cell>
          <cell r="B2115" t="str">
            <v>A1</v>
          </cell>
          <cell r="C2115">
            <v>1</v>
          </cell>
          <cell r="D2115">
            <v>1</v>
          </cell>
          <cell r="E2115" t="str">
            <v>ARIS.A1.Aim1.Bin1.LB</v>
          </cell>
          <cell r="F2115">
            <v>4</v>
          </cell>
          <cell r="G2115" t="str">
            <v>SplineDFA</v>
          </cell>
          <cell r="H2115" t="str">
            <v>Y</v>
          </cell>
          <cell r="I2115" t="str">
            <v>N</v>
          </cell>
          <cell r="J2115">
            <v>159</v>
          </cell>
          <cell r="K2115">
            <v>1</v>
          </cell>
          <cell r="L2115">
            <v>0.22420000000000001</v>
          </cell>
          <cell r="M2115">
            <v>23.7</v>
          </cell>
          <cell r="N2115">
            <v>2.7</v>
          </cell>
          <cell r="O2115">
            <v>0.77580000000000005</v>
          </cell>
          <cell r="P2115">
            <v>0.28189999999999998</v>
          </cell>
          <cell r="Q2115">
            <v>4.4999999999999998E-2</v>
          </cell>
          <cell r="R2115">
            <v>0.44890000000000002</v>
          </cell>
          <cell r="S2115" t="str">
            <v>NA</v>
          </cell>
          <cell r="T2115">
            <v>61.6</v>
          </cell>
          <cell r="U2115">
            <v>5</v>
          </cell>
          <cell r="V2115">
            <v>82.6</v>
          </cell>
          <cell r="W2115">
            <v>8.3000000000000007</v>
          </cell>
          <cell r="X2115">
            <v>52.5</v>
          </cell>
          <cell r="Y2115">
            <v>6.8</v>
          </cell>
          <cell r="Z2115" t="str">
            <v>NA</v>
          </cell>
          <cell r="AA2115" t="str">
            <v>NA</v>
          </cell>
        </row>
        <row r="2116">
          <cell r="A2116">
            <v>45201</v>
          </cell>
          <cell r="B2116" t="str">
            <v>A1</v>
          </cell>
          <cell r="C2116">
            <v>1</v>
          </cell>
          <cell r="D2116">
            <v>2</v>
          </cell>
          <cell r="E2116" t="str">
            <v>ARIS.A1.Aim2.Bin1.LB</v>
          </cell>
          <cell r="F2116">
            <v>4</v>
          </cell>
          <cell r="G2116" t="str">
            <v>SplineDFA</v>
          </cell>
          <cell r="H2116" t="str">
            <v>Y</v>
          </cell>
          <cell r="I2116" t="str">
            <v>N</v>
          </cell>
          <cell r="J2116">
            <v>123</v>
          </cell>
          <cell r="K2116">
            <v>1</v>
          </cell>
          <cell r="L2116">
            <v>0.2122</v>
          </cell>
          <cell r="M2116">
            <v>23.7</v>
          </cell>
          <cell r="N2116">
            <v>2.7</v>
          </cell>
          <cell r="O2116">
            <v>0.78779999999999994</v>
          </cell>
          <cell r="P2116">
            <v>0.3271</v>
          </cell>
          <cell r="Q2116">
            <v>7.8899999999999998E-2</v>
          </cell>
          <cell r="R2116">
            <v>0.38179999999999997</v>
          </cell>
          <cell r="S2116" t="str">
            <v>NA</v>
          </cell>
          <cell r="T2116">
            <v>61.6</v>
          </cell>
          <cell r="U2116">
            <v>5</v>
          </cell>
          <cell r="V2116">
            <v>82.6</v>
          </cell>
          <cell r="W2116">
            <v>8.3000000000000007</v>
          </cell>
          <cell r="X2116">
            <v>52.5</v>
          </cell>
          <cell r="Y2116">
            <v>6.8</v>
          </cell>
          <cell r="Z2116" t="str">
            <v>NA</v>
          </cell>
          <cell r="AA2116" t="str">
            <v>NA</v>
          </cell>
        </row>
        <row r="2117">
          <cell r="A2117">
            <v>45201</v>
          </cell>
          <cell r="B2117" t="str">
            <v>A1</v>
          </cell>
          <cell r="C2117">
            <v>2</v>
          </cell>
          <cell r="D2117">
            <v>3</v>
          </cell>
          <cell r="E2117" t="str">
            <v>ARIS.A1.Aim3.Bin2.LB</v>
          </cell>
          <cell r="F2117">
            <v>4</v>
          </cell>
          <cell r="G2117" t="str">
            <v>SplineDFA</v>
          </cell>
          <cell r="H2117" t="str">
            <v>Y</v>
          </cell>
          <cell r="I2117" t="str">
            <v>N</v>
          </cell>
          <cell r="J2117">
            <v>180</v>
          </cell>
          <cell r="K2117">
            <v>1</v>
          </cell>
          <cell r="L2117">
            <v>0.13830000000000001</v>
          </cell>
          <cell r="M2117">
            <v>23.7</v>
          </cell>
          <cell r="N2117">
            <v>2.7</v>
          </cell>
          <cell r="O2117">
            <v>0.86170000000000002</v>
          </cell>
          <cell r="P2117">
            <v>0.29630000000000001</v>
          </cell>
          <cell r="Q2117">
            <v>0.13869999999999999</v>
          </cell>
          <cell r="R2117">
            <v>0.42670000000000002</v>
          </cell>
          <cell r="S2117" t="str">
            <v>NA</v>
          </cell>
          <cell r="T2117">
            <v>61.6</v>
          </cell>
          <cell r="U2117">
            <v>5</v>
          </cell>
          <cell r="V2117">
            <v>82.6</v>
          </cell>
          <cell r="W2117">
            <v>8.3000000000000007</v>
          </cell>
          <cell r="X2117">
            <v>52.5</v>
          </cell>
          <cell r="Y2117">
            <v>6.8</v>
          </cell>
          <cell r="Z2117" t="str">
            <v>NA</v>
          </cell>
          <cell r="AA2117" t="str">
            <v>NA</v>
          </cell>
        </row>
        <row r="2118">
          <cell r="A2118">
            <v>45201</v>
          </cell>
          <cell r="B2118" t="str">
            <v>A1</v>
          </cell>
          <cell r="C2118">
            <v>3</v>
          </cell>
          <cell r="D2118">
            <v>3</v>
          </cell>
          <cell r="E2118" t="str">
            <v>ARIS.A1.Aim3.Bin3.LB</v>
          </cell>
          <cell r="F2118">
            <v>4</v>
          </cell>
          <cell r="G2118" t="str">
            <v>SplineDFA</v>
          </cell>
          <cell r="H2118" t="str">
            <v>Y</v>
          </cell>
          <cell r="I2118" t="str">
            <v>N</v>
          </cell>
          <cell r="J2118">
            <v>151</v>
          </cell>
          <cell r="K2118">
            <v>1</v>
          </cell>
          <cell r="L2118">
            <v>9.5799999999999996E-2</v>
          </cell>
          <cell r="M2118">
            <v>23.7</v>
          </cell>
          <cell r="N2118">
            <v>2.7</v>
          </cell>
          <cell r="O2118">
            <v>0.9042</v>
          </cell>
          <cell r="P2118">
            <v>0.25519999999999998</v>
          </cell>
          <cell r="Q2118">
            <v>0.32</v>
          </cell>
          <cell r="R2118">
            <v>0.32900000000000001</v>
          </cell>
          <cell r="S2118" t="str">
            <v>NA</v>
          </cell>
          <cell r="T2118">
            <v>61.6</v>
          </cell>
          <cell r="U2118">
            <v>5</v>
          </cell>
          <cell r="V2118">
            <v>82.6</v>
          </cell>
          <cell r="W2118">
            <v>8.3000000000000007</v>
          </cell>
          <cell r="X2118">
            <v>52.5</v>
          </cell>
          <cell r="Y2118">
            <v>6.8</v>
          </cell>
          <cell r="Z2118" t="str">
            <v>NA</v>
          </cell>
          <cell r="AA2118" t="str">
            <v>NA</v>
          </cell>
        </row>
        <row r="2119">
          <cell r="A2119">
            <v>45201</v>
          </cell>
          <cell r="B2119" t="str">
            <v>A1</v>
          </cell>
          <cell r="C2119">
            <v>4</v>
          </cell>
          <cell r="D2119">
            <v>3</v>
          </cell>
          <cell r="E2119" t="str">
            <v>ARIS.A1.Aim3.Bin4.LB</v>
          </cell>
          <cell r="F2119">
            <v>4</v>
          </cell>
          <cell r="G2119" t="str">
            <v>SplineDFA</v>
          </cell>
          <cell r="H2119" t="str">
            <v>Y</v>
          </cell>
          <cell r="I2119" t="str">
            <v>N</v>
          </cell>
          <cell r="J2119">
            <v>151</v>
          </cell>
          <cell r="K2119">
            <v>1</v>
          </cell>
          <cell r="L2119">
            <v>9.5799999999999996E-2</v>
          </cell>
          <cell r="M2119">
            <v>23.7</v>
          </cell>
          <cell r="N2119">
            <v>2.7</v>
          </cell>
          <cell r="O2119">
            <v>0.9042</v>
          </cell>
          <cell r="P2119">
            <v>0.25519999999999998</v>
          </cell>
          <cell r="Q2119">
            <v>0.32</v>
          </cell>
          <cell r="R2119">
            <v>0.32900000000000001</v>
          </cell>
          <cell r="S2119" t="str">
            <v>NA</v>
          </cell>
          <cell r="T2119">
            <v>61.6</v>
          </cell>
          <cell r="U2119">
            <v>5</v>
          </cell>
          <cell r="V2119">
            <v>82.6</v>
          </cell>
          <cell r="W2119">
            <v>8.3000000000000007</v>
          </cell>
          <cell r="X2119">
            <v>52.5</v>
          </cell>
          <cell r="Y2119">
            <v>6.8</v>
          </cell>
          <cell r="Z2119" t="str">
            <v>NA</v>
          </cell>
          <cell r="AA2119" t="str">
            <v>NA</v>
          </cell>
        </row>
        <row r="2120">
          <cell r="A2120">
            <v>45201</v>
          </cell>
          <cell r="B2120" t="str">
            <v>A1</v>
          </cell>
          <cell r="C2120">
            <v>1</v>
          </cell>
          <cell r="D2120">
            <v>1</v>
          </cell>
          <cell r="E2120" t="str">
            <v>ARIS.A1.Aim1.Bin1.LB</v>
          </cell>
          <cell r="F2120">
            <v>4</v>
          </cell>
          <cell r="G2120" t="str">
            <v>Unweighted</v>
          </cell>
          <cell r="H2120" t="str">
            <v>N</v>
          </cell>
          <cell r="I2120" t="str">
            <v>Y</v>
          </cell>
          <cell r="J2120">
            <v>159</v>
          </cell>
          <cell r="K2120">
            <v>1</v>
          </cell>
          <cell r="L2120">
            <v>0.50480000000000003</v>
          </cell>
          <cell r="M2120">
            <v>26.7</v>
          </cell>
          <cell r="N2120">
            <v>8.6</v>
          </cell>
          <cell r="O2120">
            <v>0.49519999999999997</v>
          </cell>
          <cell r="P2120">
            <v>9.0899999999999995E-2</v>
          </cell>
          <cell r="Q2120">
            <v>6.1000000000000004E-3</v>
          </cell>
          <cell r="R2120">
            <v>0.3982</v>
          </cell>
          <cell r="S2120" t="str">
            <v>NA</v>
          </cell>
          <cell r="T2120">
            <v>61.6</v>
          </cell>
          <cell r="U2120">
            <v>5</v>
          </cell>
          <cell r="V2120">
            <v>82.6</v>
          </cell>
          <cell r="W2120">
            <v>8.3000000000000007</v>
          </cell>
          <cell r="X2120">
            <v>52.5</v>
          </cell>
          <cell r="Y2120">
            <v>6.8</v>
          </cell>
          <cell r="Z2120" t="str">
            <v>NA</v>
          </cell>
          <cell r="AA2120" t="str">
            <v>NA</v>
          </cell>
        </row>
        <row r="2121">
          <cell r="A2121">
            <v>45201</v>
          </cell>
          <cell r="B2121" t="str">
            <v>A1</v>
          </cell>
          <cell r="C2121">
            <v>1</v>
          </cell>
          <cell r="D2121">
            <v>2</v>
          </cell>
          <cell r="E2121" t="str">
            <v>ARIS.A1.Aim2.Bin1.LB</v>
          </cell>
          <cell r="F2121">
            <v>4</v>
          </cell>
          <cell r="G2121" t="str">
            <v>Unweighted</v>
          </cell>
          <cell r="H2121" t="str">
            <v>N</v>
          </cell>
          <cell r="I2121" t="str">
            <v>Y</v>
          </cell>
          <cell r="J2121">
            <v>123</v>
          </cell>
          <cell r="K2121">
            <v>1</v>
          </cell>
          <cell r="L2121">
            <v>0.32869999999999999</v>
          </cell>
          <cell r="M2121">
            <v>18.5</v>
          </cell>
          <cell r="N2121">
            <v>7.2</v>
          </cell>
          <cell r="O2121">
            <v>0.67130000000000001</v>
          </cell>
          <cell r="P2121">
            <v>0.17580000000000001</v>
          </cell>
          <cell r="Q2121">
            <v>7.8700000000000006E-2</v>
          </cell>
          <cell r="R2121">
            <v>0.4168</v>
          </cell>
          <cell r="S2121" t="str">
            <v>NA</v>
          </cell>
          <cell r="T2121">
            <v>61.6</v>
          </cell>
          <cell r="U2121">
            <v>5</v>
          </cell>
          <cell r="V2121">
            <v>82.6</v>
          </cell>
          <cell r="W2121">
            <v>8.3000000000000007</v>
          </cell>
          <cell r="X2121">
            <v>52.5</v>
          </cell>
          <cell r="Y2121">
            <v>6.8</v>
          </cell>
          <cell r="Z2121" t="str">
            <v>NA</v>
          </cell>
          <cell r="AA2121" t="str">
            <v>NA</v>
          </cell>
        </row>
        <row r="2122">
          <cell r="A2122">
            <v>45201</v>
          </cell>
          <cell r="B2122" t="str">
            <v>A1</v>
          </cell>
          <cell r="C2122">
            <v>1</v>
          </cell>
          <cell r="D2122" t="str">
            <v>1&amp;2</v>
          </cell>
          <cell r="E2122" t="str">
            <v>ARIS.A1.Aim1&amp;Aim2.Bin1.LB</v>
          </cell>
          <cell r="F2122">
            <v>4</v>
          </cell>
          <cell r="G2122" t="str">
            <v>Unweighted</v>
          </cell>
          <cell r="H2122" t="str">
            <v>N</v>
          </cell>
          <cell r="I2122" t="str">
            <v>Y</v>
          </cell>
          <cell r="J2122">
            <v>282</v>
          </cell>
          <cell r="K2122">
            <v>1</v>
          </cell>
          <cell r="L2122">
            <v>0.43020000000000003</v>
          </cell>
          <cell r="M2122">
            <v>24</v>
          </cell>
          <cell r="N2122">
            <v>9.1</v>
          </cell>
          <cell r="O2122">
            <v>0.56979999999999997</v>
          </cell>
          <cell r="P2122">
            <v>0.13020000000000001</v>
          </cell>
          <cell r="Q2122">
            <v>3.6700000000000003E-2</v>
          </cell>
          <cell r="R2122">
            <v>0.40289999999999998</v>
          </cell>
          <cell r="S2122" t="str">
            <v>NA</v>
          </cell>
          <cell r="T2122">
            <v>61.6</v>
          </cell>
          <cell r="U2122">
            <v>5</v>
          </cell>
          <cell r="V2122">
            <v>82.6</v>
          </cell>
          <cell r="W2122">
            <v>8.3000000000000007</v>
          </cell>
          <cell r="X2122">
            <v>52.5</v>
          </cell>
          <cell r="Y2122">
            <v>6.8</v>
          </cell>
          <cell r="Z2122" t="str">
            <v>NA</v>
          </cell>
          <cell r="AA2122" t="str">
            <v>NA</v>
          </cell>
        </row>
        <row r="2123">
          <cell r="A2123">
            <v>45201</v>
          </cell>
          <cell r="B2123" t="str">
            <v>A1</v>
          </cell>
          <cell r="C2123">
            <v>2</v>
          </cell>
          <cell r="D2123">
            <v>3</v>
          </cell>
          <cell r="E2123" t="str">
            <v>ARIS.A1.Aim3.Bin2.LB</v>
          </cell>
          <cell r="F2123">
            <v>4</v>
          </cell>
          <cell r="G2123" t="str">
            <v>Unweighted</v>
          </cell>
          <cell r="H2123" t="str">
            <v>N</v>
          </cell>
          <cell r="I2123" t="str">
            <v>Y</v>
          </cell>
          <cell r="J2123">
            <v>180</v>
          </cell>
          <cell r="K2123">
            <v>1</v>
          </cell>
          <cell r="L2123">
            <v>0.35520000000000002</v>
          </cell>
          <cell r="M2123">
            <v>28.7</v>
          </cell>
          <cell r="N2123">
            <v>8.9</v>
          </cell>
          <cell r="O2123">
            <v>0.64480000000000004</v>
          </cell>
          <cell r="P2123">
            <v>0.17069999999999999</v>
          </cell>
          <cell r="Q2123">
            <v>0.1305</v>
          </cell>
          <cell r="R2123">
            <v>0.34360000000000002</v>
          </cell>
          <cell r="S2123" t="str">
            <v>NA</v>
          </cell>
          <cell r="T2123">
            <v>61.6</v>
          </cell>
          <cell r="U2123">
            <v>5</v>
          </cell>
          <cell r="V2123">
            <v>82.6</v>
          </cell>
          <cell r="W2123">
            <v>8.3000000000000007</v>
          </cell>
          <cell r="X2123">
            <v>52.5</v>
          </cell>
          <cell r="Y2123">
            <v>6.8</v>
          </cell>
          <cell r="Z2123" t="str">
            <v>NA</v>
          </cell>
          <cell r="AA2123" t="str">
            <v>NA</v>
          </cell>
        </row>
        <row r="2124">
          <cell r="A2124">
            <v>45201</v>
          </cell>
          <cell r="B2124" t="str">
            <v>A1</v>
          </cell>
          <cell r="C2124">
            <v>3</v>
          </cell>
          <cell r="D2124">
            <v>3</v>
          </cell>
          <cell r="E2124" t="str">
            <v>ARIS.A1.Aim3.Bin3.LB</v>
          </cell>
          <cell r="F2124">
            <v>4</v>
          </cell>
          <cell r="G2124" t="str">
            <v>Unweighted</v>
          </cell>
          <cell r="H2124" t="str">
            <v>N</v>
          </cell>
          <cell r="I2124" t="str">
            <v>Y</v>
          </cell>
          <cell r="J2124">
            <v>151</v>
          </cell>
          <cell r="K2124">
            <v>1</v>
          </cell>
          <cell r="L2124">
            <v>0.4259</v>
          </cell>
          <cell r="M2124">
            <v>38.1</v>
          </cell>
          <cell r="N2124">
            <v>8.6</v>
          </cell>
          <cell r="O2124">
            <v>0.57410000000000005</v>
          </cell>
          <cell r="P2124">
            <v>0.28120000000000001</v>
          </cell>
          <cell r="Q2124">
            <v>0.29289999999999999</v>
          </cell>
          <cell r="R2124">
            <v>0</v>
          </cell>
          <cell r="S2124" t="str">
            <v>NA</v>
          </cell>
          <cell r="T2124">
            <v>61.6</v>
          </cell>
          <cell r="U2124">
            <v>5</v>
          </cell>
          <cell r="V2124">
            <v>82.6</v>
          </cell>
          <cell r="W2124">
            <v>8.3000000000000007</v>
          </cell>
          <cell r="X2124">
            <v>52.5</v>
          </cell>
          <cell r="Y2124">
            <v>6.8</v>
          </cell>
          <cell r="Z2124" t="str">
            <v>NA</v>
          </cell>
          <cell r="AA2124" t="str">
            <v>NA</v>
          </cell>
        </row>
        <row r="2125">
          <cell r="A2125">
            <v>45201</v>
          </cell>
          <cell r="B2125" t="str">
            <v>A1</v>
          </cell>
          <cell r="C2125">
            <v>4</v>
          </cell>
          <cell r="D2125">
            <v>3</v>
          </cell>
          <cell r="E2125" t="str">
            <v>ARIS.A1.Aim3.Bin4.LB</v>
          </cell>
          <cell r="F2125">
            <v>4</v>
          </cell>
          <cell r="G2125" t="str">
            <v>Unweighted</v>
          </cell>
          <cell r="H2125" t="str">
            <v>N</v>
          </cell>
          <cell r="I2125" t="str">
            <v>Y</v>
          </cell>
          <cell r="J2125">
            <v>151</v>
          </cell>
          <cell r="K2125">
            <v>1</v>
          </cell>
          <cell r="L2125">
            <v>0.4259</v>
          </cell>
          <cell r="M2125">
            <v>38.1</v>
          </cell>
          <cell r="N2125">
            <v>8.6</v>
          </cell>
          <cell r="O2125">
            <v>0.57410000000000005</v>
          </cell>
          <cell r="P2125">
            <v>0.28120000000000001</v>
          </cell>
          <cell r="Q2125">
            <v>0.29289999999999999</v>
          </cell>
          <cell r="R2125">
            <v>0</v>
          </cell>
          <cell r="S2125" t="str">
            <v>NA</v>
          </cell>
          <cell r="T2125">
            <v>61.6</v>
          </cell>
          <cell r="U2125">
            <v>5</v>
          </cell>
          <cell r="V2125">
            <v>82.6</v>
          </cell>
          <cell r="W2125">
            <v>8.3000000000000007</v>
          </cell>
          <cell r="X2125">
            <v>52.5</v>
          </cell>
          <cell r="Y2125">
            <v>6.8</v>
          </cell>
          <cell r="Z2125" t="str">
            <v>NA</v>
          </cell>
          <cell r="AA2125" t="str">
            <v>NA</v>
          </cell>
        </row>
        <row r="2126">
          <cell r="A2126"/>
          <cell r="B2126"/>
          <cell r="C2126"/>
          <cell r="D2126"/>
          <cell r="E2126"/>
          <cell r="F2126"/>
          <cell r="G2126"/>
          <cell r="H2126"/>
          <cell r="I2126"/>
        </row>
        <row r="2127">
          <cell r="A2127"/>
          <cell r="B2127"/>
          <cell r="C2127"/>
          <cell r="D2127"/>
          <cell r="E2127"/>
          <cell r="F2127"/>
          <cell r="G2127"/>
          <cell r="H2127"/>
          <cell r="I2127"/>
        </row>
        <row r="2128">
          <cell r="A2128"/>
          <cell r="B2128"/>
          <cell r="C2128"/>
          <cell r="D2128"/>
          <cell r="E2128"/>
          <cell r="F2128"/>
          <cell r="G2128"/>
          <cell r="H2128"/>
          <cell r="I2128"/>
        </row>
        <row r="2129">
          <cell r="A2129"/>
          <cell r="B2129"/>
          <cell r="C2129"/>
          <cell r="D2129"/>
          <cell r="E2129"/>
          <cell r="F2129"/>
          <cell r="G2129"/>
          <cell r="H2129"/>
          <cell r="I2129"/>
        </row>
        <row r="2130">
          <cell r="A2130"/>
          <cell r="B2130"/>
          <cell r="C2130"/>
          <cell r="D2130"/>
          <cell r="E2130"/>
          <cell r="F2130"/>
          <cell r="G2130"/>
          <cell r="H2130"/>
          <cell r="I2130"/>
        </row>
        <row r="2131">
          <cell r="A2131"/>
          <cell r="B2131"/>
          <cell r="C2131"/>
          <cell r="D2131"/>
          <cell r="E2131"/>
          <cell r="F2131"/>
          <cell r="G2131"/>
          <cell r="H2131"/>
          <cell r="I2131"/>
        </row>
        <row r="2132">
          <cell r="A2132"/>
          <cell r="B2132"/>
          <cell r="C2132"/>
          <cell r="D2132"/>
          <cell r="E2132"/>
          <cell r="F2132"/>
          <cell r="G2132"/>
          <cell r="H2132"/>
          <cell r="I2132"/>
        </row>
        <row r="2133">
          <cell r="A2133"/>
          <cell r="B2133"/>
          <cell r="C2133"/>
          <cell r="D2133"/>
          <cell r="E2133"/>
          <cell r="F2133"/>
          <cell r="G2133"/>
          <cell r="H2133"/>
          <cell r="I2133"/>
        </row>
        <row r="2134">
          <cell r="A2134"/>
          <cell r="B2134"/>
          <cell r="C2134"/>
          <cell r="D2134"/>
          <cell r="E2134"/>
          <cell r="F2134"/>
          <cell r="G2134"/>
          <cell r="H2134"/>
          <cell r="I2134"/>
        </row>
        <row r="2135">
          <cell r="A2135"/>
          <cell r="B2135"/>
          <cell r="C2135"/>
          <cell r="D2135"/>
          <cell r="E2135"/>
          <cell r="F2135"/>
          <cell r="G2135"/>
          <cell r="H2135"/>
          <cell r="I2135"/>
        </row>
        <row r="2136">
          <cell r="A2136"/>
          <cell r="B2136"/>
          <cell r="C2136"/>
          <cell r="D2136"/>
          <cell r="E2136"/>
          <cell r="F2136"/>
          <cell r="G2136"/>
          <cell r="H2136"/>
          <cell r="I2136"/>
        </row>
        <row r="2137">
          <cell r="A2137"/>
          <cell r="B2137"/>
          <cell r="C2137"/>
          <cell r="D2137"/>
          <cell r="E2137"/>
          <cell r="F2137"/>
          <cell r="G2137"/>
          <cell r="H2137"/>
          <cell r="I2137"/>
        </row>
        <row r="2138">
          <cell r="A2138"/>
          <cell r="B2138"/>
          <cell r="C2138"/>
          <cell r="D2138"/>
          <cell r="E2138"/>
          <cell r="F2138"/>
          <cell r="G2138"/>
          <cell r="H2138"/>
          <cell r="I2138"/>
        </row>
        <row r="2139">
          <cell r="A2139"/>
          <cell r="B2139"/>
          <cell r="C2139"/>
          <cell r="D2139"/>
          <cell r="E2139"/>
          <cell r="F2139"/>
          <cell r="G2139"/>
          <cell r="H2139"/>
          <cell r="I2139"/>
        </row>
        <row r="2140">
          <cell r="A2140"/>
          <cell r="B2140"/>
          <cell r="C2140"/>
          <cell r="D2140"/>
          <cell r="E2140"/>
          <cell r="F2140"/>
          <cell r="G2140"/>
          <cell r="H2140"/>
          <cell r="I2140"/>
        </row>
        <row r="2141">
          <cell r="A2141"/>
          <cell r="B2141"/>
          <cell r="C2141"/>
          <cell r="D2141"/>
          <cell r="E2141"/>
          <cell r="F2141"/>
          <cell r="G2141"/>
          <cell r="H2141"/>
          <cell r="I2141"/>
        </row>
        <row r="2142">
          <cell r="A2142"/>
          <cell r="B2142"/>
          <cell r="C2142"/>
          <cell r="D2142"/>
          <cell r="E2142"/>
          <cell r="F2142"/>
          <cell r="G2142"/>
          <cell r="H2142"/>
          <cell r="I2142"/>
        </row>
        <row r="2143">
          <cell r="A2143"/>
          <cell r="B2143"/>
          <cell r="C2143"/>
          <cell r="D2143"/>
          <cell r="E2143"/>
          <cell r="F2143"/>
          <cell r="G2143"/>
          <cell r="H2143"/>
          <cell r="I2143"/>
        </row>
        <row r="2144">
          <cell r="A2144"/>
          <cell r="B2144"/>
          <cell r="C2144"/>
          <cell r="D2144"/>
          <cell r="E2144"/>
          <cell r="F2144"/>
          <cell r="G2144"/>
          <cell r="H2144"/>
          <cell r="I2144"/>
        </row>
        <row r="2145">
          <cell r="A2145"/>
          <cell r="B2145"/>
          <cell r="C2145"/>
          <cell r="D2145"/>
          <cell r="E2145"/>
          <cell r="F2145"/>
          <cell r="G2145"/>
          <cell r="H2145"/>
          <cell r="I2145"/>
        </row>
        <row r="2146">
          <cell r="A2146"/>
          <cell r="B2146"/>
          <cell r="C2146"/>
          <cell r="D2146"/>
          <cell r="E2146"/>
          <cell r="F2146"/>
          <cell r="G2146"/>
          <cell r="H2146"/>
          <cell r="I2146"/>
        </row>
        <row r="2147">
          <cell r="A2147"/>
          <cell r="B2147"/>
          <cell r="C2147"/>
          <cell r="D2147"/>
          <cell r="E2147"/>
          <cell r="F2147"/>
          <cell r="G2147"/>
          <cell r="H2147"/>
          <cell r="I2147"/>
        </row>
        <row r="2148">
          <cell r="A2148"/>
          <cell r="B2148"/>
          <cell r="C2148"/>
          <cell r="D2148"/>
          <cell r="E2148"/>
          <cell r="F2148"/>
          <cell r="G2148"/>
          <cell r="H2148"/>
          <cell r="I2148"/>
        </row>
        <row r="2149">
          <cell r="A2149"/>
          <cell r="B2149"/>
          <cell r="C2149"/>
          <cell r="D2149"/>
          <cell r="E2149"/>
          <cell r="F2149"/>
          <cell r="G2149"/>
          <cell r="H2149"/>
          <cell r="I2149"/>
        </row>
        <row r="2150">
          <cell r="A2150"/>
          <cell r="B2150"/>
          <cell r="C2150"/>
          <cell r="D2150"/>
          <cell r="E2150"/>
          <cell r="F2150"/>
          <cell r="G2150"/>
          <cell r="H2150"/>
          <cell r="I2150"/>
        </row>
        <row r="2151">
          <cell r="A2151"/>
          <cell r="B2151"/>
          <cell r="C2151"/>
          <cell r="D2151"/>
          <cell r="E2151"/>
          <cell r="F2151"/>
          <cell r="G2151"/>
          <cell r="H2151"/>
          <cell r="I2151"/>
        </row>
        <row r="2152">
          <cell r="A2152"/>
          <cell r="B2152"/>
          <cell r="C2152"/>
          <cell r="D2152"/>
          <cell r="E2152"/>
          <cell r="F2152"/>
          <cell r="G2152"/>
          <cell r="H2152"/>
          <cell r="I2152"/>
        </row>
        <row r="2153">
          <cell r="A2153"/>
          <cell r="B2153"/>
          <cell r="C2153"/>
          <cell r="D2153"/>
          <cell r="E2153"/>
          <cell r="F2153"/>
          <cell r="G2153"/>
          <cell r="H2153"/>
          <cell r="I2153"/>
        </row>
        <row r="2154">
          <cell r="A2154"/>
          <cell r="B2154"/>
          <cell r="C2154"/>
          <cell r="D2154"/>
          <cell r="E2154"/>
          <cell r="F2154"/>
          <cell r="G2154"/>
          <cell r="H2154"/>
          <cell r="I2154"/>
        </row>
        <row r="2155">
          <cell r="A2155"/>
          <cell r="B2155"/>
          <cell r="C2155"/>
          <cell r="D2155"/>
          <cell r="E2155"/>
          <cell r="F2155"/>
          <cell r="G2155"/>
          <cell r="H2155"/>
          <cell r="I2155"/>
        </row>
        <row r="2156">
          <cell r="A2156"/>
          <cell r="B2156"/>
          <cell r="C2156"/>
          <cell r="D2156"/>
          <cell r="E2156"/>
          <cell r="F2156"/>
          <cell r="G2156"/>
          <cell r="H2156"/>
          <cell r="I2156"/>
        </row>
        <row r="2157">
          <cell r="A2157"/>
          <cell r="B2157"/>
          <cell r="C2157"/>
          <cell r="D2157"/>
          <cell r="E2157"/>
          <cell r="F2157"/>
          <cell r="G2157"/>
          <cell r="H2157"/>
          <cell r="I2157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M"/>
      <sheetName val="A1+M"/>
      <sheetName val="A1+M+A2proj"/>
      <sheetName val="A1+S1+M+A2"/>
      <sheetName val="A1+M+A2"/>
      <sheetName val="S1+M"/>
      <sheetName val="S1+M+A2"/>
      <sheetName val="M2"/>
      <sheetName val="A1+M2"/>
      <sheetName val="A1+M2+A2proj"/>
      <sheetName val="A1+M2+A2"/>
      <sheetName val="S1+M2"/>
      <sheetName val="S1+M2+A2"/>
      <sheetName val="A1+S1+M2+A2"/>
      <sheetName val="Alternative Estimates"/>
      <sheetName val="Detailed Bin Table"/>
      <sheetName val="Alt Est Detailed Bin Table"/>
      <sheetName val="System Comparison"/>
      <sheetName val="System Move Days"/>
      <sheetName val="Detailed System Table"/>
      <sheetName val="Error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 t="str">
            <v>Mission Date</v>
          </cell>
          <cell r="B9" t="str">
            <v>A1+M</v>
          </cell>
          <cell r="C9" t="str">
            <v>A1+M+A2proj</v>
          </cell>
          <cell r="D9" t="str">
            <v>A1+M+A2</v>
          </cell>
          <cell r="E9" t="str">
            <v>A1+S1+M+A2</v>
          </cell>
          <cell r="F9" t="str">
            <v>S1+M</v>
          </cell>
          <cell r="G9" t="str">
            <v>S1+M+A2</v>
          </cell>
          <cell r="H9" t="str">
            <v>A1+M2</v>
          </cell>
          <cell r="I9" t="str">
            <v>A1+M2+A2proj</v>
          </cell>
          <cell r="J9" t="str">
            <v>A1+M2+A2</v>
          </cell>
          <cell r="K9" t="str">
            <v>A1+S1+M2+A2</v>
          </cell>
          <cell r="L9" t="str">
            <v>S1+M2</v>
          </cell>
          <cell r="M9" t="str">
            <v>S1+M2+A2</v>
          </cell>
          <cell r="N9" t="str">
            <v>A1+M</v>
          </cell>
          <cell r="O9" t="str">
            <v>A1+M+A2proj</v>
          </cell>
          <cell r="P9" t="str">
            <v>A1+M+A2</v>
          </cell>
          <cell r="Q9" t="str">
            <v>A1+S1+M+A2</v>
          </cell>
          <cell r="R9" t="str">
            <v>S1+M</v>
          </cell>
          <cell r="S9" t="str">
            <v>S1+M+A2</v>
          </cell>
          <cell r="T9" t="str">
            <v>A1+M2</v>
          </cell>
          <cell r="U9" t="str">
            <v>A1+M2+A2proj</v>
          </cell>
          <cell r="V9" t="str">
            <v>A1+M2+A2</v>
          </cell>
          <cell r="W9" t="str">
            <v>A1+S1+M2+A2</v>
          </cell>
          <cell r="X9" t="str">
            <v>S1+M2</v>
          </cell>
          <cell r="Y9" t="str">
            <v>S1+M2+A2</v>
          </cell>
          <cell r="Z9" t="str">
            <v>A1+M</v>
          </cell>
          <cell r="AA9" t="str">
            <v>A1+M+A2proj</v>
          </cell>
          <cell r="AB9" t="str">
            <v>A1+M+A2</v>
          </cell>
          <cell r="AC9" t="str">
            <v>A1+S1+M+A2</v>
          </cell>
          <cell r="AD9" t="str">
            <v>S1+M</v>
          </cell>
          <cell r="AE9" t="str">
            <v>S1+M+A2</v>
          </cell>
          <cell r="AF9" t="str">
            <v>A1+M2</v>
          </cell>
          <cell r="AG9" t="str">
            <v>A1+M2+A2proj</v>
          </cell>
          <cell r="AH9" t="str">
            <v>A1+M2+A2</v>
          </cell>
          <cell r="AI9" t="str">
            <v>A1+S1+M2+A2</v>
          </cell>
          <cell r="AJ9" t="str">
            <v>S1+M2</v>
          </cell>
          <cell r="AK9" t="str">
            <v>S1+M2+A2</v>
          </cell>
          <cell r="AL9" t="str">
            <v>A1+M</v>
          </cell>
          <cell r="AM9" t="str">
            <v>A1+M+A2proj</v>
          </cell>
          <cell r="AN9" t="str">
            <v>A1+M+A2</v>
          </cell>
          <cell r="AO9" t="str">
            <v>A1+S1+M+A2</v>
          </cell>
          <cell r="AP9" t="str">
            <v>S1+M</v>
          </cell>
          <cell r="AQ9" t="str">
            <v>S1+M+A2</v>
          </cell>
          <cell r="AR9" t="str">
            <v>A1+M2</v>
          </cell>
          <cell r="AS9" t="str">
            <v>A1+M2+A2proj</v>
          </cell>
          <cell r="AT9" t="str">
            <v>A1+M2+A2</v>
          </cell>
          <cell r="AU9" t="str">
            <v>A1+S1+M2+A2</v>
          </cell>
          <cell r="AV9" t="str">
            <v>S1+M2</v>
          </cell>
          <cell r="AW9" t="str">
            <v>S1+M2+A2</v>
          </cell>
          <cell r="AX9" t="str">
            <v>A1+M</v>
          </cell>
          <cell r="AY9" t="str">
            <v>A1+M+A2proj</v>
          </cell>
          <cell r="AZ9" t="str">
            <v>A1+M+A2</v>
          </cell>
          <cell r="BA9" t="str">
            <v>A1+S1+M+A2</v>
          </cell>
          <cell r="BB9" t="str">
            <v>S1+M</v>
          </cell>
          <cell r="BC9" t="str">
            <v>S1+M+A2</v>
          </cell>
          <cell r="BD9" t="str">
            <v>A1+M2</v>
          </cell>
          <cell r="BE9" t="str">
            <v>A1+M2+A2proj</v>
          </cell>
          <cell r="BF9" t="str">
            <v>A1+M2+A2</v>
          </cell>
          <cell r="BG9" t="str">
            <v>A1+S1+M2+A2</v>
          </cell>
          <cell r="BH9" t="str">
            <v>S1+M2</v>
          </cell>
          <cell r="BI9" t="str">
            <v>S1+M2+A2</v>
          </cell>
          <cell r="BJ9" t="str">
            <v>A1+S1+M+A2</v>
          </cell>
          <cell r="BK9" t="str">
            <v>S1+M</v>
          </cell>
          <cell r="BL9" t="str">
            <v>S1+M+A2</v>
          </cell>
          <cell r="BM9" t="str">
            <v>A1+S1+M2+A2</v>
          </cell>
          <cell r="BN9" t="str">
            <v>S1+M2</v>
          </cell>
          <cell r="BO9" t="str">
            <v>S1+M2+A2</v>
          </cell>
          <cell r="BP9" t="str">
            <v>M</v>
          </cell>
          <cell r="BQ9" t="str">
            <v>A1+M</v>
          </cell>
          <cell r="BR9" t="str">
            <v>S1+M</v>
          </cell>
          <cell r="BS9" t="str">
            <v>A1+M+A2proj</v>
          </cell>
          <cell r="BT9" t="str">
            <v>A1+M+A2</v>
          </cell>
          <cell r="BU9" t="str">
            <v>A1+S1+M+A2</v>
          </cell>
          <cell r="BV9" t="str">
            <v>S1+M+A2</v>
          </cell>
          <cell r="BW9" t="str">
            <v>M2</v>
          </cell>
          <cell r="BX9" t="str">
            <v>A1+M2</v>
          </cell>
          <cell r="BY9" t="str">
            <v>S1+M2</v>
          </cell>
          <cell r="BZ9" t="str">
            <v>A1+M2+A2proj</v>
          </cell>
          <cell r="CA9" t="str">
            <v>A1+M2+A2</v>
          </cell>
          <cell r="CB9" t="str">
            <v>A1+S1+M2+A2</v>
          </cell>
          <cell r="CC9" t="str">
            <v>S1+M2+A2</v>
          </cell>
          <cell r="CD9" t="str">
            <v>A1+M+A2proj</v>
          </cell>
          <cell r="CE9" t="str">
            <v>A1+M+A2</v>
          </cell>
          <cell r="CF9" t="str">
            <v>A1+S1+M+A2</v>
          </cell>
          <cell r="CG9" t="str">
            <v>S1+M+A2</v>
          </cell>
          <cell r="CH9" t="str">
            <v>A1+M2+A2proj</v>
          </cell>
          <cell r="CI9" t="str">
            <v>A1+M2+A2</v>
          </cell>
          <cell r="CJ9" t="str">
            <v>A1+S1+M2+A2</v>
          </cell>
          <cell r="CK9" t="str">
            <v>S1+M2+A2</v>
          </cell>
          <cell r="CL9" t="str">
            <v>A1+M+A2proj</v>
          </cell>
          <cell r="CM9" t="str">
            <v>A1+M+A2</v>
          </cell>
          <cell r="CN9" t="str">
            <v>A1+S1+M+A2</v>
          </cell>
          <cell r="CO9" t="str">
            <v>S1+M+A2</v>
          </cell>
          <cell r="CP9" t="str">
            <v>A1+M2+A2proj</v>
          </cell>
          <cell r="CQ9" t="str">
            <v>A1+M2+A2</v>
          </cell>
          <cell r="CR9" t="str">
            <v>A1+S1+M2+A2</v>
          </cell>
          <cell r="CS9" t="str">
            <v>S1+M2+A2</v>
          </cell>
          <cell r="CT9" t="str">
            <v>A1+M+A2proj</v>
          </cell>
          <cell r="CU9" t="str">
            <v>A1+M+A2</v>
          </cell>
          <cell r="CV9" t="str">
            <v>A1+S1+M+A2</v>
          </cell>
          <cell r="CW9" t="str">
            <v>S1+M+A2</v>
          </cell>
          <cell r="CX9" t="str">
            <v>A1+M2+A2proj</v>
          </cell>
          <cell r="CY9" t="str">
            <v>A1+M2+A2</v>
          </cell>
          <cell r="CZ9" t="str">
            <v>A1+S1+M2+A2</v>
          </cell>
          <cell r="DA9" t="str">
            <v>S1+M2+A2</v>
          </cell>
          <cell r="DB9" t="str">
            <v>A1+M+A2proj</v>
          </cell>
          <cell r="DC9" t="str">
            <v>A1+M+A2</v>
          </cell>
          <cell r="DD9" t="str">
            <v>A1+S1+M+A2</v>
          </cell>
          <cell r="DE9" t="str">
            <v>S1+M+A2</v>
          </cell>
          <cell r="DF9" t="str">
            <v>A1+M2+A2proj</v>
          </cell>
          <cell r="DG9" t="str">
            <v>A1+M2+A2</v>
          </cell>
          <cell r="DH9" t="str">
            <v>A1+S1+M2+A2</v>
          </cell>
          <cell r="DI9" t="str">
            <v>S1+M2+A2</v>
          </cell>
        </row>
        <row r="10">
          <cell r="A10">
            <v>45108</v>
          </cell>
          <cell r="B10">
            <v>9.32</v>
          </cell>
          <cell r="C10">
            <v>9.32</v>
          </cell>
          <cell r="D10">
            <v>0</v>
          </cell>
          <cell r="E10">
            <v>9.32</v>
          </cell>
          <cell r="F10">
            <v>11.53</v>
          </cell>
          <cell r="G10">
            <v>11.53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9.33</v>
          </cell>
          <cell r="O10">
            <v>9.33</v>
          </cell>
          <cell r="P10">
            <v>0</v>
          </cell>
          <cell r="Q10">
            <v>9.33</v>
          </cell>
          <cell r="R10">
            <v>16.73</v>
          </cell>
          <cell r="S10">
            <v>16.73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8.9499999999999993</v>
          </cell>
          <cell r="AA10">
            <v>8.9499999999999993</v>
          </cell>
          <cell r="AB10">
            <v>0</v>
          </cell>
          <cell r="AC10">
            <v>8.9499999999999993</v>
          </cell>
          <cell r="AD10">
            <v>10.76</v>
          </cell>
          <cell r="AE10">
            <v>10.76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10.07</v>
          </cell>
          <cell r="AM10">
            <v>10.07</v>
          </cell>
          <cell r="AN10">
            <v>0</v>
          </cell>
          <cell r="AO10">
            <v>10.07</v>
          </cell>
          <cell r="AP10">
            <v>11.16</v>
          </cell>
          <cell r="AQ10">
            <v>11.16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206.41</v>
          </cell>
          <cell r="BQ10">
            <v>108.77000000000002</v>
          </cell>
          <cell r="BR10">
            <v>108.77000000000002</v>
          </cell>
          <cell r="BS10">
            <v>108.77000000000002</v>
          </cell>
          <cell r="BT10">
            <v>0</v>
          </cell>
          <cell r="BU10">
            <v>108.77000000000004</v>
          </cell>
          <cell r="BV10">
            <v>108.77000000000004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5.6492041148472762E-2</v>
          </cell>
          <cell r="CF10">
            <v>5.6492041148472762E-2</v>
          </cell>
          <cell r="CG10">
            <v>5.6492041148472762E-2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5.6492041148472762E-2</v>
          </cell>
          <cell r="CN10">
            <v>5.6492041148472762E-2</v>
          </cell>
          <cell r="CO10">
            <v>5.6492041148472762E-2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0.70060893958571024</v>
          </cell>
          <cell r="CV10">
            <v>0.70060893958571024</v>
          </cell>
          <cell r="CW10">
            <v>0.70060893958571024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27.558624457820844</v>
          </cell>
          <cell r="DD10">
            <v>27.558624457820844</v>
          </cell>
          <cell r="DE10">
            <v>27.558624457820844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</row>
        <row r="11">
          <cell r="A11">
            <v>45109</v>
          </cell>
          <cell r="B11">
            <v>8.52</v>
          </cell>
          <cell r="C11">
            <v>8.52</v>
          </cell>
          <cell r="D11">
            <v>0</v>
          </cell>
          <cell r="E11">
            <v>8.52</v>
          </cell>
          <cell r="F11">
            <v>18.649999999999999</v>
          </cell>
          <cell r="G11">
            <v>18.649999999999999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5.95</v>
          </cell>
          <cell r="O11">
            <v>5.95</v>
          </cell>
          <cell r="P11">
            <v>0</v>
          </cell>
          <cell r="Q11">
            <v>5.95</v>
          </cell>
          <cell r="R11">
            <v>18.04</v>
          </cell>
          <cell r="S11">
            <v>18.04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10.37</v>
          </cell>
          <cell r="AA11">
            <v>10.37</v>
          </cell>
          <cell r="AB11">
            <v>0</v>
          </cell>
          <cell r="AC11">
            <v>10.37</v>
          </cell>
          <cell r="AD11">
            <v>10.220000000000001</v>
          </cell>
          <cell r="AE11">
            <v>10.220000000000001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8.58</v>
          </cell>
          <cell r="AM11">
            <v>8.58</v>
          </cell>
          <cell r="AN11">
            <v>0</v>
          </cell>
          <cell r="AO11">
            <v>8.58</v>
          </cell>
          <cell r="AP11">
            <v>9.5</v>
          </cell>
          <cell r="AQ11">
            <v>9.5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79.77000000000001</v>
          </cell>
          <cell r="BQ11">
            <v>79.77000000000001</v>
          </cell>
          <cell r="BR11">
            <v>79.77000000000001</v>
          </cell>
          <cell r="BS11">
            <v>79.77000000000001</v>
          </cell>
          <cell r="BT11">
            <v>0</v>
          </cell>
          <cell r="BU11">
            <v>79.77</v>
          </cell>
          <cell r="BV11">
            <v>79.770000000000039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0.13671291592938134</v>
          </cell>
          <cell r="CF11">
            <v>0.13671291592938134</v>
          </cell>
          <cell r="CG11">
            <v>0.13671291592938134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6.5455024213370114E-2</v>
          </cell>
          <cell r="CN11">
            <v>6.5455024213370114E-2</v>
          </cell>
          <cell r="CO11">
            <v>6.5455024213370114E-2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0.44679776961789669</v>
          </cell>
          <cell r="CV11">
            <v>0.44679776961789669</v>
          </cell>
          <cell r="CW11">
            <v>0.44679776961789669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25.193077294059396</v>
          </cell>
          <cell r="DD11">
            <v>25.193077294059396</v>
          </cell>
          <cell r="DE11">
            <v>25.193077294059396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</row>
        <row r="12">
          <cell r="A12">
            <v>45110</v>
          </cell>
          <cell r="B12">
            <v>3.76</v>
          </cell>
          <cell r="C12">
            <v>3.76</v>
          </cell>
          <cell r="D12">
            <v>0</v>
          </cell>
          <cell r="E12">
            <v>3.76</v>
          </cell>
          <cell r="F12">
            <v>7.1099999999999994</v>
          </cell>
          <cell r="G12">
            <v>7.1099999999999994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5.18</v>
          </cell>
          <cell r="O12">
            <v>5.18</v>
          </cell>
          <cell r="P12">
            <v>0</v>
          </cell>
          <cell r="Q12">
            <v>5.18</v>
          </cell>
          <cell r="R12">
            <v>11</v>
          </cell>
          <cell r="S12">
            <v>11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3.87</v>
          </cell>
          <cell r="AA12">
            <v>3.87</v>
          </cell>
          <cell r="AB12">
            <v>0</v>
          </cell>
          <cell r="AC12">
            <v>3.87</v>
          </cell>
          <cell r="AD12">
            <v>10.870000000000001</v>
          </cell>
          <cell r="AE12">
            <v>10.870000000000001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8.61</v>
          </cell>
          <cell r="AM12">
            <v>8.61</v>
          </cell>
          <cell r="AN12">
            <v>0</v>
          </cell>
          <cell r="AO12">
            <v>8.61</v>
          </cell>
          <cell r="AP12">
            <v>9.9499999999999993</v>
          </cell>
          <cell r="AQ12">
            <v>9.9499999999999993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131.24</v>
          </cell>
          <cell r="BQ12">
            <v>50.980000000000004</v>
          </cell>
          <cell r="BR12">
            <v>50.980000000000011</v>
          </cell>
          <cell r="BS12">
            <v>50.980000000000004</v>
          </cell>
          <cell r="BT12">
            <v>0</v>
          </cell>
          <cell r="BU12">
            <v>50.980000000000025</v>
          </cell>
          <cell r="BV12">
            <v>50.980000000000032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0.13719093311794558</v>
          </cell>
          <cell r="CF12">
            <v>0.13719093311794558</v>
          </cell>
          <cell r="CG12">
            <v>0.13719093311794558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2.4427284831797721E-2</v>
          </cell>
          <cell r="CN12">
            <v>2.4427284831797721E-2</v>
          </cell>
          <cell r="CO12">
            <v>2.4427284831797721E-2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0.3889768817849924</v>
          </cell>
          <cell r="CV12">
            <v>0.3889768817849924</v>
          </cell>
          <cell r="CW12">
            <v>0.3889768817849924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11.118071669678795</v>
          </cell>
          <cell r="DD12">
            <v>11.118071669678795</v>
          </cell>
          <cell r="DE12">
            <v>11.118071669678795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</row>
        <row r="13">
          <cell r="A13">
            <v>45111</v>
          </cell>
          <cell r="B13">
            <v>14.08</v>
          </cell>
          <cell r="C13">
            <v>14.08</v>
          </cell>
          <cell r="D13">
            <v>0</v>
          </cell>
          <cell r="E13">
            <v>14.08</v>
          </cell>
          <cell r="F13">
            <v>9.9600000000000009</v>
          </cell>
          <cell r="G13">
            <v>9.9600000000000009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5.13</v>
          </cell>
          <cell r="O13">
            <v>5.13</v>
          </cell>
          <cell r="P13">
            <v>0</v>
          </cell>
          <cell r="Q13">
            <v>5.13</v>
          </cell>
          <cell r="R13">
            <v>15.04</v>
          </cell>
          <cell r="S13">
            <v>15.04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14.4</v>
          </cell>
          <cell r="AA13">
            <v>14.4</v>
          </cell>
          <cell r="AB13">
            <v>0</v>
          </cell>
          <cell r="AC13">
            <v>14.4</v>
          </cell>
          <cell r="AD13">
            <v>11.79</v>
          </cell>
          <cell r="AE13">
            <v>11.79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17.2</v>
          </cell>
          <cell r="AM13">
            <v>17.2</v>
          </cell>
          <cell r="AN13">
            <v>0</v>
          </cell>
          <cell r="AO13">
            <v>17.2</v>
          </cell>
          <cell r="AP13">
            <v>10.620000000000001</v>
          </cell>
          <cell r="AQ13">
            <v>10.620000000000001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40.130000000000003</v>
          </cell>
          <cell r="BQ13">
            <v>40.129999999999995</v>
          </cell>
          <cell r="BR13">
            <v>40.129999999999995</v>
          </cell>
          <cell r="BS13">
            <v>40.129999999999995</v>
          </cell>
          <cell r="BT13">
            <v>0</v>
          </cell>
          <cell r="BU13">
            <v>40.129999999999995</v>
          </cell>
          <cell r="BV13">
            <v>40.129999999999995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0.27406318811018165</v>
          </cell>
          <cell r="CF13">
            <v>0.27406318811018165</v>
          </cell>
          <cell r="CG13">
            <v>0.27406318811018165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9.0892222629945008E-2</v>
          </cell>
          <cell r="CN13">
            <v>9.0892222629945008E-2</v>
          </cell>
          <cell r="CO13">
            <v>9.0892222629945008E-2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0.38522227867895964</v>
          </cell>
          <cell r="CV13">
            <v>0.38522227867895964</v>
          </cell>
          <cell r="CW13">
            <v>0.38522227867895964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41.633630082201442</v>
          </cell>
          <cell r="DD13">
            <v>41.633630082201442</v>
          </cell>
          <cell r="DE13">
            <v>41.633630082201442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</row>
        <row r="14">
          <cell r="A14">
            <v>45112</v>
          </cell>
          <cell r="B14">
            <v>15.82</v>
          </cell>
          <cell r="C14">
            <v>15.82</v>
          </cell>
          <cell r="D14">
            <v>0</v>
          </cell>
          <cell r="E14">
            <v>15.82</v>
          </cell>
          <cell r="F14">
            <v>17.82</v>
          </cell>
          <cell r="G14">
            <v>17.82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17.96</v>
          </cell>
          <cell r="O14">
            <v>17.96</v>
          </cell>
          <cell r="P14">
            <v>0</v>
          </cell>
          <cell r="Q14">
            <v>17.96</v>
          </cell>
          <cell r="R14">
            <v>32.06</v>
          </cell>
          <cell r="S14">
            <v>32.06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18.829999999999998</v>
          </cell>
          <cell r="AA14">
            <v>18.829999999999998</v>
          </cell>
          <cell r="AB14">
            <v>0</v>
          </cell>
          <cell r="AC14">
            <v>18.829999999999998</v>
          </cell>
          <cell r="AD14">
            <v>13.65</v>
          </cell>
          <cell r="AE14">
            <v>13.65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25.35</v>
          </cell>
          <cell r="AM14">
            <v>25.35</v>
          </cell>
          <cell r="AN14">
            <v>0</v>
          </cell>
          <cell r="AO14">
            <v>25.35</v>
          </cell>
          <cell r="AP14">
            <v>23.39</v>
          </cell>
          <cell r="AQ14">
            <v>23.39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6.89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161.73000000000002</v>
          </cell>
          <cell r="BQ14">
            <v>114.73999999999998</v>
          </cell>
          <cell r="BR14">
            <v>114.74</v>
          </cell>
          <cell r="BS14">
            <v>114.73999999999998</v>
          </cell>
          <cell r="BT14">
            <v>0</v>
          </cell>
          <cell r="BU14">
            <v>114.74000000000001</v>
          </cell>
          <cell r="BV14">
            <v>114.74000000000001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0.40392452433680848</v>
          </cell>
          <cell r="CF14">
            <v>0.40392452433680848</v>
          </cell>
          <cell r="CG14">
            <v>0.40392452433680848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0.1188542050084628</v>
          </cell>
          <cell r="CN14">
            <v>0.1188542050084628</v>
          </cell>
          <cell r="CO14">
            <v>0.1188542050084628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1.3486534356869622</v>
          </cell>
          <cell r="CV14">
            <v>1.3486534356869622</v>
          </cell>
          <cell r="CW14">
            <v>1.3486534356869622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46.778695163382594</v>
          </cell>
          <cell r="DD14">
            <v>46.778695163382594</v>
          </cell>
          <cell r="DE14">
            <v>46.778695163382594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</row>
        <row r="15">
          <cell r="A15">
            <v>45113</v>
          </cell>
          <cell r="B15">
            <v>12.35</v>
          </cell>
          <cell r="C15">
            <v>12.35</v>
          </cell>
          <cell r="D15">
            <v>0</v>
          </cell>
          <cell r="E15">
            <v>12.35</v>
          </cell>
          <cell r="F15">
            <v>21.74</v>
          </cell>
          <cell r="G15">
            <v>21.74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4.74</v>
          </cell>
          <cell r="O15">
            <v>4.74</v>
          </cell>
          <cell r="P15">
            <v>0</v>
          </cell>
          <cell r="Q15">
            <v>4.74</v>
          </cell>
          <cell r="R15">
            <v>24.9</v>
          </cell>
          <cell r="S15">
            <v>24.9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13.92</v>
          </cell>
          <cell r="AA15">
            <v>13.92</v>
          </cell>
          <cell r="AB15">
            <v>0</v>
          </cell>
          <cell r="AC15">
            <v>13.92</v>
          </cell>
          <cell r="AD15">
            <v>17.649999999999999</v>
          </cell>
          <cell r="AE15">
            <v>17.649999999999999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32.33</v>
          </cell>
          <cell r="AM15">
            <v>32.33</v>
          </cell>
          <cell r="AN15">
            <v>0</v>
          </cell>
          <cell r="AO15">
            <v>32.33</v>
          </cell>
          <cell r="AP15">
            <v>19.48</v>
          </cell>
          <cell r="AQ15">
            <v>19.48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6.59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135.49</v>
          </cell>
          <cell r="BQ15">
            <v>105.50999999999996</v>
          </cell>
          <cell r="BR15">
            <v>105.50999999999998</v>
          </cell>
          <cell r="BS15">
            <v>105.50999999999996</v>
          </cell>
          <cell r="BT15">
            <v>0</v>
          </cell>
          <cell r="BU15">
            <v>105.50999999999998</v>
          </cell>
          <cell r="BV15">
            <v>105.50999999999995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-3.5833333333333335</v>
          </cell>
          <cell r="CF15">
            <v>-3.5833333333333335</v>
          </cell>
          <cell r="CG15">
            <v>-3.5833333333333335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-18.083333333333332</v>
          </cell>
          <cell r="CN15">
            <v>-18.083333333333332</v>
          </cell>
          <cell r="CO15">
            <v>-18.083333333333332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-4.083333333333333</v>
          </cell>
          <cell r="CV15">
            <v>-4.083333333333333</v>
          </cell>
          <cell r="CW15">
            <v>-4.083333333333333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35.875</v>
          </cell>
          <cell r="DD15">
            <v>35.875</v>
          </cell>
          <cell r="DE15">
            <v>35.875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</row>
        <row r="16">
          <cell r="A16">
            <v>45114</v>
          </cell>
          <cell r="B16">
            <v>21.05</v>
          </cell>
          <cell r="C16">
            <v>21.05</v>
          </cell>
          <cell r="D16">
            <v>0</v>
          </cell>
          <cell r="E16">
            <v>21.05</v>
          </cell>
          <cell r="F16">
            <v>31.5</v>
          </cell>
          <cell r="G16">
            <v>31.5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32.07</v>
          </cell>
          <cell r="O16">
            <v>32.07</v>
          </cell>
          <cell r="P16">
            <v>0</v>
          </cell>
          <cell r="Q16">
            <v>32.07</v>
          </cell>
          <cell r="R16">
            <v>32.9</v>
          </cell>
          <cell r="S16">
            <v>32.9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13.47</v>
          </cell>
          <cell r="AA16">
            <v>13.47</v>
          </cell>
          <cell r="AB16">
            <v>0</v>
          </cell>
          <cell r="AC16">
            <v>13.47</v>
          </cell>
          <cell r="AD16">
            <v>10.4</v>
          </cell>
          <cell r="AE16">
            <v>10.4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19.079999999999998</v>
          </cell>
          <cell r="AM16">
            <v>19.079999999999998</v>
          </cell>
          <cell r="AN16">
            <v>0</v>
          </cell>
          <cell r="AO16">
            <v>19.079999999999998</v>
          </cell>
          <cell r="AP16">
            <v>12.8</v>
          </cell>
          <cell r="AQ16">
            <v>12.8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2.74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95.61999999999999</v>
          </cell>
          <cell r="BQ16">
            <v>95.61999999999999</v>
          </cell>
          <cell r="BR16">
            <v>95.61999999999999</v>
          </cell>
          <cell r="BS16">
            <v>95.61999999999999</v>
          </cell>
          <cell r="BT16">
            <v>0</v>
          </cell>
          <cell r="BU16">
            <v>95.620000000000033</v>
          </cell>
          <cell r="BV16">
            <v>95.62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4.541666666666667</v>
          </cell>
          <cell r="CF16">
            <v>4.541666666666667</v>
          </cell>
          <cell r="CG16">
            <v>4.541666666666667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7.333333333333333</v>
          </cell>
          <cell r="CN16">
            <v>7.333333333333333</v>
          </cell>
          <cell r="CO16">
            <v>7.333333333333333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11.833333333333334</v>
          </cell>
          <cell r="CV16">
            <v>11.833333333333334</v>
          </cell>
          <cell r="CW16">
            <v>11.833333333333334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31.833333333333332</v>
          </cell>
          <cell r="DD16">
            <v>31.833333333333332</v>
          </cell>
          <cell r="DE16">
            <v>31.833333333333332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</row>
        <row r="17">
          <cell r="A17">
            <v>45115</v>
          </cell>
          <cell r="B17">
            <v>12.18</v>
          </cell>
          <cell r="C17">
            <v>12.18</v>
          </cell>
          <cell r="D17">
            <v>0</v>
          </cell>
          <cell r="E17">
            <v>12.18</v>
          </cell>
          <cell r="F17">
            <v>18.79</v>
          </cell>
          <cell r="G17">
            <v>18.79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28.52</v>
          </cell>
          <cell r="O17">
            <v>28.52</v>
          </cell>
          <cell r="P17">
            <v>0</v>
          </cell>
          <cell r="Q17">
            <v>28.52</v>
          </cell>
          <cell r="R17">
            <v>39.03</v>
          </cell>
          <cell r="S17">
            <v>39.03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11.71</v>
          </cell>
          <cell r="AA17">
            <v>11.71</v>
          </cell>
          <cell r="AB17">
            <v>0</v>
          </cell>
          <cell r="AC17">
            <v>11.71</v>
          </cell>
          <cell r="AD17">
            <v>9.98</v>
          </cell>
          <cell r="AE17">
            <v>9.98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17.34</v>
          </cell>
          <cell r="AM17">
            <v>17.34</v>
          </cell>
          <cell r="AN17">
            <v>0</v>
          </cell>
          <cell r="AO17">
            <v>17.34</v>
          </cell>
          <cell r="AP17">
            <v>17.16</v>
          </cell>
          <cell r="AQ17">
            <v>17.16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7.84</v>
          </cell>
          <cell r="BB17">
            <v>7.84</v>
          </cell>
          <cell r="BC17">
            <v>7.84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106.76</v>
          </cell>
          <cell r="BQ17">
            <v>106.76000000000002</v>
          </cell>
          <cell r="BR17">
            <v>106.76000000000003</v>
          </cell>
          <cell r="BS17">
            <v>106.76000000000002</v>
          </cell>
          <cell r="BT17">
            <v>0</v>
          </cell>
          <cell r="BU17">
            <v>106.76000000000003</v>
          </cell>
          <cell r="BV17">
            <v>106.76000000000005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0.33333333333333331</v>
          </cell>
          <cell r="CG17">
            <v>0.33333333333333331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1.0416666666666667</v>
          </cell>
          <cell r="CO17">
            <v>1.0416666666666667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-0.29166666666666669</v>
          </cell>
          <cell r="CW17">
            <v>-0.29166666666666669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34.208333333333336</v>
          </cell>
          <cell r="DE17">
            <v>34.208333333333336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</row>
        <row r="18">
          <cell r="A18">
            <v>45116</v>
          </cell>
          <cell r="B18">
            <v>6.99</v>
          </cell>
          <cell r="C18">
            <v>6.99</v>
          </cell>
          <cell r="D18">
            <v>0</v>
          </cell>
          <cell r="E18">
            <v>6.99</v>
          </cell>
          <cell r="F18">
            <v>24.62</v>
          </cell>
          <cell r="G18">
            <v>24.62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18.88</v>
          </cell>
          <cell r="O18">
            <v>18.88</v>
          </cell>
          <cell r="P18">
            <v>0</v>
          </cell>
          <cell r="Q18">
            <v>18.88</v>
          </cell>
          <cell r="R18">
            <v>36.409999999999997</v>
          </cell>
          <cell r="S18">
            <v>36.409999999999997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20.21</v>
          </cell>
          <cell r="AA18">
            <v>20.21</v>
          </cell>
          <cell r="AB18">
            <v>0</v>
          </cell>
          <cell r="AC18">
            <v>20.21</v>
          </cell>
          <cell r="AD18">
            <v>22.92</v>
          </cell>
          <cell r="AE18">
            <v>22.92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26.34</v>
          </cell>
          <cell r="AM18">
            <v>26.34</v>
          </cell>
          <cell r="AN18">
            <v>0</v>
          </cell>
          <cell r="AO18">
            <v>26.34</v>
          </cell>
          <cell r="AP18">
            <v>24.59</v>
          </cell>
          <cell r="AQ18">
            <v>24.59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4.78</v>
          </cell>
          <cell r="BB18">
            <v>4.78</v>
          </cell>
          <cell r="BC18">
            <v>4.78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119.95</v>
          </cell>
          <cell r="BQ18">
            <v>119.95</v>
          </cell>
          <cell r="BR18">
            <v>99.11999999999999</v>
          </cell>
          <cell r="BS18">
            <v>119.95</v>
          </cell>
          <cell r="BT18">
            <v>0</v>
          </cell>
          <cell r="BU18">
            <v>99.120000000000033</v>
          </cell>
          <cell r="BV18">
            <v>99.12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0.33333333333333331</v>
          </cell>
          <cell r="CG18">
            <v>0.33333333333333331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3.8333333333333335</v>
          </cell>
          <cell r="CO18">
            <v>3.8333333333333335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4.083333333333333</v>
          </cell>
          <cell r="CW18">
            <v>4.083333333333333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33.666666666666664</v>
          </cell>
          <cell r="DE18">
            <v>33.666666666666664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</row>
        <row r="19">
          <cell r="A19">
            <v>45117</v>
          </cell>
          <cell r="B19">
            <v>4.5</v>
          </cell>
          <cell r="C19">
            <v>4.5</v>
          </cell>
          <cell r="D19">
            <v>0</v>
          </cell>
          <cell r="E19">
            <v>4.5</v>
          </cell>
          <cell r="F19">
            <v>19.649999999999999</v>
          </cell>
          <cell r="G19">
            <v>19.649999999999999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17.670000000000002</v>
          </cell>
          <cell r="O19">
            <v>17.670000000000002</v>
          </cell>
          <cell r="P19">
            <v>0</v>
          </cell>
          <cell r="Q19">
            <v>17.670000000000002</v>
          </cell>
          <cell r="R19">
            <v>40.61</v>
          </cell>
          <cell r="S19">
            <v>40.61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24.07</v>
          </cell>
          <cell r="AA19">
            <v>24.07</v>
          </cell>
          <cell r="AB19">
            <v>0</v>
          </cell>
          <cell r="AC19">
            <v>24.07</v>
          </cell>
          <cell r="AD19">
            <v>33.14</v>
          </cell>
          <cell r="AE19">
            <v>33.14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27.6</v>
          </cell>
          <cell r="AM19">
            <v>27.6</v>
          </cell>
          <cell r="AN19">
            <v>0</v>
          </cell>
          <cell r="AO19">
            <v>27.6</v>
          </cell>
          <cell r="AP19">
            <v>40.400000000000006</v>
          </cell>
          <cell r="AQ19">
            <v>40.400000000000006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15.62</v>
          </cell>
          <cell r="BB19">
            <v>15.62</v>
          </cell>
          <cell r="BC19">
            <v>15.62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69.209999999999994</v>
          </cell>
          <cell r="BQ19">
            <v>69.210000000000008</v>
          </cell>
          <cell r="BR19">
            <v>69.20999999999998</v>
          </cell>
          <cell r="BS19">
            <v>69.210000000000008</v>
          </cell>
          <cell r="BT19">
            <v>0</v>
          </cell>
          <cell r="BU19">
            <v>69.210000000000036</v>
          </cell>
          <cell r="BV19">
            <v>69.210000000000008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-2.0833333333333335</v>
          </cell>
          <cell r="CG19">
            <v>-2.0833333333333335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17.833333333333332</v>
          </cell>
          <cell r="CO19">
            <v>17.833333333333332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8.7083333333333339</v>
          </cell>
          <cell r="CW19">
            <v>8.7083333333333339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30.208333333333332</v>
          </cell>
          <cell r="DE19">
            <v>30.208333333333332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</row>
        <row r="20">
          <cell r="A20">
            <v>45118</v>
          </cell>
          <cell r="B20">
            <v>4.6100000000000003</v>
          </cell>
          <cell r="C20">
            <v>4.6100000000000003</v>
          </cell>
          <cell r="D20">
            <v>4.6100000000000003</v>
          </cell>
          <cell r="E20">
            <v>4.6100000000000003</v>
          </cell>
          <cell r="F20">
            <v>17.600000000000001</v>
          </cell>
          <cell r="G20">
            <v>17.600000000000001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10.43</v>
          </cell>
          <cell r="O20">
            <v>10.43</v>
          </cell>
          <cell r="P20">
            <v>10.43</v>
          </cell>
          <cell r="Q20">
            <v>10.43</v>
          </cell>
          <cell r="R20">
            <v>32.989999999999995</v>
          </cell>
          <cell r="S20">
            <v>32.989999999999995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20.97</v>
          </cell>
          <cell r="AA20">
            <v>20.97</v>
          </cell>
          <cell r="AB20">
            <v>20.97</v>
          </cell>
          <cell r="AC20">
            <v>20.97</v>
          </cell>
          <cell r="AD20">
            <v>31.99</v>
          </cell>
          <cell r="AE20">
            <v>31.99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25.9</v>
          </cell>
          <cell r="AM20">
            <v>25.9</v>
          </cell>
          <cell r="AN20">
            <v>25.9</v>
          </cell>
          <cell r="AO20">
            <v>25.9</v>
          </cell>
          <cell r="AP20">
            <v>27.06</v>
          </cell>
          <cell r="AQ20">
            <v>27.06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14.11</v>
          </cell>
          <cell r="BB20">
            <v>14.11</v>
          </cell>
          <cell r="BC20">
            <v>14.11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94.649999999999991</v>
          </cell>
          <cell r="BQ20">
            <v>94.65</v>
          </cell>
          <cell r="BR20">
            <v>66.05000000000004</v>
          </cell>
          <cell r="BS20">
            <v>94.65</v>
          </cell>
          <cell r="BT20">
            <v>94.65</v>
          </cell>
          <cell r="BU20">
            <v>66.05</v>
          </cell>
          <cell r="BV20">
            <v>66.05000000000004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-0.76</v>
          </cell>
          <cell r="CF20">
            <v>-0.76</v>
          </cell>
          <cell r="CG20">
            <v>-0.76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-2.67</v>
          </cell>
          <cell r="CN20">
            <v>-2.67</v>
          </cell>
          <cell r="CO20">
            <v>-2.67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4.29</v>
          </cell>
          <cell r="CV20">
            <v>4.29</v>
          </cell>
          <cell r="CW20">
            <v>4.29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6.51</v>
          </cell>
          <cell r="DD20">
            <v>6.51</v>
          </cell>
          <cell r="DE20">
            <v>6.51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</row>
        <row r="21">
          <cell r="A21">
            <v>45119</v>
          </cell>
          <cell r="B21">
            <v>0</v>
          </cell>
          <cell r="C21">
            <v>0</v>
          </cell>
          <cell r="D21">
            <v>0</v>
          </cell>
          <cell r="E21">
            <v>9.6927272727272715</v>
          </cell>
          <cell r="F21">
            <v>0</v>
          </cell>
          <cell r="G21">
            <v>25.822727272727274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14.119090909090907</v>
          </cell>
          <cell r="R21">
            <v>0</v>
          </cell>
          <cell r="S21">
            <v>33.46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23.568181818181813</v>
          </cell>
          <cell r="AD21">
            <v>0</v>
          </cell>
          <cell r="AE21">
            <v>28.363636363636363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39.302727272727267</v>
          </cell>
          <cell r="AP21">
            <v>0</v>
          </cell>
          <cell r="AQ21">
            <v>17.786363636363635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6.2363636363636354</v>
          </cell>
          <cell r="BB21">
            <v>0</v>
          </cell>
          <cell r="BC21">
            <v>6.2363636363636354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94.43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94.429999999999978</v>
          </cell>
          <cell r="BV21">
            <v>94.429999999999964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-3</v>
          </cell>
          <cell r="CG21">
            <v>-3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-2.2000000000000002</v>
          </cell>
          <cell r="CO21">
            <v>-2.2000000000000002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-1.3</v>
          </cell>
          <cell r="CW21">
            <v>-1.3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5.15</v>
          </cell>
          <cell r="DE21">
            <v>5.15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</row>
        <row r="22">
          <cell r="A22">
            <v>45120</v>
          </cell>
          <cell r="B22">
            <v>7.75</v>
          </cell>
          <cell r="C22">
            <v>7.75</v>
          </cell>
          <cell r="D22">
            <v>7.75</v>
          </cell>
          <cell r="E22">
            <v>7.75</v>
          </cell>
          <cell r="F22">
            <v>40.729999999999997</v>
          </cell>
          <cell r="G22">
            <v>40.729999999999997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29.09</v>
          </cell>
          <cell r="O22">
            <v>29.09</v>
          </cell>
          <cell r="P22">
            <v>29.09</v>
          </cell>
          <cell r="Q22">
            <v>29.09</v>
          </cell>
          <cell r="R22">
            <v>47.55</v>
          </cell>
          <cell r="S22">
            <v>47.55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46.64</v>
          </cell>
          <cell r="AA22">
            <v>46.64</v>
          </cell>
          <cell r="AB22">
            <v>46.64</v>
          </cell>
          <cell r="AC22">
            <v>46.64</v>
          </cell>
          <cell r="AD22">
            <v>25.65</v>
          </cell>
          <cell r="AE22">
            <v>25.65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38.78</v>
          </cell>
          <cell r="AM22">
            <v>38.78</v>
          </cell>
          <cell r="AN22">
            <v>38.78</v>
          </cell>
          <cell r="AO22">
            <v>38.78</v>
          </cell>
          <cell r="AP22">
            <v>20.990000000000002</v>
          </cell>
          <cell r="AQ22">
            <v>20.990000000000002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5.18</v>
          </cell>
          <cell r="BB22">
            <v>5.18</v>
          </cell>
          <cell r="BC22">
            <v>5.18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100.33</v>
          </cell>
          <cell r="BQ22">
            <v>79.239999999999995</v>
          </cell>
          <cell r="BR22">
            <v>79.239999999999981</v>
          </cell>
          <cell r="BS22">
            <v>79.239999999999995</v>
          </cell>
          <cell r="BT22">
            <v>79.239999999999981</v>
          </cell>
          <cell r="BU22">
            <v>79.240000000000009</v>
          </cell>
          <cell r="BV22">
            <v>79.239999999999981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10.8</v>
          </cell>
          <cell r="CF22">
            <v>0.8</v>
          </cell>
          <cell r="CG22">
            <v>0.8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10.65</v>
          </cell>
          <cell r="CN22">
            <v>8</v>
          </cell>
          <cell r="CO22">
            <v>8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3.2</v>
          </cell>
          <cell r="CW22">
            <v>3.2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7.45</v>
          </cell>
          <cell r="DE22">
            <v>7.45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</row>
        <row r="23">
          <cell r="A23">
            <v>45121</v>
          </cell>
          <cell r="B23">
            <v>4.47</v>
          </cell>
          <cell r="C23">
            <v>4.47</v>
          </cell>
          <cell r="D23">
            <v>4.47</v>
          </cell>
          <cell r="E23">
            <v>4.47</v>
          </cell>
          <cell r="F23">
            <v>23.83</v>
          </cell>
          <cell r="G23">
            <v>23.83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8.3699999999999992</v>
          </cell>
          <cell r="O23">
            <v>8.3699999999999992</v>
          </cell>
          <cell r="P23">
            <v>8.3699999999999992</v>
          </cell>
          <cell r="Q23">
            <v>8.3699999999999992</v>
          </cell>
          <cell r="R23">
            <v>32.58</v>
          </cell>
          <cell r="S23">
            <v>32.58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33.46</v>
          </cell>
          <cell r="AA23">
            <v>33.46</v>
          </cell>
          <cell r="AB23">
            <v>33.46</v>
          </cell>
          <cell r="AC23">
            <v>33.46</v>
          </cell>
          <cell r="AD23">
            <v>30.83</v>
          </cell>
          <cell r="AE23">
            <v>30.83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43.27</v>
          </cell>
          <cell r="AM23">
            <v>43.27</v>
          </cell>
          <cell r="AN23">
            <v>43.27</v>
          </cell>
          <cell r="AO23">
            <v>43.27</v>
          </cell>
          <cell r="AP23">
            <v>19.190000000000001</v>
          </cell>
          <cell r="AQ23">
            <v>19.190000000000001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11.05</v>
          </cell>
          <cell r="BB23">
            <v>11.05</v>
          </cell>
          <cell r="BC23">
            <v>11.05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53.57</v>
          </cell>
          <cell r="BQ23">
            <v>53.570000000000022</v>
          </cell>
          <cell r="BR23">
            <v>53.570000000000022</v>
          </cell>
          <cell r="BS23">
            <v>53.570000000000022</v>
          </cell>
          <cell r="BT23">
            <v>53.570000000000022</v>
          </cell>
          <cell r="BU23">
            <v>53.570000000000007</v>
          </cell>
          <cell r="BV23">
            <v>53.570000000000022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0.34</v>
          </cell>
          <cell r="CF23">
            <v>0.34</v>
          </cell>
          <cell r="CG23">
            <v>0.34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7.59</v>
          </cell>
          <cell r="CN23">
            <v>7.59</v>
          </cell>
          <cell r="CO23">
            <v>7.59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5.28</v>
          </cell>
          <cell r="CV23">
            <v>5.28</v>
          </cell>
          <cell r="CW23">
            <v>5.28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3.35</v>
          </cell>
          <cell r="DD23">
            <v>3.35</v>
          </cell>
          <cell r="DE23">
            <v>3.35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</row>
        <row r="24">
          <cell r="A24">
            <v>45122</v>
          </cell>
          <cell r="B24">
            <v>7.87</v>
          </cell>
          <cell r="C24">
            <v>7.87</v>
          </cell>
          <cell r="D24">
            <v>7.87</v>
          </cell>
          <cell r="E24">
            <v>7.87</v>
          </cell>
          <cell r="F24">
            <v>36.879999999999995</v>
          </cell>
          <cell r="G24">
            <v>36.879999999999995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14.74</v>
          </cell>
          <cell r="O24">
            <v>14.74</v>
          </cell>
          <cell r="P24">
            <v>14.74</v>
          </cell>
          <cell r="Q24">
            <v>14.74</v>
          </cell>
          <cell r="R24">
            <v>30.509999999999998</v>
          </cell>
          <cell r="S24">
            <v>30.509999999999998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35.93</v>
          </cell>
          <cell r="AA24">
            <v>35.93</v>
          </cell>
          <cell r="AB24">
            <v>35.93</v>
          </cell>
          <cell r="AC24">
            <v>35.93</v>
          </cell>
          <cell r="AD24">
            <v>24.16</v>
          </cell>
          <cell r="AE24">
            <v>24.16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39.33</v>
          </cell>
          <cell r="AM24">
            <v>39.33</v>
          </cell>
          <cell r="AN24">
            <v>39.33</v>
          </cell>
          <cell r="AO24">
            <v>39.33</v>
          </cell>
          <cell r="AP24">
            <v>22.5</v>
          </cell>
          <cell r="AQ24">
            <v>22.5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8.8500000000000014</v>
          </cell>
          <cell r="BB24">
            <v>8.8500000000000014</v>
          </cell>
          <cell r="BC24">
            <v>8.8500000000000014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30.63</v>
          </cell>
          <cell r="BQ24">
            <v>30.629999999999995</v>
          </cell>
          <cell r="BR24">
            <v>30.629999999999995</v>
          </cell>
          <cell r="BS24">
            <v>30.629999999999995</v>
          </cell>
          <cell r="BT24">
            <v>30.629999999999981</v>
          </cell>
          <cell r="BU24">
            <v>30.630000000000024</v>
          </cell>
          <cell r="BV24">
            <v>30.629999999999995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-7.92</v>
          </cell>
          <cell r="CF24">
            <v>-7.92</v>
          </cell>
          <cell r="CG24">
            <v>-7.92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22.04</v>
          </cell>
          <cell r="CN24">
            <v>22.04</v>
          </cell>
          <cell r="CO24">
            <v>22.04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7.92</v>
          </cell>
          <cell r="CV24">
            <v>7.92</v>
          </cell>
          <cell r="CW24">
            <v>7.92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5.07</v>
          </cell>
          <cell r="DD24">
            <v>5.07</v>
          </cell>
          <cell r="DE24">
            <v>5.07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</row>
        <row r="25">
          <cell r="A25">
            <v>45123</v>
          </cell>
          <cell r="B25">
            <v>12.24</v>
          </cell>
          <cell r="C25">
            <v>12.24</v>
          </cell>
          <cell r="D25">
            <v>12.24</v>
          </cell>
          <cell r="E25">
            <v>12.24</v>
          </cell>
          <cell r="F25">
            <v>34.36</v>
          </cell>
          <cell r="G25">
            <v>34.36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10.53</v>
          </cell>
          <cell r="O25">
            <v>10.53</v>
          </cell>
          <cell r="P25">
            <v>10.53</v>
          </cell>
          <cell r="Q25">
            <v>10.53</v>
          </cell>
          <cell r="R25">
            <v>41.18</v>
          </cell>
          <cell r="S25">
            <v>41.18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32.020000000000003</v>
          </cell>
          <cell r="AA25">
            <v>32.020000000000003</v>
          </cell>
          <cell r="AB25">
            <v>32.020000000000003</v>
          </cell>
          <cell r="AC25">
            <v>32.020000000000003</v>
          </cell>
          <cell r="AD25">
            <v>30.83</v>
          </cell>
          <cell r="AE25">
            <v>30.83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16.420000000000002</v>
          </cell>
          <cell r="AM25">
            <v>16.420000000000002</v>
          </cell>
          <cell r="AN25">
            <v>16.420000000000002</v>
          </cell>
          <cell r="AO25">
            <v>16.420000000000002</v>
          </cell>
          <cell r="AP25">
            <v>22.700000000000003</v>
          </cell>
          <cell r="AQ25">
            <v>22.700000000000003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16.93</v>
          </cell>
          <cell r="BB25">
            <v>16.93</v>
          </cell>
          <cell r="BC25">
            <v>16.93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69.55</v>
          </cell>
          <cell r="BQ25">
            <v>69.549999999999983</v>
          </cell>
          <cell r="BR25">
            <v>69.549999999999983</v>
          </cell>
          <cell r="BS25">
            <v>69.549999999999983</v>
          </cell>
          <cell r="BT25">
            <v>69.550000000000011</v>
          </cell>
          <cell r="BU25">
            <v>69.550000000000011</v>
          </cell>
          <cell r="BV25">
            <v>69.550000000000011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-6.42</v>
          </cell>
          <cell r="CF25">
            <v>-6.42</v>
          </cell>
          <cell r="CG25">
            <v>-6.42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1.24</v>
          </cell>
          <cell r="CN25">
            <v>1.24</v>
          </cell>
          <cell r="CO25">
            <v>1.24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8.52</v>
          </cell>
          <cell r="CV25">
            <v>8.52</v>
          </cell>
          <cell r="CW25">
            <v>8.52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2.35</v>
          </cell>
          <cell r="DD25">
            <v>2.35</v>
          </cell>
          <cell r="DE25">
            <v>2.35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</row>
        <row r="26">
          <cell r="A26">
            <v>45124</v>
          </cell>
          <cell r="B26">
            <v>19.73</v>
          </cell>
          <cell r="C26">
            <v>0</v>
          </cell>
          <cell r="D26">
            <v>19.73</v>
          </cell>
          <cell r="E26">
            <v>19.73</v>
          </cell>
          <cell r="F26">
            <v>70.289999999999992</v>
          </cell>
          <cell r="G26">
            <v>70.289999999999992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34.03</v>
          </cell>
          <cell r="O26">
            <v>0</v>
          </cell>
          <cell r="P26">
            <v>34.03</v>
          </cell>
          <cell r="Q26">
            <v>34.03</v>
          </cell>
          <cell r="R26">
            <v>31.85</v>
          </cell>
          <cell r="S26">
            <v>31.85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47.92</v>
          </cell>
          <cell r="AA26">
            <v>0</v>
          </cell>
          <cell r="AB26">
            <v>47.92</v>
          </cell>
          <cell r="AC26">
            <v>47.92</v>
          </cell>
          <cell r="AD26">
            <v>25</v>
          </cell>
          <cell r="AE26">
            <v>25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39.200000000000003</v>
          </cell>
          <cell r="AM26">
            <v>0</v>
          </cell>
          <cell r="AN26">
            <v>39.200000000000003</v>
          </cell>
          <cell r="AO26">
            <v>39.200000000000003</v>
          </cell>
          <cell r="AP26">
            <v>29.259999999999998</v>
          </cell>
          <cell r="AQ26">
            <v>29.259999999999998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14.55</v>
          </cell>
          <cell r="BB26">
            <v>14.55</v>
          </cell>
          <cell r="BC26">
            <v>14.55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118.10000000000001</v>
          </cell>
          <cell r="BQ26">
            <v>118.10000000000002</v>
          </cell>
          <cell r="BR26">
            <v>118.1</v>
          </cell>
          <cell r="BS26">
            <v>0</v>
          </cell>
          <cell r="BT26">
            <v>118.10000000000002</v>
          </cell>
          <cell r="BU26">
            <v>118.10000000000002</v>
          </cell>
          <cell r="BV26">
            <v>118.10000000000002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0.38</v>
          </cell>
          <cell r="CF26">
            <v>0.38</v>
          </cell>
          <cell r="CG26">
            <v>0.38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10.19</v>
          </cell>
          <cell r="CN26">
            <v>10.19</v>
          </cell>
          <cell r="CO26">
            <v>10.19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25.81</v>
          </cell>
          <cell r="CV26">
            <v>25.81</v>
          </cell>
          <cell r="CW26">
            <v>25.81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1.8</v>
          </cell>
          <cell r="DD26">
            <v>1.8</v>
          </cell>
          <cell r="DE26">
            <v>1.8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</row>
        <row r="27">
          <cell r="A27">
            <v>45125</v>
          </cell>
          <cell r="B27">
            <v>10.27</v>
          </cell>
          <cell r="C27">
            <v>0</v>
          </cell>
          <cell r="D27">
            <v>10.27</v>
          </cell>
          <cell r="E27">
            <v>10.27</v>
          </cell>
          <cell r="F27">
            <v>45.48</v>
          </cell>
          <cell r="G27">
            <v>45.48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11.27</v>
          </cell>
          <cell r="O27">
            <v>0</v>
          </cell>
          <cell r="P27">
            <v>11.27</v>
          </cell>
          <cell r="Q27">
            <v>11.27</v>
          </cell>
          <cell r="R27">
            <v>44.75</v>
          </cell>
          <cell r="S27">
            <v>44.75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41.65</v>
          </cell>
          <cell r="AA27">
            <v>0</v>
          </cell>
          <cell r="AB27">
            <v>41.65</v>
          </cell>
          <cell r="AC27">
            <v>41.65</v>
          </cell>
          <cell r="AD27">
            <v>55.42</v>
          </cell>
          <cell r="AE27">
            <v>55.42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41.65</v>
          </cell>
          <cell r="AM27">
            <v>0</v>
          </cell>
          <cell r="AN27">
            <v>41.65</v>
          </cell>
          <cell r="AO27">
            <v>41.65</v>
          </cell>
          <cell r="AP27">
            <v>41.7</v>
          </cell>
          <cell r="AQ27">
            <v>41.7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28.310000000000002</v>
          </cell>
          <cell r="BB27">
            <v>28.310000000000002</v>
          </cell>
          <cell r="BC27">
            <v>28.310000000000002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120.52</v>
          </cell>
          <cell r="BQ27">
            <v>120.52000000000001</v>
          </cell>
          <cell r="BR27">
            <v>120.52000000000001</v>
          </cell>
          <cell r="BS27">
            <v>0</v>
          </cell>
          <cell r="BT27">
            <v>120.52000000000002</v>
          </cell>
          <cell r="BU27">
            <v>120.51999999999998</v>
          </cell>
          <cell r="BV27">
            <v>120.52000000000004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-3.38</v>
          </cell>
          <cell r="CF27">
            <v>-3.38</v>
          </cell>
          <cell r="CG27">
            <v>-3.38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4.6100000000000003</v>
          </cell>
          <cell r="CN27">
            <v>4.6100000000000003</v>
          </cell>
          <cell r="CO27">
            <v>4.6100000000000003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10.98</v>
          </cell>
          <cell r="CV27">
            <v>10.98</v>
          </cell>
          <cell r="CW27">
            <v>10.98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2.56</v>
          </cell>
          <cell r="DD27">
            <v>2.56</v>
          </cell>
          <cell r="DE27">
            <v>2.56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</row>
        <row r="28">
          <cell r="A28">
            <v>45126</v>
          </cell>
          <cell r="B28">
            <v>9.85</v>
          </cell>
          <cell r="C28">
            <v>9.85</v>
          </cell>
          <cell r="D28">
            <v>9.85</v>
          </cell>
          <cell r="E28">
            <v>9.85</v>
          </cell>
          <cell r="F28">
            <v>25.47</v>
          </cell>
          <cell r="G28">
            <v>25.47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25.47</v>
          </cell>
          <cell r="N28">
            <v>5.8</v>
          </cell>
          <cell r="O28">
            <v>5.8</v>
          </cell>
          <cell r="P28">
            <v>5.8</v>
          </cell>
          <cell r="Q28">
            <v>5.8</v>
          </cell>
          <cell r="R28">
            <v>31.73</v>
          </cell>
          <cell r="S28">
            <v>31.73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31.73</v>
          </cell>
          <cell r="Z28">
            <v>29.88</v>
          </cell>
          <cell r="AA28">
            <v>29.88</v>
          </cell>
          <cell r="AB28">
            <v>29.88</v>
          </cell>
          <cell r="AC28">
            <v>29.88</v>
          </cell>
          <cell r="AD28">
            <v>33.75</v>
          </cell>
          <cell r="AE28">
            <v>33.75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33.75</v>
          </cell>
          <cell r="AL28">
            <v>32.68</v>
          </cell>
          <cell r="AM28">
            <v>32.68</v>
          </cell>
          <cell r="AN28">
            <v>32.68</v>
          </cell>
          <cell r="AO28">
            <v>32.68</v>
          </cell>
          <cell r="AP28">
            <v>37.35</v>
          </cell>
          <cell r="AQ28">
            <v>37.35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37.35</v>
          </cell>
          <cell r="AX28">
            <v>0</v>
          </cell>
          <cell r="AY28">
            <v>0</v>
          </cell>
          <cell r="AZ28">
            <v>0</v>
          </cell>
          <cell r="BA28">
            <v>19.23</v>
          </cell>
          <cell r="BB28">
            <v>19.23</v>
          </cell>
          <cell r="BC28">
            <v>19.23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19.23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172.04000000000002</v>
          </cell>
          <cell r="BQ28">
            <v>172.04000000000002</v>
          </cell>
          <cell r="BR28">
            <v>172.04000000000002</v>
          </cell>
          <cell r="BS28">
            <v>172.04000000000002</v>
          </cell>
          <cell r="BT28">
            <v>172.04000000000002</v>
          </cell>
          <cell r="BU28">
            <v>172.03999999999996</v>
          </cell>
          <cell r="BV28">
            <v>172.04</v>
          </cell>
          <cell r="BW28">
            <v>556.25999999999988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339.07999999999993</v>
          </cell>
          <cell r="CD28">
            <v>0</v>
          </cell>
          <cell r="CE28">
            <v>-1.54</v>
          </cell>
          <cell r="CF28">
            <v>-1.54</v>
          </cell>
          <cell r="CG28">
            <v>-1.54</v>
          </cell>
          <cell r="CH28">
            <v>0</v>
          </cell>
          <cell r="CI28">
            <v>0</v>
          </cell>
          <cell r="CJ28">
            <v>0</v>
          </cell>
          <cell r="CK28">
            <v>-1.54</v>
          </cell>
          <cell r="CL28">
            <v>0</v>
          </cell>
          <cell r="CM28">
            <v>-3.07</v>
          </cell>
          <cell r="CN28">
            <v>-3.07</v>
          </cell>
          <cell r="CO28">
            <v>-3.07</v>
          </cell>
          <cell r="CP28">
            <v>0</v>
          </cell>
          <cell r="CQ28">
            <v>0</v>
          </cell>
          <cell r="CR28">
            <v>0</v>
          </cell>
          <cell r="CS28">
            <v>-3.07</v>
          </cell>
          <cell r="CT28">
            <v>0</v>
          </cell>
          <cell r="CU28">
            <v>1.2</v>
          </cell>
          <cell r="CV28">
            <v>1.2</v>
          </cell>
          <cell r="CW28">
            <v>1.2</v>
          </cell>
          <cell r="CX28">
            <v>0</v>
          </cell>
          <cell r="CY28">
            <v>0</v>
          </cell>
          <cell r="CZ28">
            <v>0</v>
          </cell>
          <cell r="DA28">
            <v>1.2</v>
          </cell>
          <cell r="DB28">
            <v>0</v>
          </cell>
          <cell r="DC28">
            <v>2.39</v>
          </cell>
          <cell r="DD28">
            <v>2.39</v>
          </cell>
          <cell r="DE28">
            <v>2.39</v>
          </cell>
          <cell r="DF28">
            <v>0</v>
          </cell>
          <cell r="DG28">
            <v>0</v>
          </cell>
          <cell r="DH28">
            <v>0</v>
          </cell>
          <cell r="DI28">
            <v>2.39</v>
          </cell>
        </row>
        <row r="29">
          <cell r="A29">
            <v>45127</v>
          </cell>
          <cell r="B29">
            <v>13.93</v>
          </cell>
          <cell r="C29">
            <v>13.93</v>
          </cell>
          <cell r="D29">
            <v>13.93</v>
          </cell>
          <cell r="E29">
            <v>13.93</v>
          </cell>
          <cell r="F29">
            <v>37.880000000000003</v>
          </cell>
          <cell r="G29">
            <v>37.880000000000003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28.340000000000003</v>
          </cell>
          <cell r="N29">
            <v>10.199999999999999</v>
          </cell>
          <cell r="O29">
            <v>10.199999999999999</v>
          </cell>
          <cell r="P29">
            <v>10.199999999999999</v>
          </cell>
          <cell r="Q29">
            <v>10.199999999999999</v>
          </cell>
          <cell r="R29">
            <v>39.32</v>
          </cell>
          <cell r="S29">
            <v>39.32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32.92</v>
          </cell>
          <cell r="Z29">
            <v>30.92</v>
          </cell>
          <cell r="AA29">
            <v>30.92</v>
          </cell>
          <cell r="AB29">
            <v>30.92</v>
          </cell>
          <cell r="AC29">
            <v>30.92</v>
          </cell>
          <cell r="AD29">
            <v>25</v>
          </cell>
          <cell r="AE29">
            <v>25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32.799999999999997</v>
          </cell>
          <cell r="AL29">
            <v>30.23</v>
          </cell>
          <cell r="AM29">
            <v>30.23</v>
          </cell>
          <cell r="AN29">
            <v>30.23</v>
          </cell>
          <cell r="AO29">
            <v>30.23</v>
          </cell>
          <cell r="AP29">
            <v>21.48</v>
          </cell>
          <cell r="AQ29">
            <v>21.48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19.770000000000003</v>
          </cell>
          <cell r="AX29">
            <v>0</v>
          </cell>
          <cell r="AY29">
            <v>0</v>
          </cell>
          <cell r="AZ29">
            <v>0</v>
          </cell>
          <cell r="BA29">
            <v>11.120000000000001</v>
          </cell>
          <cell r="BB29">
            <v>11.120000000000001</v>
          </cell>
          <cell r="BC29">
            <v>11.120000000000001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6.25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141.55000000000001</v>
          </cell>
          <cell r="BQ29">
            <v>92.07</v>
          </cell>
          <cell r="BR29">
            <v>92.07</v>
          </cell>
          <cell r="BS29">
            <v>92.07</v>
          </cell>
          <cell r="BT29">
            <v>92.07</v>
          </cell>
          <cell r="BU29">
            <v>92.07</v>
          </cell>
          <cell r="BV29">
            <v>92.07</v>
          </cell>
          <cell r="BW29">
            <v>484.75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442.8300000000001</v>
          </cell>
          <cell r="CD29">
            <v>0</v>
          </cell>
          <cell r="CE29">
            <v>7.75</v>
          </cell>
          <cell r="CF29">
            <v>7.75</v>
          </cell>
          <cell r="CG29">
            <v>7.75</v>
          </cell>
          <cell r="CH29">
            <v>0</v>
          </cell>
          <cell r="CI29">
            <v>0</v>
          </cell>
          <cell r="CJ29">
            <v>0</v>
          </cell>
          <cell r="CK29">
            <v>7.75</v>
          </cell>
          <cell r="CL29">
            <v>0</v>
          </cell>
          <cell r="CM29">
            <v>7.74</v>
          </cell>
          <cell r="CN29">
            <v>7.74</v>
          </cell>
          <cell r="CO29">
            <v>7.74</v>
          </cell>
          <cell r="CP29">
            <v>0</v>
          </cell>
          <cell r="CQ29">
            <v>0</v>
          </cell>
          <cell r="CR29">
            <v>0</v>
          </cell>
          <cell r="CS29">
            <v>7.74</v>
          </cell>
          <cell r="CT29">
            <v>0</v>
          </cell>
          <cell r="CU29">
            <v>7.73</v>
          </cell>
          <cell r="CV29">
            <v>7.73</v>
          </cell>
          <cell r="CW29">
            <v>7.73</v>
          </cell>
          <cell r="CX29">
            <v>0</v>
          </cell>
          <cell r="CY29">
            <v>0</v>
          </cell>
          <cell r="CZ29">
            <v>0</v>
          </cell>
          <cell r="DA29">
            <v>7.73</v>
          </cell>
          <cell r="DB29">
            <v>0</v>
          </cell>
          <cell r="DC29">
            <v>1.37</v>
          </cell>
          <cell r="DD29">
            <v>1.37</v>
          </cell>
          <cell r="DE29">
            <v>1.37</v>
          </cell>
          <cell r="DF29">
            <v>0</v>
          </cell>
          <cell r="DG29">
            <v>0</v>
          </cell>
          <cell r="DH29">
            <v>0</v>
          </cell>
          <cell r="DI29">
            <v>1.37</v>
          </cell>
        </row>
        <row r="30">
          <cell r="A30">
            <v>45128</v>
          </cell>
          <cell r="B30">
            <v>26.87</v>
          </cell>
          <cell r="C30">
            <v>26.87</v>
          </cell>
          <cell r="D30">
            <v>26.87</v>
          </cell>
          <cell r="E30">
            <v>26.87</v>
          </cell>
          <cell r="F30">
            <v>16.52</v>
          </cell>
          <cell r="G30">
            <v>16.52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16.53</v>
          </cell>
          <cell r="N30">
            <v>18.22</v>
          </cell>
          <cell r="O30">
            <v>18.22</v>
          </cell>
          <cell r="P30">
            <v>18.22</v>
          </cell>
          <cell r="Q30">
            <v>18.22</v>
          </cell>
          <cell r="R30">
            <v>30.69</v>
          </cell>
          <cell r="S30">
            <v>30.69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30.69</v>
          </cell>
          <cell r="Z30">
            <v>28.67</v>
          </cell>
          <cell r="AA30">
            <v>28.67</v>
          </cell>
          <cell r="AB30">
            <v>28.67</v>
          </cell>
          <cell r="AC30">
            <v>28.67</v>
          </cell>
          <cell r="AD30">
            <v>23.45</v>
          </cell>
          <cell r="AE30">
            <v>23.45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23.45</v>
          </cell>
          <cell r="AL30">
            <v>34.43</v>
          </cell>
          <cell r="AM30">
            <v>34.43</v>
          </cell>
          <cell r="AN30">
            <v>34.43</v>
          </cell>
          <cell r="AO30">
            <v>34.43</v>
          </cell>
          <cell r="AP30">
            <v>25.91</v>
          </cell>
          <cell r="AQ30">
            <v>25.91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25.92</v>
          </cell>
          <cell r="AX30">
            <v>0</v>
          </cell>
          <cell r="AY30">
            <v>0</v>
          </cell>
          <cell r="AZ30">
            <v>0</v>
          </cell>
          <cell r="BA30">
            <v>13.440000000000001</v>
          </cell>
          <cell r="BB30">
            <v>13.440000000000001</v>
          </cell>
          <cell r="BC30">
            <v>13.440000000000001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13.440000000000001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150.13999999999999</v>
          </cell>
          <cell r="BQ30">
            <v>150.13999999999999</v>
          </cell>
          <cell r="BR30">
            <v>131.41999999999999</v>
          </cell>
          <cell r="BS30">
            <v>150.13999999999999</v>
          </cell>
          <cell r="BT30">
            <v>150.13999999999996</v>
          </cell>
          <cell r="BU30">
            <v>131.41999999999999</v>
          </cell>
          <cell r="BV30">
            <v>131.42000000000002</v>
          </cell>
          <cell r="BW30">
            <v>456.68999999999994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296.03999999999996</v>
          </cell>
          <cell r="CD30">
            <v>0</v>
          </cell>
          <cell r="CE30">
            <v>4.38</v>
          </cell>
          <cell r="CF30">
            <v>4.38</v>
          </cell>
          <cell r="CG30">
            <v>4.38</v>
          </cell>
          <cell r="CH30">
            <v>0</v>
          </cell>
          <cell r="CI30">
            <v>0</v>
          </cell>
          <cell r="CJ30">
            <v>0</v>
          </cell>
          <cell r="CK30">
            <v>4.38</v>
          </cell>
          <cell r="CL30">
            <v>0</v>
          </cell>
          <cell r="CM30">
            <v>8.09</v>
          </cell>
          <cell r="CN30">
            <v>8.09</v>
          </cell>
          <cell r="CO30">
            <v>8.09</v>
          </cell>
          <cell r="CP30">
            <v>0</v>
          </cell>
          <cell r="CQ30">
            <v>0</v>
          </cell>
          <cell r="CR30">
            <v>0</v>
          </cell>
          <cell r="CS30">
            <v>8.09</v>
          </cell>
          <cell r="CT30">
            <v>0</v>
          </cell>
          <cell r="CU30">
            <v>5.21</v>
          </cell>
          <cell r="CV30">
            <v>5.21</v>
          </cell>
          <cell r="CW30">
            <v>5.21</v>
          </cell>
          <cell r="CX30">
            <v>0</v>
          </cell>
          <cell r="CY30">
            <v>0</v>
          </cell>
          <cell r="CZ30">
            <v>0</v>
          </cell>
          <cell r="DA30">
            <v>5.21</v>
          </cell>
          <cell r="DB30">
            <v>0</v>
          </cell>
          <cell r="DC30">
            <v>1.67</v>
          </cell>
          <cell r="DD30">
            <v>1.67</v>
          </cell>
          <cell r="DE30">
            <v>1.67</v>
          </cell>
          <cell r="DF30">
            <v>0</v>
          </cell>
          <cell r="DG30">
            <v>0</v>
          </cell>
          <cell r="DH30">
            <v>0</v>
          </cell>
          <cell r="DI30">
            <v>1.67</v>
          </cell>
        </row>
        <row r="31">
          <cell r="A31">
            <v>45129</v>
          </cell>
          <cell r="B31">
            <v>53.9</v>
          </cell>
          <cell r="C31">
            <v>53.9</v>
          </cell>
          <cell r="D31">
            <v>53.9</v>
          </cell>
          <cell r="E31">
            <v>53.9</v>
          </cell>
          <cell r="F31">
            <v>46.35</v>
          </cell>
          <cell r="G31">
            <v>46.35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46.35</v>
          </cell>
          <cell r="N31">
            <v>25.8</v>
          </cell>
          <cell r="O31">
            <v>25.8</v>
          </cell>
          <cell r="P31">
            <v>25.8</v>
          </cell>
          <cell r="Q31">
            <v>25.8</v>
          </cell>
          <cell r="R31">
            <v>42.9</v>
          </cell>
          <cell r="S31">
            <v>42.9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42.9</v>
          </cell>
          <cell r="Z31">
            <v>24</v>
          </cell>
          <cell r="AA31">
            <v>24</v>
          </cell>
          <cell r="AB31">
            <v>24</v>
          </cell>
          <cell r="AC31">
            <v>24</v>
          </cell>
          <cell r="AD31">
            <v>44.39</v>
          </cell>
          <cell r="AE31">
            <v>44.39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44.39</v>
          </cell>
          <cell r="AL31">
            <v>28.4</v>
          </cell>
          <cell r="AM31">
            <v>28.4</v>
          </cell>
          <cell r="AN31">
            <v>28.4</v>
          </cell>
          <cell r="AO31">
            <v>28.4</v>
          </cell>
          <cell r="AP31">
            <v>44.319999999999993</v>
          </cell>
          <cell r="AQ31">
            <v>44.319999999999993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44.319999999999993</v>
          </cell>
          <cell r="AX31">
            <v>0</v>
          </cell>
          <cell r="AY31">
            <v>0</v>
          </cell>
          <cell r="AZ31">
            <v>0</v>
          </cell>
          <cell r="BA31">
            <v>10.29</v>
          </cell>
          <cell r="BB31">
            <v>10.29</v>
          </cell>
          <cell r="BC31">
            <v>10.29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10.29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121.77000000000004</v>
          </cell>
          <cell r="BR31">
            <v>121.77000000000001</v>
          </cell>
          <cell r="BS31">
            <v>121.77000000000004</v>
          </cell>
          <cell r="BT31">
            <v>121.77000000000001</v>
          </cell>
          <cell r="BU31">
            <v>121.77000000000004</v>
          </cell>
          <cell r="BV31">
            <v>121.77000000000001</v>
          </cell>
          <cell r="BW31">
            <v>276.66000000000003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269.17999999999995</v>
          </cell>
          <cell r="CD31">
            <v>0</v>
          </cell>
          <cell r="CE31">
            <v>1.17</v>
          </cell>
          <cell r="CF31">
            <v>1.17</v>
          </cell>
          <cell r="CG31">
            <v>1.17</v>
          </cell>
          <cell r="CH31">
            <v>0</v>
          </cell>
          <cell r="CI31">
            <v>0</v>
          </cell>
          <cell r="CJ31">
            <v>0</v>
          </cell>
          <cell r="CK31">
            <v>1.17</v>
          </cell>
          <cell r="CL31">
            <v>0</v>
          </cell>
          <cell r="CM31">
            <v>7.43</v>
          </cell>
          <cell r="CN31">
            <v>7.43</v>
          </cell>
          <cell r="CO31">
            <v>7.43</v>
          </cell>
          <cell r="CP31">
            <v>0</v>
          </cell>
          <cell r="CQ31">
            <v>0</v>
          </cell>
          <cell r="CR31">
            <v>0</v>
          </cell>
          <cell r="CS31">
            <v>7.43</v>
          </cell>
          <cell r="CT31">
            <v>0</v>
          </cell>
          <cell r="CU31">
            <v>3.21</v>
          </cell>
          <cell r="CV31">
            <v>3.21</v>
          </cell>
          <cell r="CW31">
            <v>3.21</v>
          </cell>
          <cell r="CX31">
            <v>0</v>
          </cell>
          <cell r="CY31">
            <v>0</v>
          </cell>
          <cell r="CZ31">
            <v>0</v>
          </cell>
          <cell r="DA31">
            <v>3.21</v>
          </cell>
          <cell r="DB31">
            <v>0</v>
          </cell>
          <cell r="DC31">
            <v>7.2</v>
          </cell>
          <cell r="DD31">
            <v>7.2</v>
          </cell>
          <cell r="DE31">
            <v>7.2</v>
          </cell>
          <cell r="DF31">
            <v>0</v>
          </cell>
          <cell r="DG31">
            <v>0</v>
          </cell>
          <cell r="DH31">
            <v>0</v>
          </cell>
          <cell r="DI31">
            <v>7.2</v>
          </cell>
        </row>
        <row r="32">
          <cell r="A32">
            <v>45130</v>
          </cell>
          <cell r="B32">
            <v>40.479999999999997</v>
          </cell>
          <cell r="C32">
            <v>40.479999999999997</v>
          </cell>
          <cell r="D32">
            <v>40.479999999999997</v>
          </cell>
          <cell r="E32">
            <v>40.479999999999997</v>
          </cell>
          <cell r="F32">
            <v>38.71</v>
          </cell>
          <cell r="G32">
            <v>38.71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38.68</v>
          </cell>
          <cell r="N32">
            <v>34.799999999999997</v>
          </cell>
          <cell r="O32">
            <v>34.799999999999997</v>
          </cell>
          <cell r="P32">
            <v>34.799999999999997</v>
          </cell>
          <cell r="Q32">
            <v>34.799999999999997</v>
          </cell>
          <cell r="R32">
            <v>44.59</v>
          </cell>
          <cell r="S32">
            <v>44.59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44.58</v>
          </cell>
          <cell r="Z32">
            <v>46.35</v>
          </cell>
          <cell r="AA32">
            <v>46.35</v>
          </cell>
          <cell r="AB32">
            <v>46.35</v>
          </cell>
          <cell r="AC32">
            <v>46.35</v>
          </cell>
          <cell r="AD32">
            <v>53.53</v>
          </cell>
          <cell r="AE32">
            <v>53.53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53.54</v>
          </cell>
          <cell r="AL32">
            <v>42.75</v>
          </cell>
          <cell r="AM32">
            <v>42.75</v>
          </cell>
          <cell r="AN32">
            <v>42.75</v>
          </cell>
          <cell r="AO32">
            <v>42.75</v>
          </cell>
          <cell r="AP32">
            <v>40.11</v>
          </cell>
          <cell r="AQ32">
            <v>40.11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40.1</v>
          </cell>
          <cell r="AX32">
            <v>0</v>
          </cell>
          <cell r="AY32">
            <v>0</v>
          </cell>
          <cell r="AZ32">
            <v>0</v>
          </cell>
          <cell r="BA32">
            <v>24.77</v>
          </cell>
          <cell r="BB32">
            <v>24.77</v>
          </cell>
          <cell r="BC32">
            <v>24.77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24.79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254.82999999999998</v>
          </cell>
          <cell r="BQ32">
            <v>217.44</v>
          </cell>
          <cell r="BR32">
            <v>217.44</v>
          </cell>
          <cell r="BS32">
            <v>217.44</v>
          </cell>
          <cell r="BT32">
            <v>217.44</v>
          </cell>
          <cell r="BU32">
            <v>217.43999999999994</v>
          </cell>
          <cell r="BV32">
            <v>217.44</v>
          </cell>
          <cell r="BW32">
            <v>307.22000000000003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203.52999999999997</v>
          </cell>
          <cell r="CD32">
            <v>0</v>
          </cell>
          <cell r="CE32">
            <v>8.5299999999999994</v>
          </cell>
          <cell r="CF32">
            <v>8.5299999999999994</v>
          </cell>
          <cell r="CG32">
            <v>8.5299999999999994</v>
          </cell>
          <cell r="CH32">
            <v>0</v>
          </cell>
          <cell r="CI32">
            <v>0</v>
          </cell>
          <cell r="CJ32">
            <v>0</v>
          </cell>
          <cell r="CK32">
            <v>8.5299999999999994</v>
          </cell>
          <cell r="CL32">
            <v>0</v>
          </cell>
          <cell r="CM32">
            <v>9.77</v>
          </cell>
          <cell r="CN32">
            <v>9.77</v>
          </cell>
          <cell r="CO32">
            <v>9.77</v>
          </cell>
          <cell r="CP32">
            <v>0</v>
          </cell>
          <cell r="CQ32">
            <v>0</v>
          </cell>
          <cell r="CR32">
            <v>0</v>
          </cell>
          <cell r="CS32">
            <v>9.77</v>
          </cell>
          <cell r="CT32">
            <v>0</v>
          </cell>
          <cell r="CU32">
            <v>10.62</v>
          </cell>
          <cell r="CV32">
            <v>10.62</v>
          </cell>
          <cell r="CW32">
            <v>10.62</v>
          </cell>
          <cell r="CX32">
            <v>0</v>
          </cell>
          <cell r="CY32">
            <v>0</v>
          </cell>
          <cell r="CZ32">
            <v>0</v>
          </cell>
          <cell r="DA32">
            <v>10.62</v>
          </cell>
          <cell r="DB32">
            <v>0</v>
          </cell>
          <cell r="DC32">
            <v>5.73</v>
          </cell>
          <cell r="DD32">
            <v>5.73</v>
          </cell>
          <cell r="DE32">
            <v>5.73</v>
          </cell>
          <cell r="DF32">
            <v>0</v>
          </cell>
          <cell r="DG32">
            <v>0</v>
          </cell>
          <cell r="DH32">
            <v>0</v>
          </cell>
          <cell r="DI32">
            <v>5.73</v>
          </cell>
        </row>
        <row r="33">
          <cell r="A33">
            <v>45131</v>
          </cell>
          <cell r="B33">
            <v>97.9</v>
          </cell>
          <cell r="C33">
            <v>97.9</v>
          </cell>
          <cell r="D33">
            <v>97.9</v>
          </cell>
          <cell r="E33">
            <v>97.9</v>
          </cell>
          <cell r="F33">
            <v>70.52</v>
          </cell>
          <cell r="G33">
            <v>70.52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70.52</v>
          </cell>
          <cell r="N33">
            <v>49.52</v>
          </cell>
          <cell r="O33">
            <v>49.52</v>
          </cell>
          <cell r="P33">
            <v>49.52</v>
          </cell>
          <cell r="Q33">
            <v>49.52</v>
          </cell>
          <cell r="R33">
            <v>60.73</v>
          </cell>
          <cell r="S33">
            <v>60.73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60.73</v>
          </cell>
          <cell r="Z33">
            <v>49.3</v>
          </cell>
          <cell r="AA33">
            <v>49.3</v>
          </cell>
          <cell r="AB33">
            <v>49.3</v>
          </cell>
          <cell r="AC33">
            <v>49.3</v>
          </cell>
          <cell r="AD33">
            <v>60.089999999999996</v>
          </cell>
          <cell r="AE33">
            <v>60.089999999999996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60.089999999999996</v>
          </cell>
          <cell r="AL33">
            <v>41.79</v>
          </cell>
          <cell r="AM33">
            <v>41.79</v>
          </cell>
          <cell r="AN33">
            <v>41.79</v>
          </cell>
          <cell r="AO33">
            <v>41.79</v>
          </cell>
          <cell r="AP33">
            <v>40.81</v>
          </cell>
          <cell r="AQ33">
            <v>40.81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40.81</v>
          </cell>
          <cell r="AX33">
            <v>0</v>
          </cell>
          <cell r="AY33">
            <v>0</v>
          </cell>
          <cell r="AZ33">
            <v>0</v>
          </cell>
          <cell r="BA33">
            <v>24.869999999999997</v>
          </cell>
          <cell r="BB33">
            <v>24.869999999999997</v>
          </cell>
          <cell r="BC33">
            <v>24.869999999999997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24.869999999999997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181.58999999999997</v>
          </cell>
          <cell r="BQ33">
            <v>137.58000000000001</v>
          </cell>
          <cell r="BR33">
            <v>137.58000000000004</v>
          </cell>
          <cell r="BS33">
            <v>137.58000000000001</v>
          </cell>
          <cell r="BT33">
            <v>137.58000000000004</v>
          </cell>
          <cell r="BU33">
            <v>137.5800000000001</v>
          </cell>
          <cell r="BV33">
            <v>137.58000000000004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313.4397388631009</v>
          </cell>
          <cell r="CD33">
            <v>0</v>
          </cell>
          <cell r="CE33">
            <v>6.7</v>
          </cell>
          <cell r="CF33">
            <v>6.7</v>
          </cell>
          <cell r="CG33">
            <v>6.7</v>
          </cell>
          <cell r="CH33">
            <v>0</v>
          </cell>
          <cell r="CI33">
            <v>0</v>
          </cell>
          <cell r="CJ33">
            <v>0</v>
          </cell>
          <cell r="CK33">
            <v>6.7</v>
          </cell>
          <cell r="CL33">
            <v>0</v>
          </cell>
          <cell r="CM33">
            <v>-2.0099999999999998</v>
          </cell>
          <cell r="CN33">
            <v>-2.0099999999999998</v>
          </cell>
          <cell r="CO33">
            <v>-2.0099999999999998</v>
          </cell>
          <cell r="CP33">
            <v>0</v>
          </cell>
          <cell r="CQ33">
            <v>0</v>
          </cell>
          <cell r="CR33">
            <v>0</v>
          </cell>
          <cell r="CS33">
            <v>-2.0099999999999998</v>
          </cell>
          <cell r="CT33">
            <v>0</v>
          </cell>
          <cell r="CU33">
            <v>6.04</v>
          </cell>
          <cell r="CV33">
            <v>6.04</v>
          </cell>
          <cell r="CW33">
            <v>6.04</v>
          </cell>
          <cell r="CX33">
            <v>0</v>
          </cell>
          <cell r="CY33">
            <v>0</v>
          </cell>
          <cell r="CZ33">
            <v>0</v>
          </cell>
          <cell r="DA33">
            <v>6.04</v>
          </cell>
          <cell r="DB33">
            <v>0</v>
          </cell>
          <cell r="DC33">
            <v>6.12</v>
          </cell>
          <cell r="DD33">
            <v>6.12</v>
          </cell>
          <cell r="DE33">
            <v>6.12</v>
          </cell>
          <cell r="DF33">
            <v>0</v>
          </cell>
          <cell r="DG33">
            <v>0</v>
          </cell>
          <cell r="DH33">
            <v>0</v>
          </cell>
          <cell r="DI33">
            <v>6.12</v>
          </cell>
        </row>
        <row r="34">
          <cell r="A34">
            <v>45132</v>
          </cell>
          <cell r="B34">
            <v>37.17</v>
          </cell>
          <cell r="C34">
            <v>37.17</v>
          </cell>
          <cell r="D34">
            <v>37.17</v>
          </cell>
          <cell r="E34">
            <v>37.17</v>
          </cell>
          <cell r="F34">
            <v>33.44</v>
          </cell>
          <cell r="G34">
            <v>33.44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33.44</v>
          </cell>
          <cell r="N34">
            <v>40.57</v>
          </cell>
          <cell r="O34">
            <v>40.57</v>
          </cell>
          <cell r="P34">
            <v>40.57</v>
          </cell>
          <cell r="Q34">
            <v>40.57</v>
          </cell>
          <cell r="R34">
            <v>51.3</v>
          </cell>
          <cell r="S34">
            <v>51.3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51.3</v>
          </cell>
          <cell r="Z34">
            <v>32.85</v>
          </cell>
          <cell r="AA34">
            <v>32.85</v>
          </cell>
          <cell r="AB34">
            <v>32.85</v>
          </cell>
          <cell r="AC34">
            <v>32.85</v>
          </cell>
          <cell r="AD34">
            <v>40.549999999999997</v>
          </cell>
          <cell r="AE34">
            <v>40.549999999999997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40.549999999999997</v>
          </cell>
          <cell r="AL34">
            <v>27.9</v>
          </cell>
          <cell r="AM34">
            <v>27.9</v>
          </cell>
          <cell r="AN34">
            <v>27.9</v>
          </cell>
          <cell r="AO34">
            <v>27.9</v>
          </cell>
          <cell r="AP34">
            <v>43.55</v>
          </cell>
          <cell r="AQ34">
            <v>43.55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43.55</v>
          </cell>
          <cell r="AX34">
            <v>0</v>
          </cell>
          <cell r="AY34">
            <v>0</v>
          </cell>
          <cell r="AZ34">
            <v>0</v>
          </cell>
          <cell r="BA34">
            <v>20.77</v>
          </cell>
          <cell r="BB34">
            <v>20.77</v>
          </cell>
          <cell r="BC34">
            <v>20.77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20.77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201.88000000000002</v>
          </cell>
          <cell r="BQ34">
            <v>168.95</v>
          </cell>
          <cell r="BR34">
            <v>168.95</v>
          </cell>
          <cell r="BS34">
            <v>168.95</v>
          </cell>
          <cell r="BT34">
            <v>168.95</v>
          </cell>
          <cell r="BU34">
            <v>168.9500000000001</v>
          </cell>
          <cell r="BV34">
            <v>168.95</v>
          </cell>
          <cell r="BW34">
            <v>371.65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262.34999999999997</v>
          </cell>
          <cell r="CD34">
            <v>0</v>
          </cell>
          <cell r="CE34">
            <v>5.0199999999999996</v>
          </cell>
          <cell r="CF34">
            <v>5.0199999999999996</v>
          </cell>
          <cell r="CG34">
            <v>5.0199999999999996</v>
          </cell>
          <cell r="CH34">
            <v>0</v>
          </cell>
          <cell r="CI34">
            <v>0</v>
          </cell>
          <cell r="CJ34">
            <v>0</v>
          </cell>
          <cell r="CK34">
            <v>5.0199999999999996</v>
          </cell>
          <cell r="CL34">
            <v>0</v>
          </cell>
          <cell r="CM34">
            <v>14.74</v>
          </cell>
          <cell r="CN34">
            <v>14.74</v>
          </cell>
          <cell r="CO34">
            <v>14.74</v>
          </cell>
          <cell r="CP34">
            <v>0</v>
          </cell>
          <cell r="CQ34">
            <v>0</v>
          </cell>
          <cell r="CR34">
            <v>0</v>
          </cell>
          <cell r="CS34">
            <v>14.74</v>
          </cell>
          <cell r="CT34">
            <v>0</v>
          </cell>
          <cell r="CU34">
            <v>7.87</v>
          </cell>
          <cell r="CV34">
            <v>7.87</v>
          </cell>
          <cell r="CW34">
            <v>7.87</v>
          </cell>
          <cell r="CX34">
            <v>0</v>
          </cell>
          <cell r="CY34">
            <v>0</v>
          </cell>
          <cell r="CZ34">
            <v>0</v>
          </cell>
          <cell r="DA34">
            <v>7.87</v>
          </cell>
          <cell r="DB34">
            <v>0</v>
          </cell>
          <cell r="DC34">
            <v>9.42</v>
          </cell>
          <cell r="DD34">
            <v>9.42</v>
          </cell>
          <cell r="DE34">
            <v>9.42</v>
          </cell>
          <cell r="DF34">
            <v>0</v>
          </cell>
          <cell r="DG34">
            <v>0</v>
          </cell>
          <cell r="DH34">
            <v>0</v>
          </cell>
          <cell r="DI34">
            <v>9.42</v>
          </cell>
        </row>
        <row r="35">
          <cell r="A35">
            <v>45133</v>
          </cell>
          <cell r="B35">
            <v>28.93</v>
          </cell>
          <cell r="C35">
            <v>28.93</v>
          </cell>
          <cell r="D35">
            <v>28.93</v>
          </cell>
          <cell r="E35">
            <v>28.93</v>
          </cell>
          <cell r="F35">
            <v>29.37</v>
          </cell>
          <cell r="G35">
            <v>29.37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29.37</v>
          </cell>
          <cell r="N35">
            <v>29.78</v>
          </cell>
          <cell r="O35">
            <v>29.78</v>
          </cell>
          <cell r="P35">
            <v>29.78</v>
          </cell>
          <cell r="Q35">
            <v>29.78</v>
          </cell>
          <cell r="R35">
            <v>47.78</v>
          </cell>
          <cell r="S35">
            <v>47.78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47.78</v>
          </cell>
          <cell r="Z35">
            <v>33.200000000000003</v>
          </cell>
          <cell r="AA35">
            <v>33.200000000000003</v>
          </cell>
          <cell r="AB35">
            <v>33.200000000000003</v>
          </cell>
          <cell r="AC35">
            <v>33.200000000000003</v>
          </cell>
          <cell r="AD35">
            <v>52.7</v>
          </cell>
          <cell r="AE35">
            <v>52.7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52.7</v>
          </cell>
          <cell r="AL35">
            <v>40.4</v>
          </cell>
          <cell r="AM35">
            <v>40.4</v>
          </cell>
          <cell r="AN35">
            <v>40.4</v>
          </cell>
          <cell r="AO35">
            <v>40.4</v>
          </cell>
          <cell r="AP35">
            <v>39.409999999999997</v>
          </cell>
          <cell r="AQ35">
            <v>39.409999999999997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39.409999999999997</v>
          </cell>
          <cell r="AX35">
            <v>0</v>
          </cell>
          <cell r="AY35">
            <v>0</v>
          </cell>
          <cell r="AZ35">
            <v>0</v>
          </cell>
          <cell r="BA35">
            <v>24.46</v>
          </cell>
          <cell r="BB35">
            <v>24.46</v>
          </cell>
          <cell r="BC35">
            <v>24.46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24.46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209.63000000000002</v>
          </cell>
          <cell r="BQ35">
            <v>209.63</v>
          </cell>
          <cell r="BR35">
            <v>209.62999999999997</v>
          </cell>
          <cell r="BS35">
            <v>209.63</v>
          </cell>
          <cell r="BT35">
            <v>209.62999999999994</v>
          </cell>
          <cell r="BU35">
            <v>209.62999999999994</v>
          </cell>
          <cell r="BV35">
            <v>209.62999999999994</v>
          </cell>
          <cell r="BW35">
            <v>423.7800000000002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353.22000000000037</v>
          </cell>
          <cell r="CD35">
            <v>0</v>
          </cell>
          <cell r="CE35">
            <v>9.33</v>
          </cell>
          <cell r="CF35">
            <v>9.33</v>
          </cell>
          <cell r="CG35">
            <v>9.33</v>
          </cell>
          <cell r="CH35">
            <v>0</v>
          </cell>
          <cell r="CI35">
            <v>0</v>
          </cell>
          <cell r="CJ35">
            <v>0</v>
          </cell>
          <cell r="CK35">
            <v>9.33</v>
          </cell>
          <cell r="CL35">
            <v>0</v>
          </cell>
          <cell r="CM35">
            <v>1.73</v>
          </cell>
          <cell r="CN35">
            <v>1.73</v>
          </cell>
          <cell r="CO35">
            <v>1.73</v>
          </cell>
          <cell r="CP35">
            <v>0</v>
          </cell>
          <cell r="CQ35">
            <v>0</v>
          </cell>
          <cell r="CR35">
            <v>0</v>
          </cell>
          <cell r="CS35">
            <v>1.73</v>
          </cell>
          <cell r="CT35">
            <v>0</v>
          </cell>
          <cell r="CU35">
            <v>4.1500000000000004</v>
          </cell>
          <cell r="CV35">
            <v>4.1500000000000004</v>
          </cell>
          <cell r="CW35">
            <v>4.1500000000000004</v>
          </cell>
          <cell r="CX35">
            <v>0</v>
          </cell>
          <cell r="CY35">
            <v>0</v>
          </cell>
          <cell r="CZ35">
            <v>0</v>
          </cell>
          <cell r="DA35">
            <v>4.1500000000000004</v>
          </cell>
          <cell r="DB35">
            <v>0</v>
          </cell>
          <cell r="DC35">
            <v>2.96</v>
          </cell>
          <cell r="DD35">
            <v>2.96</v>
          </cell>
          <cell r="DE35">
            <v>2.96</v>
          </cell>
          <cell r="DF35">
            <v>0</v>
          </cell>
          <cell r="DG35">
            <v>0</v>
          </cell>
          <cell r="DH35">
            <v>0</v>
          </cell>
          <cell r="DI35">
            <v>2.96</v>
          </cell>
        </row>
        <row r="36">
          <cell r="A36">
            <v>45134</v>
          </cell>
          <cell r="B36">
            <v>31.15</v>
          </cell>
          <cell r="C36">
            <v>31.15</v>
          </cell>
          <cell r="D36">
            <v>31.15</v>
          </cell>
          <cell r="E36">
            <v>31.15</v>
          </cell>
          <cell r="F36">
            <v>33.39</v>
          </cell>
          <cell r="G36">
            <v>33.39</v>
          </cell>
          <cell r="H36">
            <v>31.15</v>
          </cell>
          <cell r="I36">
            <v>31.15</v>
          </cell>
          <cell r="J36">
            <v>31.15</v>
          </cell>
          <cell r="K36">
            <v>31.15</v>
          </cell>
          <cell r="L36">
            <v>33.409999999999997</v>
          </cell>
          <cell r="M36">
            <v>33.409999999999997</v>
          </cell>
          <cell r="N36">
            <v>10.49</v>
          </cell>
          <cell r="O36">
            <v>10.49</v>
          </cell>
          <cell r="P36">
            <v>10.49</v>
          </cell>
          <cell r="Q36">
            <v>10.49</v>
          </cell>
          <cell r="R36">
            <v>45.9</v>
          </cell>
          <cell r="S36">
            <v>45.9</v>
          </cell>
          <cell r="T36">
            <v>10.49</v>
          </cell>
          <cell r="U36">
            <v>10.49</v>
          </cell>
          <cell r="V36">
            <v>10.49</v>
          </cell>
          <cell r="W36">
            <v>10.49</v>
          </cell>
          <cell r="X36">
            <v>45.92</v>
          </cell>
          <cell r="Y36">
            <v>45.92</v>
          </cell>
          <cell r="Z36">
            <v>25.1</v>
          </cell>
          <cell r="AA36">
            <v>25.1</v>
          </cell>
          <cell r="AB36">
            <v>25.1</v>
          </cell>
          <cell r="AC36">
            <v>25.1</v>
          </cell>
          <cell r="AD36">
            <v>31.91</v>
          </cell>
          <cell r="AE36">
            <v>31.91</v>
          </cell>
          <cell r="AF36">
            <v>25.1</v>
          </cell>
          <cell r="AG36">
            <v>25.1</v>
          </cell>
          <cell r="AH36">
            <v>25.1</v>
          </cell>
          <cell r="AI36">
            <v>25.1</v>
          </cell>
          <cell r="AJ36">
            <v>31.91</v>
          </cell>
          <cell r="AK36">
            <v>31.91</v>
          </cell>
          <cell r="AL36">
            <v>25.1</v>
          </cell>
          <cell r="AM36">
            <v>25.1</v>
          </cell>
          <cell r="AN36">
            <v>25.1</v>
          </cell>
          <cell r="AO36">
            <v>25.1</v>
          </cell>
          <cell r="AP36">
            <v>31.939999999999998</v>
          </cell>
          <cell r="AQ36">
            <v>31.939999999999998</v>
          </cell>
          <cell r="AR36">
            <v>25.1</v>
          </cell>
          <cell r="AS36">
            <v>25.1</v>
          </cell>
          <cell r="AT36">
            <v>25.1</v>
          </cell>
          <cell r="AU36">
            <v>25.1</v>
          </cell>
          <cell r="AV36">
            <v>31.939999999999998</v>
          </cell>
          <cell r="AW36">
            <v>31.939999999999998</v>
          </cell>
          <cell r="AX36">
            <v>0</v>
          </cell>
          <cell r="AY36">
            <v>0</v>
          </cell>
          <cell r="AZ36">
            <v>0</v>
          </cell>
          <cell r="BA36">
            <v>18.05</v>
          </cell>
          <cell r="BB36">
            <v>18.05</v>
          </cell>
          <cell r="BC36">
            <v>18.05</v>
          </cell>
          <cell r="BD36">
            <v>0</v>
          </cell>
          <cell r="BE36">
            <v>0</v>
          </cell>
          <cell r="BF36">
            <v>0</v>
          </cell>
          <cell r="BG36">
            <v>18.04</v>
          </cell>
          <cell r="BH36">
            <v>18.04</v>
          </cell>
          <cell r="BI36">
            <v>18.04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435.25999999999993</v>
          </cell>
          <cell r="BQ36">
            <v>348.88</v>
          </cell>
          <cell r="BR36">
            <v>282.8599999999999</v>
          </cell>
          <cell r="BS36">
            <v>333.51</v>
          </cell>
          <cell r="BT36">
            <v>334.78999999999985</v>
          </cell>
          <cell r="BU36">
            <v>282.8599999999999</v>
          </cell>
          <cell r="BV36">
            <v>282.8599999999999</v>
          </cell>
          <cell r="BW36">
            <v>371.45</v>
          </cell>
          <cell r="BX36">
            <v>336.94000000000005</v>
          </cell>
          <cell r="BY36">
            <v>307.12000000000012</v>
          </cell>
          <cell r="BZ36">
            <v>336.94000000000005</v>
          </cell>
          <cell r="CA36">
            <v>336.93999999999994</v>
          </cell>
          <cell r="CB36">
            <v>307.11999999999989</v>
          </cell>
          <cell r="CC36">
            <v>307.12000000000006</v>
          </cell>
          <cell r="CD36">
            <v>-0.69</v>
          </cell>
          <cell r="CE36">
            <v>-0.69</v>
          </cell>
          <cell r="CF36">
            <v>-0.69</v>
          </cell>
          <cell r="CG36">
            <v>-0.69</v>
          </cell>
          <cell r="CH36">
            <v>0</v>
          </cell>
          <cell r="CI36">
            <v>-0.69</v>
          </cell>
          <cell r="CJ36">
            <v>-0.69</v>
          </cell>
          <cell r="CK36">
            <v>-0.69</v>
          </cell>
          <cell r="CL36">
            <v>0</v>
          </cell>
          <cell r="CM36">
            <v>5.53</v>
          </cell>
          <cell r="CN36">
            <v>5.53</v>
          </cell>
          <cell r="CO36">
            <v>5.53</v>
          </cell>
          <cell r="CP36">
            <v>0</v>
          </cell>
          <cell r="CQ36">
            <v>5.53</v>
          </cell>
          <cell r="CR36">
            <v>5.53</v>
          </cell>
          <cell r="CS36">
            <v>5.53</v>
          </cell>
          <cell r="CT36">
            <v>0</v>
          </cell>
          <cell r="CU36">
            <v>7.14</v>
          </cell>
          <cell r="CV36">
            <v>7.14</v>
          </cell>
          <cell r="CW36">
            <v>7.14</v>
          </cell>
          <cell r="CX36">
            <v>0</v>
          </cell>
          <cell r="CY36">
            <v>7.14</v>
          </cell>
          <cell r="CZ36">
            <v>7.14</v>
          </cell>
          <cell r="DA36">
            <v>7.14</v>
          </cell>
          <cell r="DB36">
            <v>0</v>
          </cell>
          <cell r="DC36">
            <v>2.7</v>
          </cell>
          <cell r="DD36">
            <v>2.7</v>
          </cell>
          <cell r="DE36">
            <v>2.7</v>
          </cell>
          <cell r="DF36">
            <v>0</v>
          </cell>
          <cell r="DG36">
            <v>2.7</v>
          </cell>
          <cell r="DH36">
            <v>2.7</v>
          </cell>
          <cell r="DI36">
            <v>2.7</v>
          </cell>
        </row>
        <row r="37">
          <cell r="A37">
            <v>45135</v>
          </cell>
          <cell r="B37">
            <v>44.89</v>
          </cell>
          <cell r="C37">
            <v>44.89</v>
          </cell>
          <cell r="D37">
            <v>44.89</v>
          </cell>
          <cell r="E37">
            <v>44.89</v>
          </cell>
          <cell r="F37">
            <v>38.92</v>
          </cell>
          <cell r="G37">
            <v>38.92</v>
          </cell>
          <cell r="H37">
            <v>44.89</v>
          </cell>
          <cell r="I37">
            <v>44.89</v>
          </cell>
          <cell r="J37">
            <v>44.89</v>
          </cell>
          <cell r="K37">
            <v>44.89</v>
          </cell>
          <cell r="L37">
            <v>40.9</v>
          </cell>
          <cell r="M37">
            <v>40.9</v>
          </cell>
          <cell r="N37">
            <v>23.58</v>
          </cell>
          <cell r="O37">
            <v>23.58</v>
          </cell>
          <cell r="P37">
            <v>23.58</v>
          </cell>
          <cell r="Q37">
            <v>23.58</v>
          </cell>
          <cell r="R37">
            <v>55.32</v>
          </cell>
          <cell r="S37">
            <v>55.32</v>
          </cell>
          <cell r="T37">
            <v>23.58</v>
          </cell>
          <cell r="U37">
            <v>23.58</v>
          </cell>
          <cell r="V37">
            <v>23.58</v>
          </cell>
          <cell r="W37">
            <v>23.58</v>
          </cell>
          <cell r="X37">
            <v>51.75</v>
          </cell>
          <cell r="Y37">
            <v>51.75</v>
          </cell>
          <cell r="Z37">
            <v>23.32</v>
          </cell>
          <cell r="AA37">
            <v>23.32</v>
          </cell>
          <cell r="AB37">
            <v>23.32</v>
          </cell>
          <cell r="AC37">
            <v>23.32</v>
          </cell>
          <cell r="AD37">
            <v>35.83</v>
          </cell>
          <cell r="AE37">
            <v>35.83</v>
          </cell>
          <cell r="AF37">
            <v>23.32</v>
          </cell>
          <cell r="AG37">
            <v>23.32</v>
          </cell>
          <cell r="AH37">
            <v>23.32</v>
          </cell>
          <cell r="AI37">
            <v>23.32</v>
          </cell>
          <cell r="AJ37">
            <v>37.950000000000003</v>
          </cell>
          <cell r="AK37">
            <v>37.950000000000003</v>
          </cell>
          <cell r="AL37">
            <v>17.91</v>
          </cell>
          <cell r="AM37">
            <v>17.91</v>
          </cell>
          <cell r="AN37">
            <v>17.91</v>
          </cell>
          <cell r="AO37">
            <v>17.91</v>
          </cell>
          <cell r="AP37">
            <v>21.04</v>
          </cell>
          <cell r="AQ37">
            <v>21.04</v>
          </cell>
          <cell r="AR37">
            <v>17.91</v>
          </cell>
          <cell r="AS37">
            <v>17.91</v>
          </cell>
          <cell r="AT37">
            <v>17.91</v>
          </cell>
          <cell r="AU37">
            <v>17.91</v>
          </cell>
          <cell r="AV37">
            <v>22.35</v>
          </cell>
          <cell r="AW37">
            <v>22.35</v>
          </cell>
          <cell r="AX37">
            <v>0</v>
          </cell>
          <cell r="AY37">
            <v>0</v>
          </cell>
          <cell r="AZ37">
            <v>0</v>
          </cell>
          <cell r="BA37">
            <v>16.25</v>
          </cell>
          <cell r="BB37">
            <v>16.25</v>
          </cell>
          <cell r="BC37">
            <v>16.25</v>
          </cell>
          <cell r="BD37">
            <v>0</v>
          </cell>
          <cell r="BE37">
            <v>0</v>
          </cell>
          <cell r="BF37">
            <v>0</v>
          </cell>
          <cell r="BG37">
            <v>15.96</v>
          </cell>
          <cell r="BH37">
            <v>15.96</v>
          </cell>
          <cell r="BI37">
            <v>15.96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87.77</v>
          </cell>
          <cell r="BQ37">
            <v>66.97999999999999</v>
          </cell>
          <cell r="BR37">
            <v>66.97999999999999</v>
          </cell>
          <cell r="BS37">
            <v>66.97999999999999</v>
          </cell>
          <cell r="BT37">
            <v>66.97999999999999</v>
          </cell>
          <cell r="BU37">
            <v>66.97999999999999</v>
          </cell>
          <cell r="BV37">
            <v>66.979999999999961</v>
          </cell>
          <cell r="BW37">
            <v>255.66000000000003</v>
          </cell>
          <cell r="BX37">
            <v>249.01999999999998</v>
          </cell>
          <cell r="BY37">
            <v>232.58999999999995</v>
          </cell>
          <cell r="BZ37">
            <v>249.01999999999998</v>
          </cell>
          <cell r="CA37">
            <v>249.01999999999998</v>
          </cell>
          <cell r="CB37">
            <v>232.58999999999997</v>
          </cell>
          <cell r="CC37">
            <v>232.58999999999997</v>
          </cell>
          <cell r="CD37">
            <v>0</v>
          </cell>
          <cell r="CE37">
            <v>1.37</v>
          </cell>
          <cell r="CF37">
            <v>1.37</v>
          </cell>
          <cell r="CG37">
            <v>1.37</v>
          </cell>
          <cell r="CH37">
            <v>0</v>
          </cell>
          <cell r="CI37">
            <v>1.37</v>
          </cell>
          <cell r="CJ37">
            <v>1.37</v>
          </cell>
          <cell r="CK37">
            <v>1.37</v>
          </cell>
          <cell r="CL37">
            <v>0</v>
          </cell>
          <cell r="CM37">
            <v>5.19</v>
          </cell>
          <cell r="CN37">
            <v>5.19</v>
          </cell>
          <cell r="CO37">
            <v>5.19</v>
          </cell>
          <cell r="CP37">
            <v>0</v>
          </cell>
          <cell r="CQ37">
            <v>5.19</v>
          </cell>
          <cell r="CR37">
            <v>5.19</v>
          </cell>
          <cell r="CS37">
            <v>5.19</v>
          </cell>
          <cell r="CT37">
            <v>0</v>
          </cell>
          <cell r="CU37">
            <v>14.31</v>
          </cell>
          <cell r="CV37">
            <v>14.31</v>
          </cell>
          <cell r="CW37">
            <v>14.31</v>
          </cell>
          <cell r="CX37">
            <v>0</v>
          </cell>
          <cell r="CY37">
            <v>14.31</v>
          </cell>
          <cell r="CZ37">
            <v>14.31</v>
          </cell>
          <cell r="DA37">
            <v>14.31</v>
          </cell>
          <cell r="DB37">
            <v>0</v>
          </cell>
          <cell r="DC37">
            <v>6.05</v>
          </cell>
          <cell r="DD37">
            <v>6.05</v>
          </cell>
          <cell r="DE37">
            <v>6.05</v>
          </cell>
          <cell r="DF37">
            <v>0</v>
          </cell>
          <cell r="DG37">
            <v>6.05</v>
          </cell>
          <cell r="DH37">
            <v>6.05</v>
          </cell>
          <cell r="DI37">
            <v>6.05</v>
          </cell>
        </row>
        <row r="38">
          <cell r="A38">
            <v>45136</v>
          </cell>
          <cell r="B38">
            <v>25.77</v>
          </cell>
          <cell r="C38">
            <v>25.77</v>
          </cell>
          <cell r="D38">
            <v>25.77</v>
          </cell>
          <cell r="E38">
            <v>25.77</v>
          </cell>
          <cell r="F38">
            <v>49.61</v>
          </cell>
          <cell r="G38">
            <v>49.61</v>
          </cell>
          <cell r="H38">
            <v>25.77</v>
          </cell>
          <cell r="I38">
            <v>25.77</v>
          </cell>
          <cell r="J38">
            <v>25.77</v>
          </cell>
          <cell r="K38">
            <v>25.77</v>
          </cell>
          <cell r="L38">
            <v>48.84</v>
          </cell>
          <cell r="M38">
            <v>48.84</v>
          </cell>
          <cell r="N38">
            <v>30.26</v>
          </cell>
          <cell r="O38">
            <v>30.26</v>
          </cell>
          <cell r="P38">
            <v>30.26</v>
          </cell>
          <cell r="Q38">
            <v>30.26</v>
          </cell>
          <cell r="R38">
            <v>61.61</v>
          </cell>
          <cell r="S38">
            <v>61.61</v>
          </cell>
          <cell r="T38">
            <v>30.26</v>
          </cell>
          <cell r="U38">
            <v>30.26</v>
          </cell>
          <cell r="V38">
            <v>30.26</v>
          </cell>
          <cell r="W38">
            <v>30.26</v>
          </cell>
          <cell r="X38">
            <v>65.260000000000005</v>
          </cell>
          <cell r="Y38">
            <v>65.260000000000005</v>
          </cell>
          <cell r="Z38">
            <v>23.82</v>
          </cell>
          <cell r="AA38">
            <v>23.82</v>
          </cell>
          <cell r="AB38">
            <v>23.82</v>
          </cell>
          <cell r="AC38">
            <v>23.82</v>
          </cell>
          <cell r="AD38">
            <v>54.17</v>
          </cell>
          <cell r="AE38">
            <v>54.17</v>
          </cell>
          <cell r="AF38">
            <v>23.82</v>
          </cell>
          <cell r="AG38">
            <v>23.82</v>
          </cell>
          <cell r="AH38">
            <v>23.82</v>
          </cell>
          <cell r="AI38">
            <v>23.82</v>
          </cell>
          <cell r="AJ38">
            <v>50.040000000000006</v>
          </cell>
          <cell r="AK38">
            <v>50.040000000000006</v>
          </cell>
          <cell r="AL38">
            <v>26.52</v>
          </cell>
          <cell r="AM38">
            <v>26.52</v>
          </cell>
          <cell r="AN38">
            <v>26.52</v>
          </cell>
          <cell r="AO38">
            <v>26.52</v>
          </cell>
          <cell r="AP38">
            <v>29.64</v>
          </cell>
          <cell r="AQ38">
            <v>29.64</v>
          </cell>
          <cell r="AR38">
            <v>26.52</v>
          </cell>
          <cell r="AS38">
            <v>26.52</v>
          </cell>
          <cell r="AT38">
            <v>26.52</v>
          </cell>
          <cell r="AU38">
            <v>26.52</v>
          </cell>
          <cell r="AV38">
            <v>35.69</v>
          </cell>
          <cell r="AW38">
            <v>35.69</v>
          </cell>
          <cell r="AX38">
            <v>0</v>
          </cell>
          <cell r="AY38">
            <v>0</v>
          </cell>
          <cell r="AZ38">
            <v>0</v>
          </cell>
          <cell r="BA38">
            <v>17.84</v>
          </cell>
          <cell r="BB38">
            <v>17.84</v>
          </cell>
          <cell r="BC38">
            <v>17.84</v>
          </cell>
          <cell r="BD38">
            <v>0</v>
          </cell>
          <cell r="BE38">
            <v>0</v>
          </cell>
          <cell r="BF38">
            <v>0</v>
          </cell>
          <cell r="BG38">
            <v>15.349999999999998</v>
          </cell>
          <cell r="BH38">
            <v>15.349999999999998</v>
          </cell>
          <cell r="BI38">
            <v>15.349999999999998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64.52000000000001</v>
          </cell>
          <cell r="BQ38">
            <v>278.20000000000005</v>
          </cell>
          <cell r="BR38">
            <v>64.52000000000001</v>
          </cell>
          <cell r="BS38">
            <v>278.20000000000005</v>
          </cell>
          <cell r="BT38">
            <v>124.03</v>
          </cell>
          <cell r="BU38">
            <v>64.519999999999953</v>
          </cell>
          <cell r="BV38">
            <v>64.520000000000095</v>
          </cell>
          <cell r="BW38">
            <v>306.71000000000004</v>
          </cell>
          <cell r="BX38">
            <v>278.20000000000005</v>
          </cell>
          <cell r="BY38">
            <v>265.44</v>
          </cell>
          <cell r="BZ38">
            <v>278.20000000000005</v>
          </cell>
          <cell r="CA38">
            <v>278.20000000000016</v>
          </cell>
          <cell r="CB38">
            <v>265.44000000000011</v>
          </cell>
          <cell r="CC38">
            <v>265.44000000000005</v>
          </cell>
          <cell r="CD38">
            <v>0</v>
          </cell>
          <cell r="CE38">
            <v>2.41</v>
          </cell>
          <cell r="CF38">
            <v>2.41</v>
          </cell>
          <cell r="CG38">
            <v>2.41</v>
          </cell>
          <cell r="CH38">
            <v>0</v>
          </cell>
          <cell r="CI38">
            <v>2.41</v>
          </cell>
          <cell r="CJ38">
            <v>2.41</v>
          </cell>
          <cell r="CK38">
            <v>2.41</v>
          </cell>
          <cell r="CL38">
            <v>0</v>
          </cell>
          <cell r="CM38">
            <v>10.35</v>
          </cell>
          <cell r="CN38">
            <v>10.35</v>
          </cell>
          <cell r="CO38">
            <v>10.35</v>
          </cell>
          <cell r="CP38">
            <v>0</v>
          </cell>
          <cell r="CQ38">
            <v>10.35</v>
          </cell>
          <cell r="CR38">
            <v>10.35</v>
          </cell>
          <cell r="CS38">
            <v>10.35</v>
          </cell>
          <cell r="CT38">
            <v>0</v>
          </cell>
          <cell r="CU38">
            <v>20.23</v>
          </cell>
          <cell r="CV38">
            <v>20.23</v>
          </cell>
          <cell r="CW38">
            <v>20.23</v>
          </cell>
          <cell r="CX38">
            <v>0</v>
          </cell>
          <cell r="CY38">
            <v>20.23</v>
          </cell>
          <cell r="CZ38">
            <v>20.23</v>
          </cell>
          <cell r="DA38">
            <v>20.23</v>
          </cell>
          <cell r="DB38">
            <v>0</v>
          </cell>
          <cell r="DC38">
            <v>12.48</v>
          </cell>
          <cell r="DD38">
            <v>12.48</v>
          </cell>
          <cell r="DE38">
            <v>12.48</v>
          </cell>
          <cell r="DF38">
            <v>0</v>
          </cell>
          <cell r="DG38">
            <v>12.48</v>
          </cell>
          <cell r="DH38">
            <v>12.48</v>
          </cell>
          <cell r="DI38">
            <v>12.48</v>
          </cell>
        </row>
        <row r="39">
          <cell r="A39">
            <v>45137</v>
          </cell>
          <cell r="B39">
            <v>30.16</v>
          </cell>
          <cell r="C39">
            <v>30.16</v>
          </cell>
          <cell r="D39">
            <v>30.16</v>
          </cell>
          <cell r="E39">
            <v>30.16</v>
          </cell>
          <cell r="F39">
            <v>34.78</v>
          </cell>
          <cell r="G39">
            <v>34.78</v>
          </cell>
          <cell r="H39">
            <v>30.16</v>
          </cell>
          <cell r="I39">
            <v>30.16</v>
          </cell>
          <cell r="J39">
            <v>30.16</v>
          </cell>
          <cell r="K39">
            <v>30.16</v>
          </cell>
          <cell r="L39">
            <v>36.5</v>
          </cell>
          <cell r="M39">
            <v>36.5</v>
          </cell>
          <cell r="N39">
            <v>37.549999999999997</v>
          </cell>
          <cell r="O39">
            <v>37.549999999999997</v>
          </cell>
          <cell r="P39">
            <v>37.549999999999997</v>
          </cell>
          <cell r="Q39">
            <v>37.549999999999997</v>
          </cell>
          <cell r="R39">
            <v>44.24</v>
          </cell>
          <cell r="S39">
            <v>44.24</v>
          </cell>
          <cell r="T39">
            <v>37.549999999999997</v>
          </cell>
          <cell r="U39">
            <v>37.549999999999997</v>
          </cell>
          <cell r="V39">
            <v>37.549999999999997</v>
          </cell>
          <cell r="W39">
            <v>37.549999999999997</v>
          </cell>
          <cell r="X39">
            <v>49.12</v>
          </cell>
          <cell r="Y39">
            <v>49.12</v>
          </cell>
          <cell r="Z39">
            <v>52.73</v>
          </cell>
          <cell r="AA39">
            <v>52.73</v>
          </cell>
          <cell r="AB39">
            <v>52.73</v>
          </cell>
          <cell r="AC39">
            <v>52.73</v>
          </cell>
          <cell r="AD39">
            <v>42</v>
          </cell>
          <cell r="AE39">
            <v>42</v>
          </cell>
          <cell r="AF39">
            <v>52.73</v>
          </cell>
          <cell r="AG39">
            <v>52.73</v>
          </cell>
          <cell r="AH39">
            <v>52.73</v>
          </cell>
          <cell r="AI39">
            <v>52.73</v>
          </cell>
          <cell r="AJ39">
            <v>37.369999999999997</v>
          </cell>
          <cell r="AK39">
            <v>37.369999999999997</v>
          </cell>
          <cell r="AL39">
            <v>31.72</v>
          </cell>
          <cell r="AM39">
            <v>31.72</v>
          </cell>
          <cell r="AN39">
            <v>31.72</v>
          </cell>
          <cell r="AO39">
            <v>31.72</v>
          </cell>
          <cell r="AP39">
            <v>41.06</v>
          </cell>
          <cell r="AQ39">
            <v>41.06</v>
          </cell>
          <cell r="AR39">
            <v>31.72</v>
          </cell>
          <cell r="AS39">
            <v>31.72</v>
          </cell>
          <cell r="AT39">
            <v>31.72</v>
          </cell>
          <cell r="AU39">
            <v>31.72</v>
          </cell>
          <cell r="AV39">
            <v>43.8</v>
          </cell>
          <cell r="AW39">
            <v>43.8</v>
          </cell>
          <cell r="AX39">
            <v>0</v>
          </cell>
          <cell r="AY39">
            <v>0</v>
          </cell>
          <cell r="AZ39">
            <v>0</v>
          </cell>
          <cell r="BA39">
            <v>22.6</v>
          </cell>
          <cell r="BB39">
            <v>22.6</v>
          </cell>
          <cell r="BC39">
            <v>22.6</v>
          </cell>
          <cell r="BD39">
            <v>0</v>
          </cell>
          <cell r="BE39">
            <v>0</v>
          </cell>
          <cell r="BF39">
            <v>0</v>
          </cell>
          <cell r="BG39">
            <v>27.029999999999998</v>
          </cell>
          <cell r="BH39">
            <v>27.029999999999998</v>
          </cell>
          <cell r="BI39">
            <v>27.029999999999998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251.06</v>
          </cell>
          <cell r="BQ39">
            <v>251.05999999999997</v>
          </cell>
          <cell r="BR39">
            <v>251.05999999999989</v>
          </cell>
          <cell r="BS39">
            <v>251.05999999999997</v>
          </cell>
          <cell r="BT39">
            <v>322.27000000000004</v>
          </cell>
          <cell r="BU39">
            <v>251.05999999999989</v>
          </cell>
          <cell r="BV39">
            <v>251.05999999999989</v>
          </cell>
          <cell r="BW39">
            <v>220.48999999999998</v>
          </cell>
          <cell r="BX39">
            <v>180.74000000000004</v>
          </cell>
          <cell r="BY39">
            <v>180.74000000000009</v>
          </cell>
          <cell r="BZ39">
            <v>180.74000000000004</v>
          </cell>
          <cell r="CA39">
            <v>180.74000000000004</v>
          </cell>
          <cell r="CB39">
            <v>180.74000000000007</v>
          </cell>
          <cell r="CC39">
            <v>180.74000000000009</v>
          </cell>
          <cell r="CD39">
            <v>0</v>
          </cell>
          <cell r="CE39">
            <v>10.98</v>
          </cell>
          <cell r="CF39">
            <v>10.98</v>
          </cell>
          <cell r="CG39">
            <v>10.98</v>
          </cell>
          <cell r="CH39">
            <v>0</v>
          </cell>
          <cell r="CI39">
            <v>10.98</v>
          </cell>
          <cell r="CJ39">
            <v>10.98</v>
          </cell>
          <cell r="CK39">
            <v>10.98</v>
          </cell>
          <cell r="CL39">
            <v>0</v>
          </cell>
          <cell r="CM39">
            <v>15.74</v>
          </cell>
          <cell r="CN39">
            <v>15.74</v>
          </cell>
          <cell r="CO39">
            <v>15.74</v>
          </cell>
          <cell r="CP39">
            <v>0</v>
          </cell>
          <cell r="CQ39">
            <v>15.74</v>
          </cell>
          <cell r="CR39">
            <v>15.74</v>
          </cell>
          <cell r="CS39">
            <v>15.74</v>
          </cell>
          <cell r="CT39">
            <v>0</v>
          </cell>
          <cell r="CU39">
            <v>12.77</v>
          </cell>
          <cell r="CV39">
            <v>12.77</v>
          </cell>
          <cell r="CW39">
            <v>12.77</v>
          </cell>
          <cell r="CX39">
            <v>0</v>
          </cell>
          <cell r="CY39">
            <v>12.77</v>
          </cell>
          <cell r="CZ39">
            <v>12.77</v>
          </cell>
          <cell r="DA39">
            <v>12.77</v>
          </cell>
          <cell r="DB39">
            <v>0</v>
          </cell>
          <cell r="DC39">
            <v>11.02</v>
          </cell>
          <cell r="DD39">
            <v>11.02</v>
          </cell>
          <cell r="DE39">
            <v>11.02</v>
          </cell>
          <cell r="DF39">
            <v>0</v>
          </cell>
          <cell r="DG39">
            <v>11.02</v>
          </cell>
          <cell r="DH39">
            <v>11.02</v>
          </cell>
          <cell r="DI39">
            <v>11.02</v>
          </cell>
        </row>
        <row r="40">
          <cell r="A40">
            <v>45138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34.119999999999997</v>
          </cell>
          <cell r="I40">
            <v>34.119999999999997</v>
          </cell>
          <cell r="J40">
            <v>34.119999999999997</v>
          </cell>
          <cell r="K40">
            <v>34.119999999999997</v>
          </cell>
          <cell r="L40">
            <v>31.26</v>
          </cell>
          <cell r="M40">
            <v>31.26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31.91</v>
          </cell>
          <cell r="U40">
            <v>31.91</v>
          </cell>
          <cell r="V40">
            <v>31.91</v>
          </cell>
          <cell r="W40">
            <v>31.91</v>
          </cell>
          <cell r="X40">
            <v>54.339999999999996</v>
          </cell>
          <cell r="Y40">
            <v>54.339999999999996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48.9</v>
          </cell>
          <cell r="AG40">
            <v>48.9</v>
          </cell>
          <cell r="AH40">
            <v>48.9</v>
          </cell>
          <cell r="AI40">
            <v>48.9</v>
          </cell>
          <cell r="AJ40">
            <v>64.19</v>
          </cell>
          <cell r="AK40">
            <v>64.19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44.82</v>
          </cell>
          <cell r="AS40">
            <v>44.82</v>
          </cell>
          <cell r="AT40">
            <v>44.82</v>
          </cell>
          <cell r="AU40">
            <v>44.82</v>
          </cell>
          <cell r="AV40">
            <v>48.56</v>
          </cell>
          <cell r="AW40">
            <v>48.56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39.18</v>
          </cell>
          <cell r="BH40">
            <v>39.18</v>
          </cell>
          <cell r="BI40">
            <v>39.18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416.56</v>
          </cell>
          <cell r="BX40">
            <v>355.31000000000006</v>
          </cell>
          <cell r="BY40">
            <v>342.85</v>
          </cell>
          <cell r="BZ40">
            <v>355.31000000000006</v>
          </cell>
          <cell r="CA40">
            <v>355.31000000000006</v>
          </cell>
          <cell r="CB40">
            <v>342.84999999999997</v>
          </cell>
          <cell r="CC40">
            <v>342.85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5.37</v>
          </cell>
          <cell r="CJ40">
            <v>5.37</v>
          </cell>
          <cell r="CK40">
            <v>5.37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5.03</v>
          </cell>
          <cell r="CR40">
            <v>5.03</v>
          </cell>
          <cell r="CS40">
            <v>5.03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16.25</v>
          </cell>
          <cell r="CZ40">
            <v>16.25</v>
          </cell>
          <cell r="DA40">
            <v>16.25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9.6</v>
          </cell>
          <cell r="DH40">
            <v>9.6</v>
          </cell>
          <cell r="DI40">
            <v>9.6</v>
          </cell>
        </row>
        <row r="41">
          <cell r="A41">
            <v>45139</v>
          </cell>
          <cell r="B41">
            <v>26.54</v>
          </cell>
          <cell r="C41">
            <v>26.54</v>
          </cell>
          <cell r="D41">
            <v>26.54</v>
          </cell>
          <cell r="E41">
            <v>26.54</v>
          </cell>
          <cell r="F41">
            <v>25.950000000000003</v>
          </cell>
          <cell r="G41">
            <v>25.950000000000003</v>
          </cell>
          <cell r="H41">
            <v>26.54</v>
          </cell>
          <cell r="I41">
            <v>26.54</v>
          </cell>
          <cell r="J41">
            <v>26.54</v>
          </cell>
          <cell r="K41">
            <v>26.54</v>
          </cell>
          <cell r="L41">
            <v>25.950000000000003</v>
          </cell>
          <cell r="M41">
            <v>25.950000000000003</v>
          </cell>
          <cell r="N41">
            <v>26.84</v>
          </cell>
          <cell r="O41">
            <v>26.84</v>
          </cell>
          <cell r="P41">
            <v>26.84</v>
          </cell>
          <cell r="Q41">
            <v>26.84</v>
          </cell>
          <cell r="R41">
            <v>37.629999999999995</v>
          </cell>
          <cell r="S41">
            <v>37.629999999999995</v>
          </cell>
          <cell r="T41">
            <v>26.84</v>
          </cell>
          <cell r="U41">
            <v>26.84</v>
          </cell>
          <cell r="V41">
            <v>26.84</v>
          </cell>
          <cell r="W41">
            <v>26.84</v>
          </cell>
          <cell r="X41">
            <v>37.629999999999995</v>
          </cell>
          <cell r="Y41">
            <v>37.629999999999995</v>
          </cell>
          <cell r="Z41">
            <v>50.56</v>
          </cell>
          <cell r="AA41">
            <v>50.56</v>
          </cell>
          <cell r="AB41">
            <v>50.56</v>
          </cell>
          <cell r="AC41">
            <v>50.56</v>
          </cell>
          <cell r="AD41">
            <v>45.91</v>
          </cell>
          <cell r="AE41">
            <v>45.91</v>
          </cell>
          <cell r="AF41">
            <v>50.56</v>
          </cell>
          <cell r="AG41">
            <v>50.56</v>
          </cell>
          <cell r="AH41">
            <v>50.56</v>
          </cell>
          <cell r="AI41">
            <v>50.56</v>
          </cell>
          <cell r="AJ41">
            <v>45.91</v>
          </cell>
          <cell r="AK41">
            <v>45.91</v>
          </cell>
          <cell r="AL41">
            <v>26.46</v>
          </cell>
          <cell r="AM41">
            <v>26.46</v>
          </cell>
          <cell r="AN41">
            <v>26.46</v>
          </cell>
          <cell r="AO41">
            <v>26.46</v>
          </cell>
          <cell r="AP41">
            <v>33.68</v>
          </cell>
          <cell r="AQ41">
            <v>33.68</v>
          </cell>
          <cell r="AR41">
            <v>26.46</v>
          </cell>
          <cell r="AS41">
            <v>26.46</v>
          </cell>
          <cell r="AT41">
            <v>26.46</v>
          </cell>
          <cell r="AU41">
            <v>26.46</v>
          </cell>
          <cell r="AV41">
            <v>33.68</v>
          </cell>
          <cell r="AW41">
            <v>33.68</v>
          </cell>
          <cell r="AX41">
            <v>0</v>
          </cell>
          <cell r="AY41">
            <v>0</v>
          </cell>
          <cell r="AZ41">
            <v>0</v>
          </cell>
          <cell r="BA41">
            <v>40.49</v>
          </cell>
          <cell r="BB41">
            <v>40.49</v>
          </cell>
          <cell r="BC41">
            <v>40.49</v>
          </cell>
          <cell r="BD41">
            <v>0</v>
          </cell>
          <cell r="BE41">
            <v>0</v>
          </cell>
          <cell r="BF41">
            <v>0</v>
          </cell>
          <cell r="BG41">
            <v>40.49</v>
          </cell>
          <cell r="BH41">
            <v>40.49</v>
          </cell>
          <cell r="BI41">
            <v>40.49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144.81</v>
          </cell>
          <cell r="BQ41">
            <v>144.80999999999997</v>
          </cell>
          <cell r="BR41">
            <v>144.80999999999989</v>
          </cell>
          <cell r="BS41">
            <v>144.80999999999997</v>
          </cell>
          <cell r="BT41">
            <v>159.94999999999999</v>
          </cell>
          <cell r="BU41">
            <v>144.80999999999992</v>
          </cell>
          <cell r="BV41">
            <v>144.80999999999989</v>
          </cell>
          <cell r="BW41">
            <v>381.59000000000003</v>
          </cell>
          <cell r="BX41">
            <v>375.29000000000019</v>
          </cell>
          <cell r="BY41">
            <v>361.65000000000015</v>
          </cell>
          <cell r="BZ41">
            <v>375.29000000000019</v>
          </cell>
          <cell r="CA41">
            <v>375.29000000000013</v>
          </cell>
          <cell r="CB41">
            <v>361.65000000000009</v>
          </cell>
          <cell r="CC41">
            <v>361.65000000000015</v>
          </cell>
          <cell r="CD41">
            <v>0</v>
          </cell>
          <cell r="CE41">
            <v>-11.32</v>
          </cell>
          <cell r="CF41">
            <v>-11.32</v>
          </cell>
          <cell r="CG41">
            <v>-11.32</v>
          </cell>
          <cell r="CH41">
            <v>0</v>
          </cell>
          <cell r="CI41">
            <v>-11.32</v>
          </cell>
          <cell r="CJ41">
            <v>-11.32</v>
          </cell>
          <cell r="CK41">
            <v>-11.32</v>
          </cell>
          <cell r="CL41">
            <v>0</v>
          </cell>
          <cell r="CM41">
            <v>-3.5</v>
          </cell>
          <cell r="CN41">
            <v>-3.5</v>
          </cell>
          <cell r="CO41">
            <v>-3.5</v>
          </cell>
          <cell r="CP41">
            <v>0</v>
          </cell>
          <cell r="CQ41">
            <v>-3.5</v>
          </cell>
          <cell r="CR41">
            <v>-3.5</v>
          </cell>
          <cell r="CS41">
            <v>-3.5</v>
          </cell>
          <cell r="CT41">
            <v>0</v>
          </cell>
          <cell r="CU41">
            <v>3.25</v>
          </cell>
          <cell r="CV41">
            <v>3.25</v>
          </cell>
          <cell r="CW41">
            <v>3.25</v>
          </cell>
          <cell r="CX41">
            <v>0</v>
          </cell>
          <cell r="CY41">
            <v>3.25</v>
          </cell>
          <cell r="CZ41">
            <v>3.25</v>
          </cell>
          <cell r="DA41">
            <v>3.25</v>
          </cell>
          <cell r="DB41">
            <v>0</v>
          </cell>
          <cell r="DC41">
            <v>5.21</v>
          </cell>
          <cell r="DD41">
            <v>5.21</v>
          </cell>
          <cell r="DE41">
            <v>5.21</v>
          </cell>
          <cell r="DF41">
            <v>0</v>
          </cell>
          <cell r="DG41">
            <v>5.21</v>
          </cell>
          <cell r="DH41">
            <v>5.21</v>
          </cell>
          <cell r="DI41">
            <v>5.21</v>
          </cell>
        </row>
        <row r="42">
          <cell r="A42">
            <v>45140</v>
          </cell>
          <cell r="B42">
            <v>34.42</v>
          </cell>
          <cell r="C42">
            <v>34.42</v>
          </cell>
          <cell r="D42">
            <v>34.42</v>
          </cell>
          <cell r="E42">
            <v>34.42</v>
          </cell>
          <cell r="F42">
            <v>28.5</v>
          </cell>
          <cell r="G42">
            <v>28.49</v>
          </cell>
          <cell r="H42">
            <v>34.42</v>
          </cell>
          <cell r="I42">
            <v>34.42</v>
          </cell>
          <cell r="J42">
            <v>34.42</v>
          </cell>
          <cell r="K42">
            <v>34.42</v>
          </cell>
          <cell r="L42">
            <v>28.5</v>
          </cell>
          <cell r="M42">
            <v>28.5</v>
          </cell>
          <cell r="N42">
            <v>42.42</v>
          </cell>
          <cell r="O42">
            <v>42.42</v>
          </cell>
          <cell r="P42">
            <v>42.42</v>
          </cell>
          <cell r="Q42">
            <v>42.42</v>
          </cell>
          <cell r="R42">
            <v>54.66</v>
          </cell>
          <cell r="S42">
            <v>54.61</v>
          </cell>
          <cell r="T42">
            <v>42.42</v>
          </cell>
          <cell r="U42">
            <v>42.42</v>
          </cell>
          <cell r="V42">
            <v>42.42</v>
          </cell>
          <cell r="W42">
            <v>42.42</v>
          </cell>
          <cell r="X42">
            <v>54.66</v>
          </cell>
          <cell r="Y42">
            <v>54.66</v>
          </cell>
          <cell r="Z42">
            <v>52.16</v>
          </cell>
          <cell r="AA42">
            <v>52.16</v>
          </cell>
          <cell r="AB42">
            <v>52.16</v>
          </cell>
          <cell r="AC42">
            <v>52.16</v>
          </cell>
          <cell r="AD42">
            <v>65.759999999999991</v>
          </cell>
          <cell r="AE42">
            <v>65.760000000000005</v>
          </cell>
          <cell r="AF42">
            <v>52.16</v>
          </cell>
          <cell r="AG42">
            <v>52.16</v>
          </cell>
          <cell r="AH42">
            <v>52.16</v>
          </cell>
          <cell r="AI42">
            <v>52.16</v>
          </cell>
          <cell r="AJ42">
            <v>65.759999999999991</v>
          </cell>
          <cell r="AK42">
            <v>65.759999999999991</v>
          </cell>
          <cell r="AL42">
            <v>27.32</v>
          </cell>
          <cell r="AM42">
            <v>27.32</v>
          </cell>
          <cell r="AN42">
            <v>27.32</v>
          </cell>
          <cell r="AO42">
            <v>27.32</v>
          </cell>
          <cell r="AP42">
            <v>45.34</v>
          </cell>
          <cell r="AQ42">
            <v>45.33</v>
          </cell>
          <cell r="AR42">
            <v>27.32</v>
          </cell>
          <cell r="AS42">
            <v>27.32</v>
          </cell>
          <cell r="AT42">
            <v>27.32</v>
          </cell>
          <cell r="AU42">
            <v>27.32</v>
          </cell>
          <cell r="AV42">
            <v>45.34</v>
          </cell>
          <cell r="AW42">
            <v>45.34</v>
          </cell>
          <cell r="AX42">
            <v>0</v>
          </cell>
          <cell r="AY42">
            <v>0</v>
          </cell>
          <cell r="AZ42">
            <v>0</v>
          </cell>
          <cell r="BA42">
            <v>28.43</v>
          </cell>
          <cell r="BB42">
            <v>28.4</v>
          </cell>
          <cell r="BC42">
            <v>28.43</v>
          </cell>
          <cell r="BD42">
            <v>0</v>
          </cell>
          <cell r="BE42">
            <v>0</v>
          </cell>
          <cell r="BF42">
            <v>0</v>
          </cell>
          <cell r="BG42">
            <v>28.4</v>
          </cell>
          <cell r="BH42">
            <v>28.4</v>
          </cell>
          <cell r="BI42">
            <v>28.4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236.85000000000002</v>
          </cell>
          <cell r="BQ42">
            <v>236.84999999999997</v>
          </cell>
          <cell r="BR42">
            <v>236.85</v>
          </cell>
          <cell r="BS42">
            <v>236.84999999999997</v>
          </cell>
          <cell r="BT42">
            <v>236.84999999999997</v>
          </cell>
          <cell r="BU42">
            <v>236.84999999999991</v>
          </cell>
          <cell r="BV42">
            <v>236.85000000000002</v>
          </cell>
          <cell r="BW42">
            <v>293.86</v>
          </cell>
          <cell r="BX42">
            <v>277.7299999999999</v>
          </cell>
          <cell r="BY42">
            <v>252.23</v>
          </cell>
          <cell r="BZ42">
            <v>277.7299999999999</v>
          </cell>
          <cell r="CA42">
            <v>277.7299999999999</v>
          </cell>
          <cell r="CB42">
            <v>252.22999999999988</v>
          </cell>
          <cell r="CC42">
            <v>252.23</v>
          </cell>
          <cell r="CD42">
            <v>0</v>
          </cell>
          <cell r="CE42">
            <v>-2.8</v>
          </cell>
          <cell r="CF42">
            <v>-2.8</v>
          </cell>
          <cell r="CG42">
            <v>-2.8</v>
          </cell>
          <cell r="CH42">
            <v>0</v>
          </cell>
          <cell r="CI42">
            <v>-2.8</v>
          </cell>
          <cell r="CJ42">
            <v>-2.8</v>
          </cell>
          <cell r="CK42">
            <v>-2.8</v>
          </cell>
          <cell r="CL42">
            <v>0</v>
          </cell>
          <cell r="CM42">
            <v>5.25</v>
          </cell>
          <cell r="CN42">
            <v>5.25</v>
          </cell>
          <cell r="CO42">
            <v>5.25</v>
          </cell>
          <cell r="CP42">
            <v>0</v>
          </cell>
          <cell r="CQ42">
            <v>5.25</v>
          </cell>
          <cell r="CR42">
            <v>5.25</v>
          </cell>
          <cell r="CS42">
            <v>5.25</v>
          </cell>
          <cell r="CT42">
            <v>0</v>
          </cell>
          <cell r="CU42">
            <v>15.37</v>
          </cell>
          <cell r="CV42">
            <v>15.37</v>
          </cell>
          <cell r="CW42">
            <v>15.37</v>
          </cell>
          <cell r="CX42">
            <v>0</v>
          </cell>
          <cell r="CY42">
            <v>15.37</v>
          </cell>
          <cell r="CZ42">
            <v>15.37</v>
          </cell>
          <cell r="DA42">
            <v>15.37</v>
          </cell>
          <cell r="DB42">
            <v>0</v>
          </cell>
          <cell r="DC42">
            <v>5.68</v>
          </cell>
          <cell r="DD42">
            <v>5.68</v>
          </cell>
          <cell r="DE42">
            <v>5.68</v>
          </cell>
          <cell r="DF42">
            <v>0</v>
          </cell>
          <cell r="DG42">
            <v>5.68</v>
          </cell>
          <cell r="DH42">
            <v>5.68</v>
          </cell>
          <cell r="DI42">
            <v>5.68</v>
          </cell>
        </row>
        <row r="43">
          <cell r="A43">
            <v>45141</v>
          </cell>
          <cell r="B43">
            <v>39</v>
          </cell>
          <cell r="C43">
            <v>39</v>
          </cell>
          <cell r="D43">
            <v>39</v>
          </cell>
          <cell r="E43">
            <v>39</v>
          </cell>
          <cell r="F43">
            <v>47.25</v>
          </cell>
          <cell r="G43">
            <v>47.25</v>
          </cell>
          <cell r="H43">
            <v>39</v>
          </cell>
          <cell r="I43">
            <v>39</v>
          </cell>
          <cell r="J43">
            <v>39</v>
          </cell>
          <cell r="K43">
            <v>39</v>
          </cell>
          <cell r="L43">
            <v>47.24</v>
          </cell>
          <cell r="M43">
            <v>47.24</v>
          </cell>
          <cell r="N43">
            <v>33.9</v>
          </cell>
          <cell r="O43">
            <v>33.9</v>
          </cell>
          <cell r="P43">
            <v>33.9</v>
          </cell>
          <cell r="Q43">
            <v>33.9</v>
          </cell>
          <cell r="R43">
            <v>73.38</v>
          </cell>
          <cell r="S43">
            <v>73.38</v>
          </cell>
          <cell r="T43">
            <v>33.9</v>
          </cell>
          <cell r="U43">
            <v>33.9</v>
          </cell>
          <cell r="V43">
            <v>33.9</v>
          </cell>
          <cell r="W43">
            <v>33.9</v>
          </cell>
          <cell r="X43">
            <v>73.400000000000006</v>
          </cell>
          <cell r="Y43">
            <v>73.400000000000006</v>
          </cell>
          <cell r="Z43">
            <v>64.47</v>
          </cell>
          <cell r="AA43">
            <v>64.47</v>
          </cell>
          <cell r="AB43">
            <v>64.47</v>
          </cell>
          <cell r="AC43">
            <v>64.47</v>
          </cell>
          <cell r="AD43">
            <v>57.980000000000004</v>
          </cell>
          <cell r="AE43">
            <v>57.980000000000004</v>
          </cell>
          <cell r="AF43">
            <v>64.47</v>
          </cell>
          <cell r="AG43">
            <v>64.47</v>
          </cell>
          <cell r="AH43">
            <v>64.47</v>
          </cell>
          <cell r="AI43">
            <v>64.47</v>
          </cell>
          <cell r="AJ43">
            <v>57.99</v>
          </cell>
          <cell r="AK43">
            <v>57.99</v>
          </cell>
          <cell r="AL43">
            <v>50.69</v>
          </cell>
          <cell r="AM43">
            <v>50.69</v>
          </cell>
          <cell r="AN43">
            <v>50.69</v>
          </cell>
          <cell r="AO43">
            <v>50.69</v>
          </cell>
          <cell r="AP43">
            <v>69.03</v>
          </cell>
          <cell r="AQ43">
            <v>69.03</v>
          </cell>
          <cell r="AR43">
            <v>50.69</v>
          </cell>
          <cell r="AS43">
            <v>50.69</v>
          </cell>
          <cell r="AT43">
            <v>50.69</v>
          </cell>
          <cell r="AU43">
            <v>50.69</v>
          </cell>
          <cell r="AV43">
            <v>69.02000000000001</v>
          </cell>
          <cell r="AW43">
            <v>69.02000000000001</v>
          </cell>
          <cell r="AX43">
            <v>0</v>
          </cell>
          <cell r="AY43">
            <v>0</v>
          </cell>
          <cell r="AZ43">
            <v>0</v>
          </cell>
          <cell r="BA43">
            <v>38.799999999999997</v>
          </cell>
          <cell r="BB43">
            <v>38.799999999999997</v>
          </cell>
          <cell r="BC43">
            <v>38.799999999999997</v>
          </cell>
          <cell r="BD43">
            <v>0</v>
          </cell>
          <cell r="BE43">
            <v>0</v>
          </cell>
          <cell r="BF43">
            <v>0</v>
          </cell>
          <cell r="BG43">
            <v>38.799999999999997</v>
          </cell>
          <cell r="BH43">
            <v>38.799999999999997</v>
          </cell>
          <cell r="BI43">
            <v>38.799999999999997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174.89000000000001</v>
          </cell>
          <cell r="BQ43">
            <v>174.89000000000004</v>
          </cell>
          <cell r="BR43">
            <v>103.22000000000003</v>
          </cell>
          <cell r="BS43">
            <v>174.89000000000004</v>
          </cell>
          <cell r="BT43">
            <v>174.89000000000004</v>
          </cell>
          <cell r="BU43">
            <v>103.22000000000008</v>
          </cell>
          <cell r="BV43">
            <v>103.22000000000003</v>
          </cell>
          <cell r="BW43">
            <v>768.45000000000016</v>
          </cell>
          <cell r="BX43">
            <v>642.04000000000019</v>
          </cell>
          <cell r="BY43">
            <v>573.5100000000001</v>
          </cell>
          <cell r="BZ43">
            <v>642.04000000000019</v>
          </cell>
          <cell r="CA43">
            <v>642.04000000000019</v>
          </cell>
          <cell r="CB43">
            <v>573.51000000000022</v>
          </cell>
          <cell r="CC43">
            <v>573.51000000000022</v>
          </cell>
          <cell r="CD43">
            <v>0</v>
          </cell>
          <cell r="CE43">
            <v>3.75</v>
          </cell>
          <cell r="CF43">
            <v>3.75</v>
          </cell>
          <cell r="CG43">
            <v>3.75</v>
          </cell>
          <cell r="CH43">
            <v>0</v>
          </cell>
          <cell r="CI43">
            <v>3.75</v>
          </cell>
          <cell r="CJ43">
            <v>3.75</v>
          </cell>
          <cell r="CK43">
            <v>3.75</v>
          </cell>
          <cell r="CL43">
            <v>0</v>
          </cell>
          <cell r="CM43">
            <v>12.33</v>
          </cell>
          <cell r="CN43">
            <v>12.33</v>
          </cell>
          <cell r="CO43">
            <v>12.33</v>
          </cell>
          <cell r="CP43">
            <v>0</v>
          </cell>
          <cell r="CQ43">
            <v>12.33</v>
          </cell>
          <cell r="CR43">
            <v>12.33</v>
          </cell>
          <cell r="CS43">
            <v>12.33</v>
          </cell>
          <cell r="CT43">
            <v>0</v>
          </cell>
          <cell r="CU43">
            <v>17.7</v>
          </cell>
          <cell r="CV43">
            <v>17.7</v>
          </cell>
          <cell r="CW43">
            <v>17.7</v>
          </cell>
          <cell r="CX43">
            <v>0</v>
          </cell>
          <cell r="CY43">
            <v>17.7</v>
          </cell>
          <cell r="CZ43">
            <v>17.7</v>
          </cell>
          <cell r="DA43">
            <v>17.7</v>
          </cell>
          <cell r="DB43">
            <v>0</v>
          </cell>
          <cell r="DC43">
            <v>22.16</v>
          </cell>
          <cell r="DD43">
            <v>22.16</v>
          </cell>
          <cell r="DE43">
            <v>22.16</v>
          </cell>
          <cell r="DF43">
            <v>0</v>
          </cell>
          <cell r="DG43">
            <v>22.16</v>
          </cell>
          <cell r="DH43">
            <v>22.16</v>
          </cell>
          <cell r="DI43">
            <v>22.16</v>
          </cell>
        </row>
        <row r="44">
          <cell r="A44">
            <v>45142</v>
          </cell>
          <cell r="B44">
            <v>29.25</v>
          </cell>
          <cell r="C44">
            <v>29.25</v>
          </cell>
          <cell r="D44">
            <v>29.25</v>
          </cell>
          <cell r="E44">
            <v>29.25</v>
          </cell>
          <cell r="F44">
            <v>31.99</v>
          </cell>
          <cell r="G44">
            <v>31.99</v>
          </cell>
          <cell r="H44">
            <v>29.25</v>
          </cell>
          <cell r="I44">
            <v>29.25</v>
          </cell>
          <cell r="J44">
            <v>29.25</v>
          </cell>
          <cell r="K44">
            <v>29.25</v>
          </cell>
          <cell r="L44">
            <v>31.99</v>
          </cell>
          <cell r="M44">
            <v>31.99</v>
          </cell>
          <cell r="N44">
            <v>36.42</v>
          </cell>
          <cell r="O44">
            <v>36.42</v>
          </cell>
          <cell r="P44">
            <v>36.42</v>
          </cell>
          <cell r="Q44">
            <v>36.42</v>
          </cell>
          <cell r="R44">
            <v>53.42</v>
          </cell>
          <cell r="S44">
            <v>53.42</v>
          </cell>
          <cell r="T44">
            <v>36.42</v>
          </cell>
          <cell r="U44">
            <v>36.42</v>
          </cell>
          <cell r="V44">
            <v>36.42</v>
          </cell>
          <cell r="W44">
            <v>36.42</v>
          </cell>
          <cell r="X44">
            <v>53.42</v>
          </cell>
          <cell r="Y44">
            <v>53.42</v>
          </cell>
          <cell r="Z44">
            <v>59.61</v>
          </cell>
          <cell r="AA44">
            <v>59.61</v>
          </cell>
          <cell r="AB44">
            <v>59.61</v>
          </cell>
          <cell r="AC44">
            <v>59.61</v>
          </cell>
          <cell r="AD44">
            <v>52.08</v>
          </cell>
          <cell r="AE44">
            <v>52.08</v>
          </cell>
          <cell r="AF44">
            <v>59.61</v>
          </cell>
          <cell r="AG44">
            <v>59.61</v>
          </cell>
          <cell r="AH44">
            <v>59.61</v>
          </cell>
          <cell r="AI44">
            <v>59.61</v>
          </cell>
          <cell r="AJ44">
            <v>52.08</v>
          </cell>
          <cell r="AK44">
            <v>52.08</v>
          </cell>
          <cell r="AL44">
            <v>54.84</v>
          </cell>
          <cell r="AM44">
            <v>54.84</v>
          </cell>
          <cell r="AN44">
            <v>54.84</v>
          </cell>
          <cell r="AO44">
            <v>54.84</v>
          </cell>
          <cell r="AP44">
            <v>51.44</v>
          </cell>
          <cell r="AQ44">
            <v>51.44</v>
          </cell>
          <cell r="AR44">
            <v>54.84</v>
          </cell>
          <cell r="AS44">
            <v>54.84</v>
          </cell>
          <cell r="AT44">
            <v>54.84</v>
          </cell>
          <cell r="AU44">
            <v>54.84</v>
          </cell>
          <cell r="AV44">
            <v>51.44</v>
          </cell>
          <cell r="AW44">
            <v>51.44</v>
          </cell>
          <cell r="AX44">
            <v>0</v>
          </cell>
          <cell r="AY44">
            <v>0</v>
          </cell>
          <cell r="AZ44">
            <v>0</v>
          </cell>
          <cell r="BA44">
            <v>35.61</v>
          </cell>
          <cell r="BB44">
            <v>35.61</v>
          </cell>
          <cell r="BC44">
            <v>35.61</v>
          </cell>
          <cell r="BD44">
            <v>0</v>
          </cell>
          <cell r="BE44">
            <v>0</v>
          </cell>
          <cell r="BF44">
            <v>0</v>
          </cell>
          <cell r="BG44">
            <v>35.61</v>
          </cell>
          <cell r="BH44">
            <v>35.61</v>
          </cell>
          <cell r="BI44">
            <v>35.61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208.31</v>
          </cell>
          <cell r="BQ44">
            <v>184.58000000000004</v>
          </cell>
          <cell r="BR44">
            <v>184.58000000000007</v>
          </cell>
          <cell r="BS44">
            <v>184.58000000000004</v>
          </cell>
          <cell r="BT44">
            <v>184.58000000000004</v>
          </cell>
          <cell r="BU44">
            <v>184.57999999999998</v>
          </cell>
          <cell r="BV44">
            <v>184.58000000000004</v>
          </cell>
          <cell r="BW44">
            <v>523.25999999999988</v>
          </cell>
          <cell r="BX44">
            <v>480.8900000000001</v>
          </cell>
          <cell r="BY44">
            <v>433.68000000000006</v>
          </cell>
          <cell r="BZ44">
            <v>480.8900000000001</v>
          </cell>
          <cell r="CA44">
            <v>480.89000000000021</v>
          </cell>
          <cell r="CB44">
            <v>433.68000000000018</v>
          </cell>
          <cell r="CC44">
            <v>433.68000000000012</v>
          </cell>
          <cell r="CD44">
            <v>0</v>
          </cell>
          <cell r="CE44">
            <v>0.69</v>
          </cell>
          <cell r="CF44">
            <v>0.69</v>
          </cell>
          <cell r="CG44">
            <v>0.69</v>
          </cell>
          <cell r="CH44">
            <v>0</v>
          </cell>
          <cell r="CI44">
            <v>0.69</v>
          </cell>
          <cell r="CJ44">
            <v>0.69</v>
          </cell>
          <cell r="CK44">
            <v>0.69</v>
          </cell>
          <cell r="CL44">
            <v>0</v>
          </cell>
          <cell r="CM44">
            <v>9.34</v>
          </cell>
          <cell r="CN44">
            <v>9.34</v>
          </cell>
          <cell r="CO44">
            <v>9.34</v>
          </cell>
          <cell r="CP44">
            <v>0</v>
          </cell>
          <cell r="CQ44">
            <v>9.34</v>
          </cell>
          <cell r="CR44">
            <v>9.34</v>
          </cell>
          <cell r="CS44">
            <v>9.34</v>
          </cell>
          <cell r="CT44">
            <v>0</v>
          </cell>
          <cell r="CU44">
            <v>15.13</v>
          </cell>
          <cell r="CV44">
            <v>15.13</v>
          </cell>
          <cell r="CW44">
            <v>15.13</v>
          </cell>
          <cell r="CX44">
            <v>0</v>
          </cell>
          <cell r="CY44">
            <v>15.13</v>
          </cell>
          <cell r="CZ44">
            <v>15.13</v>
          </cell>
          <cell r="DA44">
            <v>15.13</v>
          </cell>
          <cell r="DB44">
            <v>0</v>
          </cell>
          <cell r="DC44">
            <v>24.61</v>
          </cell>
          <cell r="DD44">
            <v>24.61</v>
          </cell>
          <cell r="DE44">
            <v>24.61</v>
          </cell>
          <cell r="DF44">
            <v>0</v>
          </cell>
          <cell r="DG44">
            <v>24.61</v>
          </cell>
          <cell r="DH44">
            <v>24.61</v>
          </cell>
          <cell r="DI44">
            <v>24.61</v>
          </cell>
        </row>
        <row r="45">
          <cell r="A45">
            <v>45143</v>
          </cell>
          <cell r="B45">
            <v>131.51</v>
          </cell>
          <cell r="C45">
            <v>131.51</v>
          </cell>
          <cell r="D45">
            <v>131.51</v>
          </cell>
          <cell r="E45">
            <v>131.51</v>
          </cell>
          <cell r="F45">
            <v>101.57</v>
          </cell>
          <cell r="G45">
            <v>101.57</v>
          </cell>
          <cell r="H45">
            <v>131.51</v>
          </cell>
          <cell r="I45">
            <v>131.51</v>
          </cell>
          <cell r="J45">
            <v>131.51</v>
          </cell>
          <cell r="K45">
            <v>131.51</v>
          </cell>
          <cell r="L45">
            <v>101.47</v>
          </cell>
          <cell r="M45">
            <v>101.47</v>
          </cell>
          <cell r="N45">
            <v>161.76</v>
          </cell>
          <cell r="O45">
            <v>161.76</v>
          </cell>
          <cell r="P45">
            <v>161.76</v>
          </cell>
          <cell r="Q45">
            <v>161.76</v>
          </cell>
          <cell r="R45">
            <v>122.89</v>
          </cell>
          <cell r="S45">
            <v>122.89</v>
          </cell>
          <cell r="T45">
            <v>161.76</v>
          </cell>
          <cell r="U45">
            <v>161.76</v>
          </cell>
          <cell r="V45">
            <v>161.76</v>
          </cell>
          <cell r="W45">
            <v>161.76</v>
          </cell>
          <cell r="X45">
            <v>122.99000000000001</v>
          </cell>
          <cell r="Y45">
            <v>122.99000000000001</v>
          </cell>
          <cell r="Z45">
            <v>95.47</v>
          </cell>
          <cell r="AA45">
            <v>95.47</v>
          </cell>
          <cell r="AB45">
            <v>95.47</v>
          </cell>
          <cell r="AC45">
            <v>95.47</v>
          </cell>
          <cell r="AD45">
            <v>94.27000000000001</v>
          </cell>
          <cell r="AE45">
            <v>94.27000000000001</v>
          </cell>
          <cell r="AF45">
            <v>95.47</v>
          </cell>
          <cell r="AG45">
            <v>95.47</v>
          </cell>
          <cell r="AH45">
            <v>95.47</v>
          </cell>
          <cell r="AI45">
            <v>95.47</v>
          </cell>
          <cell r="AJ45">
            <v>94.25</v>
          </cell>
          <cell r="AK45">
            <v>94.25</v>
          </cell>
          <cell r="AL45">
            <v>81.7</v>
          </cell>
          <cell r="AM45">
            <v>81.7</v>
          </cell>
          <cell r="AN45">
            <v>81.7</v>
          </cell>
          <cell r="AO45">
            <v>81.7</v>
          </cell>
          <cell r="AP45">
            <v>101.24</v>
          </cell>
          <cell r="AQ45">
            <v>101.24</v>
          </cell>
          <cell r="AR45">
            <v>81.7</v>
          </cell>
          <cell r="AS45">
            <v>81.7</v>
          </cell>
          <cell r="AT45">
            <v>81.7</v>
          </cell>
          <cell r="AU45">
            <v>81.7</v>
          </cell>
          <cell r="AV45">
            <v>101.25</v>
          </cell>
          <cell r="AW45">
            <v>101.25</v>
          </cell>
          <cell r="AX45">
            <v>0</v>
          </cell>
          <cell r="AY45">
            <v>0</v>
          </cell>
          <cell r="AZ45">
            <v>0</v>
          </cell>
          <cell r="BA45">
            <v>71.289999999999992</v>
          </cell>
          <cell r="BB45">
            <v>71.289999999999992</v>
          </cell>
          <cell r="BC45">
            <v>71.289999999999992</v>
          </cell>
          <cell r="BD45">
            <v>0</v>
          </cell>
          <cell r="BE45">
            <v>0</v>
          </cell>
          <cell r="BF45">
            <v>0</v>
          </cell>
          <cell r="BG45">
            <v>71.289999999999992</v>
          </cell>
          <cell r="BH45">
            <v>71.259999999999991</v>
          </cell>
          <cell r="BI45">
            <v>71.259999999999991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258.38000000000005</v>
          </cell>
          <cell r="BQ45">
            <v>187.36999999999995</v>
          </cell>
          <cell r="BR45">
            <v>187.36999999999995</v>
          </cell>
          <cell r="BS45">
            <v>187.36999999999995</v>
          </cell>
          <cell r="BT45">
            <v>187.37</v>
          </cell>
          <cell r="BU45">
            <v>187.36999999999989</v>
          </cell>
          <cell r="BV45">
            <v>187.37</v>
          </cell>
          <cell r="BW45">
            <v>633.64</v>
          </cell>
          <cell r="BX45">
            <v>482.77000000000004</v>
          </cell>
          <cell r="BY45">
            <v>437.76</v>
          </cell>
          <cell r="BZ45">
            <v>482.77000000000004</v>
          </cell>
          <cell r="CA45">
            <v>482.7700000000001</v>
          </cell>
          <cell r="CB45">
            <v>437.76</v>
          </cell>
          <cell r="CC45">
            <v>437.76</v>
          </cell>
          <cell r="CD45">
            <v>0</v>
          </cell>
          <cell r="CE45">
            <v>6.52</v>
          </cell>
          <cell r="CF45">
            <v>6.52</v>
          </cell>
          <cell r="CG45">
            <v>6.52</v>
          </cell>
          <cell r="CH45">
            <v>0</v>
          </cell>
          <cell r="CI45">
            <v>6.52</v>
          </cell>
          <cell r="CJ45">
            <v>6.52</v>
          </cell>
          <cell r="CK45">
            <v>6.52</v>
          </cell>
          <cell r="CL45">
            <v>0</v>
          </cell>
          <cell r="CM45">
            <v>18.86</v>
          </cell>
          <cell r="CN45">
            <v>18.86</v>
          </cell>
          <cell r="CO45">
            <v>18.86</v>
          </cell>
          <cell r="CP45">
            <v>0</v>
          </cell>
          <cell r="CQ45">
            <v>18.86</v>
          </cell>
          <cell r="CR45">
            <v>18.86</v>
          </cell>
          <cell r="CS45">
            <v>18.86</v>
          </cell>
          <cell r="CT45">
            <v>0</v>
          </cell>
          <cell r="CU45">
            <v>11.02</v>
          </cell>
          <cell r="CV45">
            <v>11.02</v>
          </cell>
          <cell r="CW45">
            <v>11.02</v>
          </cell>
          <cell r="CX45">
            <v>0</v>
          </cell>
          <cell r="CY45">
            <v>11.02</v>
          </cell>
          <cell r="CZ45">
            <v>11.02</v>
          </cell>
          <cell r="DA45">
            <v>11.02</v>
          </cell>
          <cell r="DB45">
            <v>0</v>
          </cell>
          <cell r="DC45">
            <v>13.59</v>
          </cell>
          <cell r="DD45">
            <v>13.59</v>
          </cell>
          <cell r="DE45">
            <v>13.59</v>
          </cell>
          <cell r="DF45">
            <v>0</v>
          </cell>
          <cell r="DG45">
            <v>13.59</v>
          </cell>
          <cell r="DH45">
            <v>13.59</v>
          </cell>
          <cell r="DI45">
            <v>13.59</v>
          </cell>
        </row>
        <row r="46">
          <cell r="A46">
            <v>45144</v>
          </cell>
          <cell r="B46">
            <v>188.85</v>
          </cell>
          <cell r="C46">
            <v>188.85</v>
          </cell>
          <cell r="D46">
            <v>188.85</v>
          </cell>
          <cell r="E46">
            <v>188.85</v>
          </cell>
          <cell r="F46">
            <v>113.52</v>
          </cell>
          <cell r="G46">
            <v>113.52</v>
          </cell>
          <cell r="H46">
            <v>188.85</v>
          </cell>
          <cell r="I46">
            <v>188.85</v>
          </cell>
          <cell r="J46">
            <v>188.85</v>
          </cell>
          <cell r="K46">
            <v>188.85</v>
          </cell>
          <cell r="L46">
            <v>113.52</v>
          </cell>
          <cell r="M46">
            <v>113.52</v>
          </cell>
          <cell r="N46">
            <v>110.91</v>
          </cell>
          <cell r="O46">
            <v>110.91</v>
          </cell>
          <cell r="P46">
            <v>110.91</v>
          </cell>
          <cell r="Q46">
            <v>110.91</v>
          </cell>
          <cell r="R46">
            <v>149.88</v>
          </cell>
          <cell r="S46">
            <v>149.88</v>
          </cell>
          <cell r="T46">
            <v>110.91</v>
          </cell>
          <cell r="U46">
            <v>110.91</v>
          </cell>
          <cell r="V46">
            <v>110.91</v>
          </cell>
          <cell r="W46">
            <v>110.91</v>
          </cell>
          <cell r="X46">
            <v>149.88</v>
          </cell>
          <cell r="Y46">
            <v>149.88</v>
          </cell>
          <cell r="Z46">
            <v>169.39</v>
          </cell>
          <cell r="AA46">
            <v>169.39</v>
          </cell>
          <cell r="AB46">
            <v>169.39</v>
          </cell>
          <cell r="AC46">
            <v>169.39</v>
          </cell>
          <cell r="AD46">
            <v>129.33000000000001</v>
          </cell>
          <cell r="AE46">
            <v>129.33000000000001</v>
          </cell>
          <cell r="AF46">
            <v>169.39</v>
          </cell>
          <cell r="AG46">
            <v>169.39</v>
          </cell>
          <cell r="AH46">
            <v>169.39</v>
          </cell>
          <cell r="AI46">
            <v>169.39</v>
          </cell>
          <cell r="AJ46">
            <v>129.33000000000001</v>
          </cell>
          <cell r="AK46">
            <v>129.33000000000001</v>
          </cell>
          <cell r="AL46">
            <v>111.01</v>
          </cell>
          <cell r="AM46">
            <v>111.01</v>
          </cell>
          <cell r="AN46">
            <v>111.01</v>
          </cell>
          <cell r="AO46">
            <v>111.01</v>
          </cell>
          <cell r="AP46">
            <v>114.72999999999999</v>
          </cell>
          <cell r="AQ46">
            <v>114.72999999999999</v>
          </cell>
          <cell r="AR46">
            <v>111.01</v>
          </cell>
          <cell r="AS46">
            <v>111.01</v>
          </cell>
          <cell r="AT46">
            <v>111.01</v>
          </cell>
          <cell r="AU46">
            <v>111.01</v>
          </cell>
          <cell r="AV46">
            <v>114.72999999999999</v>
          </cell>
          <cell r="AW46">
            <v>114.72999999999999</v>
          </cell>
          <cell r="AX46">
            <v>0</v>
          </cell>
          <cell r="AY46">
            <v>0</v>
          </cell>
          <cell r="AZ46">
            <v>0</v>
          </cell>
          <cell r="BA46">
            <v>70.16</v>
          </cell>
          <cell r="BB46">
            <v>70.16</v>
          </cell>
          <cell r="BC46">
            <v>70.16</v>
          </cell>
          <cell r="BD46">
            <v>0</v>
          </cell>
          <cell r="BE46">
            <v>0</v>
          </cell>
          <cell r="BF46">
            <v>0</v>
          </cell>
          <cell r="BG46">
            <v>70.16</v>
          </cell>
          <cell r="BH46">
            <v>70.16</v>
          </cell>
          <cell r="BI46">
            <v>70.16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588.14999999999986</v>
          </cell>
          <cell r="BQ46">
            <v>517.7600000000001</v>
          </cell>
          <cell r="BR46">
            <v>487.6</v>
          </cell>
          <cell r="BS46">
            <v>517.7600000000001</v>
          </cell>
          <cell r="BT46">
            <v>517.76</v>
          </cell>
          <cell r="BU46">
            <v>487.6</v>
          </cell>
          <cell r="BV46">
            <v>487.59999999999991</v>
          </cell>
          <cell r="BW46">
            <v>688.50999999999965</v>
          </cell>
          <cell r="BX46">
            <v>606.83000000000027</v>
          </cell>
          <cell r="BY46">
            <v>537.12000000000023</v>
          </cell>
          <cell r="BZ46">
            <v>606.83000000000027</v>
          </cell>
          <cell r="CA46">
            <v>606.83000000000015</v>
          </cell>
          <cell r="CB46">
            <v>537.12000000000023</v>
          </cell>
          <cell r="CC46">
            <v>537.12000000000012</v>
          </cell>
          <cell r="CD46">
            <v>0</v>
          </cell>
          <cell r="CE46">
            <v>9.26</v>
          </cell>
          <cell r="CF46">
            <v>9.26</v>
          </cell>
          <cell r="CG46">
            <v>9.26</v>
          </cell>
          <cell r="CH46">
            <v>0</v>
          </cell>
          <cell r="CI46">
            <v>9.26</v>
          </cell>
          <cell r="CJ46">
            <v>9.26</v>
          </cell>
          <cell r="CK46">
            <v>9.26</v>
          </cell>
          <cell r="CL46">
            <v>0</v>
          </cell>
          <cell r="CM46">
            <v>19.55</v>
          </cell>
          <cell r="CN46">
            <v>19.55</v>
          </cell>
          <cell r="CO46">
            <v>19.55</v>
          </cell>
          <cell r="CP46">
            <v>0</v>
          </cell>
          <cell r="CQ46">
            <v>19.55</v>
          </cell>
          <cell r="CR46">
            <v>19.55</v>
          </cell>
          <cell r="CS46">
            <v>19.55</v>
          </cell>
          <cell r="CT46">
            <v>0</v>
          </cell>
          <cell r="CU46">
            <v>9.77</v>
          </cell>
          <cell r="CV46">
            <v>9.77</v>
          </cell>
          <cell r="CW46">
            <v>9.77</v>
          </cell>
          <cell r="CX46">
            <v>0</v>
          </cell>
          <cell r="CY46">
            <v>9.77</v>
          </cell>
          <cell r="CZ46">
            <v>9.77</v>
          </cell>
          <cell r="DA46">
            <v>9.77</v>
          </cell>
          <cell r="DB46">
            <v>0</v>
          </cell>
          <cell r="DC46">
            <v>16.03</v>
          </cell>
          <cell r="DD46">
            <v>16.03</v>
          </cell>
          <cell r="DE46">
            <v>16.03</v>
          </cell>
          <cell r="DF46">
            <v>0</v>
          </cell>
          <cell r="DG46">
            <v>16.03</v>
          </cell>
          <cell r="DH46">
            <v>16.03</v>
          </cell>
          <cell r="DI46">
            <v>16.03</v>
          </cell>
        </row>
        <row r="47">
          <cell r="A47">
            <v>45145</v>
          </cell>
          <cell r="B47">
            <v>169.92</v>
          </cell>
          <cell r="C47">
            <v>169.92</v>
          </cell>
          <cell r="D47">
            <v>169.92</v>
          </cell>
          <cell r="E47">
            <v>169.92</v>
          </cell>
          <cell r="F47">
            <v>121.24</v>
          </cell>
          <cell r="G47">
            <v>121.24</v>
          </cell>
          <cell r="H47">
            <v>169.92</v>
          </cell>
          <cell r="I47">
            <v>169.92</v>
          </cell>
          <cell r="J47">
            <v>169.92</v>
          </cell>
          <cell r="K47">
            <v>169.92</v>
          </cell>
          <cell r="L47">
            <v>121.1</v>
          </cell>
          <cell r="M47">
            <v>121.1</v>
          </cell>
          <cell r="N47">
            <v>168.37</v>
          </cell>
          <cell r="O47">
            <v>168.37</v>
          </cell>
          <cell r="P47">
            <v>168.37</v>
          </cell>
          <cell r="Q47">
            <v>168.37</v>
          </cell>
          <cell r="R47">
            <v>171.2</v>
          </cell>
          <cell r="S47">
            <v>171.2</v>
          </cell>
          <cell r="T47">
            <v>168.37</v>
          </cell>
          <cell r="U47">
            <v>168.37</v>
          </cell>
          <cell r="V47">
            <v>168.37</v>
          </cell>
          <cell r="W47">
            <v>168.37</v>
          </cell>
          <cell r="X47">
            <v>171.18</v>
          </cell>
          <cell r="Y47">
            <v>171.18</v>
          </cell>
          <cell r="Z47">
            <v>159.06</v>
          </cell>
          <cell r="AA47">
            <v>159.06</v>
          </cell>
          <cell r="AB47">
            <v>159.06</v>
          </cell>
          <cell r="AC47">
            <v>159.06</v>
          </cell>
          <cell r="AD47">
            <v>133.47</v>
          </cell>
          <cell r="AE47">
            <v>133.47</v>
          </cell>
          <cell r="AF47">
            <v>159.06</v>
          </cell>
          <cell r="AG47">
            <v>159.06</v>
          </cell>
          <cell r="AH47">
            <v>159.06</v>
          </cell>
          <cell r="AI47">
            <v>159.06</v>
          </cell>
          <cell r="AJ47">
            <v>133.43</v>
          </cell>
          <cell r="AK47">
            <v>133.43</v>
          </cell>
          <cell r="AL47">
            <v>119.42</v>
          </cell>
          <cell r="AM47">
            <v>119.42</v>
          </cell>
          <cell r="AN47">
            <v>119.42</v>
          </cell>
          <cell r="AO47">
            <v>119.42</v>
          </cell>
          <cell r="AP47">
            <v>108.87</v>
          </cell>
          <cell r="AQ47">
            <v>108.87</v>
          </cell>
          <cell r="AR47">
            <v>119.42</v>
          </cell>
          <cell r="AS47">
            <v>119.42</v>
          </cell>
          <cell r="AT47">
            <v>119.42</v>
          </cell>
          <cell r="AU47">
            <v>119.42</v>
          </cell>
          <cell r="AV47">
            <v>108.88999999999999</v>
          </cell>
          <cell r="AW47">
            <v>108.88999999999999</v>
          </cell>
          <cell r="AX47">
            <v>0</v>
          </cell>
          <cell r="AY47">
            <v>0</v>
          </cell>
          <cell r="AZ47">
            <v>0</v>
          </cell>
          <cell r="BA47">
            <v>82.18</v>
          </cell>
          <cell r="BB47">
            <v>82.18</v>
          </cell>
          <cell r="BC47">
            <v>82.18</v>
          </cell>
          <cell r="BD47">
            <v>0</v>
          </cell>
          <cell r="BE47">
            <v>0</v>
          </cell>
          <cell r="BF47">
            <v>0</v>
          </cell>
          <cell r="BG47">
            <v>82.14</v>
          </cell>
          <cell r="BH47">
            <v>82.14</v>
          </cell>
          <cell r="BI47">
            <v>82.14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354.54</v>
          </cell>
          <cell r="BQ47">
            <v>333.38999999999965</v>
          </cell>
          <cell r="BR47">
            <v>315.34999999999968</v>
          </cell>
          <cell r="BS47">
            <v>333.38999999999965</v>
          </cell>
          <cell r="BT47">
            <v>333.38999999999976</v>
          </cell>
          <cell r="BU47">
            <v>315.3499999999998</v>
          </cell>
          <cell r="BV47">
            <v>315.34999999999968</v>
          </cell>
          <cell r="BW47">
            <v>650.38999999999987</v>
          </cell>
          <cell r="BX47">
            <v>577.27999999999975</v>
          </cell>
          <cell r="BY47">
            <v>544.35999999999967</v>
          </cell>
          <cell r="BZ47">
            <v>577.27999999999975</v>
          </cell>
          <cell r="CA47">
            <v>577.27999999999986</v>
          </cell>
          <cell r="CB47">
            <v>544.3599999999999</v>
          </cell>
          <cell r="CC47">
            <v>544.35999999999979</v>
          </cell>
          <cell r="CD47">
            <v>0</v>
          </cell>
          <cell r="CE47">
            <v>8.61</v>
          </cell>
          <cell r="CF47">
            <v>8.61</v>
          </cell>
          <cell r="CG47">
            <v>8.61</v>
          </cell>
          <cell r="CH47">
            <v>0</v>
          </cell>
          <cell r="CI47">
            <v>8.61</v>
          </cell>
          <cell r="CJ47">
            <v>8.61</v>
          </cell>
          <cell r="CK47">
            <v>8.61</v>
          </cell>
          <cell r="CL47">
            <v>0</v>
          </cell>
          <cell r="CM47">
            <v>17.63</v>
          </cell>
          <cell r="CN47">
            <v>17.63</v>
          </cell>
          <cell r="CO47">
            <v>17.63</v>
          </cell>
          <cell r="CP47">
            <v>0</v>
          </cell>
          <cell r="CQ47">
            <v>17.63</v>
          </cell>
          <cell r="CR47">
            <v>17.63</v>
          </cell>
          <cell r="CS47">
            <v>17.63</v>
          </cell>
          <cell r="CT47">
            <v>0</v>
          </cell>
          <cell r="CU47">
            <v>29.2</v>
          </cell>
          <cell r="CV47">
            <v>29.2</v>
          </cell>
          <cell r="CW47">
            <v>29.2</v>
          </cell>
          <cell r="CX47">
            <v>0</v>
          </cell>
          <cell r="CY47">
            <v>29.2</v>
          </cell>
          <cell r="CZ47">
            <v>29.2</v>
          </cell>
          <cell r="DA47">
            <v>29.2</v>
          </cell>
          <cell r="DB47">
            <v>0</v>
          </cell>
          <cell r="DC47">
            <v>19.899999999999999</v>
          </cell>
          <cell r="DD47">
            <v>19.899999999999999</v>
          </cell>
          <cell r="DE47">
            <v>19.899999999999999</v>
          </cell>
          <cell r="DF47">
            <v>0</v>
          </cell>
          <cell r="DG47">
            <v>19.899999999999999</v>
          </cell>
          <cell r="DH47">
            <v>19.899999999999999</v>
          </cell>
          <cell r="DI47">
            <v>19.899999999999999</v>
          </cell>
        </row>
        <row r="48">
          <cell r="A48">
            <v>45146</v>
          </cell>
          <cell r="B48">
            <v>225.34</v>
          </cell>
          <cell r="C48">
            <v>225.34</v>
          </cell>
          <cell r="D48">
            <v>225.34</v>
          </cell>
          <cell r="E48">
            <v>225.34</v>
          </cell>
          <cell r="F48">
            <v>157.14999999999998</v>
          </cell>
          <cell r="G48">
            <v>157.14999999999998</v>
          </cell>
          <cell r="H48">
            <v>225.34</v>
          </cell>
          <cell r="I48">
            <v>225.34</v>
          </cell>
          <cell r="J48">
            <v>225.34</v>
          </cell>
          <cell r="K48">
            <v>225.34</v>
          </cell>
          <cell r="L48">
            <v>156.91</v>
          </cell>
          <cell r="M48">
            <v>156.91</v>
          </cell>
          <cell r="N48">
            <v>170.98</v>
          </cell>
          <cell r="O48">
            <v>170.98</v>
          </cell>
          <cell r="P48">
            <v>170.98</v>
          </cell>
          <cell r="Q48">
            <v>170.98</v>
          </cell>
          <cell r="R48">
            <v>217.64999999999998</v>
          </cell>
          <cell r="S48">
            <v>217.64999999999998</v>
          </cell>
          <cell r="T48">
            <v>170.98</v>
          </cell>
          <cell r="U48">
            <v>170.98</v>
          </cell>
          <cell r="V48">
            <v>170.98</v>
          </cell>
          <cell r="W48">
            <v>170.98</v>
          </cell>
          <cell r="X48">
            <v>217.82999999999998</v>
          </cell>
          <cell r="Y48">
            <v>217.82999999999998</v>
          </cell>
          <cell r="Z48">
            <v>167.85</v>
          </cell>
          <cell r="AA48">
            <v>167.85</v>
          </cell>
          <cell r="AB48">
            <v>167.85</v>
          </cell>
          <cell r="AC48">
            <v>167.85</v>
          </cell>
          <cell r="AD48">
            <v>133.22</v>
          </cell>
          <cell r="AE48">
            <v>133.22</v>
          </cell>
          <cell r="AF48">
            <v>167.85</v>
          </cell>
          <cell r="AG48">
            <v>167.85</v>
          </cell>
          <cell r="AH48">
            <v>167.85</v>
          </cell>
          <cell r="AI48">
            <v>167.85</v>
          </cell>
          <cell r="AJ48">
            <v>133.17000000000002</v>
          </cell>
          <cell r="AK48">
            <v>133.17000000000002</v>
          </cell>
          <cell r="AL48">
            <v>92.78</v>
          </cell>
          <cell r="AM48">
            <v>92.78</v>
          </cell>
          <cell r="AN48">
            <v>92.78</v>
          </cell>
          <cell r="AO48">
            <v>92.78</v>
          </cell>
          <cell r="AP48">
            <v>98.44</v>
          </cell>
          <cell r="AQ48">
            <v>98.44</v>
          </cell>
          <cell r="AR48">
            <v>92.78</v>
          </cell>
          <cell r="AS48">
            <v>92.78</v>
          </cell>
          <cell r="AT48">
            <v>92.78</v>
          </cell>
          <cell r="AU48">
            <v>92.78</v>
          </cell>
          <cell r="AV48">
            <v>98.47</v>
          </cell>
          <cell r="AW48">
            <v>98.47</v>
          </cell>
          <cell r="AX48">
            <v>0</v>
          </cell>
          <cell r="AY48">
            <v>0</v>
          </cell>
          <cell r="AZ48">
            <v>0</v>
          </cell>
          <cell r="BA48">
            <v>74.37</v>
          </cell>
          <cell r="BB48">
            <v>74.37</v>
          </cell>
          <cell r="BC48">
            <v>74.37</v>
          </cell>
          <cell r="BD48">
            <v>0</v>
          </cell>
          <cell r="BE48">
            <v>0</v>
          </cell>
          <cell r="BF48">
            <v>0</v>
          </cell>
          <cell r="BG48">
            <v>74.330000000000013</v>
          </cell>
          <cell r="BH48">
            <v>74.330000000000013</v>
          </cell>
          <cell r="BI48">
            <v>74.330000000000013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376.62</v>
          </cell>
          <cell r="BQ48">
            <v>244.85000000000002</v>
          </cell>
          <cell r="BR48">
            <v>244.85000000000002</v>
          </cell>
          <cell r="BS48">
            <v>244.85000000000002</v>
          </cell>
          <cell r="BT48">
            <v>244.85000000000014</v>
          </cell>
          <cell r="BU48">
            <v>244.85000000000002</v>
          </cell>
          <cell r="BV48">
            <v>244.85000000000002</v>
          </cell>
          <cell r="BW48">
            <v>1014.11</v>
          </cell>
          <cell r="BX48">
            <v>848.34999999999911</v>
          </cell>
          <cell r="BY48">
            <v>696.07999999999913</v>
          </cell>
          <cell r="BZ48">
            <v>848.34999999999911</v>
          </cell>
          <cell r="CA48">
            <v>848.349999999999</v>
          </cell>
          <cell r="CB48">
            <v>696.07999999999913</v>
          </cell>
          <cell r="CC48">
            <v>696.07999999999902</v>
          </cell>
          <cell r="CD48">
            <v>0</v>
          </cell>
          <cell r="CE48">
            <v>5.33</v>
          </cell>
          <cell r="CF48">
            <v>5.33</v>
          </cell>
          <cell r="CG48">
            <v>5.33</v>
          </cell>
          <cell r="CH48">
            <v>0</v>
          </cell>
          <cell r="CI48">
            <v>5.33</v>
          </cell>
          <cell r="CJ48">
            <v>5.33</v>
          </cell>
          <cell r="CK48">
            <v>5.33</v>
          </cell>
          <cell r="CL48">
            <v>0</v>
          </cell>
          <cell r="CM48">
            <v>24.19</v>
          </cell>
          <cell r="CN48">
            <v>24.19</v>
          </cell>
          <cell r="CO48">
            <v>24.19</v>
          </cell>
          <cell r="CP48">
            <v>0</v>
          </cell>
          <cell r="CQ48">
            <v>24.19</v>
          </cell>
          <cell r="CR48">
            <v>24.19</v>
          </cell>
          <cell r="CS48">
            <v>24.19</v>
          </cell>
          <cell r="CT48">
            <v>0</v>
          </cell>
          <cell r="CU48">
            <v>34.22</v>
          </cell>
          <cell r="CV48">
            <v>34.22</v>
          </cell>
          <cell r="CW48">
            <v>34.22</v>
          </cell>
          <cell r="CX48">
            <v>0</v>
          </cell>
          <cell r="CY48">
            <v>34.22</v>
          </cell>
          <cell r="CZ48">
            <v>34.22</v>
          </cell>
          <cell r="DA48">
            <v>34.22</v>
          </cell>
          <cell r="DB48">
            <v>0</v>
          </cell>
          <cell r="DC48">
            <v>34.6</v>
          </cell>
          <cell r="DD48">
            <v>34.6</v>
          </cell>
          <cell r="DE48">
            <v>34.6</v>
          </cell>
          <cell r="DF48">
            <v>0</v>
          </cell>
          <cell r="DG48">
            <v>34.6</v>
          </cell>
          <cell r="DH48">
            <v>34.6</v>
          </cell>
          <cell r="DI48">
            <v>34.6</v>
          </cell>
        </row>
        <row r="49">
          <cell r="A49">
            <v>45147</v>
          </cell>
          <cell r="B49">
            <v>108.64</v>
          </cell>
          <cell r="C49">
            <v>108.64</v>
          </cell>
          <cell r="D49">
            <v>108.64</v>
          </cell>
          <cell r="E49">
            <v>108.64</v>
          </cell>
          <cell r="F49">
            <v>79.900000000000006</v>
          </cell>
          <cell r="G49">
            <v>79.900000000000006</v>
          </cell>
          <cell r="H49">
            <v>108.64</v>
          </cell>
          <cell r="I49">
            <v>108.64</v>
          </cell>
          <cell r="J49">
            <v>108.64</v>
          </cell>
          <cell r="K49">
            <v>108.64</v>
          </cell>
          <cell r="L49">
            <v>79.790000000000006</v>
          </cell>
          <cell r="M49">
            <v>79.790000000000006</v>
          </cell>
          <cell r="N49">
            <v>112.04</v>
          </cell>
          <cell r="O49">
            <v>112.04</v>
          </cell>
          <cell r="P49">
            <v>112.04</v>
          </cell>
          <cell r="Q49">
            <v>112.04</v>
          </cell>
          <cell r="R49">
            <v>113.88</v>
          </cell>
          <cell r="S49">
            <v>113.88</v>
          </cell>
          <cell r="T49">
            <v>112.04</v>
          </cell>
          <cell r="U49">
            <v>112.04</v>
          </cell>
          <cell r="V49">
            <v>112.04</v>
          </cell>
          <cell r="W49">
            <v>112.04</v>
          </cell>
          <cell r="X49">
            <v>113.9</v>
          </cell>
          <cell r="Y49">
            <v>113.9</v>
          </cell>
          <cell r="Z49">
            <v>124.58</v>
          </cell>
          <cell r="AA49">
            <v>124.58</v>
          </cell>
          <cell r="AB49">
            <v>124.58</v>
          </cell>
          <cell r="AC49">
            <v>124.58</v>
          </cell>
          <cell r="AD49">
            <v>96.64</v>
          </cell>
          <cell r="AE49">
            <v>96.64</v>
          </cell>
          <cell r="AF49">
            <v>124.58</v>
          </cell>
          <cell r="AG49">
            <v>124.58</v>
          </cell>
          <cell r="AH49">
            <v>124.58</v>
          </cell>
          <cell r="AI49">
            <v>124.58</v>
          </cell>
          <cell r="AJ49">
            <v>96.6</v>
          </cell>
          <cell r="AK49">
            <v>96.6</v>
          </cell>
          <cell r="AL49">
            <v>87.49</v>
          </cell>
          <cell r="AM49">
            <v>87.49</v>
          </cell>
          <cell r="AN49">
            <v>87.49</v>
          </cell>
          <cell r="AO49">
            <v>87.49</v>
          </cell>
          <cell r="AP49">
            <v>85.69</v>
          </cell>
          <cell r="AQ49">
            <v>85.69</v>
          </cell>
          <cell r="AR49">
            <v>87.49</v>
          </cell>
          <cell r="AS49">
            <v>87.49</v>
          </cell>
          <cell r="AT49">
            <v>87.49</v>
          </cell>
          <cell r="AU49">
            <v>87.49</v>
          </cell>
          <cell r="AV49">
            <v>85.710000000000008</v>
          </cell>
          <cell r="AW49">
            <v>85.710000000000008</v>
          </cell>
          <cell r="AX49">
            <v>0</v>
          </cell>
          <cell r="AY49">
            <v>0</v>
          </cell>
          <cell r="AZ49">
            <v>0</v>
          </cell>
          <cell r="BA49">
            <v>52.760000000000005</v>
          </cell>
          <cell r="BB49">
            <v>52.760000000000005</v>
          </cell>
          <cell r="BC49">
            <v>52.760000000000005</v>
          </cell>
          <cell r="BD49">
            <v>0</v>
          </cell>
          <cell r="BE49">
            <v>0</v>
          </cell>
          <cell r="BF49">
            <v>0</v>
          </cell>
          <cell r="BG49">
            <v>52.72</v>
          </cell>
          <cell r="BH49">
            <v>52.72</v>
          </cell>
          <cell r="BI49">
            <v>52.72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502.59999999999991</v>
          </cell>
          <cell r="BQ49">
            <v>444.21000000000015</v>
          </cell>
          <cell r="BR49">
            <v>401.37000000000012</v>
          </cell>
          <cell r="BS49">
            <v>444.21000000000015</v>
          </cell>
          <cell r="BT49">
            <v>444.21000000000026</v>
          </cell>
          <cell r="BU49">
            <v>401.37000000000023</v>
          </cell>
          <cell r="BV49">
            <v>401.37000000000023</v>
          </cell>
          <cell r="BW49">
            <v>752.89</v>
          </cell>
          <cell r="BX49">
            <v>586.86999999999978</v>
          </cell>
          <cell r="BY49">
            <v>497.40999999999997</v>
          </cell>
          <cell r="BZ49">
            <v>586.86999999999978</v>
          </cell>
          <cell r="CA49">
            <v>586.86999999999978</v>
          </cell>
          <cell r="CB49">
            <v>497.4100000000002</v>
          </cell>
          <cell r="CC49">
            <v>497.41000000000008</v>
          </cell>
          <cell r="CD49">
            <v>0</v>
          </cell>
          <cell r="CE49">
            <v>-13.28</v>
          </cell>
          <cell r="CF49">
            <v>-13.28</v>
          </cell>
          <cell r="CG49">
            <v>-13.28</v>
          </cell>
          <cell r="CH49">
            <v>0</v>
          </cell>
          <cell r="CI49">
            <v>-13.28</v>
          </cell>
          <cell r="CJ49">
            <v>-13.28</v>
          </cell>
          <cell r="CK49">
            <v>-13.28</v>
          </cell>
          <cell r="CL49">
            <v>0</v>
          </cell>
          <cell r="CM49">
            <v>22.82</v>
          </cell>
          <cell r="CN49">
            <v>22.82</v>
          </cell>
          <cell r="CO49">
            <v>22.82</v>
          </cell>
          <cell r="CP49">
            <v>0</v>
          </cell>
          <cell r="CQ49">
            <v>22.82</v>
          </cell>
          <cell r="CR49">
            <v>22.82</v>
          </cell>
          <cell r="CS49">
            <v>22.82</v>
          </cell>
          <cell r="CT49">
            <v>0</v>
          </cell>
          <cell r="CU49">
            <v>14.58</v>
          </cell>
          <cell r="CV49">
            <v>14.58</v>
          </cell>
          <cell r="CW49">
            <v>14.58</v>
          </cell>
          <cell r="CX49">
            <v>0</v>
          </cell>
          <cell r="CY49">
            <v>14.58</v>
          </cell>
          <cell r="CZ49">
            <v>14.58</v>
          </cell>
          <cell r="DA49">
            <v>14.58</v>
          </cell>
          <cell r="DB49">
            <v>0</v>
          </cell>
          <cell r="DC49">
            <v>22.26</v>
          </cell>
          <cell r="DD49">
            <v>22.26</v>
          </cell>
          <cell r="DE49">
            <v>22.26</v>
          </cell>
          <cell r="DF49">
            <v>0</v>
          </cell>
          <cell r="DG49">
            <v>22.26</v>
          </cell>
          <cell r="DH49">
            <v>22.26</v>
          </cell>
          <cell r="DI49">
            <v>22.26</v>
          </cell>
        </row>
        <row r="50">
          <cell r="A50">
            <v>45148</v>
          </cell>
          <cell r="B50">
            <v>263.26</v>
          </cell>
          <cell r="C50">
            <v>263.26</v>
          </cell>
          <cell r="D50">
            <v>263.26</v>
          </cell>
          <cell r="E50">
            <v>263.26</v>
          </cell>
          <cell r="F50">
            <v>156.67999999999998</v>
          </cell>
          <cell r="G50">
            <v>156.67999999999998</v>
          </cell>
          <cell r="H50">
            <v>263.26</v>
          </cell>
          <cell r="I50">
            <v>263.26</v>
          </cell>
          <cell r="J50">
            <v>263.26</v>
          </cell>
          <cell r="K50">
            <v>263.26</v>
          </cell>
          <cell r="L50">
            <v>156.38</v>
          </cell>
          <cell r="M50">
            <v>156.38</v>
          </cell>
          <cell r="N50">
            <v>321.48</v>
          </cell>
          <cell r="O50">
            <v>321.48</v>
          </cell>
          <cell r="P50">
            <v>321.48</v>
          </cell>
          <cell r="Q50">
            <v>321.48</v>
          </cell>
          <cell r="R50">
            <v>282.69</v>
          </cell>
          <cell r="S50">
            <v>282.69</v>
          </cell>
          <cell r="T50">
            <v>321.48</v>
          </cell>
          <cell r="U50">
            <v>321.48</v>
          </cell>
          <cell r="V50">
            <v>321.48</v>
          </cell>
          <cell r="W50">
            <v>321.48</v>
          </cell>
          <cell r="X50">
            <v>282.87</v>
          </cell>
          <cell r="Y50">
            <v>282.87</v>
          </cell>
          <cell r="Z50">
            <v>224.91</v>
          </cell>
          <cell r="AA50">
            <v>224.91</v>
          </cell>
          <cell r="AB50">
            <v>224.91</v>
          </cell>
          <cell r="AC50">
            <v>224.91</v>
          </cell>
          <cell r="AD50">
            <v>169.57</v>
          </cell>
          <cell r="AE50">
            <v>169.57</v>
          </cell>
          <cell r="AF50">
            <v>224.91</v>
          </cell>
          <cell r="AG50">
            <v>224.91</v>
          </cell>
          <cell r="AH50">
            <v>224.91</v>
          </cell>
          <cell r="AI50">
            <v>224.91</v>
          </cell>
          <cell r="AJ50">
            <v>169.51</v>
          </cell>
          <cell r="AK50">
            <v>169.51</v>
          </cell>
          <cell r="AL50">
            <v>107.71</v>
          </cell>
          <cell r="AM50">
            <v>107.71</v>
          </cell>
          <cell r="AN50">
            <v>107.71</v>
          </cell>
          <cell r="AO50">
            <v>107.71</v>
          </cell>
          <cell r="AP50">
            <v>138.01999999999998</v>
          </cell>
          <cell r="AQ50">
            <v>138.01999999999998</v>
          </cell>
          <cell r="AR50">
            <v>107.71</v>
          </cell>
          <cell r="AS50">
            <v>107.71</v>
          </cell>
          <cell r="AT50">
            <v>107.71</v>
          </cell>
          <cell r="AU50">
            <v>107.71</v>
          </cell>
          <cell r="AV50">
            <v>138</v>
          </cell>
          <cell r="AW50">
            <v>138</v>
          </cell>
          <cell r="AX50">
            <v>0</v>
          </cell>
          <cell r="AY50">
            <v>0</v>
          </cell>
          <cell r="AZ50">
            <v>0</v>
          </cell>
          <cell r="BA50">
            <v>80.73</v>
          </cell>
          <cell r="BB50">
            <v>80.73</v>
          </cell>
          <cell r="BC50">
            <v>80.73</v>
          </cell>
          <cell r="BD50">
            <v>0</v>
          </cell>
          <cell r="BE50">
            <v>0</v>
          </cell>
          <cell r="BF50">
            <v>0</v>
          </cell>
          <cell r="BG50">
            <v>80.710000000000008</v>
          </cell>
          <cell r="BH50">
            <v>80.710000000000008</v>
          </cell>
          <cell r="BI50">
            <v>80.710000000000008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338.61</v>
          </cell>
          <cell r="BQ50">
            <v>338.61</v>
          </cell>
          <cell r="BR50">
            <v>338.6099999999999</v>
          </cell>
          <cell r="BS50">
            <v>338.61</v>
          </cell>
          <cell r="BT50">
            <v>322.6600000000002</v>
          </cell>
          <cell r="BU50">
            <v>322.66000000000042</v>
          </cell>
          <cell r="BV50">
            <v>322.66000000000008</v>
          </cell>
          <cell r="BW50">
            <v>870.57999999999993</v>
          </cell>
          <cell r="BX50">
            <v>698.97999999999945</v>
          </cell>
          <cell r="BY50">
            <v>620.35999999999933</v>
          </cell>
          <cell r="BZ50">
            <v>698.97999999999945</v>
          </cell>
          <cell r="CA50">
            <v>673.72999999999968</v>
          </cell>
          <cell r="CB50">
            <v>595.10999999999956</v>
          </cell>
          <cell r="CC50">
            <v>595.10999999999956</v>
          </cell>
          <cell r="CD50">
            <v>15.95</v>
          </cell>
          <cell r="CE50">
            <v>-4.07</v>
          </cell>
          <cell r="CF50">
            <v>-4.07</v>
          </cell>
          <cell r="CG50">
            <v>-4.07</v>
          </cell>
          <cell r="CH50">
            <v>25.25</v>
          </cell>
          <cell r="CI50">
            <v>-4.07</v>
          </cell>
          <cell r="CJ50">
            <v>-4.07</v>
          </cell>
          <cell r="CK50">
            <v>-4.07</v>
          </cell>
          <cell r="CL50">
            <v>0</v>
          </cell>
          <cell r="CM50">
            <v>8.15</v>
          </cell>
          <cell r="CN50">
            <v>8.15</v>
          </cell>
          <cell r="CO50">
            <v>8.15</v>
          </cell>
          <cell r="CP50">
            <v>0</v>
          </cell>
          <cell r="CQ50">
            <v>8.15</v>
          </cell>
          <cell r="CR50">
            <v>8.15</v>
          </cell>
          <cell r="CS50">
            <v>8.15</v>
          </cell>
          <cell r="CT50">
            <v>0</v>
          </cell>
          <cell r="CU50">
            <v>11.13</v>
          </cell>
          <cell r="CV50">
            <v>11.13</v>
          </cell>
          <cell r="CW50">
            <v>11.13</v>
          </cell>
          <cell r="CX50">
            <v>0</v>
          </cell>
          <cell r="CY50">
            <v>11.13</v>
          </cell>
          <cell r="CZ50">
            <v>11.13</v>
          </cell>
          <cell r="DA50">
            <v>11.13</v>
          </cell>
          <cell r="DB50">
            <v>0</v>
          </cell>
          <cell r="DC50">
            <v>3.29</v>
          </cell>
          <cell r="DD50">
            <v>3.29</v>
          </cell>
          <cell r="DE50">
            <v>3.29</v>
          </cell>
          <cell r="DF50">
            <v>0</v>
          </cell>
          <cell r="DG50">
            <v>3.29</v>
          </cell>
          <cell r="DH50">
            <v>3.29</v>
          </cell>
          <cell r="DI50">
            <v>3.29</v>
          </cell>
        </row>
        <row r="51">
          <cell r="A51">
            <v>45149</v>
          </cell>
          <cell r="B51">
            <v>198.95</v>
          </cell>
          <cell r="C51">
            <v>198.95</v>
          </cell>
          <cell r="D51">
            <v>198.95</v>
          </cell>
          <cell r="E51">
            <v>198.95</v>
          </cell>
          <cell r="F51">
            <v>140.41999999999999</v>
          </cell>
          <cell r="G51">
            <v>140.41999999999999</v>
          </cell>
          <cell r="H51">
            <v>198.95</v>
          </cell>
          <cell r="I51">
            <v>198.95</v>
          </cell>
          <cell r="J51">
            <v>198.95</v>
          </cell>
          <cell r="K51">
            <v>198.95</v>
          </cell>
          <cell r="L51">
            <v>140.41999999999999</v>
          </cell>
          <cell r="M51">
            <v>140.41999999999999</v>
          </cell>
          <cell r="N51">
            <v>255.86</v>
          </cell>
          <cell r="O51">
            <v>255.86</v>
          </cell>
          <cell r="P51">
            <v>255.86</v>
          </cell>
          <cell r="Q51">
            <v>255.86</v>
          </cell>
          <cell r="R51">
            <v>239.71</v>
          </cell>
          <cell r="S51">
            <v>239.71</v>
          </cell>
          <cell r="T51">
            <v>255.86</v>
          </cell>
          <cell r="U51">
            <v>255.86</v>
          </cell>
          <cell r="V51">
            <v>255.86</v>
          </cell>
          <cell r="W51">
            <v>255.86</v>
          </cell>
          <cell r="X51">
            <v>239.71</v>
          </cell>
          <cell r="Y51">
            <v>239.71</v>
          </cell>
          <cell r="Z51">
            <v>243.26</v>
          </cell>
          <cell r="AA51">
            <v>243.26</v>
          </cell>
          <cell r="AB51">
            <v>243.26</v>
          </cell>
          <cell r="AC51">
            <v>243.26</v>
          </cell>
          <cell r="AD51">
            <v>181.93</v>
          </cell>
          <cell r="AE51">
            <v>181.93</v>
          </cell>
          <cell r="AF51">
            <v>243.26</v>
          </cell>
          <cell r="AG51">
            <v>243.26</v>
          </cell>
          <cell r="AH51">
            <v>243.26</v>
          </cell>
          <cell r="AI51">
            <v>243.26</v>
          </cell>
          <cell r="AJ51">
            <v>181.93</v>
          </cell>
          <cell r="AK51">
            <v>181.93</v>
          </cell>
          <cell r="AL51">
            <v>245.49</v>
          </cell>
          <cell r="AM51">
            <v>245.49</v>
          </cell>
          <cell r="AN51">
            <v>245.49</v>
          </cell>
          <cell r="AO51">
            <v>245.49</v>
          </cell>
          <cell r="AP51">
            <v>203.2</v>
          </cell>
          <cell r="AQ51">
            <v>203.2</v>
          </cell>
          <cell r="AR51">
            <v>245.49</v>
          </cell>
          <cell r="AS51">
            <v>245.49</v>
          </cell>
          <cell r="AT51">
            <v>245.49</v>
          </cell>
          <cell r="AU51">
            <v>245.49</v>
          </cell>
          <cell r="AV51">
            <v>203.2</v>
          </cell>
          <cell r="AW51">
            <v>203.2</v>
          </cell>
          <cell r="AX51">
            <v>0</v>
          </cell>
          <cell r="AY51">
            <v>0</v>
          </cell>
          <cell r="AZ51">
            <v>0</v>
          </cell>
          <cell r="BA51">
            <v>124.54</v>
          </cell>
          <cell r="BB51">
            <v>124.54</v>
          </cell>
          <cell r="BC51">
            <v>124.54</v>
          </cell>
          <cell r="BD51">
            <v>0</v>
          </cell>
          <cell r="BE51">
            <v>0</v>
          </cell>
          <cell r="BF51">
            <v>0</v>
          </cell>
          <cell r="BG51">
            <v>124.54</v>
          </cell>
          <cell r="BH51">
            <v>124.54</v>
          </cell>
          <cell r="BI51">
            <v>124.54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726.56999999999994</v>
          </cell>
          <cell r="BQ51">
            <v>523.03999999999974</v>
          </cell>
          <cell r="BR51">
            <v>471.96999999999969</v>
          </cell>
          <cell r="BS51">
            <v>523.03999999999974</v>
          </cell>
          <cell r="BT51">
            <v>456.35999999999979</v>
          </cell>
          <cell r="BU51">
            <v>405.28999999999996</v>
          </cell>
          <cell r="BV51">
            <v>405.28999999999974</v>
          </cell>
          <cell r="BW51">
            <v>965.63999999999976</v>
          </cell>
          <cell r="BX51">
            <v>764.08000000000061</v>
          </cell>
          <cell r="BY51">
            <v>697.00000000000057</v>
          </cell>
          <cell r="BZ51">
            <v>764.08000000000061</v>
          </cell>
          <cell r="CA51">
            <v>764.0800000000005</v>
          </cell>
          <cell r="CB51">
            <v>697.00000000000045</v>
          </cell>
          <cell r="CC51">
            <v>697.00000000000045</v>
          </cell>
          <cell r="CD51">
            <v>66.679999999999993</v>
          </cell>
          <cell r="CE51">
            <v>-3.61</v>
          </cell>
          <cell r="CF51">
            <v>-3.61</v>
          </cell>
          <cell r="CG51">
            <v>-3.61</v>
          </cell>
          <cell r="CH51">
            <v>0</v>
          </cell>
          <cell r="CI51">
            <v>-3.61</v>
          </cell>
          <cell r="CJ51">
            <v>-3.61</v>
          </cell>
          <cell r="CK51">
            <v>-3.61</v>
          </cell>
          <cell r="CL51">
            <v>0</v>
          </cell>
          <cell r="CM51">
            <v>25.61</v>
          </cell>
          <cell r="CN51">
            <v>25.61</v>
          </cell>
          <cell r="CO51">
            <v>25.61</v>
          </cell>
          <cell r="CP51">
            <v>0</v>
          </cell>
          <cell r="CQ51">
            <v>25.61</v>
          </cell>
          <cell r="CR51">
            <v>25.61</v>
          </cell>
          <cell r="CS51">
            <v>25.61</v>
          </cell>
          <cell r="CT51">
            <v>0</v>
          </cell>
          <cell r="CU51">
            <v>17.32</v>
          </cell>
          <cell r="CV51">
            <v>17.32</v>
          </cell>
          <cell r="CW51">
            <v>17.32</v>
          </cell>
          <cell r="CX51">
            <v>0</v>
          </cell>
          <cell r="CY51">
            <v>17.32</v>
          </cell>
          <cell r="CZ51">
            <v>17.32</v>
          </cell>
          <cell r="DA51">
            <v>17.32</v>
          </cell>
          <cell r="DB51">
            <v>0</v>
          </cell>
          <cell r="DC51">
            <v>23.3</v>
          </cell>
          <cell r="DD51">
            <v>23.3</v>
          </cell>
          <cell r="DE51">
            <v>23.3</v>
          </cell>
          <cell r="DF51">
            <v>0</v>
          </cell>
          <cell r="DG51">
            <v>23.3</v>
          </cell>
          <cell r="DH51">
            <v>23.3</v>
          </cell>
          <cell r="DI51">
            <v>23.3</v>
          </cell>
        </row>
        <row r="52">
          <cell r="A52">
            <v>45150</v>
          </cell>
          <cell r="B52">
            <v>204.51</v>
          </cell>
          <cell r="C52">
            <v>204.51</v>
          </cell>
          <cell r="D52">
            <v>204.51</v>
          </cell>
          <cell r="E52">
            <v>204.51</v>
          </cell>
          <cell r="F52">
            <v>106.63</v>
          </cell>
          <cell r="G52">
            <v>106.63</v>
          </cell>
          <cell r="H52">
            <v>204.51</v>
          </cell>
          <cell r="I52">
            <v>204.51</v>
          </cell>
          <cell r="J52">
            <v>204.51</v>
          </cell>
          <cell r="K52">
            <v>204.51</v>
          </cell>
          <cell r="L52">
            <v>140.41999999999999</v>
          </cell>
          <cell r="M52">
            <v>106.63</v>
          </cell>
          <cell r="N52">
            <v>141.65</v>
          </cell>
          <cell r="O52">
            <v>141.65</v>
          </cell>
          <cell r="P52">
            <v>141.65</v>
          </cell>
          <cell r="Q52">
            <v>141.65</v>
          </cell>
          <cell r="R52">
            <v>178.55</v>
          </cell>
          <cell r="S52">
            <v>178.55</v>
          </cell>
          <cell r="T52">
            <v>141.65</v>
          </cell>
          <cell r="U52">
            <v>141.65</v>
          </cell>
          <cell r="V52">
            <v>141.65</v>
          </cell>
          <cell r="W52">
            <v>141.65</v>
          </cell>
          <cell r="X52">
            <v>239.71</v>
          </cell>
          <cell r="Y52">
            <v>178.55</v>
          </cell>
          <cell r="Z52">
            <v>90.85</v>
          </cell>
          <cell r="AA52">
            <v>90.85</v>
          </cell>
          <cell r="AB52">
            <v>90.85</v>
          </cell>
          <cell r="AC52">
            <v>90.85</v>
          </cell>
          <cell r="AD52">
            <v>95.86</v>
          </cell>
          <cell r="AE52">
            <v>95.86</v>
          </cell>
          <cell r="AF52">
            <v>90.85</v>
          </cell>
          <cell r="AG52">
            <v>90.85</v>
          </cell>
          <cell r="AH52">
            <v>90.85</v>
          </cell>
          <cell r="AI52">
            <v>90.85</v>
          </cell>
          <cell r="AJ52">
            <v>181.93</v>
          </cell>
          <cell r="AK52">
            <v>95.86</v>
          </cell>
          <cell r="AL52">
            <v>90.85</v>
          </cell>
          <cell r="AM52">
            <v>90.85</v>
          </cell>
          <cell r="AN52">
            <v>90.85</v>
          </cell>
          <cell r="AO52">
            <v>90.85</v>
          </cell>
          <cell r="AP52">
            <v>103.5</v>
          </cell>
          <cell r="AQ52">
            <v>103.5</v>
          </cell>
          <cell r="AR52">
            <v>90.85</v>
          </cell>
          <cell r="AS52">
            <v>90.85</v>
          </cell>
          <cell r="AT52">
            <v>90.85</v>
          </cell>
          <cell r="AU52">
            <v>90.85</v>
          </cell>
          <cell r="AV52">
            <v>203.2</v>
          </cell>
          <cell r="AW52">
            <v>103.5</v>
          </cell>
          <cell r="AX52">
            <v>0</v>
          </cell>
          <cell r="AY52">
            <v>0</v>
          </cell>
          <cell r="AZ52">
            <v>0</v>
          </cell>
          <cell r="BA52">
            <v>85.41</v>
          </cell>
          <cell r="BB52">
            <v>85.41</v>
          </cell>
          <cell r="BC52">
            <v>85.41</v>
          </cell>
          <cell r="BD52">
            <v>0</v>
          </cell>
          <cell r="BE52">
            <v>0</v>
          </cell>
          <cell r="BF52">
            <v>0</v>
          </cell>
          <cell r="BG52">
            <v>85.41</v>
          </cell>
          <cell r="BH52">
            <v>124.54</v>
          </cell>
          <cell r="BI52">
            <v>85.41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339.32</v>
          </cell>
          <cell r="BQ52">
            <v>244.87000000000012</v>
          </cell>
          <cell r="BR52">
            <v>244.87000000000012</v>
          </cell>
          <cell r="BS52">
            <v>244.87000000000012</v>
          </cell>
          <cell r="BT52">
            <v>244.87000000000023</v>
          </cell>
          <cell r="BU52">
            <v>244.87000000000035</v>
          </cell>
          <cell r="BV52">
            <v>244.87000000000023</v>
          </cell>
          <cell r="BW52">
            <v>1113.4699999999998</v>
          </cell>
          <cell r="BX52">
            <v>967.07999999999981</v>
          </cell>
          <cell r="BY52">
            <v>697.00000000000057</v>
          </cell>
          <cell r="BZ52">
            <v>967.07999999999981</v>
          </cell>
          <cell r="CA52">
            <v>967.07999999999993</v>
          </cell>
          <cell r="CB52">
            <v>862.52999999999963</v>
          </cell>
          <cell r="CC52">
            <v>862.5299999999994</v>
          </cell>
          <cell r="CD52">
            <v>0</v>
          </cell>
          <cell r="CE52">
            <v>12.19</v>
          </cell>
          <cell r="CF52">
            <v>12.19</v>
          </cell>
          <cell r="CG52">
            <v>12.19</v>
          </cell>
          <cell r="CH52">
            <v>0</v>
          </cell>
          <cell r="CI52">
            <v>12.19</v>
          </cell>
          <cell r="CJ52">
            <v>12.19</v>
          </cell>
          <cell r="CK52">
            <v>12.19</v>
          </cell>
          <cell r="CL52">
            <v>0</v>
          </cell>
          <cell r="CM52">
            <v>23.48</v>
          </cell>
          <cell r="CN52">
            <v>23.48</v>
          </cell>
          <cell r="CO52">
            <v>23.48</v>
          </cell>
          <cell r="CP52">
            <v>0</v>
          </cell>
          <cell r="CQ52">
            <v>23.48</v>
          </cell>
          <cell r="CR52">
            <v>23.48</v>
          </cell>
          <cell r="CS52">
            <v>23.48</v>
          </cell>
          <cell r="CT52">
            <v>0</v>
          </cell>
          <cell r="CU52">
            <v>41.84</v>
          </cell>
          <cell r="CV52">
            <v>41.84</v>
          </cell>
          <cell r="CW52">
            <v>41.84</v>
          </cell>
          <cell r="CX52">
            <v>0</v>
          </cell>
          <cell r="CY52">
            <v>41.84</v>
          </cell>
          <cell r="CZ52">
            <v>41.84</v>
          </cell>
          <cell r="DA52">
            <v>41.84</v>
          </cell>
          <cell r="DB52">
            <v>0</v>
          </cell>
          <cell r="DC52">
            <v>54.9</v>
          </cell>
          <cell r="DD52">
            <v>54.9</v>
          </cell>
          <cell r="DE52">
            <v>54.9</v>
          </cell>
          <cell r="DF52">
            <v>0</v>
          </cell>
          <cell r="DG52">
            <v>54.9</v>
          </cell>
          <cell r="DH52">
            <v>54.9</v>
          </cell>
          <cell r="DI52">
            <v>54.9</v>
          </cell>
        </row>
        <row r="53">
          <cell r="A53">
            <v>45151</v>
          </cell>
          <cell r="B53">
            <v>190.12</v>
          </cell>
          <cell r="C53">
            <v>190.12</v>
          </cell>
          <cell r="D53">
            <v>190.12</v>
          </cell>
          <cell r="E53">
            <v>190.12</v>
          </cell>
          <cell r="F53">
            <v>123.51</v>
          </cell>
          <cell r="G53">
            <v>123.51</v>
          </cell>
          <cell r="H53">
            <v>190.12</v>
          </cell>
          <cell r="I53">
            <v>190.12</v>
          </cell>
          <cell r="J53">
            <v>190.12</v>
          </cell>
          <cell r="K53">
            <v>190.12</v>
          </cell>
          <cell r="L53">
            <v>123.31</v>
          </cell>
          <cell r="M53">
            <v>123.31</v>
          </cell>
          <cell r="N53">
            <v>216.93</v>
          </cell>
          <cell r="O53">
            <v>216.93</v>
          </cell>
          <cell r="P53">
            <v>216.93</v>
          </cell>
          <cell r="Q53">
            <v>216.93</v>
          </cell>
          <cell r="R53">
            <v>174.5</v>
          </cell>
          <cell r="S53">
            <v>174.5</v>
          </cell>
          <cell r="T53">
            <v>216.93</v>
          </cell>
          <cell r="U53">
            <v>216.93</v>
          </cell>
          <cell r="V53">
            <v>216.93</v>
          </cell>
          <cell r="W53">
            <v>216.93</v>
          </cell>
          <cell r="X53">
            <v>174.59</v>
          </cell>
          <cell r="Y53">
            <v>174.59</v>
          </cell>
          <cell r="Z53">
            <v>197.47</v>
          </cell>
          <cell r="AA53">
            <v>197.47</v>
          </cell>
          <cell r="AB53">
            <v>197.47</v>
          </cell>
          <cell r="AC53">
            <v>197.47</v>
          </cell>
          <cell r="AD53">
            <v>157.1</v>
          </cell>
          <cell r="AE53">
            <v>157.1</v>
          </cell>
          <cell r="AF53">
            <v>197.47</v>
          </cell>
          <cell r="AG53">
            <v>197.47</v>
          </cell>
          <cell r="AH53">
            <v>197.47</v>
          </cell>
          <cell r="AI53">
            <v>197.47</v>
          </cell>
          <cell r="AJ53">
            <v>157.05000000000001</v>
          </cell>
          <cell r="AK53">
            <v>157.05000000000001</v>
          </cell>
          <cell r="AL53">
            <v>164.15</v>
          </cell>
          <cell r="AM53">
            <v>164.15</v>
          </cell>
          <cell r="AN53">
            <v>164.15</v>
          </cell>
          <cell r="AO53">
            <v>164.15</v>
          </cell>
          <cell r="AP53">
            <v>173.03</v>
          </cell>
          <cell r="AQ53">
            <v>173.03</v>
          </cell>
          <cell r="AR53">
            <v>164.15</v>
          </cell>
          <cell r="AS53">
            <v>164.15</v>
          </cell>
          <cell r="AT53">
            <v>164.15</v>
          </cell>
          <cell r="AU53">
            <v>164.15</v>
          </cell>
          <cell r="AV53">
            <v>173.03</v>
          </cell>
          <cell r="AW53">
            <v>173.03</v>
          </cell>
          <cell r="AX53">
            <v>0</v>
          </cell>
          <cell r="AY53">
            <v>0</v>
          </cell>
          <cell r="AZ53">
            <v>0</v>
          </cell>
          <cell r="BA53">
            <v>159.49</v>
          </cell>
          <cell r="BB53">
            <v>159.49</v>
          </cell>
          <cell r="BC53">
            <v>159.49</v>
          </cell>
          <cell r="BD53">
            <v>0</v>
          </cell>
          <cell r="BE53">
            <v>0</v>
          </cell>
          <cell r="BF53">
            <v>0</v>
          </cell>
          <cell r="BG53">
            <v>159.41</v>
          </cell>
          <cell r="BH53">
            <v>159.41</v>
          </cell>
          <cell r="BI53">
            <v>159.41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432.34</v>
          </cell>
          <cell r="BQ53">
            <v>432.34000000000026</v>
          </cell>
          <cell r="BR53">
            <v>432.34000000000037</v>
          </cell>
          <cell r="BS53">
            <v>432.34000000000026</v>
          </cell>
          <cell r="BT53">
            <v>432.34000000000037</v>
          </cell>
          <cell r="BU53">
            <v>432.34000000000015</v>
          </cell>
          <cell r="BV53">
            <v>432.34000000000049</v>
          </cell>
          <cell r="BW53">
            <v>974.13</v>
          </cell>
          <cell r="BX53">
            <v>764.45000000000039</v>
          </cell>
          <cell r="BY53">
            <v>662.6600000000002</v>
          </cell>
          <cell r="BZ53">
            <v>740.22000000000037</v>
          </cell>
          <cell r="CA53">
            <v>740.22000000000048</v>
          </cell>
          <cell r="CB53">
            <v>638.43000000000029</v>
          </cell>
          <cell r="CC53">
            <v>638.43000000000029</v>
          </cell>
          <cell r="CD53">
            <v>0</v>
          </cell>
          <cell r="CE53">
            <v>26.3</v>
          </cell>
          <cell r="CF53">
            <v>26.3</v>
          </cell>
          <cell r="CG53">
            <v>26.3</v>
          </cell>
          <cell r="CH53">
            <v>0</v>
          </cell>
          <cell r="CI53">
            <v>26.3</v>
          </cell>
          <cell r="CJ53">
            <v>26.3</v>
          </cell>
          <cell r="CK53">
            <v>26.3</v>
          </cell>
          <cell r="CL53">
            <v>0</v>
          </cell>
          <cell r="CM53">
            <v>47.16</v>
          </cell>
          <cell r="CN53">
            <v>47.16</v>
          </cell>
          <cell r="CO53">
            <v>47.16</v>
          </cell>
          <cell r="CP53">
            <v>0</v>
          </cell>
          <cell r="CQ53">
            <v>47.16</v>
          </cell>
          <cell r="CR53">
            <v>47.16</v>
          </cell>
          <cell r="CS53">
            <v>47.16</v>
          </cell>
          <cell r="CT53">
            <v>0</v>
          </cell>
          <cell r="CU53">
            <v>32.950000000000003</v>
          </cell>
          <cell r="CV53">
            <v>32.950000000000003</v>
          </cell>
          <cell r="CW53">
            <v>32.950000000000003</v>
          </cell>
          <cell r="CX53">
            <v>0</v>
          </cell>
          <cell r="CY53">
            <v>32.950000000000003</v>
          </cell>
          <cell r="CZ53">
            <v>32.950000000000003</v>
          </cell>
          <cell r="DA53">
            <v>32.950000000000003</v>
          </cell>
          <cell r="DB53">
            <v>0</v>
          </cell>
          <cell r="DC53">
            <v>60.45</v>
          </cell>
          <cell r="DD53">
            <v>60.45</v>
          </cell>
          <cell r="DE53">
            <v>60.45</v>
          </cell>
          <cell r="DF53">
            <v>0</v>
          </cell>
          <cell r="DG53">
            <v>60.45</v>
          </cell>
          <cell r="DH53">
            <v>60.45</v>
          </cell>
          <cell r="DI53">
            <v>60.45</v>
          </cell>
        </row>
        <row r="54">
          <cell r="A54">
            <v>45152</v>
          </cell>
          <cell r="B54">
            <v>355.04</v>
          </cell>
          <cell r="C54">
            <v>355.04</v>
          </cell>
          <cell r="D54">
            <v>355.04</v>
          </cell>
          <cell r="E54">
            <v>355.04</v>
          </cell>
          <cell r="F54">
            <v>194.43</v>
          </cell>
          <cell r="G54">
            <v>194.43</v>
          </cell>
          <cell r="H54">
            <v>355.04</v>
          </cell>
          <cell r="I54">
            <v>355.04</v>
          </cell>
          <cell r="J54">
            <v>355.04</v>
          </cell>
          <cell r="K54">
            <v>355.04</v>
          </cell>
          <cell r="L54">
            <v>194.43</v>
          </cell>
          <cell r="M54">
            <v>194.43</v>
          </cell>
          <cell r="N54">
            <v>258.32</v>
          </cell>
          <cell r="O54">
            <v>258.32</v>
          </cell>
          <cell r="P54">
            <v>258.32</v>
          </cell>
          <cell r="Q54">
            <v>258.32</v>
          </cell>
          <cell r="R54">
            <v>229.96</v>
          </cell>
          <cell r="S54">
            <v>229.96</v>
          </cell>
          <cell r="T54">
            <v>258.32</v>
          </cell>
          <cell r="U54">
            <v>258.32</v>
          </cell>
          <cell r="V54">
            <v>258.32</v>
          </cell>
          <cell r="W54">
            <v>258.32</v>
          </cell>
          <cell r="X54">
            <v>229.96</v>
          </cell>
          <cell r="Y54">
            <v>229.96</v>
          </cell>
          <cell r="Z54">
            <v>147.15</v>
          </cell>
          <cell r="AA54">
            <v>147.15</v>
          </cell>
          <cell r="AB54">
            <v>147.15</v>
          </cell>
          <cell r="AC54">
            <v>147.15</v>
          </cell>
          <cell r="AD54">
            <v>122.3</v>
          </cell>
          <cell r="AE54">
            <v>122.3</v>
          </cell>
          <cell r="AF54">
            <v>147.15</v>
          </cell>
          <cell r="AG54">
            <v>147.15</v>
          </cell>
          <cell r="AH54">
            <v>147.15</v>
          </cell>
          <cell r="AI54">
            <v>147.15</v>
          </cell>
          <cell r="AJ54">
            <v>122.3</v>
          </cell>
          <cell r="AK54">
            <v>122.3</v>
          </cell>
          <cell r="AL54">
            <v>97.12</v>
          </cell>
          <cell r="AM54">
            <v>97.12</v>
          </cell>
          <cell r="AN54">
            <v>97.12</v>
          </cell>
          <cell r="AO54">
            <v>97.12</v>
          </cell>
          <cell r="AP54">
            <v>92.86</v>
          </cell>
          <cell r="AQ54">
            <v>92.86</v>
          </cell>
          <cell r="AR54">
            <v>97.12</v>
          </cell>
          <cell r="AS54">
            <v>97.12</v>
          </cell>
          <cell r="AT54">
            <v>97.12</v>
          </cell>
          <cell r="AU54">
            <v>97.12</v>
          </cell>
          <cell r="AV54">
            <v>92.86</v>
          </cell>
          <cell r="AW54">
            <v>92.86</v>
          </cell>
          <cell r="AX54">
            <v>0</v>
          </cell>
          <cell r="AY54">
            <v>0</v>
          </cell>
          <cell r="AZ54">
            <v>0</v>
          </cell>
          <cell r="BA54">
            <v>81.98</v>
          </cell>
          <cell r="BB54">
            <v>81.98</v>
          </cell>
          <cell r="BC54">
            <v>81.98</v>
          </cell>
          <cell r="BD54">
            <v>0</v>
          </cell>
          <cell r="BE54">
            <v>0</v>
          </cell>
          <cell r="BF54">
            <v>0</v>
          </cell>
          <cell r="BG54">
            <v>81.98</v>
          </cell>
          <cell r="BH54">
            <v>81.98</v>
          </cell>
          <cell r="BI54">
            <v>81.98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322.05999999999995</v>
          </cell>
          <cell r="BQ54">
            <v>290.4100000000002</v>
          </cell>
          <cell r="BR54">
            <v>290.41000000000008</v>
          </cell>
          <cell r="BS54">
            <v>290.4100000000002</v>
          </cell>
          <cell r="BT54">
            <v>290.41000000000008</v>
          </cell>
          <cell r="BU54">
            <v>290.41000000000031</v>
          </cell>
          <cell r="BV54">
            <v>290.41000000000008</v>
          </cell>
          <cell r="BW54">
            <v>567.62000000000012</v>
          </cell>
          <cell r="BX54">
            <v>442.11000000000047</v>
          </cell>
          <cell r="BY54">
            <v>384.96000000000015</v>
          </cell>
          <cell r="BZ54">
            <v>442.11000000000047</v>
          </cell>
          <cell r="CA54">
            <v>422.25000000000045</v>
          </cell>
          <cell r="CB54">
            <v>365.10000000000036</v>
          </cell>
          <cell r="CC54">
            <v>365.10000000000014</v>
          </cell>
          <cell r="CD54">
            <v>0</v>
          </cell>
          <cell r="CE54">
            <v>-5.9</v>
          </cell>
          <cell r="CF54">
            <v>-5.9</v>
          </cell>
          <cell r="CG54">
            <v>-5.9</v>
          </cell>
          <cell r="CH54">
            <v>19.86</v>
          </cell>
          <cell r="CI54">
            <v>-5.9</v>
          </cell>
          <cell r="CJ54">
            <v>-5.9</v>
          </cell>
          <cell r="CK54">
            <v>-5.9</v>
          </cell>
          <cell r="CL54">
            <v>0</v>
          </cell>
          <cell r="CM54">
            <v>22.22</v>
          </cell>
          <cell r="CN54">
            <v>22.22</v>
          </cell>
          <cell r="CO54">
            <v>22.22</v>
          </cell>
          <cell r="CP54">
            <v>0</v>
          </cell>
          <cell r="CQ54">
            <v>22.22</v>
          </cell>
          <cell r="CR54">
            <v>22.22</v>
          </cell>
          <cell r="CS54">
            <v>22.22</v>
          </cell>
          <cell r="CT54">
            <v>0</v>
          </cell>
          <cell r="CU54">
            <v>30.49</v>
          </cell>
          <cell r="CV54">
            <v>30.49</v>
          </cell>
          <cell r="CW54">
            <v>30.49</v>
          </cell>
          <cell r="CX54">
            <v>0</v>
          </cell>
          <cell r="CY54">
            <v>30.49</v>
          </cell>
          <cell r="CZ54">
            <v>30.49</v>
          </cell>
          <cell r="DA54">
            <v>30.49</v>
          </cell>
          <cell r="DB54">
            <v>0</v>
          </cell>
          <cell r="DC54">
            <v>27.01</v>
          </cell>
          <cell r="DD54">
            <v>27.01</v>
          </cell>
          <cell r="DE54">
            <v>27.01</v>
          </cell>
          <cell r="DF54">
            <v>0</v>
          </cell>
          <cell r="DG54">
            <v>27.01</v>
          </cell>
          <cell r="DH54">
            <v>27.01</v>
          </cell>
          <cell r="DI54">
            <v>27.01</v>
          </cell>
        </row>
        <row r="55">
          <cell r="A55">
            <v>45153</v>
          </cell>
          <cell r="B55">
            <v>425.2</v>
          </cell>
          <cell r="C55">
            <v>425.2</v>
          </cell>
          <cell r="D55">
            <v>425.2</v>
          </cell>
          <cell r="E55">
            <v>425.2</v>
          </cell>
          <cell r="F55">
            <v>288.43</v>
          </cell>
          <cell r="G55">
            <v>288.43</v>
          </cell>
          <cell r="H55">
            <v>425.2</v>
          </cell>
          <cell r="I55">
            <v>425.2</v>
          </cell>
          <cell r="J55">
            <v>425.2</v>
          </cell>
          <cell r="K55">
            <v>425.2</v>
          </cell>
          <cell r="L55">
            <v>288.43</v>
          </cell>
          <cell r="M55">
            <v>288.43</v>
          </cell>
          <cell r="N55">
            <v>265.07</v>
          </cell>
          <cell r="O55">
            <v>265.07</v>
          </cell>
          <cell r="P55">
            <v>265.07</v>
          </cell>
          <cell r="Q55">
            <v>265.07</v>
          </cell>
          <cell r="R55">
            <v>341.03</v>
          </cell>
          <cell r="S55">
            <v>341.03</v>
          </cell>
          <cell r="T55">
            <v>265.07</v>
          </cell>
          <cell r="U55">
            <v>265.07</v>
          </cell>
          <cell r="V55">
            <v>265.07</v>
          </cell>
          <cell r="W55">
            <v>265.07</v>
          </cell>
          <cell r="X55">
            <v>341.03</v>
          </cell>
          <cell r="Y55">
            <v>341.03</v>
          </cell>
          <cell r="Z55">
            <v>150.21</v>
          </cell>
          <cell r="AA55">
            <v>150.21</v>
          </cell>
          <cell r="AB55">
            <v>150.21</v>
          </cell>
          <cell r="AC55">
            <v>150.21</v>
          </cell>
          <cell r="AD55">
            <v>155.47000000000003</v>
          </cell>
          <cell r="AE55">
            <v>155.47000000000003</v>
          </cell>
          <cell r="AF55">
            <v>150.21</v>
          </cell>
          <cell r="AG55">
            <v>150.21</v>
          </cell>
          <cell r="AH55">
            <v>150.21</v>
          </cell>
          <cell r="AI55">
            <v>150.21</v>
          </cell>
          <cell r="AJ55">
            <v>155.47000000000003</v>
          </cell>
          <cell r="AK55">
            <v>155.47000000000003</v>
          </cell>
          <cell r="AL55">
            <v>114.47</v>
          </cell>
          <cell r="AM55">
            <v>114.47</v>
          </cell>
          <cell r="AN55">
            <v>114.47</v>
          </cell>
          <cell r="AO55">
            <v>114.47</v>
          </cell>
          <cell r="AP55">
            <v>129.72</v>
          </cell>
          <cell r="AQ55">
            <v>129.72</v>
          </cell>
          <cell r="AR55">
            <v>114.47</v>
          </cell>
          <cell r="AS55">
            <v>114.47</v>
          </cell>
          <cell r="AT55">
            <v>114.47</v>
          </cell>
          <cell r="AU55">
            <v>114.47</v>
          </cell>
          <cell r="AV55">
            <v>129.72</v>
          </cell>
          <cell r="AW55">
            <v>129.72</v>
          </cell>
          <cell r="AX55">
            <v>0</v>
          </cell>
          <cell r="AY55">
            <v>0</v>
          </cell>
          <cell r="AZ55">
            <v>0</v>
          </cell>
          <cell r="BA55">
            <v>88.12</v>
          </cell>
          <cell r="BB55">
            <v>88.12</v>
          </cell>
          <cell r="BC55">
            <v>88.12</v>
          </cell>
          <cell r="BD55">
            <v>0</v>
          </cell>
          <cell r="BE55">
            <v>0</v>
          </cell>
          <cell r="BF55">
            <v>0</v>
          </cell>
          <cell r="BG55">
            <v>88.12</v>
          </cell>
          <cell r="BH55">
            <v>88.12</v>
          </cell>
          <cell r="BI55">
            <v>88.12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537.31999999999994</v>
          </cell>
          <cell r="BQ55">
            <v>463.88000000000011</v>
          </cell>
          <cell r="BR55">
            <v>463.88</v>
          </cell>
          <cell r="BS55">
            <v>463.88000000000011</v>
          </cell>
          <cell r="BT55">
            <v>425.8900000000001</v>
          </cell>
          <cell r="BU55">
            <v>425.8900000000001</v>
          </cell>
          <cell r="BV55">
            <v>425.8900000000001</v>
          </cell>
          <cell r="BW55">
            <v>670.3</v>
          </cell>
          <cell r="BX55">
            <v>601.31999999999971</v>
          </cell>
          <cell r="BY55">
            <v>552.57999999999981</v>
          </cell>
          <cell r="BZ55">
            <v>601.31999999999971</v>
          </cell>
          <cell r="CA55">
            <v>572.59999999999968</v>
          </cell>
          <cell r="CB55">
            <v>523.85999999999967</v>
          </cell>
          <cell r="CC55">
            <v>523.8599999999999</v>
          </cell>
          <cell r="CD55">
            <v>37.99</v>
          </cell>
          <cell r="CE55">
            <v>21.27</v>
          </cell>
          <cell r="CF55">
            <v>21.27</v>
          </cell>
          <cell r="CG55">
            <v>21.27</v>
          </cell>
          <cell r="CH55">
            <v>28.72</v>
          </cell>
          <cell r="CI55">
            <v>21.27</v>
          </cell>
          <cell r="CJ55">
            <v>21.27</v>
          </cell>
          <cell r="CK55">
            <v>21.27</v>
          </cell>
          <cell r="CL55">
            <v>0</v>
          </cell>
          <cell r="CM55">
            <v>10.42</v>
          </cell>
          <cell r="CN55">
            <v>10.42</v>
          </cell>
          <cell r="CO55">
            <v>10.42</v>
          </cell>
          <cell r="CP55">
            <v>0</v>
          </cell>
          <cell r="CQ55">
            <v>10.42</v>
          </cell>
          <cell r="CR55">
            <v>10.42</v>
          </cell>
          <cell r="CS55">
            <v>10.42</v>
          </cell>
          <cell r="CT55">
            <v>0</v>
          </cell>
          <cell r="CU55">
            <v>20.52</v>
          </cell>
          <cell r="CV55">
            <v>20.52</v>
          </cell>
          <cell r="CW55">
            <v>20.52</v>
          </cell>
          <cell r="CX55">
            <v>0</v>
          </cell>
          <cell r="CY55">
            <v>20.52</v>
          </cell>
          <cell r="CZ55">
            <v>20.52</v>
          </cell>
          <cell r="DA55">
            <v>20.52</v>
          </cell>
          <cell r="DB55">
            <v>0</v>
          </cell>
          <cell r="DC55">
            <v>20.94</v>
          </cell>
          <cell r="DD55">
            <v>20.94</v>
          </cell>
          <cell r="DE55">
            <v>20.94</v>
          </cell>
          <cell r="DF55">
            <v>0</v>
          </cell>
          <cell r="DG55">
            <v>20.94</v>
          </cell>
          <cell r="DH55">
            <v>20.94</v>
          </cell>
          <cell r="DI55">
            <v>20.94</v>
          </cell>
        </row>
        <row r="56">
          <cell r="A56">
            <v>45154</v>
          </cell>
          <cell r="B56">
            <v>463.43</v>
          </cell>
          <cell r="C56">
            <v>463.43</v>
          </cell>
          <cell r="D56">
            <v>463.43</v>
          </cell>
          <cell r="E56">
            <v>463.43</v>
          </cell>
          <cell r="F56">
            <v>347.78</v>
          </cell>
          <cell r="G56">
            <v>347.78</v>
          </cell>
          <cell r="H56">
            <v>463.43</v>
          </cell>
          <cell r="I56">
            <v>463.43</v>
          </cell>
          <cell r="J56">
            <v>463.43</v>
          </cell>
          <cell r="K56">
            <v>463.43</v>
          </cell>
          <cell r="L56">
            <v>348.33</v>
          </cell>
          <cell r="M56">
            <v>348.33</v>
          </cell>
          <cell r="N56">
            <v>345.75</v>
          </cell>
          <cell r="O56">
            <v>345.75</v>
          </cell>
          <cell r="P56">
            <v>345.75</v>
          </cell>
          <cell r="Q56">
            <v>345.75</v>
          </cell>
          <cell r="R56">
            <v>406.46000000000004</v>
          </cell>
          <cell r="S56">
            <v>406.46000000000004</v>
          </cell>
          <cell r="T56">
            <v>345.75</v>
          </cell>
          <cell r="U56">
            <v>345.75</v>
          </cell>
          <cell r="V56">
            <v>345.75</v>
          </cell>
          <cell r="W56">
            <v>345.75</v>
          </cell>
          <cell r="X56">
            <v>406.1</v>
          </cell>
          <cell r="Y56">
            <v>406.1</v>
          </cell>
          <cell r="Z56">
            <v>227.51</v>
          </cell>
          <cell r="AA56">
            <v>227.51</v>
          </cell>
          <cell r="AB56">
            <v>227.51</v>
          </cell>
          <cell r="AC56">
            <v>227.51</v>
          </cell>
          <cell r="AD56">
            <v>207.01999999999998</v>
          </cell>
          <cell r="AE56">
            <v>207.01999999999998</v>
          </cell>
          <cell r="AF56">
            <v>227.51</v>
          </cell>
          <cell r="AG56">
            <v>227.51</v>
          </cell>
          <cell r="AH56">
            <v>227.51</v>
          </cell>
          <cell r="AI56">
            <v>227.51</v>
          </cell>
          <cell r="AJ56">
            <v>207.14</v>
          </cell>
          <cell r="AK56">
            <v>207.14</v>
          </cell>
          <cell r="AL56">
            <v>152.47999999999999</v>
          </cell>
          <cell r="AM56">
            <v>152.47999999999999</v>
          </cell>
          <cell r="AN56">
            <v>152.47999999999999</v>
          </cell>
          <cell r="AO56">
            <v>152.47999999999999</v>
          </cell>
          <cell r="AP56">
            <v>195.56</v>
          </cell>
          <cell r="AQ56">
            <v>195.56</v>
          </cell>
          <cell r="AR56">
            <v>152.47999999999999</v>
          </cell>
          <cell r="AS56">
            <v>152.47999999999999</v>
          </cell>
          <cell r="AT56">
            <v>152.47999999999999</v>
          </cell>
          <cell r="AU56">
            <v>152.47999999999999</v>
          </cell>
          <cell r="AV56">
            <v>195.57</v>
          </cell>
          <cell r="AW56">
            <v>195.57</v>
          </cell>
          <cell r="AX56">
            <v>0</v>
          </cell>
          <cell r="AY56">
            <v>0</v>
          </cell>
          <cell r="AZ56">
            <v>0</v>
          </cell>
          <cell r="BA56">
            <v>146.05000000000001</v>
          </cell>
          <cell r="BB56">
            <v>146.05000000000001</v>
          </cell>
          <cell r="BC56">
            <v>146.05000000000001</v>
          </cell>
          <cell r="BD56">
            <v>0</v>
          </cell>
          <cell r="BE56">
            <v>0</v>
          </cell>
          <cell r="BF56">
            <v>0</v>
          </cell>
          <cell r="BG56">
            <v>146.15</v>
          </cell>
          <cell r="BH56">
            <v>146.15</v>
          </cell>
          <cell r="BI56">
            <v>146.15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784.7</v>
          </cell>
          <cell r="BQ56">
            <v>617.86000000000035</v>
          </cell>
          <cell r="BR56">
            <v>601.19000000000028</v>
          </cell>
          <cell r="BS56">
            <v>617.86000000000035</v>
          </cell>
          <cell r="BT56">
            <v>572.3100000000004</v>
          </cell>
          <cell r="BU56">
            <v>555.64000000000055</v>
          </cell>
          <cell r="BV56">
            <v>555.64000000000033</v>
          </cell>
          <cell r="BW56">
            <v>1193.8300000000002</v>
          </cell>
          <cell r="BX56">
            <v>718.74999999999909</v>
          </cell>
          <cell r="BY56">
            <v>610.30999999999926</v>
          </cell>
          <cell r="BZ56">
            <v>718.74999999999909</v>
          </cell>
          <cell r="CA56">
            <v>661.44999999999914</v>
          </cell>
          <cell r="CB56">
            <v>553.00999999999931</v>
          </cell>
          <cell r="CC56">
            <v>553.00999999999931</v>
          </cell>
          <cell r="CD56">
            <v>45.55</v>
          </cell>
          <cell r="CE56">
            <v>14.18</v>
          </cell>
          <cell r="CF56">
            <v>14.18</v>
          </cell>
          <cell r="CG56">
            <v>14.18</v>
          </cell>
          <cell r="CH56">
            <v>57.3</v>
          </cell>
          <cell r="CI56">
            <v>14.18</v>
          </cell>
          <cell r="CJ56">
            <v>14.18</v>
          </cell>
          <cell r="CK56">
            <v>14.18</v>
          </cell>
          <cell r="CL56">
            <v>0</v>
          </cell>
          <cell r="CM56">
            <v>11.68</v>
          </cell>
          <cell r="CN56">
            <v>11.68</v>
          </cell>
          <cell r="CO56">
            <v>11.68</v>
          </cell>
          <cell r="CP56">
            <v>0</v>
          </cell>
          <cell r="CQ56">
            <v>11.68</v>
          </cell>
          <cell r="CR56">
            <v>11.68</v>
          </cell>
          <cell r="CS56">
            <v>11.68</v>
          </cell>
          <cell r="CT56">
            <v>0</v>
          </cell>
          <cell r="CU56">
            <v>29.04</v>
          </cell>
          <cell r="CV56">
            <v>29.04</v>
          </cell>
          <cell r="CW56">
            <v>29.04</v>
          </cell>
          <cell r="CX56">
            <v>0</v>
          </cell>
          <cell r="CY56">
            <v>29.04</v>
          </cell>
          <cell r="CZ56">
            <v>29.04</v>
          </cell>
          <cell r="DA56">
            <v>29.04</v>
          </cell>
          <cell r="DB56">
            <v>0</v>
          </cell>
          <cell r="DC56">
            <v>16.760000000000002</v>
          </cell>
          <cell r="DD56">
            <v>16.760000000000002</v>
          </cell>
          <cell r="DE56">
            <v>16.760000000000002</v>
          </cell>
          <cell r="DF56">
            <v>0</v>
          </cell>
          <cell r="DG56">
            <v>16.760000000000002</v>
          </cell>
          <cell r="DH56">
            <v>16.760000000000002</v>
          </cell>
          <cell r="DI56">
            <v>16.760000000000002</v>
          </cell>
        </row>
        <row r="57">
          <cell r="A57">
            <v>45155</v>
          </cell>
          <cell r="B57">
            <v>571.11</v>
          </cell>
          <cell r="C57">
            <v>571.11</v>
          </cell>
          <cell r="D57">
            <v>571.11</v>
          </cell>
          <cell r="E57">
            <v>571.11</v>
          </cell>
          <cell r="F57">
            <v>1120.54</v>
          </cell>
          <cell r="G57">
            <v>376.88</v>
          </cell>
          <cell r="H57">
            <v>571.11</v>
          </cell>
          <cell r="I57">
            <v>571.11</v>
          </cell>
          <cell r="J57">
            <v>571.11</v>
          </cell>
          <cell r="K57">
            <v>571.11</v>
          </cell>
          <cell r="L57">
            <v>376.28</v>
          </cell>
          <cell r="M57">
            <v>376.28</v>
          </cell>
          <cell r="N57">
            <v>339.96</v>
          </cell>
          <cell r="O57">
            <v>339.96</v>
          </cell>
          <cell r="P57">
            <v>339.96</v>
          </cell>
          <cell r="Q57">
            <v>339.96</v>
          </cell>
          <cell r="R57">
            <v>418.28</v>
          </cell>
          <cell r="S57">
            <v>418.28</v>
          </cell>
          <cell r="T57">
            <v>339.96</v>
          </cell>
          <cell r="U57">
            <v>339.96</v>
          </cell>
          <cell r="V57">
            <v>339.96</v>
          </cell>
          <cell r="W57">
            <v>339.96</v>
          </cell>
          <cell r="X57">
            <v>418.59</v>
          </cell>
          <cell r="Y57">
            <v>418.59</v>
          </cell>
          <cell r="Z57">
            <v>250.38</v>
          </cell>
          <cell r="AA57">
            <v>250.38</v>
          </cell>
          <cell r="AB57">
            <v>250.38</v>
          </cell>
          <cell r="AC57">
            <v>250.38</v>
          </cell>
          <cell r="AD57">
            <v>230.01</v>
          </cell>
          <cell r="AE57">
            <v>230.01</v>
          </cell>
          <cell r="AF57">
            <v>250.38</v>
          </cell>
          <cell r="AG57">
            <v>250.38</v>
          </cell>
          <cell r="AH57">
            <v>250.38</v>
          </cell>
          <cell r="AI57">
            <v>250.38</v>
          </cell>
          <cell r="AJ57">
            <v>229.82</v>
          </cell>
          <cell r="AK57">
            <v>229.82</v>
          </cell>
          <cell r="AL57">
            <v>164.8</v>
          </cell>
          <cell r="AM57">
            <v>164.8</v>
          </cell>
          <cell r="AN57">
            <v>164.8</v>
          </cell>
          <cell r="AO57">
            <v>164.8</v>
          </cell>
          <cell r="AP57">
            <v>180.72</v>
          </cell>
          <cell r="AQ57">
            <v>180.72</v>
          </cell>
          <cell r="AR57">
            <v>164.8</v>
          </cell>
          <cell r="AS57">
            <v>164.8</v>
          </cell>
          <cell r="AT57">
            <v>164.8</v>
          </cell>
          <cell r="AU57">
            <v>164.8</v>
          </cell>
          <cell r="AV57">
            <v>180.67000000000002</v>
          </cell>
          <cell r="AW57">
            <v>180.67000000000002</v>
          </cell>
          <cell r="AX57">
            <v>0</v>
          </cell>
          <cell r="AY57">
            <v>0</v>
          </cell>
          <cell r="AZ57">
            <v>0</v>
          </cell>
          <cell r="BA57" t="e">
            <v>#VALUE!</v>
          </cell>
          <cell r="BB57">
            <v>165.98000000000002</v>
          </cell>
          <cell r="BC57">
            <v>165.98000000000002</v>
          </cell>
          <cell r="BD57">
            <v>0</v>
          </cell>
          <cell r="BE57">
            <v>0</v>
          </cell>
          <cell r="BF57">
            <v>0</v>
          </cell>
          <cell r="BG57">
            <v>165.85000000000002</v>
          </cell>
          <cell r="BH57">
            <v>165.85000000000002</v>
          </cell>
          <cell r="BI57">
            <v>165.85000000000002</v>
          </cell>
          <cell r="BJ57" t="e">
            <v>#VALUE!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594.1</v>
          </cell>
          <cell r="BQ57">
            <v>569.5</v>
          </cell>
          <cell r="BR57">
            <v>197.61999999999989</v>
          </cell>
          <cell r="BS57">
            <v>569.5</v>
          </cell>
          <cell r="BT57">
            <v>616.94000000000028</v>
          </cell>
          <cell r="BU57">
            <v>554.16999999999985</v>
          </cell>
          <cell r="BV57">
            <v>616.94000000000005</v>
          </cell>
          <cell r="BW57">
            <v>1495.549999999999</v>
          </cell>
          <cell r="BX57">
            <v>1207.5999999999997</v>
          </cell>
          <cell r="BY57">
            <v>1108.8999999999996</v>
          </cell>
          <cell r="BZ57">
            <v>1207.5999999999997</v>
          </cell>
          <cell r="CA57">
            <v>1154.3599999999999</v>
          </cell>
          <cell r="CB57">
            <v>1055.6599999999999</v>
          </cell>
          <cell r="CC57">
            <v>1055.6599999999999</v>
          </cell>
          <cell r="CD57" t="e">
            <v>#VALUE!</v>
          </cell>
          <cell r="CE57" t="e">
            <v>#VALUE!</v>
          </cell>
          <cell r="CF57" t="e">
            <v>#VALUE!</v>
          </cell>
          <cell r="CG57">
            <v>21.85</v>
          </cell>
          <cell r="CH57">
            <v>53.24</v>
          </cell>
          <cell r="CI57">
            <v>21.85</v>
          </cell>
          <cell r="CJ57">
            <v>21.85</v>
          </cell>
          <cell r="CK57">
            <v>21.85</v>
          </cell>
          <cell r="CL57" t="e">
            <v>#VALUE!</v>
          </cell>
          <cell r="CM57" t="e">
            <v>#VALUE!</v>
          </cell>
          <cell r="CN57" t="e">
            <v>#VALUE!</v>
          </cell>
          <cell r="CO57">
            <v>40.92</v>
          </cell>
          <cell r="CP57">
            <v>0</v>
          </cell>
          <cell r="CQ57">
            <v>40.92</v>
          </cell>
          <cell r="CR57">
            <v>40.92</v>
          </cell>
          <cell r="CS57">
            <v>40.92</v>
          </cell>
          <cell r="CT57" t="e">
            <v>#VALUE!</v>
          </cell>
          <cell r="CU57" t="e">
            <v>#VALUE!</v>
          </cell>
          <cell r="CV57" t="e">
            <v>#VALUE!</v>
          </cell>
          <cell r="CW57">
            <v>59.64</v>
          </cell>
          <cell r="CX57">
            <v>0</v>
          </cell>
          <cell r="CY57">
            <v>59.64</v>
          </cell>
          <cell r="CZ57">
            <v>59.64</v>
          </cell>
          <cell r="DA57">
            <v>59.64</v>
          </cell>
          <cell r="DB57" t="e">
            <v>#VALUE!</v>
          </cell>
          <cell r="DC57" t="e">
            <v>#VALUE!</v>
          </cell>
          <cell r="DD57" t="e">
            <v>#VALUE!</v>
          </cell>
          <cell r="DE57">
            <v>37.65</v>
          </cell>
          <cell r="DF57">
            <v>0</v>
          </cell>
          <cell r="DG57">
            <v>37.65</v>
          </cell>
          <cell r="DH57">
            <v>37.65</v>
          </cell>
          <cell r="DI57">
            <v>37.65</v>
          </cell>
        </row>
        <row r="58">
          <cell r="A58">
            <v>45156</v>
          </cell>
          <cell r="B58">
            <v>692.52</v>
          </cell>
          <cell r="C58">
            <v>692.52</v>
          </cell>
          <cell r="D58">
            <v>692.52</v>
          </cell>
          <cell r="E58">
            <v>692.52</v>
          </cell>
          <cell r="F58">
            <v>608.52</v>
          </cell>
          <cell r="G58">
            <v>608.52</v>
          </cell>
          <cell r="H58">
            <v>692.52</v>
          </cell>
          <cell r="I58">
            <v>692.52</v>
          </cell>
          <cell r="J58">
            <v>692.52</v>
          </cell>
          <cell r="K58">
            <v>692.52</v>
          </cell>
          <cell r="L58">
            <v>659.28</v>
          </cell>
          <cell r="M58">
            <v>659.28</v>
          </cell>
          <cell r="N58">
            <v>733.45</v>
          </cell>
          <cell r="O58">
            <v>733.45</v>
          </cell>
          <cell r="P58">
            <v>733.45</v>
          </cell>
          <cell r="Q58">
            <v>733.45</v>
          </cell>
          <cell r="R58">
            <v>627.03</v>
          </cell>
          <cell r="S58">
            <v>627.03</v>
          </cell>
          <cell r="T58">
            <v>733.45</v>
          </cell>
          <cell r="U58">
            <v>733.45</v>
          </cell>
          <cell r="V58">
            <v>733.45</v>
          </cell>
          <cell r="W58">
            <v>733.45</v>
          </cell>
          <cell r="X58">
            <v>662.66</v>
          </cell>
          <cell r="Y58">
            <v>662.66</v>
          </cell>
          <cell r="Z58">
            <v>421.5</v>
          </cell>
          <cell r="AA58">
            <v>421.5</v>
          </cell>
          <cell r="AB58">
            <v>421.5</v>
          </cell>
          <cell r="AC58">
            <v>421.5</v>
          </cell>
          <cell r="AD58">
            <v>395.86</v>
          </cell>
          <cell r="AE58">
            <v>395.86</v>
          </cell>
          <cell r="AF58">
            <v>421.5</v>
          </cell>
          <cell r="AG58">
            <v>421.5</v>
          </cell>
          <cell r="AH58">
            <v>421.5</v>
          </cell>
          <cell r="AI58">
            <v>421.5</v>
          </cell>
          <cell r="AJ58">
            <v>399.72</v>
          </cell>
          <cell r="AK58">
            <v>399.72</v>
          </cell>
          <cell r="AL58">
            <v>323.48</v>
          </cell>
          <cell r="AM58">
            <v>323.48</v>
          </cell>
          <cell r="AN58">
            <v>323.48</v>
          </cell>
          <cell r="AO58">
            <v>323.48</v>
          </cell>
          <cell r="AP58">
            <v>289.43</v>
          </cell>
          <cell r="AQ58">
            <v>289.43</v>
          </cell>
          <cell r="AR58">
            <v>323.48</v>
          </cell>
          <cell r="AS58">
            <v>323.48</v>
          </cell>
          <cell r="AT58">
            <v>323.48</v>
          </cell>
          <cell r="AU58">
            <v>323.48</v>
          </cell>
          <cell r="AV58">
            <v>290.58999999999997</v>
          </cell>
          <cell r="AW58">
            <v>290.58999999999997</v>
          </cell>
          <cell r="AX58">
            <v>0</v>
          </cell>
          <cell r="AY58">
            <v>0</v>
          </cell>
          <cell r="AZ58">
            <v>0</v>
          </cell>
          <cell r="BA58">
            <v>215.8</v>
          </cell>
          <cell r="BB58">
            <v>215.8</v>
          </cell>
          <cell r="BC58">
            <v>215.8</v>
          </cell>
          <cell r="BD58">
            <v>0</v>
          </cell>
          <cell r="BE58">
            <v>0</v>
          </cell>
          <cell r="BF58">
            <v>0</v>
          </cell>
          <cell r="BG58">
            <v>218.01</v>
          </cell>
          <cell r="BH58">
            <v>218.01</v>
          </cell>
          <cell r="BI58">
            <v>218.01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848.93999999999994</v>
          </cell>
          <cell r="BQ58">
            <v>760.42000000000053</v>
          </cell>
          <cell r="BR58">
            <v>741.89000000000033</v>
          </cell>
          <cell r="BS58">
            <v>760.42000000000053</v>
          </cell>
          <cell r="BT58">
            <v>675.63000000000056</v>
          </cell>
          <cell r="BU58">
            <v>657.10000000000036</v>
          </cell>
          <cell r="BV58">
            <v>657.09999999999991</v>
          </cell>
          <cell r="BW58">
            <v>1629.9300000000005</v>
          </cell>
          <cell r="BX58">
            <v>1080.0400000000013</v>
          </cell>
          <cell r="BY58">
            <v>982.33000000000129</v>
          </cell>
          <cell r="BZ58">
            <v>1080.0400000000013</v>
          </cell>
          <cell r="CA58">
            <v>1066.3300000000013</v>
          </cell>
          <cell r="CB58">
            <v>968.62000000000126</v>
          </cell>
          <cell r="CC58">
            <v>968.62000000000126</v>
          </cell>
          <cell r="CD58">
            <v>84.789999999999992</v>
          </cell>
          <cell r="CE58">
            <v>41.28</v>
          </cell>
          <cell r="CF58">
            <v>41.28</v>
          </cell>
          <cell r="CG58">
            <v>41.28</v>
          </cell>
          <cell r="CH58">
            <v>13.71</v>
          </cell>
          <cell r="CI58">
            <v>41.28</v>
          </cell>
          <cell r="CJ58">
            <v>41.28</v>
          </cell>
          <cell r="CK58">
            <v>41.28</v>
          </cell>
          <cell r="CL58">
            <v>0</v>
          </cell>
          <cell r="CM58">
            <v>36.39</v>
          </cell>
          <cell r="CN58">
            <v>36.39</v>
          </cell>
          <cell r="CO58">
            <v>36.39</v>
          </cell>
          <cell r="CP58">
            <v>0</v>
          </cell>
          <cell r="CQ58">
            <v>36.39</v>
          </cell>
          <cell r="CR58">
            <v>36.39</v>
          </cell>
          <cell r="CS58">
            <v>36.39</v>
          </cell>
          <cell r="CT58">
            <v>0</v>
          </cell>
          <cell r="CU58">
            <v>54.41</v>
          </cell>
          <cell r="CV58">
            <v>54.41</v>
          </cell>
          <cell r="CW58">
            <v>54.41</v>
          </cell>
          <cell r="CX58">
            <v>0</v>
          </cell>
          <cell r="CY58">
            <v>54.41</v>
          </cell>
          <cell r="CZ58">
            <v>54.41</v>
          </cell>
          <cell r="DA58">
            <v>54.41</v>
          </cell>
          <cell r="DB58">
            <v>0</v>
          </cell>
          <cell r="DC58">
            <v>52.45</v>
          </cell>
          <cell r="DD58">
            <v>52.45</v>
          </cell>
          <cell r="DE58">
            <v>52.45</v>
          </cell>
          <cell r="DF58">
            <v>0</v>
          </cell>
          <cell r="DG58">
            <v>52.45</v>
          </cell>
          <cell r="DH58">
            <v>52.45</v>
          </cell>
          <cell r="DI58">
            <v>52.45</v>
          </cell>
        </row>
        <row r="59">
          <cell r="A59">
            <v>45157</v>
          </cell>
          <cell r="B59">
            <v>464.08</v>
          </cell>
          <cell r="C59">
            <v>464.08</v>
          </cell>
          <cell r="D59">
            <v>464.08</v>
          </cell>
          <cell r="E59">
            <v>464.08</v>
          </cell>
          <cell r="F59">
            <v>623.21999999999991</v>
          </cell>
          <cell r="G59">
            <v>623.21999999999991</v>
          </cell>
          <cell r="H59">
            <v>464.08</v>
          </cell>
          <cell r="I59">
            <v>464.08</v>
          </cell>
          <cell r="J59">
            <v>464.08</v>
          </cell>
          <cell r="K59">
            <v>464.08</v>
          </cell>
          <cell r="L59">
            <v>623.21999999999991</v>
          </cell>
          <cell r="M59">
            <v>623.21999999999991</v>
          </cell>
          <cell r="N59">
            <v>702.51</v>
          </cell>
          <cell r="O59">
            <v>702.51</v>
          </cell>
          <cell r="P59">
            <v>702.51</v>
          </cell>
          <cell r="Q59">
            <v>702.51</v>
          </cell>
          <cell r="R59">
            <v>684.53</v>
          </cell>
          <cell r="S59">
            <v>684.53</v>
          </cell>
          <cell r="T59">
            <v>702.51</v>
          </cell>
          <cell r="U59">
            <v>702.51</v>
          </cell>
          <cell r="V59">
            <v>702.51</v>
          </cell>
          <cell r="W59">
            <v>702.51</v>
          </cell>
          <cell r="X59">
            <v>684.53</v>
          </cell>
          <cell r="Y59">
            <v>684.53</v>
          </cell>
          <cell r="Z59">
            <v>433.25</v>
          </cell>
          <cell r="AA59">
            <v>433.25</v>
          </cell>
          <cell r="AB59">
            <v>433.25</v>
          </cell>
          <cell r="AC59">
            <v>433.25</v>
          </cell>
          <cell r="AD59">
            <v>377.9</v>
          </cell>
          <cell r="AE59">
            <v>377.9</v>
          </cell>
          <cell r="AF59">
            <v>433.25</v>
          </cell>
          <cell r="AG59">
            <v>433.25</v>
          </cell>
          <cell r="AH59">
            <v>433.25</v>
          </cell>
          <cell r="AI59">
            <v>433.25</v>
          </cell>
          <cell r="AJ59">
            <v>377.9</v>
          </cell>
          <cell r="AK59">
            <v>377.9</v>
          </cell>
          <cell r="AL59">
            <v>251.83</v>
          </cell>
          <cell r="AM59">
            <v>251.83</v>
          </cell>
          <cell r="AN59">
            <v>251.83</v>
          </cell>
          <cell r="AO59">
            <v>251.83</v>
          </cell>
          <cell r="AP59">
            <v>275.79000000000002</v>
          </cell>
          <cell r="AQ59">
            <v>275.79000000000002</v>
          </cell>
          <cell r="AR59">
            <v>251.83</v>
          </cell>
          <cell r="AS59">
            <v>251.83</v>
          </cell>
          <cell r="AT59">
            <v>251.83</v>
          </cell>
          <cell r="AU59">
            <v>251.83</v>
          </cell>
          <cell r="AV59">
            <v>275.79000000000002</v>
          </cell>
          <cell r="AW59">
            <v>275.79000000000002</v>
          </cell>
          <cell r="AX59">
            <v>0</v>
          </cell>
          <cell r="AY59">
            <v>0</v>
          </cell>
          <cell r="AZ59">
            <v>0</v>
          </cell>
          <cell r="BA59">
            <v>109.89</v>
          </cell>
          <cell r="BB59">
            <v>109.89</v>
          </cell>
          <cell r="BC59">
            <v>109.89</v>
          </cell>
          <cell r="BD59">
            <v>0</v>
          </cell>
          <cell r="BE59">
            <v>0</v>
          </cell>
          <cell r="BF59">
            <v>0</v>
          </cell>
          <cell r="BG59">
            <v>109.89</v>
          </cell>
          <cell r="BH59">
            <v>109.89</v>
          </cell>
          <cell r="BI59">
            <v>109.89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556.59000000000015</v>
          </cell>
          <cell r="BQ59">
            <v>556.58999999999946</v>
          </cell>
          <cell r="BR59">
            <v>556.58999999999878</v>
          </cell>
          <cell r="BS59">
            <v>556.58999999999946</v>
          </cell>
          <cell r="BT59">
            <v>507.77999999999929</v>
          </cell>
          <cell r="BU59">
            <v>507.77999999999884</v>
          </cell>
          <cell r="BV59">
            <v>507.77999999999884</v>
          </cell>
          <cell r="BW59">
            <v>1562.2699999999998</v>
          </cell>
          <cell r="BX59">
            <v>1086.9899999999986</v>
          </cell>
          <cell r="BY59">
            <v>972.42999999999847</v>
          </cell>
          <cell r="BZ59">
            <v>1086.9899999999986</v>
          </cell>
          <cell r="CA59">
            <v>982.89999999999827</v>
          </cell>
          <cell r="CB59">
            <v>868.33999999999833</v>
          </cell>
          <cell r="CC59">
            <v>868.33999999999833</v>
          </cell>
          <cell r="CD59">
            <v>48.81</v>
          </cell>
          <cell r="CE59">
            <v>74.06</v>
          </cell>
          <cell r="CF59">
            <v>74.06</v>
          </cell>
          <cell r="CG59">
            <v>74.06</v>
          </cell>
          <cell r="CH59">
            <v>104.09</v>
          </cell>
          <cell r="CI59">
            <v>74.06</v>
          </cell>
          <cell r="CJ59">
            <v>74.06</v>
          </cell>
          <cell r="CK59">
            <v>74.06</v>
          </cell>
          <cell r="CL59">
            <v>0</v>
          </cell>
          <cell r="CM59">
            <v>164.96</v>
          </cell>
          <cell r="CN59">
            <v>164.96</v>
          </cell>
          <cell r="CO59">
            <v>164.96</v>
          </cell>
          <cell r="CP59">
            <v>0</v>
          </cell>
          <cell r="CQ59">
            <v>164.96</v>
          </cell>
          <cell r="CR59">
            <v>164.96</v>
          </cell>
          <cell r="CS59">
            <v>164.96</v>
          </cell>
          <cell r="CT59">
            <v>0</v>
          </cell>
          <cell r="CU59">
            <v>171.19</v>
          </cell>
          <cell r="CV59">
            <v>171.19</v>
          </cell>
          <cell r="CW59">
            <v>171.19</v>
          </cell>
          <cell r="CX59">
            <v>0</v>
          </cell>
          <cell r="CY59">
            <v>171.19</v>
          </cell>
          <cell r="CZ59">
            <v>171.19</v>
          </cell>
          <cell r="DA59">
            <v>171.19</v>
          </cell>
          <cell r="DB59">
            <v>0</v>
          </cell>
          <cell r="DC59">
            <v>142.66</v>
          </cell>
          <cell r="DD59">
            <v>142.66</v>
          </cell>
          <cell r="DE59">
            <v>142.66</v>
          </cell>
          <cell r="DF59">
            <v>0</v>
          </cell>
          <cell r="DG59">
            <v>142.66</v>
          </cell>
          <cell r="DH59">
            <v>142.66</v>
          </cell>
          <cell r="DI59">
            <v>142.66</v>
          </cell>
        </row>
        <row r="60">
          <cell r="A60">
            <v>45158</v>
          </cell>
          <cell r="B60">
            <v>689.8</v>
          </cell>
          <cell r="C60">
            <v>689.8</v>
          </cell>
          <cell r="D60">
            <v>689.8</v>
          </cell>
          <cell r="E60">
            <v>689.8</v>
          </cell>
          <cell r="F60">
            <v>949.99</v>
          </cell>
          <cell r="G60">
            <v>949.99</v>
          </cell>
          <cell r="H60">
            <v>689.8</v>
          </cell>
          <cell r="I60">
            <v>689.8</v>
          </cell>
          <cell r="J60">
            <v>689.8</v>
          </cell>
          <cell r="K60">
            <v>689.8</v>
          </cell>
          <cell r="L60">
            <v>854.12</v>
          </cell>
          <cell r="M60">
            <v>854.12</v>
          </cell>
          <cell r="N60">
            <v>1036.21</v>
          </cell>
          <cell r="O60">
            <v>1036.21</v>
          </cell>
          <cell r="P60">
            <v>1036.21</v>
          </cell>
          <cell r="Q60">
            <v>1036.21</v>
          </cell>
          <cell r="R60">
            <v>940.97</v>
          </cell>
          <cell r="S60">
            <v>940.97</v>
          </cell>
          <cell r="T60">
            <v>1036.21</v>
          </cell>
          <cell r="U60">
            <v>1036.21</v>
          </cell>
          <cell r="V60">
            <v>1036.21</v>
          </cell>
          <cell r="W60">
            <v>1036.21</v>
          </cell>
          <cell r="X60">
            <v>904.23</v>
          </cell>
          <cell r="Y60">
            <v>904.23</v>
          </cell>
          <cell r="Z60">
            <v>618.12</v>
          </cell>
          <cell r="AA60">
            <v>618.12</v>
          </cell>
          <cell r="AB60">
            <v>618.12</v>
          </cell>
          <cell r="AC60">
            <v>618.12</v>
          </cell>
          <cell r="AD60">
            <v>503.68</v>
          </cell>
          <cell r="AE60">
            <v>503.68</v>
          </cell>
          <cell r="AF60">
            <v>618.12</v>
          </cell>
          <cell r="AG60">
            <v>618.12</v>
          </cell>
          <cell r="AH60">
            <v>618.12</v>
          </cell>
          <cell r="AI60">
            <v>618.12</v>
          </cell>
          <cell r="AJ60">
            <v>504.01</v>
          </cell>
          <cell r="AK60">
            <v>504.01</v>
          </cell>
          <cell r="AL60">
            <v>376.16</v>
          </cell>
          <cell r="AM60">
            <v>376.16</v>
          </cell>
          <cell r="AN60">
            <v>376.16</v>
          </cell>
          <cell r="AO60">
            <v>376.16</v>
          </cell>
          <cell r="AP60">
            <v>371.46000000000004</v>
          </cell>
          <cell r="AQ60">
            <v>371.46000000000004</v>
          </cell>
          <cell r="AR60">
            <v>376.16</v>
          </cell>
          <cell r="AS60">
            <v>376.16</v>
          </cell>
          <cell r="AT60">
            <v>376.16</v>
          </cell>
          <cell r="AU60">
            <v>376.16</v>
          </cell>
          <cell r="AV60">
            <v>376.9</v>
          </cell>
          <cell r="AW60">
            <v>376.9</v>
          </cell>
          <cell r="AX60">
            <v>0</v>
          </cell>
          <cell r="AY60">
            <v>0</v>
          </cell>
          <cell r="AZ60">
            <v>0</v>
          </cell>
          <cell r="BA60">
            <v>246.92000000000002</v>
          </cell>
          <cell r="BB60">
            <v>246.92000000000002</v>
          </cell>
          <cell r="BC60">
            <v>246.92000000000002</v>
          </cell>
          <cell r="BD60">
            <v>0</v>
          </cell>
          <cell r="BE60">
            <v>0</v>
          </cell>
          <cell r="BF60">
            <v>0</v>
          </cell>
          <cell r="BG60">
            <v>250.49</v>
          </cell>
          <cell r="BH60">
            <v>250.49</v>
          </cell>
          <cell r="BI60">
            <v>250.49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297.44000000000011</v>
          </cell>
          <cell r="BQ60">
            <v>241.3400000000006</v>
          </cell>
          <cell r="BR60">
            <v>216.38000000000056</v>
          </cell>
          <cell r="BS60">
            <v>241.3400000000006</v>
          </cell>
          <cell r="BT60">
            <v>241.34000000000015</v>
          </cell>
          <cell r="BU60">
            <v>216.38000000000011</v>
          </cell>
          <cell r="BV60">
            <v>216.38000000000011</v>
          </cell>
          <cell r="BW60">
            <v>2256.2000000000007</v>
          </cell>
          <cell r="BX60">
            <v>1246.920000000001</v>
          </cell>
          <cell r="BY60">
            <v>1140.9400000000014</v>
          </cell>
          <cell r="BZ60">
            <v>1246.920000000001</v>
          </cell>
          <cell r="CA60">
            <v>1169.1000000000008</v>
          </cell>
          <cell r="CB60">
            <v>1063.1200000000022</v>
          </cell>
          <cell r="CC60">
            <v>1063.1200000000017</v>
          </cell>
          <cell r="CD60">
            <v>0</v>
          </cell>
          <cell r="CE60">
            <v>93.89</v>
          </cell>
          <cell r="CF60">
            <v>93.89</v>
          </cell>
          <cell r="CG60">
            <v>93.89</v>
          </cell>
          <cell r="CH60">
            <v>77.819999999999993</v>
          </cell>
          <cell r="CI60">
            <v>93.89</v>
          </cell>
          <cell r="CJ60">
            <v>93.89</v>
          </cell>
          <cell r="CK60">
            <v>93.89</v>
          </cell>
          <cell r="CL60">
            <v>0</v>
          </cell>
          <cell r="CM60">
            <v>117.49</v>
          </cell>
          <cell r="CN60">
            <v>117.49</v>
          </cell>
          <cell r="CO60">
            <v>117.49</v>
          </cell>
          <cell r="CP60">
            <v>0</v>
          </cell>
          <cell r="CQ60">
            <v>117.49</v>
          </cell>
          <cell r="CR60">
            <v>117.49</v>
          </cell>
          <cell r="CS60">
            <v>117.49</v>
          </cell>
          <cell r="CT60">
            <v>0</v>
          </cell>
          <cell r="CU60">
            <v>190.77</v>
          </cell>
          <cell r="CV60">
            <v>190.77</v>
          </cell>
          <cell r="CW60">
            <v>190.77</v>
          </cell>
          <cell r="CX60">
            <v>0</v>
          </cell>
          <cell r="CY60">
            <v>190.77</v>
          </cell>
          <cell r="CZ60">
            <v>190.77</v>
          </cell>
          <cell r="DA60">
            <v>190.77</v>
          </cell>
          <cell r="DB60">
            <v>0</v>
          </cell>
          <cell r="DC60">
            <v>159.08000000000001</v>
          </cell>
          <cell r="DD60">
            <v>159.08000000000001</v>
          </cell>
          <cell r="DE60">
            <v>159.08000000000001</v>
          </cell>
          <cell r="DF60">
            <v>0</v>
          </cell>
          <cell r="DG60">
            <v>159.08000000000001</v>
          </cell>
          <cell r="DH60">
            <v>159.08000000000001</v>
          </cell>
          <cell r="DI60">
            <v>159.08000000000001</v>
          </cell>
        </row>
        <row r="61">
          <cell r="A61">
            <v>45159</v>
          </cell>
          <cell r="B61">
            <v>689.05</v>
          </cell>
          <cell r="C61">
            <v>689.05</v>
          </cell>
          <cell r="D61">
            <v>689.05</v>
          </cell>
          <cell r="E61">
            <v>689.05</v>
          </cell>
          <cell r="F61">
            <v>1002.69</v>
          </cell>
          <cell r="G61">
            <v>1002.69</v>
          </cell>
          <cell r="H61">
            <v>689.05</v>
          </cell>
          <cell r="I61">
            <v>689.05</v>
          </cell>
          <cell r="J61">
            <v>689.05</v>
          </cell>
          <cell r="K61">
            <v>689.05</v>
          </cell>
          <cell r="L61">
            <v>917.96</v>
          </cell>
          <cell r="M61">
            <v>917.96</v>
          </cell>
          <cell r="N61">
            <v>1534.31</v>
          </cell>
          <cell r="O61">
            <v>1534.31</v>
          </cell>
          <cell r="P61">
            <v>1534.31</v>
          </cell>
          <cell r="Q61">
            <v>1534.31</v>
          </cell>
          <cell r="R61">
            <v>1196.68</v>
          </cell>
          <cell r="S61">
            <v>1196.68</v>
          </cell>
          <cell r="T61">
            <v>1534.31</v>
          </cell>
          <cell r="U61">
            <v>1534.31</v>
          </cell>
          <cell r="V61">
            <v>1534.31</v>
          </cell>
          <cell r="W61">
            <v>1534.31</v>
          </cell>
          <cell r="X61">
            <v>1187.7</v>
          </cell>
          <cell r="Y61">
            <v>1187.7</v>
          </cell>
          <cell r="Z61">
            <v>755.37</v>
          </cell>
          <cell r="AA61">
            <v>755.37</v>
          </cell>
          <cell r="AB61">
            <v>755.37</v>
          </cell>
          <cell r="AC61">
            <v>755.37</v>
          </cell>
          <cell r="AD61">
            <v>692.23</v>
          </cell>
          <cell r="AE61">
            <v>692.23</v>
          </cell>
          <cell r="AF61">
            <v>755.37</v>
          </cell>
          <cell r="AG61">
            <v>755.37</v>
          </cell>
          <cell r="AH61">
            <v>755.37</v>
          </cell>
          <cell r="AI61">
            <v>755.37</v>
          </cell>
          <cell r="AJ61">
            <v>694.24</v>
          </cell>
          <cell r="AK61">
            <v>694.24</v>
          </cell>
          <cell r="AL61">
            <v>555.39</v>
          </cell>
          <cell r="AM61">
            <v>555.39</v>
          </cell>
          <cell r="AN61">
            <v>555.39</v>
          </cell>
          <cell r="AO61">
            <v>555.39</v>
          </cell>
          <cell r="AP61">
            <v>502.15</v>
          </cell>
          <cell r="AQ61">
            <v>502.15</v>
          </cell>
          <cell r="AR61">
            <v>555.39</v>
          </cell>
          <cell r="AS61">
            <v>555.39</v>
          </cell>
          <cell r="AT61">
            <v>555.39</v>
          </cell>
          <cell r="AU61">
            <v>555.39</v>
          </cell>
          <cell r="AV61">
            <v>515.14</v>
          </cell>
          <cell r="AW61">
            <v>515.14</v>
          </cell>
          <cell r="AX61">
            <v>0</v>
          </cell>
          <cell r="AY61">
            <v>0</v>
          </cell>
          <cell r="AZ61">
            <v>0</v>
          </cell>
          <cell r="BA61">
            <v>257.16999999999996</v>
          </cell>
          <cell r="BB61">
            <v>257.16999999999996</v>
          </cell>
          <cell r="BC61">
            <v>257.16999999999996</v>
          </cell>
          <cell r="BD61">
            <v>0</v>
          </cell>
          <cell r="BE61">
            <v>0</v>
          </cell>
          <cell r="BF61">
            <v>0</v>
          </cell>
          <cell r="BG61">
            <v>268.5</v>
          </cell>
          <cell r="BH61">
            <v>268.5</v>
          </cell>
          <cell r="BI61">
            <v>268.5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1292.2900000000002</v>
          </cell>
          <cell r="BQ61">
            <v>1085.0599999999972</v>
          </cell>
          <cell r="BR61">
            <v>974.26999999999725</v>
          </cell>
          <cell r="BS61">
            <v>1085.0599999999972</v>
          </cell>
          <cell r="BT61">
            <v>1044.3899999999985</v>
          </cell>
          <cell r="BU61">
            <v>933.59999999999945</v>
          </cell>
          <cell r="BV61">
            <v>933.59999999999854</v>
          </cell>
          <cell r="BW61">
            <v>2301.2999999999988</v>
          </cell>
          <cell r="BX61">
            <v>1805.8199999999993</v>
          </cell>
          <cell r="BY61">
            <v>1583.0399999999986</v>
          </cell>
          <cell r="BZ61">
            <v>1805.8199999999993</v>
          </cell>
          <cell r="CA61">
            <v>1743.1800000000003</v>
          </cell>
          <cell r="CB61">
            <v>1520.4000000000015</v>
          </cell>
          <cell r="CC61">
            <v>1520.3999999999996</v>
          </cell>
          <cell r="CD61">
            <v>40.67</v>
          </cell>
          <cell r="CE61">
            <v>89.39</v>
          </cell>
          <cell r="CF61">
            <v>89.39</v>
          </cell>
          <cell r="CG61">
            <v>89.39</v>
          </cell>
          <cell r="CH61">
            <v>62.64</v>
          </cell>
          <cell r="CI61">
            <v>89.39</v>
          </cell>
          <cell r="CJ61">
            <v>89.39</v>
          </cell>
          <cell r="CK61">
            <v>89.39</v>
          </cell>
          <cell r="CL61">
            <v>0</v>
          </cell>
          <cell r="CM61">
            <v>148.83000000000001</v>
          </cell>
          <cell r="CN61">
            <v>148.83000000000001</v>
          </cell>
          <cell r="CO61">
            <v>148.83000000000001</v>
          </cell>
          <cell r="CP61">
            <v>0</v>
          </cell>
          <cell r="CQ61">
            <v>148.83000000000001</v>
          </cell>
          <cell r="CR61">
            <v>148.83000000000001</v>
          </cell>
          <cell r="CS61">
            <v>148.83000000000001</v>
          </cell>
          <cell r="CT61">
            <v>0</v>
          </cell>
          <cell r="CU61">
            <v>247.31</v>
          </cell>
          <cell r="CV61">
            <v>247.31</v>
          </cell>
          <cell r="CW61">
            <v>247.31</v>
          </cell>
          <cell r="CX61">
            <v>0</v>
          </cell>
          <cell r="CY61">
            <v>247.31</v>
          </cell>
          <cell r="CZ61">
            <v>247.31</v>
          </cell>
          <cell r="DA61">
            <v>247.31</v>
          </cell>
          <cell r="DB61">
            <v>0</v>
          </cell>
          <cell r="DC61">
            <v>131.52000000000001</v>
          </cell>
          <cell r="DD61">
            <v>131.52000000000001</v>
          </cell>
          <cell r="DE61">
            <v>131.52000000000001</v>
          </cell>
          <cell r="DF61">
            <v>0</v>
          </cell>
          <cell r="DG61">
            <v>131.52000000000001</v>
          </cell>
          <cell r="DH61">
            <v>131.52000000000001</v>
          </cell>
          <cell r="DI61">
            <v>131.52000000000001</v>
          </cell>
        </row>
        <row r="62">
          <cell r="A62">
            <v>45160</v>
          </cell>
          <cell r="B62">
            <v>1221.28</v>
          </cell>
          <cell r="C62">
            <v>1221.28</v>
          </cell>
          <cell r="D62">
            <v>1221.28</v>
          </cell>
          <cell r="E62">
            <v>1221.28</v>
          </cell>
          <cell r="F62">
            <v>1430.9199999999998</v>
          </cell>
          <cell r="G62">
            <v>1430.9199999999998</v>
          </cell>
          <cell r="H62">
            <v>1221.28</v>
          </cell>
          <cell r="I62">
            <v>1221.28</v>
          </cell>
          <cell r="J62">
            <v>1221.28</v>
          </cell>
          <cell r="K62">
            <v>1221.28</v>
          </cell>
          <cell r="L62">
            <v>1430.03</v>
          </cell>
          <cell r="M62">
            <v>1430.03</v>
          </cell>
          <cell r="N62">
            <v>2082.11</v>
          </cell>
          <cell r="O62">
            <v>2082.11</v>
          </cell>
          <cell r="P62">
            <v>2082.11</v>
          </cell>
          <cell r="Q62">
            <v>2082.11</v>
          </cell>
          <cell r="R62">
            <v>1692.2</v>
          </cell>
          <cell r="S62">
            <v>1692.2</v>
          </cell>
          <cell r="T62">
            <v>2082.11</v>
          </cell>
          <cell r="U62">
            <v>2082.11</v>
          </cell>
          <cell r="V62">
            <v>2082.11</v>
          </cell>
          <cell r="W62">
            <v>2082.11</v>
          </cell>
          <cell r="X62">
            <v>1691.95</v>
          </cell>
          <cell r="Y62">
            <v>1691.95</v>
          </cell>
          <cell r="Z62">
            <v>1395.98</v>
          </cell>
          <cell r="AA62">
            <v>1395.98</v>
          </cell>
          <cell r="AB62">
            <v>1395.98</v>
          </cell>
          <cell r="AC62">
            <v>1395.98</v>
          </cell>
          <cell r="AD62">
            <v>1040.47</v>
          </cell>
          <cell r="AE62">
            <v>1040.47</v>
          </cell>
          <cell r="AF62">
            <v>1395.98</v>
          </cell>
          <cell r="AG62">
            <v>1395.98</v>
          </cell>
          <cell r="AH62">
            <v>1395.98</v>
          </cell>
          <cell r="AI62">
            <v>1395.98</v>
          </cell>
          <cell r="AJ62">
            <v>1040.3900000000001</v>
          </cell>
          <cell r="AK62">
            <v>1040.3900000000001</v>
          </cell>
          <cell r="AL62">
            <v>840.77</v>
          </cell>
          <cell r="AM62">
            <v>840.77</v>
          </cell>
          <cell r="AN62">
            <v>840.77</v>
          </cell>
          <cell r="AO62">
            <v>840.77</v>
          </cell>
          <cell r="AP62">
            <v>737.43000000000006</v>
          </cell>
          <cell r="AQ62">
            <v>737.43000000000006</v>
          </cell>
          <cell r="AR62">
            <v>840.77</v>
          </cell>
          <cell r="AS62">
            <v>840.77</v>
          </cell>
          <cell r="AT62">
            <v>840.77</v>
          </cell>
          <cell r="AU62">
            <v>840.77</v>
          </cell>
          <cell r="AV62">
            <v>737.92</v>
          </cell>
          <cell r="AW62">
            <v>737.92</v>
          </cell>
          <cell r="AX62">
            <v>0</v>
          </cell>
          <cell r="AY62">
            <v>0</v>
          </cell>
          <cell r="AZ62">
            <v>0</v>
          </cell>
          <cell r="BA62">
            <v>537.35</v>
          </cell>
          <cell r="BB62">
            <v>537.35</v>
          </cell>
          <cell r="BC62">
            <v>537.35</v>
          </cell>
          <cell r="BD62">
            <v>0</v>
          </cell>
          <cell r="BE62">
            <v>0</v>
          </cell>
          <cell r="BF62">
            <v>0</v>
          </cell>
          <cell r="BG62">
            <v>537.49</v>
          </cell>
          <cell r="BH62">
            <v>537.49</v>
          </cell>
          <cell r="BI62">
            <v>537.49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2073.2500000000005</v>
          </cell>
          <cell r="BQ62">
            <v>1512.9400000000023</v>
          </cell>
          <cell r="BR62">
            <v>1424.9100000000017</v>
          </cell>
          <cell r="BS62">
            <v>1512.9400000000023</v>
          </cell>
          <cell r="BT62">
            <v>1416.9600000000019</v>
          </cell>
          <cell r="BU62">
            <v>1328.9300000000012</v>
          </cell>
          <cell r="BV62">
            <v>1328.9300000000012</v>
          </cell>
          <cell r="BW62">
            <v>3379.0899999999988</v>
          </cell>
          <cell r="BX62">
            <v>2296.1400000000021</v>
          </cell>
          <cell r="BY62">
            <v>1873.5600000000022</v>
          </cell>
          <cell r="BZ62">
            <v>2296.1400000000021</v>
          </cell>
          <cell r="CA62">
            <v>2212.3200000000024</v>
          </cell>
          <cell r="CB62">
            <v>1789.7400000000025</v>
          </cell>
          <cell r="CC62">
            <v>1789.7400000000025</v>
          </cell>
          <cell r="CD62">
            <v>95.98</v>
          </cell>
          <cell r="CE62">
            <v>112.81</v>
          </cell>
          <cell r="CF62">
            <v>112.81</v>
          </cell>
          <cell r="CG62">
            <v>112.81</v>
          </cell>
          <cell r="CH62">
            <v>83.82</v>
          </cell>
          <cell r="CI62">
            <v>112.81</v>
          </cell>
          <cell r="CJ62">
            <v>112.81</v>
          </cell>
          <cell r="CK62">
            <v>112.81</v>
          </cell>
          <cell r="CL62">
            <v>0</v>
          </cell>
          <cell r="CM62">
            <v>237.17</v>
          </cell>
          <cell r="CN62">
            <v>237.17</v>
          </cell>
          <cell r="CO62">
            <v>237.17</v>
          </cell>
          <cell r="CP62">
            <v>0</v>
          </cell>
          <cell r="CQ62">
            <v>237.17</v>
          </cell>
          <cell r="CR62">
            <v>237.17</v>
          </cell>
          <cell r="CS62">
            <v>237.17</v>
          </cell>
          <cell r="CT62">
            <v>0</v>
          </cell>
          <cell r="CU62">
            <v>263.94</v>
          </cell>
          <cell r="CV62">
            <v>263.94</v>
          </cell>
          <cell r="CW62">
            <v>263.94</v>
          </cell>
          <cell r="CX62">
            <v>0</v>
          </cell>
          <cell r="CY62">
            <v>263.94</v>
          </cell>
          <cell r="CZ62">
            <v>263.94</v>
          </cell>
          <cell r="DA62">
            <v>263.94</v>
          </cell>
          <cell r="DB62">
            <v>0</v>
          </cell>
          <cell r="DC62">
            <v>255.71</v>
          </cell>
          <cell r="DD62">
            <v>255.71</v>
          </cell>
          <cell r="DE62">
            <v>255.71</v>
          </cell>
          <cell r="DF62">
            <v>0</v>
          </cell>
          <cell r="DG62">
            <v>255.71</v>
          </cell>
          <cell r="DH62">
            <v>255.71</v>
          </cell>
          <cell r="DI62">
            <v>255.71</v>
          </cell>
        </row>
        <row r="63">
          <cell r="A63">
            <v>45161</v>
          </cell>
          <cell r="B63">
            <v>1571.89</v>
          </cell>
          <cell r="C63">
            <v>1571.89</v>
          </cell>
          <cell r="D63">
            <v>1571.89</v>
          </cell>
          <cell r="E63">
            <v>1571.89</v>
          </cell>
          <cell r="F63">
            <v>1588.63</v>
          </cell>
          <cell r="G63">
            <v>1588.63</v>
          </cell>
          <cell r="H63">
            <v>1571.89</v>
          </cell>
          <cell r="I63">
            <v>1571.89</v>
          </cell>
          <cell r="J63">
            <v>1571.89</v>
          </cell>
          <cell r="K63">
            <v>1571.89</v>
          </cell>
          <cell r="L63">
            <v>1594.95</v>
          </cell>
          <cell r="M63">
            <v>1594.95</v>
          </cell>
          <cell r="N63">
            <v>1893.78</v>
          </cell>
          <cell r="O63">
            <v>1893.78</v>
          </cell>
          <cell r="P63">
            <v>1893.78</v>
          </cell>
          <cell r="Q63">
            <v>1893.78</v>
          </cell>
          <cell r="R63">
            <v>1625.98</v>
          </cell>
          <cell r="S63">
            <v>1625.98</v>
          </cell>
          <cell r="T63">
            <v>1893.78</v>
          </cell>
          <cell r="U63">
            <v>1893.78</v>
          </cell>
          <cell r="V63">
            <v>1893.78</v>
          </cell>
          <cell r="W63">
            <v>1893.78</v>
          </cell>
          <cell r="X63">
            <v>1625.98</v>
          </cell>
          <cell r="Y63">
            <v>1625.98</v>
          </cell>
          <cell r="Z63">
            <v>951</v>
          </cell>
          <cell r="AA63">
            <v>951</v>
          </cell>
          <cell r="AB63">
            <v>951</v>
          </cell>
          <cell r="AC63">
            <v>951</v>
          </cell>
          <cell r="AD63">
            <v>777.44</v>
          </cell>
          <cell r="AE63">
            <v>777.44</v>
          </cell>
          <cell r="AF63">
            <v>951</v>
          </cell>
          <cell r="AG63">
            <v>951</v>
          </cell>
          <cell r="AH63">
            <v>951</v>
          </cell>
          <cell r="AI63">
            <v>951</v>
          </cell>
          <cell r="AJ63">
            <v>777.44</v>
          </cell>
          <cell r="AK63">
            <v>777.44</v>
          </cell>
          <cell r="AL63">
            <v>559</v>
          </cell>
          <cell r="AM63">
            <v>559</v>
          </cell>
          <cell r="AN63">
            <v>559</v>
          </cell>
          <cell r="AO63">
            <v>559</v>
          </cell>
          <cell r="AP63">
            <v>568.96</v>
          </cell>
          <cell r="AQ63">
            <v>568.96</v>
          </cell>
          <cell r="AR63">
            <v>559</v>
          </cell>
          <cell r="AS63">
            <v>559</v>
          </cell>
          <cell r="AT63">
            <v>559</v>
          </cell>
          <cell r="AU63">
            <v>559</v>
          </cell>
          <cell r="AV63">
            <v>568.96</v>
          </cell>
          <cell r="AW63">
            <v>568.96</v>
          </cell>
          <cell r="AX63">
            <v>0</v>
          </cell>
          <cell r="AY63">
            <v>0</v>
          </cell>
          <cell r="AZ63">
            <v>0</v>
          </cell>
          <cell r="BA63">
            <v>268.83</v>
          </cell>
          <cell r="BB63">
            <v>268.83</v>
          </cell>
          <cell r="BC63">
            <v>268.83</v>
          </cell>
          <cell r="BD63">
            <v>0</v>
          </cell>
          <cell r="BE63">
            <v>0</v>
          </cell>
          <cell r="BF63">
            <v>0</v>
          </cell>
          <cell r="BG63">
            <v>268.83</v>
          </cell>
          <cell r="BH63">
            <v>268.83</v>
          </cell>
          <cell r="BI63">
            <v>268.83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1183.5600000000004</v>
          </cell>
          <cell r="BQ63">
            <v>1009.6299999999992</v>
          </cell>
          <cell r="BR63">
            <v>978.28999999999905</v>
          </cell>
          <cell r="BS63">
            <v>1009.6299999999992</v>
          </cell>
          <cell r="BT63">
            <v>1009.6299999999992</v>
          </cell>
          <cell r="BU63">
            <v>978.28999999999905</v>
          </cell>
          <cell r="BV63">
            <v>978.28999999999905</v>
          </cell>
          <cell r="BW63">
            <v>3386.2000000000007</v>
          </cell>
          <cell r="BX63">
            <v>2503.6400000000003</v>
          </cell>
          <cell r="BY63">
            <v>2253.5200000000004</v>
          </cell>
          <cell r="BZ63">
            <v>2503.6400000000003</v>
          </cell>
          <cell r="CA63">
            <v>2288.119999999999</v>
          </cell>
          <cell r="CB63">
            <v>2038</v>
          </cell>
          <cell r="CC63">
            <v>2038</v>
          </cell>
          <cell r="CD63">
            <v>0</v>
          </cell>
          <cell r="CE63">
            <v>188.55</v>
          </cell>
          <cell r="CF63">
            <v>188.55</v>
          </cell>
          <cell r="CG63">
            <v>188.55</v>
          </cell>
          <cell r="CH63">
            <v>215.51999999999998</v>
          </cell>
          <cell r="CI63">
            <v>188.55</v>
          </cell>
          <cell r="CJ63">
            <v>188.55</v>
          </cell>
          <cell r="CK63">
            <v>188.55</v>
          </cell>
          <cell r="CL63">
            <v>0</v>
          </cell>
          <cell r="CM63">
            <v>440.78</v>
          </cell>
          <cell r="CN63">
            <v>440.78</v>
          </cell>
          <cell r="CO63">
            <v>440.78</v>
          </cell>
          <cell r="CP63">
            <v>0</v>
          </cell>
          <cell r="CQ63">
            <v>440.78</v>
          </cell>
          <cell r="CR63">
            <v>440.78</v>
          </cell>
          <cell r="CS63">
            <v>440.78</v>
          </cell>
          <cell r="CT63">
            <v>0</v>
          </cell>
          <cell r="CU63">
            <v>561.70000000000005</v>
          </cell>
          <cell r="CV63">
            <v>561.70000000000005</v>
          </cell>
          <cell r="CW63">
            <v>561.70000000000005</v>
          </cell>
          <cell r="CX63">
            <v>0</v>
          </cell>
          <cell r="CY63">
            <v>561.70000000000005</v>
          </cell>
          <cell r="CZ63">
            <v>561.70000000000005</v>
          </cell>
          <cell r="DA63">
            <v>561.70000000000005</v>
          </cell>
          <cell r="DB63">
            <v>0</v>
          </cell>
          <cell r="DC63">
            <v>661.73</v>
          </cell>
          <cell r="DD63">
            <v>661.73</v>
          </cell>
          <cell r="DE63">
            <v>661.73</v>
          </cell>
          <cell r="DF63">
            <v>0</v>
          </cell>
          <cell r="DG63">
            <v>661.73</v>
          </cell>
          <cell r="DH63">
            <v>661.73</v>
          </cell>
          <cell r="DI63">
            <v>661.73</v>
          </cell>
        </row>
        <row r="64">
          <cell r="A64">
            <v>45162</v>
          </cell>
          <cell r="B64">
            <v>1176.3900000000001</v>
          </cell>
          <cell r="C64">
            <v>1176.3900000000001</v>
          </cell>
          <cell r="D64">
            <v>1176.3900000000001</v>
          </cell>
          <cell r="E64">
            <v>1176.3900000000001</v>
          </cell>
          <cell r="F64">
            <v>1391.97</v>
          </cell>
          <cell r="G64">
            <v>1391.97</v>
          </cell>
          <cell r="H64">
            <v>1176.3900000000001</v>
          </cell>
          <cell r="I64">
            <v>1176.3900000000001</v>
          </cell>
          <cell r="J64">
            <v>1176.3900000000001</v>
          </cell>
          <cell r="K64">
            <v>1176.3900000000001</v>
          </cell>
          <cell r="L64">
            <v>1391.97</v>
          </cell>
          <cell r="M64">
            <v>1391.97</v>
          </cell>
          <cell r="N64">
            <v>1408.52</v>
          </cell>
          <cell r="O64">
            <v>1408.52</v>
          </cell>
          <cell r="P64">
            <v>1408.52</v>
          </cell>
          <cell r="Q64">
            <v>1408.52</v>
          </cell>
          <cell r="R64">
            <v>1373.4099999999999</v>
          </cell>
          <cell r="S64">
            <v>1373.4099999999999</v>
          </cell>
          <cell r="T64">
            <v>1408.52</v>
          </cell>
          <cell r="U64">
            <v>1408.52</v>
          </cell>
          <cell r="V64">
            <v>1408.52</v>
          </cell>
          <cell r="W64">
            <v>1408.52</v>
          </cell>
          <cell r="X64">
            <v>1373.4099999999999</v>
          </cell>
          <cell r="Y64">
            <v>1373.4099999999999</v>
          </cell>
          <cell r="Z64">
            <v>914</v>
          </cell>
          <cell r="AA64">
            <v>914</v>
          </cell>
          <cell r="AB64">
            <v>914</v>
          </cell>
          <cell r="AC64">
            <v>914</v>
          </cell>
          <cell r="AD64">
            <v>872.81999999999994</v>
          </cell>
          <cell r="AE64">
            <v>872.81999999999994</v>
          </cell>
          <cell r="AF64">
            <v>914</v>
          </cell>
          <cell r="AG64">
            <v>914</v>
          </cell>
          <cell r="AH64">
            <v>914</v>
          </cell>
          <cell r="AI64">
            <v>914</v>
          </cell>
          <cell r="AJ64">
            <v>872.81999999999994</v>
          </cell>
          <cell r="AK64">
            <v>872.81999999999994</v>
          </cell>
          <cell r="AL64">
            <v>631</v>
          </cell>
          <cell r="AM64">
            <v>631</v>
          </cell>
          <cell r="AN64">
            <v>631</v>
          </cell>
          <cell r="AO64">
            <v>631</v>
          </cell>
          <cell r="AP64">
            <v>668.62</v>
          </cell>
          <cell r="AQ64">
            <v>668.62</v>
          </cell>
          <cell r="AR64">
            <v>631</v>
          </cell>
          <cell r="AS64">
            <v>631</v>
          </cell>
          <cell r="AT64">
            <v>631</v>
          </cell>
          <cell r="AU64">
            <v>631</v>
          </cell>
          <cell r="AV64">
            <v>668.62</v>
          </cell>
          <cell r="AW64">
            <v>668.62</v>
          </cell>
          <cell r="AX64">
            <v>0</v>
          </cell>
          <cell r="AY64">
            <v>0</v>
          </cell>
          <cell r="AZ64">
            <v>0</v>
          </cell>
          <cell r="BA64">
            <v>440.66999999999996</v>
          </cell>
          <cell r="BB64">
            <v>440.66999999999996</v>
          </cell>
          <cell r="BC64">
            <v>440.66999999999996</v>
          </cell>
          <cell r="BD64">
            <v>0</v>
          </cell>
          <cell r="BE64">
            <v>0</v>
          </cell>
          <cell r="BF64">
            <v>0</v>
          </cell>
          <cell r="BG64">
            <v>440.66999999999996</v>
          </cell>
          <cell r="BH64">
            <v>440.66999999999996</v>
          </cell>
          <cell r="BI64">
            <v>440.66999999999996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823.49999999999966</v>
          </cell>
          <cell r="BQ64">
            <v>743.76000000000113</v>
          </cell>
          <cell r="BR64">
            <v>670.3700000000008</v>
          </cell>
          <cell r="BS64">
            <v>743.76000000000113</v>
          </cell>
          <cell r="BT64">
            <v>743.76000000000204</v>
          </cell>
          <cell r="BU64">
            <v>670.3700000000008</v>
          </cell>
          <cell r="BV64">
            <v>670.3700000000008</v>
          </cell>
          <cell r="BW64">
            <v>3350.66</v>
          </cell>
          <cell r="BX64">
            <v>2643.1900000000014</v>
          </cell>
          <cell r="BY64">
            <v>2425.0400000000009</v>
          </cell>
          <cell r="BZ64">
            <v>2643.1900000000014</v>
          </cell>
          <cell r="CA64">
            <v>2461.8700000000026</v>
          </cell>
          <cell r="CB64">
            <v>2243.7200000000012</v>
          </cell>
          <cell r="CC64">
            <v>2243.7200000000012</v>
          </cell>
          <cell r="CD64">
            <v>0</v>
          </cell>
          <cell r="CE64">
            <v>170.64</v>
          </cell>
          <cell r="CF64">
            <v>170.64</v>
          </cell>
          <cell r="CG64">
            <v>170.64</v>
          </cell>
          <cell r="CH64">
            <v>181.32</v>
          </cell>
          <cell r="CI64">
            <v>170.64</v>
          </cell>
          <cell r="CJ64">
            <v>170.64</v>
          </cell>
          <cell r="CK64">
            <v>170.64</v>
          </cell>
          <cell r="CL64">
            <v>0</v>
          </cell>
          <cell r="CM64">
            <v>293.52</v>
          </cell>
          <cell r="CN64">
            <v>293.52</v>
          </cell>
          <cell r="CO64">
            <v>293.52</v>
          </cell>
          <cell r="CP64">
            <v>0</v>
          </cell>
          <cell r="CQ64">
            <v>293.52</v>
          </cell>
          <cell r="CR64">
            <v>293.52</v>
          </cell>
          <cell r="CS64">
            <v>293.52</v>
          </cell>
          <cell r="CT64">
            <v>0</v>
          </cell>
          <cell r="CU64">
            <v>361.38</v>
          </cell>
          <cell r="CV64">
            <v>361.38</v>
          </cell>
          <cell r="CW64">
            <v>361.38</v>
          </cell>
          <cell r="CX64">
            <v>0</v>
          </cell>
          <cell r="CY64">
            <v>361.38</v>
          </cell>
          <cell r="CZ64">
            <v>361.38</v>
          </cell>
          <cell r="DA64">
            <v>361.38</v>
          </cell>
          <cell r="DB64">
            <v>0</v>
          </cell>
          <cell r="DC64">
            <v>307.45</v>
          </cell>
          <cell r="DD64">
            <v>307.45</v>
          </cell>
          <cell r="DE64">
            <v>307.45</v>
          </cell>
          <cell r="DF64">
            <v>0</v>
          </cell>
          <cell r="DG64">
            <v>307.45</v>
          </cell>
          <cell r="DH64">
            <v>307.45</v>
          </cell>
          <cell r="DI64">
            <v>307.45</v>
          </cell>
        </row>
        <row r="65">
          <cell r="A65">
            <v>45163</v>
          </cell>
          <cell r="B65">
            <v>414.04</v>
          </cell>
          <cell r="C65">
            <v>414.04</v>
          </cell>
          <cell r="D65">
            <v>414.04</v>
          </cell>
          <cell r="E65">
            <v>414.04</v>
          </cell>
          <cell r="F65">
            <v>874.8</v>
          </cell>
          <cell r="G65">
            <v>874.8</v>
          </cell>
          <cell r="H65">
            <v>414.04</v>
          </cell>
          <cell r="I65">
            <v>414.04</v>
          </cell>
          <cell r="J65">
            <v>414.04</v>
          </cell>
          <cell r="K65">
            <v>414.04</v>
          </cell>
          <cell r="L65">
            <v>859.01</v>
          </cell>
          <cell r="M65">
            <v>859.01</v>
          </cell>
          <cell r="N65">
            <v>810.36</v>
          </cell>
          <cell r="O65">
            <v>810.36</v>
          </cell>
          <cell r="P65">
            <v>810.36</v>
          </cell>
          <cell r="Q65">
            <v>810.36</v>
          </cell>
          <cell r="R65">
            <v>804.78</v>
          </cell>
          <cell r="S65">
            <v>804.78</v>
          </cell>
          <cell r="T65">
            <v>810.36</v>
          </cell>
          <cell r="U65">
            <v>810.36</v>
          </cell>
          <cell r="V65">
            <v>810.36</v>
          </cell>
          <cell r="W65">
            <v>810.36</v>
          </cell>
          <cell r="X65">
            <v>798.26</v>
          </cell>
          <cell r="Y65">
            <v>798.26</v>
          </cell>
          <cell r="Z65">
            <v>517.5</v>
          </cell>
          <cell r="AA65">
            <v>517.5</v>
          </cell>
          <cell r="AB65">
            <v>517.5</v>
          </cell>
          <cell r="AC65">
            <v>517.5</v>
          </cell>
          <cell r="AD65">
            <v>505.29</v>
          </cell>
          <cell r="AE65">
            <v>505.29</v>
          </cell>
          <cell r="AF65">
            <v>517.5</v>
          </cell>
          <cell r="AG65">
            <v>517.5</v>
          </cell>
          <cell r="AH65">
            <v>517.5</v>
          </cell>
          <cell r="AI65">
            <v>517.5</v>
          </cell>
          <cell r="AJ65">
            <v>512.36</v>
          </cell>
          <cell r="AK65">
            <v>512.36</v>
          </cell>
          <cell r="AL65">
            <v>327.5</v>
          </cell>
          <cell r="AM65">
            <v>327.5</v>
          </cell>
          <cell r="AN65">
            <v>327.5</v>
          </cell>
          <cell r="AO65">
            <v>327.5</v>
          </cell>
          <cell r="AP65">
            <v>387.13</v>
          </cell>
          <cell r="AQ65">
            <v>387.13</v>
          </cell>
          <cell r="AR65">
            <v>327.5</v>
          </cell>
          <cell r="AS65">
            <v>327.5</v>
          </cell>
          <cell r="AT65">
            <v>327.5</v>
          </cell>
          <cell r="AU65">
            <v>327.5</v>
          </cell>
          <cell r="AV65">
            <v>387.73</v>
          </cell>
          <cell r="AW65">
            <v>387.73</v>
          </cell>
          <cell r="AX65">
            <v>0</v>
          </cell>
          <cell r="AY65">
            <v>0</v>
          </cell>
          <cell r="AZ65">
            <v>0</v>
          </cell>
          <cell r="BA65">
            <v>288.56</v>
          </cell>
          <cell r="BB65">
            <v>288.56</v>
          </cell>
          <cell r="BC65">
            <v>288.56</v>
          </cell>
          <cell r="BD65">
            <v>0</v>
          </cell>
          <cell r="BE65">
            <v>0</v>
          </cell>
          <cell r="BF65">
            <v>0</v>
          </cell>
          <cell r="BG65">
            <v>288.7</v>
          </cell>
          <cell r="BH65">
            <v>288.7</v>
          </cell>
          <cell r="BI65">
            <v>288.7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856.59000000000015</v>
          </cell>
          <cell r="BQ65">
            <v>823.81</v>
          </cell>
          <cell r="BR65">
            <v>823.81</v>
          </cell>
          <cell r="BS65">
            <v>823.81</v>
          </cell>
          <cell r="BT65">
            <v>784.66000000000076</v>
          </cell>
          <cell r="BU65">
            <v>784.66000000000122</v>
          </cell>
          <cell r="BV65">
            <v>784.65999999999985</v>
          </cell>
          <cell r="BW65">
            <v>2600.0900000000006</v>
          </cell>
          <cell r="BX65">
            <v>2298.6299999999987</v>
          </cell>
          <cell r="BY65">
            <v>2108.1999999999994</v>
          </cell>
          <cell r="BZ65">
            <v>2298.6299999999987</v>
          </cell>
          <cell r="CA65">
            <v>2185.4699999999984</v>
          </cell>
          <cell r="CB65">
            <v>1995.0399999999981</v>
          </cell>
          <cell r="CC65">
            <v>1995.0399999999991</v>
          </cell>
          <cell r="CD65">
            <v>39.15</v>
          </cell>
          <cell r="CE65">
            <v>144.63</v>
          </cell>
          <cell r="CF65">
            <v>144.63</v>
          </cell>
          <cell r="CG65">
            <v>144.63</v>
          </cell>
          <cell r="CH65">
            <v>113.16</v>
          </cell>
          <cell r="CI65">
            <v>144.63</v>
          </cell>
          <cell r="CJ65">
            <v>144.63</v>
          </cell>
          <cell r="CK65">
            <v>144.63</v>
          </cell>
          <cell r="CL65">
            <v>0</v>
          </cell>
          <cell r="CM65">
            <v>244.03</v>
          </cell>
          <cell r="CN65">
            <v>244.03</v>
          </cell>
          <cell r="CO65">
            <v>244.03</v>
          </cell>
          <cell r="CP65">
            <v>0</v>
          </cell>
          <cell r="CQ65">
            <v>244.03</v>
          </cell>
          <cell r="CR65">
            <v>244.03</v>
          </cell>
          <cell r="CS65">
            <v>244.03</v>
          </cell>
          <cell r="CT65">
            <v>0</v>
          </cell>
          <cell r="CU65">
            <v>244.17</v>
          </cell>
          <cell r="CV65">
            <v>244.17</v>
          </cell>
          <cell r="CW65">
            <v>244.17</v>
          </cell>
          <cell r="CX65">
            <v>0</v>
          </cell>
          <cell r="CY65">
            <v>244.17</v>
          </cell>
          <cell r="CZ65">
            <v>244.17</v>
          </cell>
          <cell r="DA65">
            <v>244.17</v>
          </cell>
          <cell r="DB65">
            <v>0</v>
          </cell>
          <cell r="DC65">
            <v>172.86</v>
          </cell>
          <cell r="DD65">
            <v>172.86</v>
          </cell>
          <cell r="DE65">
            <v>172.86</v>
          </cell>
          <cell r="DF65">
            <v>0</v>
          </cell>
          <cell r="DG65">
            <v>172.86</v>
          </cell>
          <cell r="DH65">
            <v>172.86</v>
          </cell>
          <cell r="DI65">
            <v>172.86</v>
          </cell>
        </row>
        <row r="66">
          <cell r="A66">
            <v>45164</v>
          </cell>
          <cell r="B66">
            <v>390.43</v>
          </cell>
          <cell r="C66">
            <v>390.43</v>
          </cell>
          <cell r="D66">
            <v>390.43</v>
          </cell>
          <cell r="E66">
            <v>390.43</v>
          </cell>
          <cell r="F66">
            <v>675.8</v>
          </cell>
          <cell r="G66">
            <v>675.8</v>
          </cell>
          <cell r="H66">
            <v>390.43</v>
          </cell>
          <cell r="I66">
            <v>390.43</v>
          </cell>
          <cell r="J66">
            <v>390.43</v>
          </cell>
          <cell r="K66">
            <v>390.43</v>
          </cell>
          <cell r="L66">
            <v>706.52</v>
          </cell>
          <cell r="M66">
            <v>706.52</v>
          </cell>
          <cell r="N66">
            <v>563.28</v>
          </cell>
          <cell r="O66">
            <v>563.28</v>
          </cell>
          <cell r="P66">
            <v>563.28</v>
          </cell>
          <cell r="Q66">
            <v>563.28</v>
          </cell>
          <cell r="R66">
            <v>624.33000000000004</v>
          </cell>
          <cell r="S66">
            <v>624.33000000000004</v>
          </cell>
          <cell r="T66">
            <v>563.28</v>
          </cell>
          <cell r="U66">
            <v>563.28</v>
          </cell>
          <cell r="V66">
            <v>563.28</v>
          </cell>
          <cell r="W66">
            <v>563.28</v>
          </cell>
          <cell r="X66">
            <v>652.71</v>
          </cell>
          <cell r="Y66">
            <v>652.71</v>
          </cell>
          <cell r="Z66">
            <v>407</v>
          </cell>
          <cell r="AA66">
            <v>407</v>
          </cell>
          <cell r="AB66">
            <v>407</v>
          </cell>
          <cell r="AC66">
            <v>407</v>
          </cell>
          <cell r="AD66">
            <v>475.40999999999997</v>
          </cell>
          <cell r="AE66">
            <v>475.40999999999997</v>
          </cell>
          <cell r="AF66">
            <v>407</v>
          </cell>
          <cell r="AG66">
            <v>407</v>
          </cell>
          <cell r="AH66">
            <v>407</v>
          </cell>
          <cell r="AI66">
            <v>407</v>
          </cell>
          <cell r="AJ66">
            <v>497.02</v>
          </cell>
          <cell r="AK66">
            <v>497.02</v>
          </cell>
          <cell r="AL66">
            <v>283.5</v>
          </cell>
          <cell r="AM66">
            <v>283.5</v>
          </cell>
          <cell r="AN66">
            <v>283.5</v>
          </cell>
          <cell r="AO66">
            <v>283.5</v>
          </cell>
          <cell r="AP66">
            <v>415.44</v>
          </cell>
          <cell r="AQ66">
            <v>415.44</v>
          </cell>
          <cell r="AR66">
            <v>283.5</v>
          </cell>
          <cell r="AS66">
            <v>283.5</v>
          </cell>
          <cell r="AT66">
            <v>283.5</v>
          </cell>
          <cell r="AU66">
            <v>283.5</v>
          </cell>
          <cell r="AV66">
            <v>434.33000000000004</v>
          </cell>
          <cell r="AW66">
            <v>434.33000000000004</v>
          </cell>
          <cell r="AX66">
            <v>0</v>
          </cell>
          <cell r="AY66">
            <v>0</v>
          </cell>
          <cell r="AZ66">
            <v>0</v>
          </cell>
          <cell r="BA66">
            <v>256.77999999999997</v>
          </cell>
          <cell r="BB66">
            <v>256.77999999999997</v>
          </cell>
          <cell r="BC66">
            <v>256.77999999999997</v>
          </cell>
          <cell r="BD66">
            <v>0</v>
          </cell>
          <cell r="BE66">
            <v>0</v>
          </cell>
          <cell r="BF66">
            <v>0</v>
          </cell>
          <cell r="BG66">
            <v>268.45000000000005</v>
          </cell>
          <cell r="BH66">
            <v>268.45000000000005</v>
          </cell>
          <cell r="BI66">
            <v>268.45000000000005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540.53</v>
          </cell>
          <cell r="BQ66">
            <v>501.08000000000038</v>
          </cell>
          <cell r="BR66">
            <v>471.83999999999924</v>
          </cell>
          <cell r="BS66">
            <v>501.08000000000038</v>
          </cell>
          <cell r="BT66">
            <v>501.08000000000038</v>
          </cell>
          <cell r="BU66">
            <v>471.83999999999969</v>
          </cell>
          <cell r="BV66">
            <v>471.83999999999924</v>
          </cell>
          <cell r="BW66">
            <v>2013.5899999999997</v>
          </cell>
          <cell r="BX66">
            <v>1786.3900000000003</v>
          </cell>
          <cell r="BY66">
            <v>1564.6000000000004</v>
          </cell>
          <cell r="BZ66">
            <v>1774.9999999999991</v>
          </cell>
          <cell r="CA66">
            <v>1759.7700000000004</v>
          </cell>
          <cell r="CB66">
            <v>1537.9800000000005</v>
          </cell>
          <cell r="CC66">
            <v>1537.9800000000005</v>
          </cell>
          <cell r="CD66">
            <v>0</v>
          </cell>
          <cell r="CE66">
            <v>99</v>
          </cell>
          <cell r="CF66">
            <v>99</v>
          </cell>
          <cell r="CG66">
            <v>99</v>
          </cell>
          <cell r="CH66">
            <v>26.45</v>
          </cell>
          <cell r="CI66">
            <v>99</v>
          </cell>
          <cell r="CJ66">
            <v>99</v>
          </cell>
          <cell r="CK66">
            <v>99</v>
          </cell>
          <cell r="CL66">
            <v>0</v>
          </cell>
          <cell r="CM66">
            <v>170.77</v>
          </cell>
          <cell r="CN66">
            <v>170.77</v>
          </cell>
          <cell r="CO66">
            <v>170.77</v>
          </cell>
          <cell r="CP66">
            <v>0</v>
          </cell>
          <cell r="CQ66">
            <v>170.77</v>
          </cell>
          <cell r="CR66">
            <v>170.77</v>
          </cell>
          <cell r="CS66">
            <v>170.77</v>
          </cell>
          <cell r="CT66">
            <v>0</v>
          </cell>
          <cell r="CU66">
            <v>170.33</v>
          </cell>
          <cell r="CV66">
            <v>170.33</v>
          </cell>
          <cell r="CW66">
            <v>170.33</v>
          </cell>
          <cell r="CX66">
            <v>0</v>
          </cell>
          <cell r="CY66">
            <v>170.33</v>
          </cell>
          <cell r="CZ66">
            <v>170.33</v>
          </cell>
          <cell r="DA66">
            <v>170.33</v>
          </cell>
          <cell r="DB66">
            <v>0</v>
          </cell>
          <cell r="DC66">
            <v>121.9</v>
          </cell>
          <cell r="DD66">
            <v>121.9</v>
          </cell>
          <cell r="DE66">
            <v>121.9</v>
          </cell>
          <cell r="DF66">
            <v>0</v>
          </cell>
          <cell r="DG66">
            <v>121.9</v>
          </cell>
          <cell r="DH66">
            <v>121.9</v>
          </cell>
          <cell r="DI66">
            <v>121.9</v>
          </cell>
        </row>
        <row r="67">
          <cell r="A67">
            <v>45165</v>
          </cell>
          <cell r="B67">
            <v>678.83369565217401</v>
          </cell>
          <cell r="C67">
            <v>678.83369565217401</v>
          </cell>
          <cell r="D67">
            <v>678.83369565217401</v>
          </cell>
          <cell r="E67">
            <v>678.83369565217401</v>
          </cell>
          <cell r="F67">
            <v>1183.3278260869565</v>
          </cell>
          <cell r="G67">
            <v>1183.3278260869565</v>
          </cell>
          <cell r="H67">
            <v>359.85434782608701</v>
          </cell>
          <cell r="I67">
            <v>359.85434782608701</v>
          </cell>
          <cell r="J67">
            <v>359.85434782608701</v>
          </cell>
          <cell r="K67">
            <v>359.85434782608701</v>
          </cell>
          <cell r="L67">
            <v>709.89</v>
          </cell>
          <cell r="M67">
            <v>709.89</v>
          </cell>
          <cell r="N67">
            <v>981.00869565217386</v>
          </cell>
          <cell r="O67">
            <v>981.00869565217386</v>
          </cell>
          <cell r="P67">
            <v>981.00869565217386</v>
          </cell>
          <cell r="Q67">
            <v>981.00869565217386</v>
          </cell>
          <cell r="R67">
            <v>924.64173913043464</v>
          </cell>
          <cell r="S67">
            <v>924.64173913043464</v>
          </cell>
          <cell r="T67">
            <v>981.00869565217386</v>
          </cell>
          <cell r="U67">
            <v>981.00869565217386</v>
          </cell>
          <cell r="V67">
            <v>981.00869565217386</v>
          </cell>
          <cell r="W67">
            <v>981.00869565217386</v>
          </cell>
          <cell r="X67">
            <v>924.64173913043464</v>
          </cell>
          <cell r="Y67">
            <v>924.64173913043464</v>
          </cell>
          <cell r="Z67">
            <v>650.79478260869564</v>
          </cell>
          <cell r="AA67">
            <v>650.79478260869564</v>
          </cell>
          <cell r="AB67">
            <v>650.79478260869564</v>
          </cell>
          <cell r="AC67">
            <v>650.79478260869564</v>
          </cell>
          <cell r="AD67">
            <v>791.81260869565222</v>
          </cell>
          <cell r="AE67">
            <v>791.81260869565222</v>
          </cell>
          <cell r="AF67">
            <v>650.79478260869564</v>
          </cell>
          <cell r="AG67">
            <v>650.79478260869564</v>
          </cell>
          <cell r="AH67">
            <v>650.79478260869564</v>
          </cell>
          <cell r="AI67">
            <v>650.79478260869564</v>
          </cell>
          <cell r="AJ67">
            <v>791.81260869565222</v>
          </cell>
          <cell r="AK67">
            <v>791.81260869565222</v>
          </cell>
          <cell r="AL67">
            <v>457.2041304347826</v>
          </cell>
          <cell r="AM67">
            <v>457.2041304347826</v>
          </cell>
          <cell r="AN67">
            <v>457.2041304347826</v>
          </cell>
          <cell r="AO67">
            <v>457.2041304347826</v>
          </cell>
          <cell r="AP67">
            <v>469.89391304347828</v>
          </cell>
          <cell r="AQ67">
            <v>469.89391304347828</v>
          </cell>
          <cell r="AR67">
            <v>457.2041304347826</v>
          </cell>
          <cell r="AS67">
            <v>457.2041304347826</v>
          </cell>
          <cell r="AT67">
            <v>457.2041304347826</v>
          </cell>
          <cell r="AU67">
            <v>457.2041304347826</v>
          </cell>
          <cell r="AV67">
            <v>469.89391304347828</v>
          </cell>
          <cell r="AW67">
            <v>469.89391304347828</v>
          </cell>
          <cell r="AX67">
            <v>0</v>
          </cell>
          <cell r="AY67">
            <v>0</v>
          </cell>
          <cell r="AZ67">
            <v>0</v>
          </cell>
          <cell r="BA67">
            <v>272.81652173913045</v>
          </cell>
          <cell r="BB67">
            <v>272.81652173913045</v>
          </cell>
          <cell r="BC67">
            <v>272.81652173913045</v>
          </cell>
          <cell r="BD67">
            <v>0</v>
          </cell>
          <cell r="BE67">
            <v>0</v>
          </cell>
          <cell r="BF67">
            <v>0</v>
          </cell>
          <cell r="BG67">
            <v>272.81652173913045</v>
          </cell>
          <cell r="BH67">
            <v>272.81652173913045</v>
          </cell>
          <cell r="BI67">
            <v>272.81652173913045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552.68000000000006</v>
          </cell>
          <cell r="BQ67">
            <v>447.79000000000087</v>
          </cell>
          <cell r="BR67">
            <v>447.79000000000087</v>
          </cell>
          <cell r="BS67">
            <v>447.79000000000087</v>
          </cell>
          <cell r="BT67">
            <v>427.97000000000116</v>
          </cell>
          <cell r="BU67">
            <v>427.97000000000071</v>
          </cell>
          <cell r="BV67">
            <v>427.97000000000025</v>
          </cell>
          <cell r="BW67">
            <v>1234.28</v>
          </cell>
          <cell r="BX67">
            <v>908.79999999999882</v>
          </cell>
          <cell r="BY67">
            <v>851.72999999999865</v>
          </cell>
          <cell r="BZ67">
            <v>908.79999999999882</v>
          </cell>
          <cell r="CA67">
            <v>902.38999999999896</v>
          </cell>
          <cell r="CB67">
            <v>845.31999999999834</v>
          </cell>
          <cell r="CC67">
            <v>845.3199999999988</v>
          </cell>
          <cell r="CD67">
            <v>19.82</v>
          </cell>
          <cell r="CE67">
            <v>82.51</v>
          </cell>
          <cell r="CF67">
            <v>82.51</v>
          </cell>
          <cell r="CG67">
            <v>82.51</v>
          </cell>
          <cell r="CH67">
            <v>6.41</v>
          </cell>
          <cell r="CI67">
            <v>82.51</v>
          </cell>
          <cell r="CJ67">
            <v>82.51</v>
          </cell>
          <cell r="CK67">
            <v>82.51</v>
          </cell>
          <cell r="CL67">
            <v>0</v>
          </cell>
          <cell r="CM67">
            <v>142.34</v>
          </cell>
          <cell r="CN67">
            <v>142.34</v>
          </cell>
          <cell r="CO67">
            <v>142.34</v>
          </cell>
          <cell r="CP67">
            <v>0</v>
          </cell>
          <cell r="CQ67">
            <v>142.34</v>
          </cell>
          <cell r="CR67">
            <v>142.34</v>
          </cell>
          <cell r="CS67">
            <v>142.34</v>
          </cell>
          <cell r="CT67">
            <v>0</v>
          </cell>
          <cell r="CU67">
            <v>172.4</v>
          </cell>
          <cell r="CV67">
            <v>172.4</v>
          </cell>
          <cell r="CW67">
            <v>172.4</v>
          </cell>
          <cell r="CX67">
            <v>0</v>
          </cell>
          <cell r="CY67">
            <v>172.4</v>
          </cell>
          <cell r="CZ67">
            <v>172.4</v>
          </cell>
          <cell r="DA67">
            <v>172.4</v>
          </cell>
          <cell r="DB67">
            <v>0</v>
          </cell>
          <cell r="DC67">
            <v>117.38</v>
          </cell>
          <cell r="DD67">
            <v>117.38</v>
          </cell>
          <cell r="DE67">
            <v>117.38</v>
          </cell>
          <cell r="DF67">
            <v>0</v>
          </cell>
          <cell r="DG67">
            <v>117.38</v>
          </cell>
          <cell r="DH67">
            <v>117.38</v>
          </cell>
          <cell r="DI67">
            <v>117.38</v>
          </cell>
        </row>
        <row r="68">
          <cell r="A68">
            <v>45166</v>
          </cell>
          <cell r="B68">
            <v>1731.08</v>
          </cell>
          <cell r="C68">
            <v>1731.08</v>
          </cell>
          <cell r="D68">
            <v>1731.08</v>
          </cell>
          <cell r="E68">
            <v>1731.08</v>
          </cell>
          <cell r="F68">
            <v>1372.21</v>
          </cell>
          <cell r="G68">
            <v>1372.21</v>
          </cell>
          <cell r="H68">
            <v>1731.08</v>
          </cell>
          <cell r="I68">
            <v>1731.08</v>
          </cell>
          <cell r="J68">
            <v>1731.08</v>
          </cell>
          <cell r="K68">
            <v>1731.08</v>
          </cell>
          <cell r="L68">
            <v>2871.73</v>
          </cell>
          <cell r="M68">
            <v>2871.73</v>
          </cell>
          <cell r="N68">
            <v>3663.69</v>
          </cell>
          <cell r="O68">
            <v>3663.69</v>
          </cell>
          <cell r="P68">
            <v>3663.69</v>
          </cell>
          <cell r="Q68">
            <v>3663.69</v>
          </cell>
          <cell r="R68">
            <v>2171.67</v>
          </cell>
          <cell r="S68">
            <v>2171.67</v>
          </cell>
          <cell r="T68">
            <v>3663.69</v>
          </cell>
          <cell r="U68">
            <v>3663.69</v>
          </cell>
          <cell r="V68">
            <v>3663.69</v>
          </cell>
          <cell r="W68">
            <v>3663.69</v>
          </cell>
          <cell r="X68">
            <v>1688.41</v>
          </cell>
          <cell r="Y68">
            <v>1688.41</v>
          </cell>
          <cell r="Z68">
            <v>1050.22</v>
          </cell>
          <cell r="AA68">
            <v>1050.22</v>
          </cell>
          <cell r="AB68">
            <v>1050.22</v>
          </cell>
          <cell r="AC68">
            <v>1050.22</v>
          </cell>
          <cell r="AD68">
            <v>727.58</v>
          </cell>
          <cell r="AE68">
            <v>727.58</v>
          </cell>
          <cell r="AF68">
            <v>1050.22</v>
          </cell>
          <cell r="AG68">
            <v>1050.22</v>
          </cell>
          <cell r="AH68">
            <v>1050.22</v>
          </cell>
          <cell r="AI68">
            <v>1050.22</v>
          </cell>
          <cell r="AJ68">
            <v>702.45</v>
          </cell>
          <cell r="AK68">
            <v>702.45</v>
          </cell>
          <cell r="AL68">
            <v>349.24</v>
          </cell>
          <cell r="AM68">
            <v>349.24</v>
          </cell>
          <cell r="AN68">
            <v>349.24</v>
          </cell>
          <cell r="AO68">
            <v>349.24</v>
          </cell>
          <cell r="AP68">
            <v>348.31</v>
          </cell>
          <cell r="AQ68">
            <v>348.31</v>
          </cell>
          <cell r="AR68">
            <v>349.24</v>
          </cell>
          <cell r="AS68">
            <v>349.24</v>
          </cell>
          <cell r="AT68">
            <v>349.24</v>
          </cell>
          <cell r="AU68">
            <v>349.24</v>
          </cell>
          <cell r="AV68">
            <v>288.38</v>
          </cell>
          <cell r="AW68">
            <v>288.38</v>
          </cell>
          <cell r="AX68">
            <v>0</v>
          </cell>
          <cell r="AY68">
            <v>0</v>
          </cell>
          <cell r="AZ68">
            <v>0</v>
          </cell>
          <cell r="BA68">
            <v>180.47</v>
          </cell>
          <cell r="BB68">
            <v>180.47</v>
          </cell>
          <cell r="BC68">
            <v>180.47</v>
          </cell>
          <cell r="BD68">
            <v>0</v>
          </cell>
          <cell r="BE68">
            <v>0</v>
          </cell>
          <cell r="BF68">
            <v>0</v>
          </cell>
          <cell r="BG68">
            <v>179.51</v>
          </cell>
          <cell r="BH68">
            <v>179.51</v>
          </cell>
          <cell r="BI68">
            <v>179.51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396.73999999999995</v>
          </cell>
          <cell r="BQ68">
            <v>341.98999999999978</v>
          </cell>
          <cell r="BR68">
            <v>291.4399999999996</v>
          </cell>
          <cell r="BS68">
            <v>341.98999999999978</v>
          </cell>
          <cell r="BT68">
            <v>341.99000000000069</v>
          </cell>
          <cell r="BU68">
            <v>291.4399999999996</v>
          </cell>
          <cell r="BV68">
            <v>291.44000000000051</v>
          </cell>
          <cell r="BW68">
            <v>958.14</v>
          </cell>
          <cell r="BX68">
            <v>601.3899999999976</v>
          </cell>
          <cell r="BY68">
            <v>531.80999999999767</v>
          </cell>
          <cell r="BZ68">
            <v>601.3899999999976</v>
          </cell>
          <cell r="CA68">
            <v>577.82999999999902</v>
          </cell>
          <cell r="CB68">
            <v>508.24999999999909</v>
          </cell>
          <cell r="CC68">
            <v>508.24999999999909</v>
          </cell>
          <cell r="CD68">
            <v>0</v>
          </cell>
          <cell r="CE68">
            <v>33.770000000000003</v>
          </cell>
          <cell r="CF68">
            <v>33.770000000000003</v>
          </cell>
          <cell r="CG68">
            <v>33.770000000000003</v>
          </cell>
          <cell r="CH68">
            <v>23.56</v>
          </cell>
          <cell r="CI68">
            <v>33.770000000000003</v>
          </cell>
          <cell r="CJ68">
            <v>33.770000000000003</v>
          </cell>
          <cell r="CK68">
            <v>33.770000000000003</v>
          </cell>
          <cell r="CL68">
            <v>0</v>
          </cell>
          <cell r="CM68">
            <v>84.92</v>
          </cell>
          <cell r="CN68">
            <v>84.92</v>
          </cell>
          <cell r="CO68">
            <v>84.92</v>
          </cell>
          <cell r="CP68">
            <v>0</v>
          </cell>
          <cell r="CQ68">
            <v>84.92</v>
          </cell>
          <cell r="CR68">
            <v>84.92</v>
          </cell>
          <cell r="CS68">
            <v>84.92</v>
          </cell>
          <cell r="CT68">
            <v>0</v>
          </cell>
          <cell r="CU68">
            <v>160.47</v>
          </cell>
          <cell r="CV68">
            <v>160.47</v>
          </cell>
          <cell r="CW68">
            <v>160.47</v>
          </cell>
          <cell r="CX68">
            <v>0</v>
          </cell>
          <cell r="CY68">
            <v>160.47</v>
          </cell>
          <cell r="CZ68">
            <v>160.47</v>
          </cell>
          <cell r="DA68">
            <v>160.47</v>
          </cell>
          <cell r="DB68">
            <v>0</v>
          </cell>
          <cell r="DC68">
            <v>211.85</v>
          </cell>
          <cell r="DD68">
            <v>211.85</v>
          </cell>
          <cell r="DE68">
            <v>211.85</v>
          </cell>
          <cell r="DF68">
            <v>0</v>
          </cell>
          <cell r="DG68">
            <v>211.85</v>
          </cell>
          <cell r="DH68">
            <v>211.85</v>
          </cell>
          <cell r="DI68">
            <v>211.85</v>
          </cell>
        </row>
        <row r="69">
          <cell r="A69">
            <v>45167</v>
          </cell>
          <cell r="B69">
            <v>6052.34</v>
          </cell>
          <cell r="C69">
            <v>6052.34</v>
          </cell>
          <cell r="D69">
            <v>6052.34</v>
          </cell>
          <cell r="E69">
            <v>6052.34</v>
          </cell>
          <cell r="F69">
            <v>3973.1</v>
          </cell>
          <cell r="G69">
            <v>3973.1</v>
          </cell>
          <cell r="H69">
            <v>6052.34</v>
          </cell>
          <cell r="I69">
            <v>6052.34</v>
          </cell>
          <cell r="J69">
            <v>6052.34</v>
          </cell>
          <cell r="K69">
            <v>6052.34</v>
          </cell>
          <cell r="L69">
            <v>6347.03</v>
          </cell>
          <cell r="M69">
            <v>6347.03</v>
          </cell>
          <cell r="N69">
            <v>2661.46</v>
          </cell>
          <cell r="O69">
            <v>2661.46</v>
          </cell>
          <cell r="P69">
            <v>2661.46</v>
          </cell>
          <cell r="Q69">
            <v>2661.46</v>
          </cell>
          <cell r="R69">
            <v>2677.18</v>
          </cell>
          <cell r="S69">
            <v>2677.18</v>
          </cell>
          <cell r="T69">
            <v>2661.46</v>
          </cell>
          <cell r="U69">
            <v>2661.46</v>
          </cell>
          <cell r="V69">
            <v>2661.46</v>
          </cell>
          <cell r="W69">
            <v>2661.46</v>
          </cell>
          <cell r="X69">
            <v>1990.63</v>
          </cell>
          <cell r="Y69">
            <v>1990.63</v>
          </cell>
          <cell r="Z69">
            <v>830.61</v>
          </cell>
          <cell r="AA69">
            <v>830.61</v>
          </cell>
          <cell r="AB69">
            <v>830.61</v>
          </cell>
          <cell r="AC69">
            <v>830.61</v>
          </cell>
          <cell r="AD69">
            <v>915.49</v>
          </cell>
          <cell r="AE69">
            <v>915.49</v>
          </cell>
          <cell r="AF69">
            <v>830.61</v>
          </cell>
          <cell r="AG69">
            <v>830.61</v>
          </cell>
          <cell r="AH69">
            <v>830.61</v>
          </cell>
          <cell r="AI69">
            <v>830.61</v>
          </cell>
          <cell r="AJ69">
            <v>800.62</v>
          </cell>
          <cell r="AK69">
            <v>800.62</v>
          </cell>
          <cell r="AL69">
            <v>355.83</v>
          </cell>
          <cell r="AM69">
            <v>355.83</v>
          </cell>
          <cell r="AN69">
            <v>355.83</v>
          </cell>
          <cell r="AO69">
            <v>355.83</v>
          </cell>
          <cell r="AP69">
            <v>416.58000000000004</v>
          </cell>
          <cell r="AQ69">
            <v>416.58000000000004</v>
          </cell>
          <cell r="AR69">
            <v>355.83</v>
          </cell>
          <cell r="AS69">
            <v>355.83</v>
          </cell>
          <cell r="AT69">
            <v>355.83</v>
          </cell>
          <cell r="AU69">
            <v>355.83</v>
          </cell>
          <cell r="AV69">
            <v>332.27</v>
          </cell>
          <cell r="AW69">
            <v>332.27</v>
          </cell>
          <cell r="AX69">
            <v>0</v>
          </cell>
          <cell r="AY69">
            <v>0</v>
          </cell>
          <cell r="AZ69">
            <v>0</v>
          </cell>
          <cell r="BA69">
            <v>153.77000000000001</v>
          </cell>
          <cell r="BB69">
            <v>153.77000000000001</v>
          </cell>
          <cell r="BC69">
            <v>153.77000000000001</v>
          </cell>
          <cell r="BD69">
            <v>0</v>
          </cell>
          <cell r="BE69">
            <v>0</v>
          </cell>
          <cell r="BF69">
            <v>0</v>
          </cell>
          <cell r="BG69">
            <v>155.49</v>
          </cell>
          <cell r="BH69">
            <v>155.49</v>
          </cell>
          <cell r="BI69">
            <v>155.49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443.06999999999994</v>
          </cell>
          <cell r="BQ69">
            <v>341.30999999999767</v>
          </cell>
          <cell r="BR69">
            <v>328.59999999999854</v>
          </cell>
          <cell r="BS69">
            <v>341.30999999999767</v>
          </cell>
          <cell r="BT69">
            <v>301.21999999999753</v>
          </cell>
          <cell r="BU69">
            <v>288.50999999999658</v>
          </cell>
          <cell r="BV69">
            <v>288.5099999999984</v>
          </cell>
          <cell r="BW69">
            <v>593.4899999999999</v>
          </cell>
          <cell r="BX69">
            <v>461.03999999999542</v>
          </cell>
          <cell r="BY69">
            <v>378.399999999996</v>
          </cell>
          <cell r="BZ69">
            <v>461.03999999999542</v>
          </cell>
          <cell r="CA69">
            <v>449.90999999999622</v>
          </cell>
          <cell r="CB69">
            <v>367.2699999999968</v>
          </cell>
          <cell r="CC69">
            <v>367.2699999999968</v>
          </cell>
          <cell r="CD69">
            <v>40.090000000000003</v>
          </cell>
          <cell r="CE69">
            <v>44.7</v>
          </cell>
          <cell r="CF69">
            <v>44.7</v>
          </cell>
          <cell r="CG69">
            <v>44.7</v>
          </cell>
          <cell r="CH69">
            <v>11.13</v>
          </cell>
          <cell r="CI69">
            <v>44.7</v>
          </cell>
          <cell r="CJ69">
            <v>44.7</v>
          </cell>
          <cell r="CK69">
            <v>44.7</v>
          </cell>
          <cell r="CL69">
            <v>0</v>
          </cell>
          <cell r="CM69">
            <v>77.510000000000005</v>
          </cell>
          <cell r="CN69">
            <v>77.510000000000005</v>
          </cell>
          <cell r="CO69">
            <v>77.510000000000005</v>
          </cell>
          <cell r="CP69">
            <v>0</v>
          </cell>
          <cell r="CQ69">
            <v>77.510000000000005</v>
          </cell>
          <cell r="CR69">
            <v>77.510000000000005</v>
          </cell>
          <cell r="CS69">
            <v>77.510000000000005</v>
          </cell>
          <cell r="CT69">
            <v>0</v>
          </cell>
          <cell r="CU69">
            <v>129.66</v>
          </cell>
          <cell r="CV69">
            <v>129.66</v>
          </cell>
          <cell r="CW69">
            <v>129.66</v>
          </cell>
          <cell r="CX69">
            <v>0</v>
          </cell>
          <cell r="CY69">
            <v>129.66</v>
          </cell>
          <cell r="CZ69">
            <v>129.66</v>
          </cell>
          <cell r="DA69">
            <v>129.66</v>
          </cell>
          <cell r="DB69">
            <v>0</v>
          </cell>
          <cell r="DC69">
            <v>315.38</v>
          </cell>
          <cell r="DD69">
            <v>315.38</v>
          </cell>
          <cell r="DE69">
            <v>315.38</v>
          </cell>
          <cell r="DF69">
            <v>0</v>
          </cell>
          <cell r="DG69">
            <v>315.38</v>
          </cell>
          <cell r="DH69">
            <v>315.38</v>
          </cell>
          <cell r="DI69">
            <v>315.38</v>
          </cell>
        </row>
        <row r="70">
          <cell r="A70">
            <v>45168</v>
          </cell>
          <cell r="B70">
            <v>5488.63</v>
          </cell>
          <cell r="C70">
            <v>5488.63</v>
          </cell>
          <cell r="D70">
            <v>5488.63</v>
          </cell>
          <cell r="E70">
            <v>5488.63</v>
          </cell>
          <cell r="F70">
            <v>5091.8</v>
          </cell>
          <cell r="G70">
            <v>5091.8</v>
          </cell>
          <cell r="H70">
            <v>5488.63</v>
          </cell>
          <cell r="I70">
            <v>5488.63</v>
          </cell>
          <cell r="J70">
            <v>5488.63</v>
          </cell>
          <cell r="K70">
            <v>5488.63</v>
          </cell>
          <cell r="L70">
            <v>6213.12</v>
          </cell>
          <cell r="M70">
            <v>6213.12</v>
          </cell>
          <cell r="N70">
            <v>5231.3</v>
          </cell>
          <cell r="O70">
            <v>5231.3</v>
          </cell>
          <cell r="P70">
            <v>5231.3</v>
          </cell>
          <cell r="Q70">
            <v>5231.3</v>
          </cell>
          <cell r="R70">
            <v>1966.4</v>
          </cell>
          <cell r="S70">
            <v>1966.4</v>
          </cell>
          <cell r="T70">
            <v>5231.3</v>
          </cell>
          <cell r="U70">
            <v>5231.3</v>
          </cell>
          <cell r="V70">
            <v>5231.3</v>
          </cell>
          <cell r="W70">
            <v>5231.3</v>
          </cell>
          <cell r="X70">
            <v>1957.87</v>
          </cell>
          <cell r="Y70">
            <v>1957.87</v>
          </cell>
          <cell r="Z70">
            <v>949.71</v>
          </cell>
          <cell r="AA70">
            <v>949.71</v>
          </cell>
          <cell r="AB70">
            <v>949.71</v>
          </cell>
          <cell r="AC70">
            <v>949.71</v>
          </cell>
          <cell r="AD70">
            <v>792.8</v>
          </cell>
          <cell r="AE70">
            <v>792.8</v>
          </cell>
          <cell r="AF70">
            <v>949.71</v>
          </cell>
          <cell r="AG70">
            <v>949.71</v>
          </cell>
          <cell r="AH70">
            <v>949.71</v>
          </cell>
          <cell r="AI70">
            <v>949.71</v>
          </cell>
          <cell r="AJ70">
            <v>792.26</v>
          </cell>
          <cell r="AK70">
            <v>792.26</v>
          </cell>
          <cell r="AL70">
            <v>352.54</v>
          </cell>
          <cell r="AM70">
            <v>352.54</v>
          </cell>
          <cell r="AN70">
            <v>352.54</v>
          </cell>
          <cell r="AO70">
            <v>352.54</v>
          </cell>
          <cell r="AP70">
            <v>427.87</v>
          </cell>
          <cell r="AQ70">
            <v>427.87</v>
          </cell>
          <cell r="AR70">
            <v>352.54</v>
          </cell>
          <cell r="AS70">
            <v>352.54</v>
          </cell>
          <cell r="AT70">
            <v>352.54</v>
          </cell>
          <cell r="AU70">
            <v>352.54</v>
          </cell>
          <cell r="AV70">
            <v>374.03999999999996</v>
          </cell>
          <cell r="AW70">
            <v>374.03999999999996</v>
          </cell>
          <cell r="AX70">
            <v>0</v>
          </cell>
          <cell r="AY70">
            <v>0</v>
          </cell>
          <cell r="AZ70">
            <v>0</v>
          </cell>
          <cell r="BA70">
            <v>245.5</v>
          </cell>
          <cell r="BB70">
            <v>245.5</v>
          </cell>
          <cell r="BC70">
            <v>245.5</v>
          </cell>
          <cell r="BD70">
            <v>0</v>
          </cell>
          <cell r="BE70">
            <v>0</v>
          </cell>
          <cell r="BF70">
            <v>0</v>
          </cell>
          <cell r="BG70">
            <v>298.59000000000003</v>
          </cell>
          <cell r="BH70">
            <v>298.59000000000003</v>
          </cell>
          <cell r="BI70">
            <v>298.59000000000003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971.66999999999985</v>
          </cell>
          <cell r="BQ70">
            <v>622.30000000000291</v>
          </cell>
          <cell r="BR70">
            <v>480.57000000000335</v>
          </cell>
          <cell r="BS70">
            <v>622.30000000000291</v>
          </cell>
          <cell r="BT70">
            <v>554.77000000000226</v>
          </cell>
          <cell r="BU70">
            <v>413.04000000000269</v>
          </cell>
          <cell r="BV70">
            <v>413.04000000000269</v>
          </cell>
          <cell r="BW70">
            <v>1522.1499999999994</v>
          </cell>
          <cell r="BX70">
            <v>830.3700000000008</v>
          </cell>
          <cell r="BY70">
            <v>657.17000000000007</v>
          </cell>
          <cell r="BZ70">
            <v>830.3700000000008</v>
          </cell>
          <cell r="CA70">
            <v>830.3700000000008</v>
          </cell>
          <cell r="CB70">
            <v>657.17000000000007</v>
          </cell>
          <cell r="CC70">
            <v>657.17000000000007</v>
          </cell>
          <cell r="CD70">
            <v>67.53</v>
          </cell>
          <cell r="CE70">
            <v>22.35</v>
          </cell>
          <cell r="CF70">
            <v>22.35</v>
          </cell>
          <cell r="CG70">
            <v>22.35</v>
          </cell>
          <cell r="CH70">
            <v>0</v>
          </cell>
          <cell r="CI70">
            <v>22.35</v>
          </cell>
          <cell r="CJ70">
            <v>22.35</v>
          </cell>
          <cell r="CK70">
            <v>22.35</v>
          </cell>
          <cell r="CL70">
            <v>0</v>
          </cell>
          <cell r="CM70">
            <v>94.15</v>
          </cell>
          <cell r="CN70">
            <v>94.15</v>
          </cell>
          <cell r="CO70">
            <v>94.15</v>
          </cell>
          <cell r="CP70">
            <v>0</v>
          </cell>
          <cell r="CQ70">
            <v>94.15</v>
          </cell>
          <cell r="CR70">
            <v>94.15</v>
          </cell>
          <cell r="CS70">
            <v>94.15</v>
          </cell>
          <cell r="CT70">
            <v>0</v>
          </cell>
          <cell r="CU70">
            <v>178.7</v>
          </cell>
          <cell r="CV70">
            <v>178.7</v>
          </cell>
          <cell r="CW70">
            <v>178.7</v>
          </cell>
          <cell r="CX70">
            <v>0</v>
          </cell>
          <cell r="CY70">
            <v>178.7</v>
          </cell>
          <cell r="CZ70">
            <v>178.7</v>
          </cell>
          <cell r="DA70">
            <v>178.7</v>
          </cell>
          <cell r="DB70">
            <v>0</v>
          </cell>
          <cell r="DC70">
            <v>351.9</v>
          </cell>
          <cell r="DD70">
            <v>351.9</v>
          </cell>
          <cell r="DE70">
            <v>351.9</v>
          </cell>
          <cell r="DF70">
            <v>0</v>
          </cell>
          <cell r="DG70">
            <v>351.9</v>
          </cell>
          <cell r="DH70">
            <v>351.9</v>
          </cell>
          <cell r="DI70">
            <v>351.9</v>
          </cell>
        </row>
        <row r="71">
          <cell r="A71">
            <v>45169</v>
          </cell>
          <cell r="B71">
            <v>3050.53</v>
          </cell>
          <cell r="C71">
            <v>3050.53</v>
          </cell>
          <cell r="D71">
            <v>3050.53</v>
          </cell>
          <cell r="E71">
            <v>3050.53</v>
          </cell>
          <cell r="F71">
            <v>3879.9399999999996</v>
          </cell>
          <cell r="G71">
            <v>3879.9399999999996</v>
          </cell>
          <cell r="H71">
            <v>3050.53</v>
          </cell>
          <cell r="I71">
            <v>3050.53</v>
          </cell>
          <cell r="J71">
            <v>3050.53</v>
          </cell>
          <cell r="K71">
            <v>3050.53</v>
          </cell>
          <cell r="L71">
            <v>3879.9399999999996</v>
          </cell>
          <cell r="M71">
            <v>3879.9399999999996</v>
          </cell>
          <cell r="N71">
            <v>4213.45</v>
          </cell>
          <cell r="O71">
            <v>4213.45</v>
          </cell>
          <cell r="P71">
            <v>4213.45</v>
          </cell>
          <cell r="Q71">
            <v>4213.45</v>
          </cell>
          <cell r="R71">
            <v>2446.5699999999997</v>
          </cell>
          <cell r="S71">
            <v>2446.5699999999997</v>
          </cell>
          <cell r="T71">
            <v>4213.45</v>
          </cell>
          <cell r="U71">
            <v>4213.45</v>
          </cell>
          <cell r="V71">
            <v>4213.45</v>
          </cell>
          <cell r="W71">
            <v>4213.45</v>
          </cell>
          <cell r="X71">
            <v>2446.5699999999997</v>
          </cell>
          <cell r="Y71">
            <v>2446.5699999999997</v>
          </cell>
          <cell r="Z71">
            <v>1210.07</v>
          </cell>
          <cell r="AA71">
            <v>1210.07</v>
          </cell>
          <cell r="AB71">
            <v>1210.07</v>
          </cell>
          <cell r="AC71">
            <v>1210.07</v>
          </cell>
          <cell r="AD71">
            <v>1382.71</v>
          </cell>
          <cell r="AE71">
            <v>1382.71</v>
          </cell>
          <cell r="AF71">
            <v>1210.07</v>
          </cell>
          <cell r="AG71">
            <v>1210.07</v>
          </cell>
          <cell r="AH71">
            <v>1210.07</v>
          </cell>
          <cell r="AI71">
            <v>1210.07</v>
          </cell>
          <cell r="AJ71">
            <v>1382.71</v>
          </cell>
          <cell r="AK71">
            <v>1382.71</v>
          </cell>
          <cell r="AL71">
            <v>554.41</v>
          </cell>
          <cell r="AM71">
            <v>554.41</v>
          </cell>
          <cell r="AN71">
            <v>554.41</v>
          </cell>
          <cell r="AO71">
            <v>554.41</v>
          </cell>
          <cell r="AP71">
            <v>935.46</v>
          </cell>
          <cell r="AQ71">
            <v>935.46</v>
          </cell>
          <cell r="AR71">
            <v>554.41</v>
          </cell>
          <cell r="AS71">
            <v>554.41</v>
          </cell>
          <cell r="AT71">
            <v>554.41</v>
          </cell>
          <cell r="AU71">
            <v>554.41</v>
          </cell>
          <cell r="AV71">
            <v>935.46</v>
          </cell>
          <cell r="AW71">
            <v>935.46</v>
          </cell>
          <cell r="AX71">
            <v>0</v>
          </cell>
          <cell r="AY71">
            <v>0</v>
          </cell>
          <cell r="AZ71">
            <v>0</v>
          </cell>
          <cell r="BA71">
            <v>474.13</v>
          </cell>
          <cell r="BB71">
            <v>474.13</v>
          </cell>
          <cell r="BC71">
            <v>474.13</v>
          </cell>
          <cell r="BD71">
            <v>0</v>
          </cell>
          <cell r="BE71">
            <v>0</v>
          </cell>
          <cell r="BF71">
            <v>0</v>
          </cell>
          <cell r="BG71">
            <v>474.13</v>
          </cell>
          <cell r="BH71">
            <v>474.13</v>
          </cell>
          <cell r="BI71">
            <v>474.13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917.13000000000022</v>
          </cell>
          <cell r="BQ71">
            <v>580.43000000000211</v>
          </cell>
          <cell r="BR71">
            <v>515.48000000000138</v>
          </cell>
          <cell r="BS71">
            <v>580.43000000000211</v>
          </cell>
          <cell r="BT71">
            <v>559.70000000000437</v>
          </cell>
          <cell r="BU71">
            <v>494.75000000000364</v>
          </cell>
          <cell r="BV71">
            <v>494.75000000000364</v>
          </cell>
          <cell r="BW71">
            <v>1106.05</v>
          </cell>
          <cell r="BX71">
            <v>754.45999999999367</v>
          </cell>
          <cell r="BY71">
            <v>623.9099999999944</v>
          </cell>
          <cell r="BZ71">
            <v>754.45999999999367</v>
          </cell>
          <cell r="CA71">
            <v>717.12999999999556</v>
          </cell>
          <cell r="CB71">
            <v>586.57999999999629</v>
          </cell>
          <cell r="CC71">
            <v>586.57999999999629</v>
          </cell>
          <cell r="CD71">
            <v>20.73</v>
          </cell>
          <cell r="CE71">
            <v>111.15</v>
          </cell>
          <cell r="CF71">
            <v>111.15</v>
          </cell>
          <cell r="CG71">
            <v>111.15</v>
          </cell>
          <cell r="CH71">
            <v>37.33</v>
          </cell>
          <cell r="CI71">
            <v>111.15</v>
          </cell>
          <cell r="CJ71">
            <v>111.15</v>
          </cell>
          <cell r="CK71">
            <v>111.15</v>
          </cell>
          <cell r="CL71">
            <v>0</v>
          </cell>
          <cell r="CM71">
            <v>222.79</v>
          </cell>
          <cell r="CN71">
            <v>222.79</v>
          </cell>
          <cell r="CO71">
            <v>222.79</v>
          </cell>
          <cell r="CP71">
            <v>0</v>
          </cell>
          <cell r="CQ71">
            <v>222.79</v>
          </cell>
          <cell r="CR71">
            <v>222.79</v>
          </cell>
          <cell r="CS71">
            <v>222.79</v>
          </cell>
          <cell r="CT71">
            <v>0</v>
          </cell>
          <cell r="CU71">
            <v>259.29000000000002</v>
          </cell>
          <cell r="CV71">
            <v>259.29000000000002</v>
          </cell>
          <cell r="CW71">
            <v>259.29000000000002</v>
          </cell>
          <cell r="CX71">
            <v>0</v>
          </cell>
          <cell r="CY71">
            <v>259.29000000000002</v>
          </cell>
          <cell r="CZ71">
            <v>259.29000000000002</v>
          </cell>
          <cell r="DA71">
            <v>259.29000000000002</v>
          </cell>
          <cell r="DB71">
            <v>0</v>
          </cell>
          <cell r="DC71">
            <v>337.85</v>
          </cell>
          <cell r="DD71">
            <v>337.85</v>
          </cell>
          <cell r="DE71">
            <v>337.85</v>
          </cell>
          <cell r="DF71">
            <v>0</v>
          </cell>
          <cell r="DG71">
            <v>337.85</v>
          </cell>
          <cell r="DH71">
            <v>337.85</v>
          </cell>
          <cell r="DI71">
            <v>337.85</v>
          </cell>
        </row>
        <row r="72">
          <cell r="A72">
            <v>45170</v>
          </cell>
          <cell r="B72">
            <v>1824.97</v>
          </cell>
          <cell r="C72">
            <v>1824.97</v>
          </cell>
          <cell r="D72">
            <v>1824.97</v>
          </cell>
          <cell r="E72">
            <v>1824.97</v>
          </cell>
          <cell r="F72">
            <v>2953.4700000000003</v>
          </cell>
          <cell r="G72">
            <v>2953.4700000000003</v>
          </cell>
          <cell r="H72">
            <v>1824.97</v>
          </cell>
          <cell r="I72">
            <v>1824.97</v>
          </cell>
          <cell r="J72">
            <v>1824.97</v>
          </cell>
          <cell r="K72">
            <v>1824.97</v>
          </cell>
          <cell r="L72">
            <v>2953.4700000000003</v>
          </cell>
          <cell r="M72">
            <v>2953.4700000000003</v>
          </cell>
          <cell r="N72">
            <v>3504.62</v>
          </cell>
          <cell r="O72">
            <v>3504.62</v>
          </cell>
          <cell r="P72">
            <v>3504.62</v>
          </cell>
          <cell r="Q72">
            <v>3504.62</v>
          </cell>
          <cell r="R72">
            <v>2792.6</v>
          </cell>
          <cell r="S72">
            <v>2792.6</v>
          </cell>
          <cell r="T72">
            <v>3504.62</v>
          </cell>
          <cell r="U72">
            <v>3504.62</v>
          </cell>
          <cell r="V72">
            <v>3504.62</v>
          </cell>
          <cell r="W72">
            <v>3504.62</v>
          </cell>
          <cell r="X72">
            <v>2792.6</v>
          </cell>
          <cell r="Y72">
            <v>2792.6</v>
          </cell>
          <cell r="Z72">
            <v>1727.07</v>
          </cell>
          <cell r="AA72">
            <v>1727.07</v>
          </cell>
          <cell r="AB72">
            <v>1727.07</v>
          </cell>
          <cell r="AC72">
            <v>1727.07</v>
          </cell>
          <cell r="AD72">
            <v>1989.83</v>
          </cell>
          <cell r="AE72">
            <v>1989.83</v>
          </cell>
          <cell r="AF72">
            <v>1727.07</v>
          </cell>
          <cell r="AG72">
            <v>1727.07</v>
          </cell>
          <cell r="AH72">
            <v>1727.07</v>
          </cell>
          <cell r="AI72">
            <v>1727.07</v>
          </cell>
          <cell r="AJ72">
            <v>1989.83</v>
          </cell>
          <cell r="AK72">
            <v>1989.83</v>
          </cell>
          <cell r="AL72">
            <v>692.42</v>
          </cell>
          <cell r="AM72">
            <v>692.42</v>
          </cell>
          <cell r="AN72">
            <v>692.42</v>
          </cell>
          <cell r="AO72">
            <v>692.42</v>
          </cell>
          <cell r="AP72">
            <v>1270.93</v>
          </cell>
          <cell r="AQ72">
            <v>1270.93</v>
          </cell>
          <cell r="AR72">
            <v>692.42</v>
          </cell>
          <cell r="AS72">
            <v>692.42</v>
          </cell>
          <cell r="AT72">
            <v>692.42</v>
          </cell>
          <cell r="AU72">
            <v>692.42</v>
          </cell>
          <cell r="AV72">
            <v>1270.93</v>
          </cell>
          <cell r="AW72">
            <v>1270.93</v>
          </cell>
          <cell r="AX72">
            <v>0</v>
          </cell>
          <cell r="AY72">
            <v>0</v>
          </cell>
          <cell r="AZ72">
            <v>0</v>
          </cell>
          <cell r="BA72">
            <v>654.47</v>
          </cell>
          <cell r="BB72">
            <v>654.47</v>
          </cell>
          <cell r="BC72">
            <v>654.47</v>
          </cell>
          <cell r="BD72">
            <v>0</v>
          </cell>
          <cell r="BE72">
            <v>0</v>
          </cell>
          <cell r="BF72">
            <v>0</v>
          </cell>
          <cell r="BG72">
            <v>654.47</v>
          </cell>
          <cell r="BH72">
            <v>654.47</v>
          </cell>
          <cell r="BI72">
            <v>654.47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934.95999999999981</v>
          </cell>
          <cell r="BQ72">
            <v>688.44999999999891</v>
          </cell>
          <cell r="BR72">
            <v>622.34000000000196</v>
          </cell>
          <cell r="BS72">
            <v>688.44999999999891</v>
          </cell>
          <cell r="BT72">
            <v>585.59999999999945</v>
          </cell>
          <cell r="BU72">
            <v>519.4900000000016</v>
          </cell>
          <cell r="BV72">
            <v>519.4900000000016</v>
          </cell>
          <cell r="BW72">
            <v>2611.3999999999987</v>
          </cell>
          <cell r="BX72">
            <v>1368.3299999999981</v>
          </cell>
          <cell r="BY72">
            <v>1246.4799999999941</v>
          </cell>
          <cell r="BZ72">
            <v>1368.3299999999981</v>
          </cell>
          <cell r="CA72">
            <v>1297.4399999999978</v>
          </cell>
          <cell r="CB72">
            <v>1175.5899999999929</v>
          </cell>
          <cell r="CC72">
            <v>1175.5899999999929</v>
          </cell>
          <cell r="CD72">
            <v>102.85</v>
          </cell>
          <cell r="CE72">
            <v>26.35</v>
          </cell>
          <cell r="CF72">
            <v>26.35</v>
          </cell>
          <cell r="CG72">
            <v>26.35</v>
          </cell>
          <cell r="CH72">
            <v>70.89</v>
          </cell>
          <cell r="CI72">
            <v>26.35</v>
          </cell>
          <cell r="CJ72">
            <v>26.35</v>
          </cell>
          <cell r="CK72">
            <v>26.35</v>
          </cell>
          <cell r="CL72">
            <v>0</v>
          </cell>
          <cell r="CM72">
            <v>83.45</v>
          </cell>
          <cell r="CN72">
            <v>83.45</v>
          </cell>
          <cell r="CO72">
            <v>83.45</v>
          </cell>
          <cell r="CP72">
            <v>0</v>
          </cell>
          <cell r="CQ72">
            <v>83.45</v>
          </cell>
          <cell r="CR72">
            <v>83.45</v>
          </cell>
          <cell r="CS72">
            <v>83.45</v>
          </cell>
          <cell r="CT72">
            <v>0</v>
          </cell>
          <cell r="CU72">
            <v>205.55</v>
          </cell>
          <cell r="CV72">
            <v>205.55</v>
          </cell>
          <cell r="CW72">
            <v>205.55</v>
          </cell>
          <cell r="CX72">
            <v>0</v>
          </cell>
          <cell r="CY72">
            <v>205.55</v>
          </cell>
          <cell r="CZ72">
            <v>205.55</v>
          </cell>
          <cell r="DA72">
            <v>205.55</v>
          </cell>
          <cell r="DB72">
            <v>0</v>
          </cell>
          <cell r="DC72">
            <v>82.01</v>
          </cell>
          <cell r="DD72">
            <v>82.01</v>
          </cell>
          <cell r="DE72">
            <v>82.01</v>
          </cell>
          <cell r="DF72">
            <v>0</v>
          </cell>
          <cell r="DG72">
            <v>82.01</v>
          </cell>
          <cell r="DH72">
            <v>82.01</v>
          </cell>
          <cell r="DI72">
            <v>82.01</v>
          </cell>
        </row>
        <row r="73">
          <cell r="A73">
            <v>45171</v>
          </cell>
          <cell r="B73">
            <v>4809.93</v>
          </cell>
          <cell r="C73">
            <v>4809.93</v>
          </cell>
          <cell r="D73">
            <v>4809.93</v>
          </cell>
          <cell r="E73">
            <v>4809.93</v>
          </cell>
          <cell r="F73">
            <v>4690.71</v>
          </cell>
          <cell r="G73">
            <v>4690.71</v>
          </cell>
          <cell r="H73">
            <v>4809.93</v>
          </cell>
          <cell r="I73">
            <v>4809.93</v>
          </cell>
          <cell r="J73">
            <v>4809.93</v>
          </cell>
          <cell r="K73">
            <v>4809.93</v>
          </cell>
          <cell r="L73">
            <v>4690.71</v>
          </cell>
          <cell r="M73">
            <v>4690.71</v>
          </cell>
          <cell r="N73">
            <v>7875.43</v>
          </cell>
          <cell r="O73">
            <v>7875.43</v>
          </cell>
          <cell r="P73">
            <v>7875.43</v>
          </cell>
          <cell r="Q73">
            <v>7875.43</v>
          </cell>
          <cell r="R73">
            <v>4279.26</v>
          </cell>
          <cell r="S73">
            <v>4279.26</v>
          </cell>
          <cell r="T73">
            <v>7875.43</v>
          </cell>
          <cell r="U73">
            <v>7875.43</v>
          </cell>
          <cell r="V73">
            <v>7875.43</v>
          </cell>
          <cell r="W73">
            <v>7875.43</v>
          </cell>
          <cell r="X73">
            <v>4279.26</v>
          </cell>
          <cell r="Y73">
            <v>4279.26</v>
          </cell>
          <cell r="Z73">
            <v>5932.61</v>
          </cell>
          <cell r="AA73">
            <v>5932.61</v>
          </cell>
          <cell r="AB73">
            <v>5932.61</v>
          </cell>
          <cell r="AC73">
            <v>5932.61</v>
          </cell>
          <cell r="AD73">
            <v>3418.56</v>
          </cell>
          <cell r="AE73">
            <v>3418.56</v>
          </cell>
          <cell r="AF73">
            <v>5932.61</v>
          </cell>
          <cell r="AG73">
            <v>5932.61</v>
          </cell>
          <cell r="AH73">
            <v>5932.61</v>
          </cell>
          <cell r="AI73">
            <v>5932.61</v>
          </cell>
          <cell r="AJ73">
            <v>3418.56</v>
          </cell>
          <cell r="AK73">
            <v>3418.56</v>
          </cell>
          <cell r="AL73">
            <v>2921.64</v>
          </cell>
          <cell r="AM73">
            <v>2921.64</v>
          </cell>
          <cell r="AN73">
            <v>2921.64</v>
          </cell>
          <cell r="AO73">
            <v>2921.64</v>
          </cell>
          <cell r="AP73">
            <v>2712.07</v>
          </cell>
          <cell r="AQ73">
            <v>2712.07</v>
          </cell>
          <cell r="AR73">
            <v>2921.64</v>
          </cell>
          <cell r="AS73">
            <v>2921.64</v>
          </cell>
          <cell r="AT73">
            <v>2921.64</v>
          </cell>
          <cell r="AU73">
            <v>2921.64</v>
          </cell>
          <cell r="AV73">
            <v>2712.07</v>
          </cell>
          <cell r="AW73">
            <v>2712.07</v>
          </cell>
          <cell r="AX73">
            <v>0</v>
          </cell>
          <cell r="AY73">
            <v>0</v>
          </cell>
          <cell r="AZ73">
            <v>0</v>
          </cell>
          <cell r="BA73">
            <v>864.18</v>
          </cell>
          <cell r="BB73">
            <v>864.18</v>
          </cell>
          <cell r="BC73">
            <v>864.18</v>
          </cell>
          <cell r="BD73">
            <v>0</v>
          </cell>
          <cell r="BE73">
            <v>0</v>
          </cell>
          <cell r="BF73">
            <v>0</v>
          </cell>
          <cell r="BG73">
            <v>864.18</v>
          </cell>
          <cell r="BH73">
            <v>864.18</v>
          </cell>
          <cell r="BI73">
            <v>864.18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667.1999999999997</v>
          </cell>
          <cell r="BQ73">
            <v>222.52000000000407</v>
          </cell>
          <cell r="BR73">
            <v>171.9099999999944</v>
          </cell>
          <cell r="BS73">
            <v>222.52000000000407</v>
          </cell>
          <cell r="BT73">
            <v>208.31000000000495</v>
          </cell>
          <cell r="BU73">
            <v>157.70000000000437</v>
          </cell>
          <cell r="BV73">
            <v>157.69999999999709</v>
          </cell>
          <cell r="BW73">
            <v>11476.690000000004</v>
          </cell>
          <cell r="BX73">
            <v>2894.0699999999888</v>
          </cell>
          <cell r="BY73">
            <v>1508.5499999999884</v>
          </cell>
          <cell r="BZ73">
            <v>2894.0699999999888</v>
          </cell>
          <cell r="CA73">
            <v>2834.7399999999907</v>
          </cell>
          <cell r="CB73">
            <v>1449.2199999999903</v>
          </cell>
          <cell r="CC73">
            <v>1449.2199999999903</v>
          </cell>
          <cell r="CD73">
            <v>14.21</v>
          </cell>
          <cell r="CE73">
            <v>61.49</v>
          </cell>
          <cell r="CF73">
            <v>61.49</v>
          </cell>
          <cell r="CG73">
            <v>61.49</v>
          </cell>
          <cell r="CH73">
            <v>59.33</v>
          </cell>
          <cell r="CI73">
            <v>61.49</v>
          </cell>
          <cell r="CJ73">
            <v>61.49</v>
          </cell>
          <cell r="CK73">
            <v>61.49</v>
          </cell>
          <cell r="CL73">
            <v>0</v>
          </cell>
          <cell r="CM73">
            <v>195.69</v>
          </cell>
          <cell r="CN73">
            <v>195.69</v>
          </cell>
          <cell r="CO73">
            <v>195.69</v>
          </cell>
          <cell r="CP73">
            <v>0</v>
          </cell>
          <cell r="CQ73">
            <v>195.69</v>
          </cell>
          <cell r="CR73">
            <v>195.69</v>
          </cell>
          <cell r="CS73">
            <v>195.69</v>
          </cell>
          <cell r="CT73">
            <v>0</v>
          </cell>
          <cell r="CU73">
            <v>328.26</v>
          </cell>
          <cell r="CV73">
            <v>328.26</v>
          </cell>
          <cell r="CW73">
            <v>328.26</v>
          </cell>
          <cell r="CX73">
            <v>0</v>
          </cell>
          <cell r="CY73">
            <v>328.26</v>
          </cell>
          <cell r="CZ73">
            <v>328.26</v>
          </cell>
          <cell r="DA73">
            <v>328.26</v>
          </cell>
          <cell r="DB73">
            <v>0</v>
          </cell>
          <cell r="DC73">
            <v>163.31</v>
          </cell>
          <cell r="DD73">
            <v>163.31</v>
          </cell>
          <cell r="DE73">
            <v>163.31</v>
          </cell>
          <cell r="DF73">
            <v>0</v>
          </cell>
          <cell r="DG73">
            <v>163.31</v>
          </cell>
          <cell r="DH73">
            <v>163.31</v>
          </cell>
          <cell r="DI73">
            <v>163.31</v>
          </cell>
        </row>
        <row r="74">
          <cell r="A74">
            <v>45172</v>
          </cell>
          <cell r="B74">
            <v>8620.6200000000008</v>
          </cell>
          <cell r="C74">
            <v>8620.6200000000008</v>
          </cell>
          <cell r="D74">
            <v>8620.6200000000008</v>
          </cell>
          <cell r="E74">
            <v>8620.6200000000008</v>
          </cell>
          <cell r="F74">
            <v>7829.48</v>
          </cell>
          <cell r="G74">
            <v>7829.48</v>
          </cell>
          <cell r="H74">
            <v>8620.6200000000008</v>
          </cell>
          <cell r="I74">
            <v>8620.6200000000008</v>
          </cell>
          <cell r="J74">
            <v>8620.6200000000008</v>
          </cell>
          <cell r="K74">
            <v>8620.6200000000008</v>
          </cell>
          <cell r="L74">
            <v>7108.04</v>
          </cell>
          <cell r="M74">
            <v>7108.04</v>
          </cell>
          <cell r="N74">
            <v>11019.1</v>
          </cell>
          <cell r="O74">
            <v>11019.1</v>
          </cell>
          <cell r="P74">
            <v>11019.1</v>
          </cell>
          <cell r="Q74">
            <v>11019.1</v>
          </cell>
          <cell r="R74">
            <v>5877.67</v>
          </cell>
          <cell r="S74">
            <v>5877.67</v>
          </cell>
          <cell r="T74">
            <v>11019.1</v>
          </cell>
          <cell r="U74">
            <v>11019.1</v>
          </cell>
          <cell r="V74">
            <v>11019.1</v>
          </cell>
          <cell r="W74">
            <v>11019.1</v>
          </cell>
          <cell r="X74">
            <v>6069.83</v>
          </cell>
          <cell r="Y74">
            <v>6069.83</v>
          </cell>
          <cell r="Z74">
            <v>5077.1099999999997</v>
          </cell>
          <cell r="AA74">
            <v>5077.1099999999997</v>
          </cell>
          <cell r="AB74">
            <v>5077.1099999999997</v>
          </cell>
          <cell r="AC74">
            <v>5077.1099999999997</v>
          </cell>
          <cell r="AD74">
            <v>4123.6399999999994</v>
          </cell>
          <cell r="AE74">
            <v>4123.6399999999994</v>
          </cell>
          <cell r="AF74">
            <v>5077.1099999999997</v>
          </cell>
          <cell r="AG74">
            <v>5077.1099999999997</v>
          </cell>
          <cell r="AH74">
            <v>5077.1099999999997</v>
          </cell>
          <cell r="AI74">
            <v>5077.1099999999997</v>
          </cell>
          <cell r="AJ74">
            <v>4128.68</v>
          </cell>
          <cell r="AK74">
            <v>4128.68</v>
          </cell>
          <cell r="AL74">
            <v>1762.42</v>
          </cell>
          <cell r="AM74">
            <v>1762.42</v>
          </cell>
          <cell r="AN74">
            <v>1762.42</v>
          </cell>
          <cell r="AO74">
            <v>1762.42</v>
          </cell>
          <cell r="AP74">
            <v>1894.3</v>
          </cell>
          <cell r="AQ74">
            <v>1894.3</v>
          </cell>
          <cell r="AR74">
            <v>1762.42</v>
          </cell>
          <cell r="AS74">
            <v>1762.42</v>
          </cell>
          <cell r="AT74">
            <v>1762.42</v>
          </cell>
          <cell r="AU74">
            <v>1762.42</v>
          </cell>
          <cell r="AV74">
            <v>2303.1099999999997</v>
          </cell>
          <cell r="AW74">
            <v>2303.1099999999997</v>
          </cell>
          <cell r="AX74">
            <v>0</v>
          </cell>
          <cell r="AY74">
            <v>0</v>
          </cell>
          <cell r="AZ74">
            <v>0</v>
          </cell>
          <cell r="BA74">
            <v>1070.32</v>
          </cell>
          <cell r="BB74">
            <v>1070.32</v>
          </cell>
          <cell r="BC74">
            <v>1070.32</v>
          </cell>
          <cell r="BD74">
            <v>0</v>
          </cell>
          <cell r="BE74">
            <v>0</v>
          </cell>
          <cell r="BF74">
            <v>0</v>
          </cell>
          <cell r="BG74">
            <v>997.58</v>
          </cell>
          <cell r="BH74">
            <v>997.58</v>
          </cell>
          <cell r="BI74">
            <v>997.58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1244.9399999999994</v>
          </cell>
          <cell r="BQ74">
            <v>479.94999999998981</v>
          </cell>
          <cell r="BR74">
            <v>421.89999999999054</v>
          </cell>
          <cell r="BS74">
            <v>479.94999999998981</v>
          </cell>
          <cell r="BT74">
            <v>479.94999999998981</v>
          </cell>
          <cell r="BU74">
            <v>421.89999999999054</v>
          </cell>
          <cell r="BV74">
            <v>421.89999999999054</v>
          </cell>
          <cell r="BW74">
            <v>4308.6899999999987</v>
          </cell>
          <cell r="BX74">
            <v>1263.1699999999983</v>
          </cell>
          <cell r="BY74">
            <v>981.20999999999549</v>
          </cell>
          <cell r="BZ74">
            <v>1263.1699999999983</v>
          </cell>
          <cell r="CA74">
            <v>1196.1899999999987</v>
          </cell>
          <cell r="CB74">
            <v>914.22999999999593</v>
          </cell>
          <cell r="CC74">
            <v>914.22999999999593</v>
          </cell>
          <cell r="CD74">
            <v>0</v>
          </cell>
          <cell r="CE74">
            <v>121.14</v>
          </cell>
          <cell r="CF74">
            <v>121.14</v>
          </cell>
          <cell r="CG74">
            <v>121.14</v>
          </cell>
          <cell r="CH74">
            <v>66.98</v>
          </cell>
          <cell r="CI74">
            <v>121.14</v>
          </cell>
          <cell r="CJ74">
            <v>121.14</v>
          </cell>
          <cell r="CK74">
            <v>121.14</v>
          </cell>
          <cell r="CL74">
            <v>0</v>
          </cell>
          <cell r="CM74">
            <v>344.46</v>
          </cell>
          <cell r="CN74">
            <v>344.46</v>
          </cell>
          <cell r="CO74">
            <v>344.46</v>
          </cell>
          <cell r="CP74">
            <v>0</v>
          </cell>
          <cell r="CQ74">
            <v>344.46</v>
          </cell>
          <cell r="CR74">
            <v>344.46</v>
          </cell>
          <cell r="CS74">
            <v>344.46</v>
          </cell>
          <cell r="CT74">
            <v>0</v>
          </cell>
          <cell r="CU74">
            <v>1034.8499999999999</v>
          </cell>
          <cell r="CV74">
            <v>1034.8499999999999</v>
          </cell>
          <cell r="CW74">
            <v>1034.8499999999999</v>
          </cell>
          <cell r="CX74">
            <v>0</v>
          </cell>
          <cell r="CY74">
            <v>1034.8499999999999</v>
          </cell>
          <cell r="CZ74">
            <v>1034.8499999999999</v>
          </cell>
          <cell r="DA74">
            <v>1034.8499999999999</v>
          </cell>
          <cell r="DB74">
            <v>0</v>
          </cell>
          <cell r="DC74">
            <v>2454.56</v>
          </cell>
          <cell r="DD74">
            <v>2454.56</v>
          </cell>
          <cell r="DE74">
            <v>2454.56</v>
          </cell>
          <cell r="DF74">
            <v>0</v>
          </cell>
          <cell r="DG74">
            <v>2454.56</v>
          </cell>
          <cell r="DH74">
            <v>2454.56</v>
          </cell>
          <cell r="DI74">
            <v>2454.56</v>
          </cell>
        </row>
        <row r="75">
          <cell r="A75">
            <v>45173</v>
          </cell>
          <cell r="B75">
            <v>3097.44</v>
          </cell>
          <cell r="C75">
            <v>3097.44</v>
          </cell>
          <cell r="D75">
            <v>3097.44</v>
          </cell>
          <cell r="E75">
            <v>3097.44</v>
          </cell>
          <cell r="F75">
            <v>5039.1399999999994</v>
          </cell>
          <cell r="G75">
            <v>5039.1399999999994</v>
          </cell>
          <cell r="H75">
            <v>3097.44</v>
          </cell>
          <cell r="I75">
            <v>3097.44</v>
          </cell>
          <cell r="J75">
            <v>3097.44</v>
          </cell>
          <cell r="K75">
            <v>3097.44</v>
          </cell>
          <cell r="L75">
            <v>5039.1399999999994</v>
          </cell>
          <cell r="M75">
            <v>5039.1399999999994</v>
          </cell>
          <cell r="N75">
            <v>7226.24</v>
          </cell>
          <cell r="O75">
            <v>7226.24</v>
          </cell>
          <cell r="P75">
            <v>7226.24</v>
          </cell>
          <cell r="Q75">
            <v>7226.24</v>
          </cell>
          <cell r="R75">
            <v>4363.53</v>
          </cell>
          <cell r="S75">
            <v>4363.53</v>
          </cell>
          <cell r="T75">
            <v>7226.24</v>
          </cell>
          <cell r="U75">
            <v>7226.24</v>
          </cell>
          <cell r="V75">
            <v>7226.24</v>
          </cell>
          <cell r="W75">
            <v>7226.24</v>
          </cell>
          <cell r="X75">
            <v>4363.53</v>
          </cell>
          <cell r="Y75">
            <v>4363.53</v>
          </cell>
          <cell r="Z75">
            <v>5692.5</v>
          </cell>
          <cell r="AA75">
            <v>5692.5</v>
          </cell>
          <cell r="AB75">
            <v>5692.5</v>
          </cell>
          <cell r="AC75">
            <v>5692.5</v>
          </cell>
          <cell r="AD75">
            <v>3806.19</v>
          </cell>
          <cell r="AE75">
            <v>3806.19</v>
          </cell>
          <cell r="AF75">
            <v>5692.5</v>
          </cell>
          <cell r="AG75">
            <v>5692.5</v>
          </cell>
          <cell r="AH75">
            <v>5692.5</v>
          </cell>
          <cell r="AI75">
            <v>5692.5</v>
          </cell>
          <cell r="AJ75">
            <v>3806.19</v>
          </cell>
          <cell r="AK75">
            <v>3806.19</v>
          </cell>
          <cell r="AL75">
            <v>2298.5</v>
          </cell>
          <cell r="AM75">
            <v>2298.5</v>
          </cell>
          <cell r="AN75">
            <v>2298.5</v>
          </cell>
          <cell r="AO75">
            <v>2298.5</v>
          </cell>
          <cell r="AP75">
            <v>1809.9299999999998</v>
          </cell>
          <cell r="AQ75">
            <v>1809.9299999999998</v>
          </cell>
          <cell r="AR75">
            <v>2298.5</v>
          </cell>
          <cell r="AS75">
            <v>2298.5</v>
          </cell>
          <cell r="AT75">
            <v>2298.5</v>
          </cell>
          <cell r="AU75">
            <v>2298.5</v>
          </cell>
          <cell r="AV75">
            <v>1809.9299999999998</v>
          </cell>
          <cell r="AW75">
            <v>1809.9299999999998</v>
          </cell>
          <cell r="AX75">
            <v>0</v>
          </cell>
          <cell r="AY75">
            <v>0</v>
          </cell>
          <cell r="AZ75">
            <v>0</v>
          </cell>
          <cell r="BA75">
            <v>1452.19</v>
          </cell>
          <cell r="BB75">
            <v>1452.19</v>
          </cell>
          <cell r="BC75">
            <v>1452.19</v>
          </cell>
          <cell r="BD75">
            <v>0</v>
          </cell>
          <cell r="BE75">
            <v>0</v>
          </cell>
          <cell r="BF75">
            <v>0</v>
          </cell>
          <cell r="BG75">
            <v>1452.19</v>
          </cell>
          <cell r="BH75">
            <v>1452.19</v>
          </cell>
          <cell r="BI75">
            <v>1452.19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2411.8200000000006</v>
          </cell>
          <cell r="BQ75">
            <v>869.40000000000146</v>
          </cell>
          <cell r="BR75">
            <v>666.16000000000349</v>
          </cell>
          <cell r="BS75">
            <v>869.40000000000146</v>
          </cell>
          <cell r="BT75">
            <v>829.24000000000524</v>
          </cell>
          <cell r="BU75">
            <v>626.00000000000728</v>
          </cell>
          <cell r="BV75">
            <v>626.00000000000728</v>
          </cell>
          <cell r="BW75">
            <v>7900</v>
          </cell>
          <cell r="BX75">
            <v>2481.7400000000089</v>
          </cell>
          <cell r="BY75">
            <v>1587.2300000000105</v>
          </cell>
          <cell r="BZ75">
            <v>2481.7400000000089</v>
          </cell>
          <cell r="CA75">
            <v>2397.8900000000103</v>
          </cell>
          <cell r="CB75">
            <v>1503.3800000000119</v>
          </cell>
          <cell r="CC75">
            <v>1503.3800000000119</v>
          </cell>
          <cell r="CD75">
            <v>40.159999999999997</v>
          </cell>
          <cell r="CE75">
            <v>168.49</v>
          </cell>
          <cell r="CF75">
            <v>168.49</v>
          </cell>
          <cell r="CG75">
            <v>168.49</v>
          </cell>
          <cell r="CH75">
            <v>83.85</v>
          </cell>
          <cell r="CI75">
            <v>168.49</v>
          </cell>
          <cell r="CJ75">
            <v>168.49</v>
          </cell>
          <cell r="CK75">
            <v>168.49</v>
          </cell>
          <cell r="CL75">
            <v>0</v>
          </cell>
          <cell r="CM75">
            <v>258.22000000000003</v>
          </cell>
          <cell r="CN75">
            <v>258.22000000000003</v>
          </cell>
          <cell r="CO75">
            <v>258.22000000000003</v>
          </cell>
          <cell r="CP75">
            <v>0</v>
          </cell>
          <cell r="CQ75">
            <v>258.22000000000003</v>
          </cell>
          <cell r="CR75">
            <v>258.22000000000003</v>
          </cell>
          <cell r="CS75">
            <v>258.22000000000003</v>
          </cell>
          <cell r="CT75">
            <v>0</v>
          </cell>
          <cell r="CU75">
            <v>601.54</v>
          </cell>
          <cell r="CV75">
            <v>601.54</v>
          </cell>
          <cell r="CW75">
            <v>601.54</v>
          </cell>
          <cell r="CX75">
            <v>0</v>
          </cell>
          <cell r="CY75">
            <v>601.54</v>
          </cell>
          <cell r="CZ75">
            <v>601.54</v>
          </cell>
          <cell r="DA75">
            <v>601.54</v>
          </cell>
          <cell r="DB75">
            <v>0</v>
          </cell>
          <cell r="DC75">
            <v>2373.6</v>
          </cell>
          <cell r="DD75">
            <v>2373.6</v>
          </cell>
          <cell r="DE75">
            <v>2373.6</v>
          </cell>
          <cell r="DF75">
            <v>0</v>
          </cell>
          <cell r="DG75">
            <v>2373.6</v>
          </cell>
          <cell r="DH75">
            <v>2373.6</v>
          </cell>
          <cell r="DI75">
            <v>2373.6</v>
          </cell>
        </row>
        <row r="76">
          <cell r="A76">
            <v>45174</v>
          </cell>
          <cell r="B76">
            <v>1988.37</v>
          </cell>
          <cell r="C76">
            <v>1988.37</v>
          </cell>
          <cell r="D76">
            <v>1988.37</v>
          </cell>
          <cell r="E76">
            <v>1988.37</v>
          </cell>
          <cell r="F76">
            <v>2471.48</v>
          </cell>
          <cell r="G76">
            <v>2471.48</v>
          </cell>
          <cell r="H76">
            <v>1988.37</v>
          </cell>
          <cell r="I76">
            <v>1988.37</v>
          </cell>
          <cell r="J76">
            <v>1988.37</v>
          </cell>
          <cell r="K76">
            <v>1988.37</v>
          </cell>
          <cell r="L76">
            <v>2554.36</v>
          </cell>
          <cell r="M76">
            <v>2554.36</v>
          </cell>
          <cell r="N76">
            <v>3764.81</v>
          </cell>
          <cell r="O76">
            <v>3764.81</v>
          </cell>
          <cell r="P76">
            <v>3764.81</v>
          </cell>
          <cell r="Q76">
            <v>3764.81</v>
          </cell>
          <cell r="R76">
            <v>2882.76</v>
          </cell>
          <cell r="S76">
            <v>2882.76</v>
          </cell>
          <cell r="T76">
            <v>3764.81</v>
          </cell>
          <cell r="U76">
            <v>3764.81</v>
          </cell>
          <cell r="V76">
            <v>3764.81</v>
          </cell>
          <cell r="W76">
            <v>3764.81</v>
          </cell>
          <cell r="X76">
            <v>2794.38</v>
          </cell>
          <cell r="Y76">
            <v>2794.38</v>
          </cell>
          <cell r="Z76">
            <v>2783.69</v>
          </cell>
          <cell r="AA76">
            <v>2783.69</v>
          </cell>
          <cell r="AB76">
            <v>2783.69</v>
          </cell>
          <cell r="AC76">
            <v>2783.69</v>
          </cell>
          <cell r="AD76">
            <v>2092.5</v>
          </cell>
          <cell r="AE76">
            <v>2092.5</v>
          </cell>
          <cell r="AF76">
            <v>2783.69</v>
          </cell>
          <cell r="AG76">
            <v>2783.69</v>
          </cell>
          <cell r="AH76">
            <v>2783.69</v>
          </cell>
          <cell r="AI76">
            <v>2783.69</v>
          </cell>
          <cell r="AJ76">
            <v>2066.7199999999998</v>
          </cell>
          <cell r="AK76">
            <v>2066.7199999999998</v>
          </cell>
          <cell r="AL76">
            <v>1297.74</v>
          </cell>
          <cell r="AM76">
            <v>1297.74</v>
          </cell>
          <cell r="AN76">
            <v>1297.74</v>
          </cell>
          <cell r="AO76">
            <v>1297.74</v>
          </cell>
          <cell r="AP76">
            <v>1480.6599999999999</v>
          </cell>
          <cell r="AQ76">
            <v>1480.6599999999999</v>
          </cell>
          <cell r="AR76">
            <v>1297.74</v>
          </cell>
          <cell r="AS76">
            <v>1297.74</v>
          </cell>
          <cell r="AT76">
            <v>1297.74</v>
          </cell>
          <cell r="AU76">
            <v>1297.74</v>
          </cell>
          <cell r="AV76">
            <v>1019.1</v>
          </cell>
          <cell r="AW76">
            <v>1019.1</v>
          </cell>
          <cell r="AX76">
            <v>0</v>
          </cell>
          <cell r="AY76">
            <v>0</v>
          </cell>
          <cell r="AZ76">
            <v>0</v>
          </cell>
          <cell r="BA76">
            <v>720.26</v>
          </cell>
          <cell r="BB76">
            <v>720.26</v>
          </cell>
          <cell r="BC76">
            <v>720.26</v>
          </cell>
          <cell r="BD76">
            <v>0</v>
          </cell>
          <cell r="BE76">
            <v>0</v>
          </cell>
          <cell r="BF76">
            <v>0</v>
          </cell>
          <cell r="BG76">
            <v>744.94</v>
          </cell>
          <cell r="BH76">
            <v>744.94</v>
          </cell>
          <cell r="BI76">
            <v>744.94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1988.3600000000004</v>
          </cell>
          <cell r="BQ76">
            <v>1253.58</v>
          </cell>
          <cell r="BR76">
            <v>1072.2600000000002</v>
          </cell>
          <cell r="BS76">
            <v>1253.58</v>
          </cell>
          <cell r="BT76">
            <v>1145.9800000000014</v>
          </cell>
          <cell r="BU76">
            <v>964.66000000000167</v>
          </cell>
          <cell r="BV76">
            <v>964.66000000000167</v>
          </cell>
          <cell r="BW76">
            <v>7601.2699999999977</v>
          </cell>
          <cell r="BX76">
            <v>3208.8200000000033</v>
          </cell>
          <cell r="BY76">
            <v>2437.8400000000038</v>
          </cell>
          <cell r="BZ76">
            <v>3208.8200000000033</v>
          </cell>
          <cell r="CA76">
            <v>2980.220000000003</v>
          </cell>
          <cell r="CB76">
            <v>2209.2400000000034</v>
          </cell>
          <cell r="CC76">
            <v>2209.2400000000034</v>
          </cell>
          <cell r="CD76">
            <v>107.6</v>
          </cell>
          <cell r="CE76">
            <v>56.94</v>
          </cell>
          <cell r="CF76">
            <v>56.94</v>
          </cell>
          <cell r="CG76">
            <v>56.94</v>
          </cell>
          <cell r="CH76">
            <v>228.6</v>
          </cell>
          <cell r="CI76">
            <v>56.94</v>
          </cell>
          <cell r="CJ76">
            <v>56.94</v>
          </cell>
          <cell r="CK76">
            <v>56.94</v>
          </cell>
          <cell r="CL76">
            <v>0</v>
          </cell>
          <cell r="CM76">
            <v>232.98</v>
          </cell>
          <cell r="CN76">
            <v>232.98</v>
          </cell>
          <cell r="CO76">
            <v>232.98</v>
          </cell>
          <cell r="CP76">
            <v>0</v>
          </cell>
          <cell r="CQ76">
            <v>232.98</v>
          </cell>
          <cell r="CR76">
            <v>232.98</v>
          </cell>
          <cell r="CS76">
            <v>232.98</v>
          </cell>
          <cell r="CT76">
            <v>0</v>
          </cell>
          <cell r="CU76">
            <v>431.58</v>
          </cell>
          <cell r="CV76">
            <v>431.58</v>
          </cell>
          <cell r="CW76">
            <v>431.58</v>
          </cell>
          <cell r="CX76">
            <v>0</v>
          </cell>
          <cell r="CY76">
            <v>431.58</v>
          </cell>
          <cell r="CZ76">
            <v>431.58</v>
          </cell>
          <cell r="DA76">
            <v>431.58</v>
          </cell>
          <cell r="DB76">
            <v>0</v>
          </cell>
          <cell r="DC76">
            <v>1287.9000000000001</v>
          </cell>
          <cell r="DD76">
            <v>1287.9000000000001</v>
          </cell>
          <cell r="DE76">
            <v>1287.9000000000001</v>
          </cell>
          <cell r="DF76">
            <v>0</v>
          </cell>
          <cell r="DG76">
            <v>1287.9000000000001</v>
          </cell>
          <cell r="DH76">
            <v>1287.9000000000001</v>
          </cell>
          <cell r="DI76">
            <v>1287.9000000000001</v>
          </cell>
        </row>
        <row r="77">
          <cell r="A77">
            <v>45175</v>
          </cell>
          <cell r="B77">
            <v>1920.52</v>
          </cell>
          <cell r="C77">
            <v>1920.52</v>
          </cell>
          <cell r="D77">
            <v>1920.52</v>
          </cell>
          <cell r="E77">
            <v>1920.52</v>
          </cell>
          <cell r="F77">
            <v>3129.67</v>
          </cell>
          <cell r="G77">
            <v>3129.67</v>
          </cell>
          <cell r="H77">
            <v>1920.52</v>
          </cell>
          <cell r="I77">
            <v>1920.52</v>
          </cell>
          <cell r="J77">
            <v>1920.52</v>
          </cell>
          <cell r="K77">
            <v>1920.52</v>
          </cell>
          <cell r="L77">
            <v>3120.9700000000003</v>
          </cell>
          <cell r="M77">
            <v>3120.9700000000003</v>
          </cell>
          <cell r="N77">
            <v>2677.19</v>
          </cell>
          <cell r="O77">
            <v>2677.19</v>
          </cell>
          <cell r="P77">
            <v>2677.19</v>
          </cell>
          <cell r="Q77">
            <v>2677.19</v>
          </cell>
          <cell r="R77">
            <v>2236.98</v>
          </cell>
          <cell r="S77">
            <v>2236.98</v>
          </cell>
          <cell r="T77">
            <v>2677.19</v>
          </cell>
          <cell r="U77">
            <v>2677.19</v>
          </cell>
          <cell r="V77">
            <v>2677.19</v>
          </cell>
          <cell r="W77">
            <v>2677.19</v>
          </cell>
          <cell r="X77">
            <v>2234.66</v>
          </cell>
          <cell r="Y77">
            <v>2234.66</v>
          </cell>
          <cell r="Z77">
            <v>2019.71</v>
          </cell>
          <cell r="AA77">
            <v>2019.71</v>
          </cell>
          <cell r="AB77">
            <v>2019.71</v>
          </cell>
          <cell r="AC77">
            <v>2019.71</v>
          </cell>
          <cell r="AD77">
            <v>1391.69</v>
          </cell>
          <cell r="AE77">
            <v>1391.69</v>
          </cell>
          <cell r="AF77">
            <v>2019.71</v>
          </cell>
          <cell r="AG77">
            <v>2019.71</v>
          </cell>
          <cell r="AH77">
            <v>2019.71</v>
          </cell>
          <cell r="AI77">
            <v>2019.71</v>
          </cell>
          <cell r="AJ77">
            <v>1391.96</v>
          </cell>
          <cell r="AK77">
            <v>1391.96</v>
          </cell>
          <cell r="AL77">
            <v>702.34</v>
          </cell>
          <cell r="AM77">
            <v>702.34</v>
          </cell>
          <cell r="AN77">
            <v>702.34</v>
          </cell>
          <cell r="AO77">
            <v>702.34</v>
          </cell>
          <cell r="AP77">
            <v>766.3900000000001</v>
          </cell>
          <cell r="AQ77">
            <v>766.3900000000001</v>
          </cell>
          <cell r="AR77">
            <v>702.34</v>
          </cell>
          <cell r="AS77">
            <v>702.34</v>
          </cell>
          <cell r="AT77">
            <v>702.34</v>
          </cell>
          <cell r="AU77">
            <v>702.34</v>
          </cell>
          <cell r="AV77">
            <v>766.46</v>
          </cell>
          <cell r="AW77">
            <v>766.46</v>
          </cell>
          <cell r="AX77">
            <v>0</v>
          </cell>
          <cell r="AY77">
            <v>0</v>
          </cell>
          <cell r="AZ77">
            <v>0</v>
          </cell>
          <cell r="BA77">
            <v>553.80999999999995</v>
          </cell>
          <cell r="BB77">
            <v>553.80999999999995</v>
          </cell>
          <cell r="BC77">
            <v>553.80999999999995</v>
          </cell>
          <cell r="BD77">
            <v>0</v>
          </cell>
          <cell r="BE77">
            <v>0</v>
          </cell>
          <cell r="BF77">
            <v>0</v>
          </cell>
          <cell r="BG77">
            <v>554.27</v>
          </cell>
          <cell r="BH77">
            <v>554.27</v>
          </cell>
          <cell r="BI77">
            <v>554.27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283.43999999999994</v>
          </cell>
          <cell r="BQ77">
            <v>199.87999999999647</v>
          </cell>
          <cell r="BR77">
            <v>181.69999999999345</v>
          </cell>
          <cell r="BS77">
            <v>199.87999999999647</v>
          </cell>
          <cell r="BT77">
            <v>185.50999999999658</v>
          </cell>
          <cell r="BU77">
            <v>167.32999999999629</v>
          </cell>
          <cell r="BV77">
            <v>167.32999999999447</v>
          </cell>
          <cell r="BW77">
            <v>3723.1899999999996</v>
          </cell>
          <cell r="BX77">
            <v>1648.4499999999935</v>
          </cell>
          <cell r="BY77">
            <v>1263.4199999999964</v>
          </cell>
          <cell r="BZ77">
            <v>1648.4499999999935</v>
          </cell>
          <cell r="CA77">
            <v>1564.9399999999932</v>
          </cell>
          <cell r="CB77">
            <v>1179.9099999999944</v>
          </cell>
          <cell r="CC77">
            <v>1179.9099999999962</v>
          </cell>
          <cell r="CD77">
            <v>14.370000000000001</v>
          </cell>
          <cell r="CE77">
            <v>59.42</v>
          </cell>
          <cell r="CF77">
            <v>59.42</v>
          </cell>
          <cell r="CG77">
            <v>59.42</v>
          </cell>
          <cell r="CH77">
            <v>83.51</v>
          </cell>
          <cell r="CI77">
            <v>59.42</v>
          </cell>
          <cell r="CJ77">
            <v>59.42</v>
          </cell>
          <cell r="CK77">
            <v>59.42</v>
          </cell>
          <cell r="CL77">
            <v>0</v>
          </cell>
          <cell r="CM77">
            <v>114.83</v>
          </cell>
          <cell r="CN77">
            <v>114.83</v>
          </cell>
          <cell r="CO77">
            <v>114.83</v>
          </cell>
          <cell r="CP77">
            <v>0</v>
          </cell>
          <cell r="CQ77">
            <v>114.83</v>
          </cell>
          <cell r="CR77">
            <v>114.83</v>
          </cell>
          <cell r="CS77">
            <v>114.83</v>
          </cell>
          <cell r="CT77">
            <v>0</v>
          </cell>
          <cell r="CU77">
            <v>276.38</v>
          </cell>
          <cell r="CV77">
            <v>276.38</v>
          </cell>
          <cell r="CW77">
            <v>276.38</v>
          </cell>
          <cell r="CX77">
            <v>0</v>
          </cell>
          <cell r="CY77">
            <v>276.38</v>
          </cell>
          <cell r="CZ77">
            <v>276.38</v>
          </cell>
          <cell r="DA77">
            <v>276.38</v>
          </cell>
          <cell r="DB77">
            <v>0</v>
          </cell>
          <cell r="DC77">
            <v>741.26</v>
          </cell>
          <cell r="DD77">
            <v>741.26</v>
          </cell>
          <cell r="DE77">
            <v>741.26</v>
          </cell>
          <cell r="DF77">
            <v>0</v>
          </cell>
          <cell r="DG77">
            <v>741.26</v>
          </cell>
          <cell r="DH77">
            <v>741.26</v>
          </cell>
          <cell r="DI77">
            <v>741.26</v>
          </cell>
        </row>
        <row r="78">
          <cell r="A78">
            <v>45176</v>
          </cell>
          <cell r="B78">
            <v>1765.52</v>
          </cell>
          <cell r="C78">
            <v>1765.52</v>
          </cell>
          <cell r="D78">
            <v>1765.52</v>
          </cell>
          <cell r="E78">
            <v>1765.52</v>
          </cell>
          <cell r="F78">
            <v>3075.65</v>
          </cell>
          <cell r="G78">
            <v>3075.65</v>
          </cell>
          <cell r="H78">
            <v>1765.52</v>
          </cell>
          <cell r="I78">
            <v>1765.52</v>
          </cell>
          <cell r="J78">
            <v>1765.52</v>
          </cell>
          <cell r="K78">
            <v>1765.52</v>
          </cell>
          <cell r="L78">
            <v>3077.74</v>
          </cell>
          <cell r="M78">
            <v>3077.74</v>
          </cell>
          <cell r="N78">
            <v>3305.27</v>
          </cell>
          <cell r="O78">
            <v>3305.27</v>
          </cell>
          <cell r="P78">
            <v>3305.27</v>
          </cell>
          <cell r="Q78">
            <v>3305.27</v>
          </cell>
          <cell r="R78">
            <v>2182.8200000000002</v>
          </cell>
          <cell r="S78">
            <v>2182.8200000000002</v>
          </cell>
          <cell r="T78">
            <v>3305.27</v>
          </cell>
          <cell r="U78">
            <v>3305.27</v>
          </cell>
          <cell r="V78">
            <v>3305.27</v>
          </cell>
          <cell r="W78">
            <v>3305.27</v>
          </cell>
          <cell r="X78">
            <v>2207.34</v>
          </cell>
          <cell r="Y78">
            <v>2207.34</v>
          </cell>
          <cell r="Z78">
            <v>5003.2299999999996</v>
          </cell>
          <cell r="AA78">
            <v>5003.2299999999996</v>
          </cell>
          <cell r="AB78">
            <v>5003.2299999999996</v>
          </cell>
          <cell r="AC78">
            <v>5003.2299999999996</v>
          </cell>
          <cell r="AD78">
            <v>1333.62</v>
          </cell>
          <cell r="AE78">
            <v>1333.62</v>
          </cell>
          <cell r="AF78">
            <v>5003.2299999999996</v>
          </cell>
          <cell r="AG78">
            <v>5003.2299999999996</v>
          </cell>
          <cell r="AH78">
            <v>5003.2299999999996</v>
          </cell>
          <cell r="AI78">
            <v>5003.2299999999996</v>
          </cell>
          <cell r="AJ78">
            <v>1388.73</v>
          </cell>
          <cell r="AK78">
            <v>1388.73</v>
          </cell>
          <cell r="AL78">
            <v>646.15</v>
          </cell>
          <cell r="AM78">
            <v>646.15</v>
          </cell>
          <cell r="AN78">
            <v>646.15</v>
          </cell>
          <cell r="AO78">
            <v>646.15</v>
          </cell>
          <cell r="AP78">
            <v>611.20000000000005</v>
          </cell>
          <cell r="AQ78">
            <v>611.20000000000005</v>
          </cell>
          <cell r="AR78">
            <v>646.15</v>
          </cell>
          <cell r="AS78">
            <v>646.15</v>
          </cell>
          <cell r="AT78">
            <v>646.15</v>
          </cell>
          <cell r="AU78">
            <v>646.15</v>
          </cell>
          <cell r="AV78">
            <v>650.48</v>
          </cell>
          <cell r="AW78">
            <v>650.48</v>
          </cell>
          <cell r="AX78">
            <v>0</v>
          </cell>
          <cell r="AY78">
            <v>0</v>
          </cell>
          <cell r="AZ78">
            <v>0</v>
          </cell>
          <cell r="BA78">
            <v>435.39</v>
          </cell>
          <cell r="BB78">
            <v>435.39</v>
          </cell>
          <cell r="BC78">
            <v>435.39</v>
          </cell>
          <cell r="BD78">
            <v>0</v>
          </cell>
          <cell r="BE78">
            <v>0</v>
          </cell>
          <cell r="BF78">
            <v>0</v>
          </cell>
          <cell r="BG78">
            <v>496.15</v>
          </cell>
          <cell r="BH78">
            <v>496.15</v>
          </cell>
          <cell r="BI78">
            <v>496.15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545.04</v>
          </cell>
          <cell r="BQ78">
            <v>398.74000000000342</v>
          </cell>
          <cell r="BR78">
            <v>398.73999999999978</v>
          </cell>
          <cell r="BS78">
            <v>398.74000000000342</v>
          </cell>
          <cell r="BT78">
            <v>398.74000000000342</v>
          </cell>
          <cell r="BU78">
            <v>398.74000000000342</v>
          </cell>
          <cell r="BV78">
            <v>398.73999999999978</v>
          </cell>
          <cell r="BW78">
            <v>2542.9599999999996</v>
          </cell>
          <cell r="BX78">
            <v>1266.510000000002</v>
          </cell>
          <cell r="BY78">
            <v>1025.380000000001</v>
          </cell>
          <cell r="BZ78">
            <v>1266.510000000002</v>
          </cell>
          <cell r="CA78">
            <v>1212.2800000000025</v>
          </cell>
          <cell r="CB78">
            <v>971.15000000000327</v>
          </cell>
          <cell r="CC78">
            <v>971.15000000000146</v>
          </cell>
          <cell r="CD78">
            <v>0</v>
          </cell>
          <cell r="CE78">
            <v>63.5</v>
          </cell>
          <cell r="CF78">
            <v>63.5</v>
          </cell>
          <cell r="CG78">
            <v>63.5</v>
          </cell>
          <cell r="CH78">
            <v>54.230000000000004</v>
          </cell>
          <cell r="CI78">
            <v>63.5</v>
          </cell>
          <cell r="CJ78">
            <v>63.5</v>
          </cell>
          <cell r="CK78">
            <v>63.5</v>
          </cell>
          <cell r="CL78">
            <v>0</v>
          </cell>
          <cell r="CM78">
            <v>139.5</v>
          </cell>
          <cell r="CN78">
            <v>139.5</v>
          </cell>
          <cell r="CO78">
            <v>139.5</v>
          </cell>
          <cell r="CP78">
            <v>0</v>
          </cell>
          <cell r="CQ78">
            <v>139.5</v>
          </cell>
          <cell r="CR78">
            <v>139.5</v>
          </cell>
          <cell r="CS78">
            <v>139.5</v>
          </cell>
          <cell r="CT78">
            <v>0</v>
          </cell>
          <cell r="CU78">
            <v>271.18</v>
          </cell>
          <cell r="CV78">
            <v>271.18</v>
          </cell>
          <cell r="CW78">
            <v>271.18</v>
          </cell>
          <cell r="CX78">
            <v>0</v>
          </cell>
          <cell r="CY78">
            <v>271.18</v>
          </cell>
          <cell r="CZ78">
            <v>271.18</v>
          </cell>
          <cell r="DA78">
            <v>271.18</v>
          </cell>
          <cell r="DB78">
            <v>0</v>
          </cell>
          <cell r="DC78">
            <v>478.16</v>
          </cell>
          <cell r="DD78">
            <v>478.16</v>
          </cell>
          <cell r="DE78">
            <v>478.16</v>
          </cell>
          <cell r="DF78">
            <v>0</v>
          </cell>
          <cell r="DG78">
            <v>478.16</v>
          </cell>
          <cell r="DH78">
            <v>478.16</v>
          </cell>
          <cell r="DI78">
            <v>478.16</v>
          </cell>
        </row>
        <row r="79">
          <cell r="A79">
            <v>45177</v>
          </cell>
          <cell r="B79">
            <v>1766.97</v>
          </cell>
          <cell r="C79">
            <v>1766.97</v>
          </cell>
          <cell r="D79">
            <v>1766.97</v>
          </cell>
          <cell r="E79">
            <v>1766.97</v>
          </cell>
          <cell r="F79">
            <v>2554.58</v>
          </cell>
          <cell r="G79">
            <v>2554.58</v>
          </cell>
          <cell r="H79">
            <v>1943.67</v>
          </cell>
          <cell r="I79">
            <v>1943.67</v>
          </cell>
          <cell r="J79">
            <v>1943.67</v>
          </cell>
          <cell r="K79">
            <v>1943.67</v>
          </cell>
          <cell r="L79">
            <v>2663.91</v>
          </cell>
          <cell r="M79">
            <v>2663.91</v>
          </cell>
          <cell r="N79">
            <v>3512.26</v>
          </cell>
          <cell r="O79">
            <v>3512.26</v>
          </cell>
          <cell r="P79">
            <v>3512.26</v>
          </cell>
          <cell r="Q79">
            <v>3512.26</v>
          </cell>
          <cell r="R79">
            <v>2423.04</v>
          </cell>
          <cell r="S79">
            <v>2423.04</v>
          </cell>
          <cell r="T79">
            <v>3863.49</v>
          </cell>
          <cell r="U79">
            <v>3863.49</v>
          </cell>
          <cell r="V79">
            <v>3863.49</v>
          </cell>
          <cell r="W79">
            <v>3863.49</v>
          </cell>
          <cell r="X79">
            <v>2423.6000000000004</v>
          </cell>
          <cell r="Y79">
            <v>2423.6000000000004</v>
          </cell>
          <cell r="Z79">
            <v>2527.86</v>
          </cell>
          <cell r="AA79">
            <v>2527.86</v>
          </cell>
          <cell r="AB79">
            <v>2527.86</v>
          </cell>
          <cell r="AC79">
            <v>2527.86</v>
          </cell>
          <cell r="AD79">
            <v>2042.14</v>
          </cell>
          <cell r="AE79">
            <v>2042.14</v>
          </cell>
          <cell r="AF79">
            <v>2527.86</v>
          </cell>
          <cell r="AG79">
            <v>2527.86</v>
          </cell>
          <cell r="AH79">
            <v>2527.86</v>
          </cell>
          <cell r="AI79">
            <v>2527.86</v>
          </cell>
          <cell r="AJ79">
            <v>2044.3200000000002</v>
          </cell>
          <cell r="AK79">
            <v>2044.3200000000002</v>
          </cell>
          <cell r="AL79">
            <v>771.17</v>
          </cell>
          <cell r="AM79">
            <v>771.17</v>
          </cell>
          <cell r="AN79">
            <v>771.17</v>
          </cell>
          <cell r="AO79">
            <v>771.17</v>
          </cell>
          <cell r="AP79">
            <v>1268.5999999999999</v>
          </cell>
          <cell r="AQ79">
            <v>1268.5999999999999</v>
          </cell>
          <cell r="AR79">
            <v>771.17</v>
          </cell>
          <cell r="AS79">
            <v>771.17</v>
          </cell>
          <cell r="AT79">
            <v>771.17</v>
          </cell>
          <cell r="AU79">
            <v>771.17</v>
          </cell>
          <cell r="AV79">
            <v>1271.4299999999998</v>
          </cell>
          <cell r="AW79">
            <v>1271.4299999999998</v>
          </cell>
          <cell r="AX79">
            <v>0</v>
          </cell>
          <cell r="AY79">
            <v>0</v>
          </cell>
          <cell r="AZ79">
            <v>0</v>
          </cell>
          <cell r="BA79">
            <v>877.89</v>
          </cell>
          <cell r="BB79">
            <v>877.89</v>
          </cell>
          <cell r="BC79">
            <v>877.89</v>
          </cell>
          <cell r="BD79">
            <v>0</v>
          </cell>
          <cell r="BE79">
            <v>0</v>
          </cell>
          <cell r="BF79">
            <v>0</v>
          </cell>
          <cell r="BG79">
            <v>927.62</v>
          </cell>
          <cell r="BH79">
            <v>927.62</v>
          </cell>
          <cell r="BI79">
            <v>927.62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1001.3700000000001</v>
          </cell>
          <cell r="BQ79">
            <v>801.5099999999984</v>
          </cell>
          <cell r="BR79">
            <v>751.82999999999811</v>
          </cell>
          <cell r="BS79">
            <v>801.5099999999984</v>
          </cell>
          <cell r="BT79">
            <v>788.70999999999913</v>
          </cell>
          <cell r="BU79">
            <v>739.02999999999884</v>
          </cell>
          <cell r="BV79">
            <v>739.02999999999884</v>
          </cell>
          <cell r="BW79">
            <v>2192.04</v>
          </cell>
          <cell r="BX79">
            <v>1265.4900000000052</v>
          </cell>
          <cell r="BY79">
            <v>1096.1100000000042</v>
          </cell>
          <cell r="BZ79">
            <v>1265.4900000000052</v>
          </cell>
          <cell r="CA79">
            <v>1234.3600000000042</v>
          </cell>
          <cell r="CB79">
            <v>1064.9800000000032</v>
          </cell>
          <cell r="CC79">
            <v>1064.9800000000032</v>
          </cell>
          <cell r="CD79">
            <v>12.8</v>
          </cell>
          <cell r="CE79">
            <v>48.5</v>
          </cell>
          <cell r="CF79">
            <v>48.5</v>
          </cell>
          <cell r="CG79">
            <v>48.5</v>
          </cell>
          <cell r="CH79">
            <v>31.13</v>
          </cell>
          <cell r="CI79">
            <v>48.5</v>
          </cell>
          <cell r="CJ79">
            <v>48.5</v>
          </cell>
          <cell r="CK79">
            <v>48.5</v>
          </cell>
          <cell r="CL79">
            <v>0</v>
          </cell>
          <cell r="CM79">
            <v>145</v>
          </cell>
          <cell r="CN79">
            <v>145</v>
          </cell>
          <cell r="CO79">
            <v>145</v>
          </cell>
          <cell r="CP79">
            <v>0</v>
          </cell>
          <cell r="CQ79">
            <v>145</v>
          </cell>
          <cell r="CR79">
            <v>145</v>
          </cell>
          <cell r="CS79">
            <v>145</v>
          </cell>
          <cell r="CT79">
            <v>0</v>
          </cell>
          <cell r="CU79">
            <v>255.07</v>
          </cell>
          <cell r="CV79">
            <v>255.07</v>
          </cell>
          <cell r="CW79">
            <v>255.07</v>
          </cell>
          <cell r="CX79">
            <v>0</v>
          </cell>
          <cell r="CY79">
            <v>255.07</v>
          </cell>
          <cell r="CZ79">
            <v>255.07</v>
          </cell>
          <cell r="DA79">
            <v>255.07</v>
          </cell>
          <cell r="DB79">
            <v>0</v>
          </cell>
          <cell r="DC79">
            <v>545.66999999999996</v>
          </cell>
          <cell r="DD79">
            <v>545.66999999999996</v>
          </cell>
          <cell r="DE79">
            <v>545.66999999999996</v>
          </cell>
          <cell r="DF79">
            <v>0</v>
          </cell>
          <cell r="DG79">
            <v>545.66999999999996</v>
          </cell>
          <cell r="DH79">
            <v>545.66999999999996</v>
          </cell>
          <cell r="DI79">
            <v>545.66999999999996</v>
          </cell>
        </row>
        <row r="80">
          <cell r="A80">
            <v>45178</v>
          </cell>
          <cell r="B80">
            <v>1607.25</v>
          </cell>
          <cell r="C80">
            <v>1607.25</v>
          </cell>
          <cell r="D80">
            <v>1607.25</v>
          </cell>
          <cell r="E80">
            <v>1607.25</v>
          </cell>
          <cell r="F80">
            <v>2129.7600000000002</v>
          </cell>
          <cell r="G80">
            <v>2129.7600000000002</v>
          </cell>
          <cell r="H80">
            <v>1607.25</v>
          </cell>
          <cell r="I80">
            <v>1607.25</v>
          </cell>
          <cell r="J80">
            <v>1607.25</v>
          </cell>
          <cell r="K80">
            <v>1607.25</v>
          </cell>
          <cell r="L80">
            <v>2129.7600000000002</v>
          </cell>
          <cell r="M80">
            <v>2129.7600000000002</v>
          </cell>
          <cell r="N80">
            <v>2578.35</v>
          </cell>
          <cell r="O80">
            <v>2578.35</v>
          </cell>
          <cell r="P80">
            <v>2578.35</v>
          </cell>
          <cell r="Q80">
            <v>2578.35</v>
          </cell>
          <cell r="R80">
            <v>2080.38</v>
          </cell>
          <cell r="S80">
            <v>2080.38</v>
          </cell>
          <cell r="T80">
            <v>2578.35</v>
          </cell>
          <cell r="U80">
            <v>2578.35</v>
          </cell>
          <cell r="V80">
            <v>2578.35</v>
          </cell>
          <cell r="W80">
            <v>2578.35</v>
          </cell>
          <cell r="X80">
            <v>2080.38</v>
          </cell>
          <cell r="Y80">
            <v>2080.38</v>
          </cell>
          <cell r="Z80">
            <v>2208.1</v>
          </cell>
          <cell r="AA80">
            <v>2208.1</v>
          </cell>
          <cell r="AB80">
            <v>2208.1</v>
          </cell>
          <cell r="AC80">
            <v>2208.1</v>
          </cell>
          <cell r="AD80">
            <v>1751.0500000000002</v>
          </cell>
          <cell r="AE80">
            <v>1751.0500000000002</v>
          </cell>
          <cell r="AF80">
            <v>2208.1</v>
          </cell>
          <cell r="AG80">
            <v>2208.1</v>
          </cell>
          <cell r="AH80">
            <v>2208.1</v>
          </cell>
          <cell r="AI80">
            <v>2208.1</v>
          </cell>
          <cell r="AJ80">
            <v>1751.0500000000002</v>
          </cell>
          <cell r="AK80">
            <v>1751.0500000000002</v>
          </cell>
          <cell r="AL80">
            <v>955.46</v>
          </cell>
          <cell r="AM80">
            <v>955.46</v>
          </cell>
          <cell r="AN80">
            <v>955.46</v>
          </cell>
          <cell r="AO80">
            <v>955.46</v>
          </cell>
          <cell r="AP80">
            <v>1292.9000000000001</v>
          </cell>
          <cell r="AQ80">
            <v>1292.9000000000001</v>
          </cell>
          <cell r="AR80">
            <v>955.46</v>
          </cell>
          <cell r="AS80">
            <v>955.46</v>
          </cell>
          <cell r="AT80">
            <v>955.46</v>
          </cell>
          <cell r="AU80">
            <v>955.46</v>
          </cell>
          <cell r="AV80">
            <v>1292.9000000000001</v>
          </cell>
          <cell r="AW80">
            <v>1292.9000000000001</v>
          </cell>
          <cell r="AX80">
            <v>0</v>
          </cell>
          <cell r="AY80">
            <v>0</v>
          </cell>
          <cell r="AZ80">
            <v>0</v>
          </cell>
          <cell r="BA80">
            <v>764.26</v>
          </cell>
          <cell r="BB80">
            <v>764.26</v>
          </cell>
          <cell r="BC80">
            <v>764.26</v>
          </cell>
          <cell r="BD80">
            <v>0</v>
          </cell>
          <cell r="BE80">
            <v>0</v>
          </cell>
          <cell r="BF80">
            <v>0</v>
          </cell>
          <cell r="BG80">
            <v>764.26</v>
          </cell>
          <cell r="BH80">
            <v>764.26</v>
          </cell>
          <cell r="BI80">
            <v>764.26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1397.66</v>
          </cell>
          <cell r="BQ80">
            <v>1063.5600000000004</v>
          </cell>
          <cell r="BR80">
            <v>944.88000000000102</v>
          </cell>
          <cell r="BS80">
            <v>1063.5600000000004</v>
          </cell>
          <cell r="BT80">
            <v>1007.2699999999968</v>
          </cell>
          <cell r="BU80">
            <v>888.58999999999651</v>
          </cell>
          <cell r="BV80">
            <v>888.58999999999833</v>
          </cell>
          <cell r="BW80">
            <v>6004.739999999998</v>
          </cell>
          <cell r="BX80">
            <v>2128.7799999999979</v>
          </cell>
          <cell r="BY80">
            <v>1661.2399999999998</v>
          </cell>
          <cell r="BZ80">
            <v>2128.7799999999979</v>
          </cell>
          <cell r="CA80">
            <v>2020.0999999999967</v>
          </cell>
          <cell r="CB80">
            <v>1552.5599999999977</v>
          </cell>
          <cell r="CC80">
            <v>1552.5599999999995</v>
          </cell>
          <cell r="CD80">
            <v>56.29</v>
          </cell>
          <cell r="CE80">
            <v>73.39</v>
          </cell>
          <cell r="CF80">
            <v>73.39</v>
          </cell>
          <cell r="CG80">
            <v>73.39</v>
          </cell>
          <cell r="CH80">
            <v>108.68</v>
          </cell>
          <cell r="CI80">
            <v>73.39</v>
          </cell>
          <cell r="CJ80">
            <v>73.39</v>
          </cell>
          <cell r="CK80">
            <v>73.39</v>
          </cell>
          <cell r="CL80">
            <v>0</v>
          </cell>
          <cell r="CM80">
            <v>285.05</v>
          </cell>
          <cell r="CN80">
            <v>285.05</v>
          </cell>
          <cell r="CO80">
            <v>285.05</v>
          </cell>
          <cell r="CP80">
            <v>0</v>
          </cell>
          <cell r="CQ80">
            <v>285.05</v>
          </cell>
          <cell r="CR80">
            <v>285.05</v>
          </cell>
          <cell r="CS80">
            <v>285.05</v>
          </cell>
          <cell r="CT80">
            <v>0</v>
          </cell>
          <cell r="CU80">
            <v>403.58</v>
          </cell>
          <cell r="CV80">
            <v>403.58</v>
          </cell>
          <cell r="CW80">
            <v>403.58</v>
          </cell>
          <cell r="CX80">
            <v>0</v>
          </cell>
          <cell r="CY80">
            <v>403.58</v>
          </cell>
          <cell r="CZ80">
            <v>403.58</v>
          </cell>
          <cell r="DA80">
            <v>403.58</v>
          </cell>
          <cell r="DB80">
            <v>0</v>
          </cell>
          <cell r="DC80">
            <v>417.88</v>
          </cell>
          <cell r="DD80">
            <v>417.88</v>
          </cell>
          <cell r="DE80">
            <v>417.88</v>
          </cell>
          <cell r="DF80">
            <v>0</v>
          </cell>
          <cell r="DG80">
            <v>417.88</v>
          </cell>
          <cell r="DH80">
            <v>417.88</v>
          </cell>
          <cell r="DI80">
            <v>417.88</v>
          </cell>
        </row>
        <row r="81">
          <cell r="A81">
            <v>45179</v>
          </cell>
          <cell r="B81">
            <v>1683.75</v>
          </cell>
          <cell r="C81">
            <v>1683.75</v>
          </cell>
          <cell r="D81">
            <v>1683.75</v>
          </cell>
          <cell r="E81">
            <v>1683.75</v>
          </cell>
          <cell r="F81">
            <v>1142.4299999999998</v>
          </cell>
          <cell r="G81">
            <v>1142.4299999999998</v>
          </cell>
          <cell r="H81">
            <v>1683.75</v>
          </cell>
          <cell r="I81">
            <v>1683.75</v>
          </cell>
          <cell r="J81">
            <v>1683.75</v>
          </cell>
          <cell r="K81">
            <v>1683.75</v>
          </cell>
          <cell r="L81">
            <v>1142.4299999999998</v>
          </cell>
          <cell r="M81">
            <v>1142.4299999999998</v>
          </cell>
          <cell r="N81">
            <v>3372.69</v>
          </cell>
          <cell r="O81">
            <v>3372.69</v>
          </cell>
          <cell r="P81">
            <v>3372.69</v>
          </cell>
          <cell r="Q81">
            <v>3372.69</v>
          </cell>
          <cell r="R81">
            <v>1583.48</v>
          </cell>
          <cell r="S81">
            <v>1583.48</v>
          </cell>
          <cell r="T81">
            <v>3372.69</v>
          </cell>
          <cell r="U81">
            <v>3372.69</v>
          </cell>
          <cell r="V81">
            <v>3372.69</v>
          </cell>
          <cell r="W81">
            <v>3372.69</v>
          </cell>
          <cell r="X81">
            <v>1583.48</v>
          </cell>
          <cell r="Y81">
            <v>1583.48</v>
          </cell>
          <cell r="Z81">
            <v>3483.96</v>
          </cell>
          <cell r="AA81">
            <v>3483.96</v>
          </cell>
          <cell r="AB81">
            <v>3483.96</v>
          </cell>
          <cell r="AC81">
            <v>3483.96</v>
          </cell>
          <cell r="AD81">
            <v>1557.4499999999998</v>
          </cell>
          <cell r="AE81">
            <v>1557.4499999999998</v>
          </cell>
          <cell r="AF81">
            <v>3483.96</v>
          </cell>
          <cell r="AG81">
            <v>3483.96</v>
          </cell>
          <cell r="AH81">
            <v>3483.96</v>
          </cell>
          <cell r="AI81">
            <v>3483.96</v>
          </cell>
          <cell r="AJ81">
            <v>1557.4499999999998</v>
          </cell>
          <cell r="AK81">
            <v>1557.4499999999998</v>
          </cell>
          <cell r="AL81">
            <v>1400.33</v>
          </cell>
          <cell r="AM81">
            <v>1400.33</v>
          </cell>
          <cell r="AN81">
            <v>1400.33</v>
          </cell>
          <cell r="AO81">
            <v>1400.33</v>
          </cell>
          <cell r="AP81">
            <v>836.56000000000006</v>
          </cell>
          <cell r="AQ81">
            <v>836.56000000000006</v>
          </cell>
          <cell r="AR81">
            <v>1400.33</v>
          </cell>
          <cell r="AS81">
            <v>1400.33</v>
          </cell>
          <cell r="AT81">
            <v>1400.33</v>
          </cell>
          <cell r="AU81">
            <v>1400.33</v>
          </cell>
          <cell r="AV81">
            <v>836.56000000000006</v>
          </cell>
          <cell r="AW81">
            <v>836.56000000000006</v>
          </cell>
          <cell r="AX81">
            <v>0</v>
          </cell>
          <cell r="AY81">
            <v>0</v>
          </cell>
          <cell r="AZ81">
            <v>0</v>
          </cell>
          <cell r="BA81">
            <v>469.02</v>
          </cell>
          <cell r="BB81">
            <v>469.02</v>
          </cell>
          <cell r="BC81">
            <v>469.02</v>
          </cell>
          <cell r="BD81">
            <v>0</v>
          </cell>
          <cell r="BE81">
            <v>0</v>
          </cell>
          <cell r="BF81">
            <v>0</v>
          </cell>
          <cell r="BG81">
            <v>469.02</v>
          </cell>
          <cell r="BH81">
            <v>469.02</v>
          </cell>
          <cell r="BI81">
            <v>469.02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1434.06</v>
          </cell>
          <cell r="BQ81">
            <v>833.79000000000633</v>
          </cell>
          <cell r="BR81">
            <v>720.85000000000036</v>
          </cell>
          <cell r="BS81">
            <v>833.79000000000633</v>
          </cell>
          <cell r="BT81">
            <v>761.98000000000684</v>
          </cell>
          <cell r="BU81">
            <v>649.04000000000633</v>
          </cell>
          <cell r="BV81">
            <v>649.04</v>
          </cell>
          <cell r="BW81">
            <v>5751.2900000000018</v>
          </cell>
          <cell r="BX81">
            <v>3196.0699999999961</v>
          </cell>
          <cell r="BY81">
            <v>2222.7900000000018</v>
          </cell>
          <cell r="BZ81">
            <v>3196.0699999999961</v>
          </cell>
          <cell r="CA81">
            <v>3107.7499999999964</v>
          </cell>
          <cell r="CB81">
            <v>2134.4699999999975</v>
          </cell>
          <cell r="CC81">
            <v>2134.4700000000021</v>
          </cell>
          <cell r="CD81">
            <v>71.81</v>
          </cell>
          <cell r="CE81">
            <v>151.52000000000001</v>
          </cell>
          <cell r="CF81">
            <v>151.52000000000001</v>
          </cell>
          <cell r="CG81">
            <v>151.52000000000001</v>
          </cell>
          <cell r="CH81">
            <v>88.32</v>
          </cell>
          <cell r="CI81">
            <v>151.52000000000001</v>
          </cell>
          <cell r="CJ81">
            <v>151.52000000000001</v>
          </cell>
          <cell r="CK81">
            <v>151.52000000000001</v>
          </cell>
          <cell r="CL81">
            <v>0</v>
          </cell>
          <cell r="CM81">
            <v>452.19</v>
          </cell>
          <cell r="CN81">
            <v>452.19</v>
          </cell>
          <cell r="CO81">
            <v>452.19</v>
          </cell>
          <cell r="CP81">
            <v>0</v>
          </cell>
          <cell r="CQ81">
            <v>452.19</v>
          </cell>
          <cell r="CR81">
            <v>452.19</v>
          </cell>
          <cell r="CS81">
            <v>452.19</v>
          </cell>
          <cell r="CT81">
            <v>0</v>
          </cell>
          <cell r="CU81">
            <v>562.38</v>
          </cell>
          <cell r="CV81">
            <v>562.38</v>
          </cell>
          <cell r="CW81">
            <v>562.38</v>
          </cell>
          <cell r="CX81">
            <v>0</v>
          </cell>
          <cell r="CY81">
            <v>562.38</v>
          </cell>
          <cell r="CZ81">
            <v>562.38</v>
          </cell>
          <cell r="DA81">
            <v>562.38</v>
          </cell>
          <cell r="DB81">
            <v>0</v>
          </cell>
          <cell r="DC81">
            <v>1040.99</v>
          </cell>
          <cell r="DD81">
            <v>1040.99</v>
          </cell>
          <cell r="DE81">
            <v>1040.99</v>
          </cell>
          <cell r="DF81">
            <v>0</v>
          </cell>
          <cell r="DG81">
            <v>1040.99</v>
          </cell>
          <cell r="DH81">
            <v>1040.99</v>
          </cell>
          <cell r="DI81">
            <v>1040.99</v>
          </cell>
        </row>
        <row r="82">
          <cell r="A82">
            <v>45180</v>
          </cell>
          <cell r="B82">
            <v>5526.61</v>
          </cell>
          <cell r="C82">
            <v>5526.61</v>
          </cell>
          <cell r="D82">
            <v>5526.61</v>
          </cell>
          <cell r="E82">
            <v>5526.61</v>
          </cell>
          <cell r="F82">
            <v>3283.5</v>
          </cell>
          <cell r="G82">
            <v>3562.57</v>
          </cell>
          <cell r="H82">
            <v>5526.61</v>
          </cell>
          <cell r="I82">
            <v>5526.61</v>
          </cell>
          <cell r="J82">
            <v>5526.61</v>
          </cell>
          <cell r="K82">
            <v>5526.61</v>
          </cell>
          <cell r="L82">
            <v>3562.57</v>
          </cell>
          <cell r="M82">
            <v>3562.57</v>
          </cell>
          <cell r="N82">
            <v>7195.57</v>
          </cell>
          <cell r="O82">
            <v>7195.57</v>
          </cell>
          <cell r="P82">
            <v>7195.57</v>
          </cell>
          <cell r="Q82">
            <v>7195.57</v>
          </cell>
          <cell r="R82">
            <v>2947.71</v>
          </cell>
          <cell r="S82">
            <v>3394.75</v>
          </cell>
          <cell r="T82">
            <v>7195.57</v>
          </cell>
          <cell r="U82">
            <v>7195.57</v>
          </cell>
          <cell r="V82">
            <v>7195.57</v>
          </cell>
          <cell r="W82">
            <v>7195.57</v>
          </cell>
          <cell r="X82">
            <v>3394.75</v>
          </cell>
          <cell r="Y82">
            <v>3394.75</v>
          </cell>
          <cell r="Z82">
            <v>5630.5</v>
          </cell>
          <cell r="AA82">
            <v>5630.5</v>
          </cell>
          <cell r="AB82">
            <v>5630.5</v>
          </cell>
          <cell r="AC82">
            <v>5630.5</v>
          </cell>
          <cell r="AD82">
            <v>1622.17</v>
          </cell>
          <cell r="AE82">
            <v>1666.38</v>
          </cell>
          <cell r="AF82">
            <v>5630.5</v>
          </cell>
          <cell r="AG82">
            <v>5630.5</v>
          </cell>
          <cell r="AH82">
            <v>5630.5</v>
          </cell>
          <cell r="AI82">
            <v>5630.5</v>
          </cell>
          <cell r="AJ82">
            <v>1666.38</v>
          </cell>
          <cell r="AK82">
            <v>1666.38</v>
          </cell>
          <cell r="AL82">
            <v>1914.78</v>
          </cell>
          <cell r="AM82">
            <v>1914.78</v>
          </cell>
          <cell r="AN82">
            <v>1914.78</v>
          </cell>
          <cell r="AO82">
            <v>1914.78</v>
          </cell>
          <cell r="AP82">
            <v>825.21</v>
          </cell>
          <cell r="AQ82">
            <v>918.13999999999987</v>
          </cell>
          <cell r="AR82">
            <v>1914.78</v>
          </cell>
          <cell r="AS82">
            <v>1914.78</v>
          </cell>
          <cell r="AT82">
            <v>1914.78</v>
          </cell>
          <cell r="AU82">
            <v>1914.78</v>
          </cell>
          <cell r="AV82">
            <v>918.13999999999987</v>
          </cell>
          <cell r="AW82">
            <v>918.13999999999987</v>
          </cell>
          <cell r="AX82">
            <v>0</v>
          </cell>
          <cell r="AY82">
            <v>0</v>
          </cell>
          <cell r="AZ82">
            <v>0</v>
          </cell>
          <cell r="BA82">
            <v>584.81000000000006</v>
          </cell>
          <cell r="BB82">
            <v>537.02</v>
          </cell>
          <cell r="BC82">
            <v>584.81000000000006</v>
          </cell>
          <cell r="BD82">
            <v>0</v>
          </cell>
          <cell r="BE82">
            <v>0</v>
          </cell>
          <cell r="BF82">
            <v>0</v>
          </cell>
          <cell r="BG82">
            <v>584.81000000000006</v>
          </cell>
          <cell r="BH82">
            <v>584.81000000000006</v>
          </cell>
          <cell r="BI82">
            <v>584.81000000000006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2043.3199999999997</v>
          </cell>
          <cell r="BQ82">
            <v>1312.8200000000033</v>
          </cell>
          <cell r="BR82">
            <v>711.2799999999952</v>
          </cell>
          <cell r="BS82">
            <v>1312.8200000000033</v>
          </cell>
          <cell r="BT82">
            <v>1264.6800000000039</v>
          </cell>
          <cell r="BU82">
            <v>993.39000000000669</v>
          </cell>
          <cell r="BV82">
            <v>993.38999999999942</v>
          </cell>
          <cell r="BW82">
            <v>8065.4100000000017</v>
          </cell>
          <cell r="BX82">
            <v>4091.5500000000029</v>
          </cell>
          <cell r="BY82">
            <v>3059.7899999999954</v>
          </cell>
          <cell r="BZ82">
            <v>4091.5500000000029</v>
          </cell>
          <cell r="CA82">
            <v>4015.3800000000047</v>
          </cell>
          <cell r="CB82">
            <v>2983.6200000000063</v>
          </cell>
          <cell r="CC82">
            <v>2983.6199999999953</v>
          </cell>
          <cell r="CD82">
            <v>48.14</v>
          </cell>
          <cell r="CE82">
            <v>127.45</v>
          </cell>
          <cell r="CF82">
            <v>127.45</v>
          </cell>
          <cell r="CG82">
            <v>127.45</v>
          </cell>
          <cell r="CH82">
            <v>76.17</v>
          </cell>
          <cell r="CI82">
            <v>127.45</v>
          </cell>
          <cell r="CJ82">
            <v>127.45</v>
          </cell>
          <cell r="CK82">
            <v>127.45</v>
          </cell>
          <cell r="CL82">
            <v>0</v>
          </cell>
          <cell r="CM82">
            <v>357.66</v>
          </cell>
          <cell r="CN82">
            <v>357.66</v>
          </cell>
          <cell r="CO82">
            <v>357.66</v>
          </cell>
          <cell r="CP82">
            <v>0</v>
          </cell>
          <cell r="CQ82">
            <v>357.66</v>
          </cell>
          <cell r="CR82">
            <v>357.66</v>
          </cell>
          <cell r="CS82">
            <v>357.66</v>
          </cell>
          <cell r="CT82">
            <v>0</v>
          </cell>
          <cell r="CU82">
            <v>553.07000000000005</v>
          </cell>
          <cell r="CV82">
            <v>553.07000000000005</v>
          </cell>
          <cell r="CW82">
            <v>553.07000000000005</v>
          </cell>
          <cell r="CX82">
            <v>0</v>
          </cell>
          <cell r="CY82">
            <v>553.07000000000005</v>
          </cell>
          <cell r="CZ82">
            <v>553.07000000000005</v>
          </cell>
          <cell r="DA82">
            <v>553.07000000000005</v>
          </cell>
          <cell r="DB82">
            <v>0</v>
          </cell>
          <cell r="DC82">
            <v>1276.43</v>
          </cell>
          <cell r="DD82">
            <v>1276.43</v>
          </cell>
          <cell r="DE82">
            <v>1276.43</v>
          </cell>
          <cell r="DF82">
            <v>0</v>
          </cell>
          <cell r="DG82">
            <v>1276.43</v>
          </cell>
          <cell r="DH82">
            <v>1276.43</v>
          </cell>
          <cell r="DI82">
            <v>1276.43</v>
          </cell>
        </row>
        <row r="83">
          <cell r="A83">
            <v>45181</v>
          </cell>
          <cell r="B83">
            <v>8501.94</v>
          </cell>
          <cell r="C83">
            <v>8501.94</v>
          </cell>
          <cell r="D83">
            <v>8501.94</v>
          </cell>
          <cell r="E83">
            <v>8501.94</v>
          </cell>
          <cell r="F83">
            <v>3283.5</v>
          </cell>
          <cell r="G83">
            <v>3283.5</v>
          </cell>
          <cell r="H83">
            <v>8501.94</v>
          </cell>
          <cell r="I83">
            <v>8501.94</v>
          </cell>
          <cell r="J83">
            <v>8501.94</v>
          </cell>
          <cell r="K83">
            <v>8501.94</v>
          </cell>
          <cell r="L83">
            <v>3283.36</v>
          </cell>
          <cell r="M83">
            <v>3283.36</v>
          </cell>
          <cell r="N83">
            <v>8545.86</v>
          </cell>
          <cell r="O83">
            <v>8545.86</v>
          </cell>
          <cell r="P83">
            <v>8545.86</v>
          </cell>
          <cell r="Q83">
            <v>8545.86</v>
          </cell>
          <cell r="R83">
            <v>2947.71</v>
          </cell>
          <cell r="S83">
            <v>2947.71</v>
          </cell>
          <cell r="T83">
            <v>8545.86</v>
          </cell>
          <cell r="U83">
            <v>8545.86</v>
          </cell>
          <cell r="V83">
            <v>8545.86</v>
          </cell>
          <cell r="W83">
            <v>8545.86</v>
          </cell>
          <cell r="X83">
            <v>2944.27</v>
          </cell>
          <cell r="Y83">
            <v>2944.27</v>
          </cell>
          <cell r="Z83">
            <v>5714.5</v>
          </cell>
          <cell r="AA83">
            <v>5714.5</v>
          </cell>
          <cell r="AB83">
            <v>5714.5</v>
          </cell>
          <cell r="AC83">
            <v>5714.5</v>
          </cell>
          <cell r="AD83">
            <v>1622.17</v>
          </cell>
          <cell r="AE83">
            <v>1622.17</v>
          </cell>
          <cell r="AF83">
            <v>5714.5</v>
          </cell>
          <cell r="AG83">
            <v>5714.5</v>
          </cell>
          <cell r="AH83">
            <v>5714.5</v>
          </cell>
          <cell r="AI83">
            <v>5714.5</v>
          </cell>
          <cell r="AJ83">
            <v>1621.15</v>
          </cell>
          <cell r="AK83">
            <v>1621.15</v>
          </cell>
          <cell r="AL83">
            <v>1290</v>
          </cell>
          <cell r="AM83">
            <v>1290</v>
          </cell>
          <cell r="AN83">
            <v>1290</v>
          </cell>
          <cell r="AO83">
            <v>1290</v>
          </cell>
          <cell r="AP83">
            <v>825.21</v>
          </cell>
          <cell r="AQ83">
            <v>825.21</v>
          </cell>
          <cell r="AR83">
            <v>1290</v>
          </cell>
          <cell r="AS83">
            <v>1290</v>
          </cell>
          <cell r="AT83">
            <v>1290</v>
          </cell>
          <cell r="AU83">
            <v>1290</v>
          </cell>
          <cell r="AV83">
            <v>825.95</v>
          </cell>
          <cell r="AW83">
            <v>825.95</v>
          </cell>
          <cell r="AX83">
            <v>0</v>
          </cell>
          <cell r="AY83">
            <v>0</v>
          </cell>
          <cell r="AZ83">
            <v>0</v>
          </cell>
          <cell r="BA83">
            <v>537.02</v>
          </cell>
          <cell r="BB83">
            <v>537.02</v>
          </cell>
          <cell r="BC83">
            <v>537.02</v>
          </cell>
          <cell r="BD83">
            <v>0</v>
          </cell>
          <cell r="BE83">
            <v>0</v>
          </cell>
          <cell r="BF83">
            <v>0</v>
          </cell>
          <cell r="BG83">
            <v>537.43000000000006</v>
          </cell>
          <cell r="BH83">
            <v>537.43000000000006</v>
          </cell>
          <cell r="BI83">
            <v>537.43000000000006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1516.37</v>
          </cell>
          <cell r="BQ83">
            <v>756.98999999999432</v>
          </cell>
          <cell r="BR83">
            <v>711.2799999999952</v>
          </cell>
          <cell r="BS83">
            <v>756.98999999999432</v>
          </cell>
          <cell r="BT83">
            <v>740.70999999999549</v>
          </cell>
          <cell r="BU83">
            <v>694.99999999999272</v>
          </cell>
          <cell r="BV83">
            <v>694.99999999999818</v>
          </cell>
          <cell r="BW83">
            <v>4862.8499999999976</v>
          </cell>
          <cell r="BX83">
            <v>2321.2100000000137</v>
          </cell>
          <cell r="BY83">
            <v>1938.8000000000065</v>
          </cell>
          <cell r="BZ83">
            <v>2321.2100000000137</v>
          </cell>
          <cell r="CA83">
            <v>2190.9300000000112</v>
          </cell>
          <cell r="CB83">
            <v>1808.5200000000114</v>
          </cell>
          <cell r="CC83">
            <v>1808.5200000000095</v>
          </cell>
          <cell r="CD83">
            <v>16.28</v>
          </cell>
          <cell r="CE83">
            <v>28.35</v>
          </cell>
          <cell r="CF83">
            <v>28.35</v>
          </cell>
          <cell r="CG83">
            <v>28.35</v>
          </cell>
          <cell r="CH83">
            <v>130.28</v>
          </cell>
          <cell r="CI83">
            <v>28.35</v>
          </cell>
          <cell r="CJ83">
            <v>28.35</v>
          </cell>
          <cell r="CK83">
            <v>28.35</v>
          </cell>
          <cell r="CL83">
            <v>0</v>
          </cell>
          <cell r="CM83">
            <v>64.95</v>
          </cell>
          <cell r="CN83">
            <v>64.95</v>
          </cell>
          <cell r="CO83">
            <v>64.95</v>
          </cell>
          <cell r="CP83">
            <v>0</v>
          </cell>
          <cell r="CQ83">
            <v>64.95</v>
          </cell>
          <cell r="CR83">
            <v>64.95</v>
          </cell>
          <cell r="CS83">
            <v>64.95</v>
          </cell>
          <cell r="CT83">
            <v>0</v>
          </cell>
          <cell r="CU83">
            <v>374.29</v>
          </cell>
          <cell r="CV83">
            <v>374.29</v>
          </cell>
          <cell r="CW83">
            <v>374.29</v>
          </cell>
          <cell r="CX83">
            <v>0</v>
          </cell>
          <cell r="CY83">
            <v>374.29</v>
          </cell>
          <cell r="CZ83">
            <v>374.29</v>
          </cell>
          <cell r="DA83">
            <v>374.29</v>
          </cell>
          <cell r="DB83">
            <v>0</v>
          </cell>
          <cell r="DC83">
            <v>1124.8399999999999</v>
          </cell>
          <cell r="DD83">
            <v>1124.8399999999999</v>
          </cell>
          <cell r="DE83">
            <v>1124.8399999999999</v>
          </cell>
          <cell r="DF83">
            <v>0</v>
          </cell>
          <cell r="DG83">
            <v>1124.8399999999999</v>
          </cell>
          <cell r="DH83">
            <v>1124.8399999999999</v>
          </cell>
          <cell r="DI83">
            <v>1124.8399999999999</v>
          </cell>
        </row>
        <row r="84">
          <cell r="A84">
            <v>45182</v>
          </cell>
          <cell r="B84">
            <v>3794.3</v>
          </cell>
          <cell r="C84">
            <v>3794.3</v>
          </cell>
          <cell r="D84">
            <v>3794.3</v>
          </cell>
          <cell r="E84">
            <v>3794.3</v>
          </cell>
          <cell r="F84">
            <v>2603.69</v>
          </cell>
          <cell r="G84">
            <v>2603.69</v>
          </cell>
          <cell r="H84">
            <v>3794.3</v>
          </cell>
          <cell r="I84">
            <v>3794.3</v>
          </cell>
          <cell r="J84">
            <v>3794.3</v>
          </cell>
          <cell r="K84">
            <v>3794.3</v>
          </cell>
          <cell r="L84">
            <v>2603.85</v>
          </cell>
          <cell r="M84">
            <v>2603.85</v>
          </cell>
          <cell r="N84">
            <v>6240.32</v>
          </cell>
          <cell r="O84">
            <v>6240.32</v>
          </cell>
          <cell r="P84">
            <v>6240.32</v>
          </cell>
          <cell r="Q84">
            <v>6240.32</v>
          </cell>
          <cell r="R84">
            <v>2750.56</v>
          </cell>
          <cell r="S84">
            <v>2750.56</v>
          </cell>
          <cell r="T84">
            <v>6240.32</v>
          </cell>
          <cell r="U84">
            <v>6240.32</v>
          </cell>
          <cell r="V84">
            <v>6240.32</v>
          </cell>
          <cell r="W84">
            <v>6240.32</v>
          </cell>
          <cell r="X84">
            <v>2746.5</v>
          </cell>
          <cell r="Y84">
            <v>2746.5</v>
          </cell>
          <cell r="Z84">
            <v>4117.79</v>
          </cell>
          <cell r="AA84">
            <v>4117.79</v>
          </cell>
          <cell r="AB84">
            <v>4117.79</v>
          </cell>
          <cell r="AC84">
            <v>4117.79</v>
          </cell>
          <cell r="AD84">
            <v>1106.06</v>
          </cell>
          <cell r="AE84">
            <v>1106.06</v>
          </cell>
          <cell r="AF84">
            <v>4117.79</v>
          </cell>
          <cell r="AG84">
            <v>4117.79</v>
          </cell>
          <cell r="AH84">
            <v>4117.79</v>
          </cell>
          <cell r="AI84">
            <v>4117.79</v>
          </cell>
          <cell r="AJ84">
            <v>1105.3800000000001</v>
          </cell>
          <cell r="AK84">
            <v>1105.3800000000001</v>
          </cell>
          <cell r="AL84">
            <v>1327.05</v>
          </cell>
          <cell r="AM84">
            <v>1327.05</v>
          </cell>
          <cell r="AN84">
            <v>1327.05</v>
          </cell>
          <cell r="AO84">
            <v>1327.05</v>
          </cell>
          <cell r="AP84">
            <v>658.83999999999992</v>
          </cell>
          <cell r="AQ84">
            <v>658.83999999999992</v>
          </cell>
          <cell r="AR84">
            <v>1327.05</v>
          </cell>
          <cell r="AS84">
            <v>1327.05</v>
          </cell>
          <cell r="AT84">
            <v>1327.05</v>
          </cell>
          <cell r="AU84">
            <v>1327.05</v>
          </cell>
          <cell r="AV84">
            <v>659.51</v>
          </cell>
          <cell r="AW84">
            <v>659.51</v>
          </cell>
          <cell r="AX84">
            <v>0</v>
          </cell>
          <cell r="AY84">
            <v>0</v>
          </cell>
          <cell r="AZ84">
            <v>0</v>
          </cell>
          <cell r="BA84">
            <v>500.84000000000003</v>
          </cell>
          <cell r="BB84">
            <v>500.84000000000003</v>
          </cell>
          <cell r="BC84">
            <v>500.84000000000003</v>
          </cell>
          <cell r="BD84">
            <v>0</v>
          </cell>
          <cell r="BE84">
            <v>0</v>
          </cell>
          <cell r="BF84">
            <v>0</v>
          </cell>
          <cell r="BG84">
            <v>501.39</v>
          </cell>
          <cell r="BH84">
            <v>501.39</v>
          </cell>
          <cell r="BI84">
            <v>501.39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1780.5599999999995</v>
          </cell>
          <cell r="BQ84">
            <v>1129.1999999999935</v>
          </cell>
          <cell r="BR84">
            <v>1049.8799999999965</v>
          </cell>
          <cell r="BS84">
            <v>1129.1999999999935</v>
          </cell>
          <cell r="BT84">
            <v>1055.9399999999987</v>
          </cell>
          <cell r="BU84">
            <v>976.61999999999171</v>
          </cell>
          <cell r="BV84">
            <v>976.61999999999534</v>
          </cell>
          <cell r="BW84">
            <v>10471.880000000001</v>
          </cell>
          <cell r="BX84">
            <v>6023.3900000000031</v>
          </cell>
          <cell r="BY84">
            <v>5318.78</v>
          </cell>
          <cell r="BZ84">
            <v>6023.3900000000031</v>
          </cell>
          <cell r="CA84">
            <v>5558.5300000000025</v>
          </cell>
          <cell r="CB84">
            <v>4853.9200000000019</v>
          </cell>
          <cell r="CC84">
            <v>4853.92</v>
          </cell>
          <cell r="CD84">
            <v>73.260000000000005</v>
          </cell>
          <cell r="CE84">
            <v>-60.94</v>
          </cell>
          <cell r="CF84">
            <v>-60.94</v>
          </cell>
          <cell r="CG84">
            <v>-60.94</v>
          </cell>
          <cell r="CH84">
            <v>464.86</v>
          </cell>
          <cell r="CI84">
            <v>-33.47</v>
          </cell>
          <cell r="CJ84">
            <v>-33.47</v>
          </cell>
          <cell r="CK84">
            <v>-33.47</v>
          </cell>
          <cell r="CL84">
            <v>0</v>
          </cell>
          <cell r="CM84">
            <v>-9.3800000000000008</v>
          </cell>
          <cell r="CN84">
            <v>-9.3800000000000008</v>
          </cell>
          <cell r="CO84">
            <v>-9.3800000000000008</v>
          </cell>
          <cell r="CP84">
            <v>0</v>
          </cell>
          <cell r="CQ84">
            <v>54.73</v>
          </cell>
          <cell r="CR84">
            <v>54.73</v>
          </cell>
          <cell r="CS84">
            <v>54.73</v>
          </cell>
          <cell r="CT84">
            <v>0</v>
          </cell>
          <cell r="CU84">
            <v>385.81</v>
          </cell>
          <cell r="CV84">
            <v>385.81</v>
          </cell>
          <cell r="CW84">
            <v>385.81</v>
          </cell>
          <cell r="CX84">
            <v>0</v>
          </cell>
          <cell r="CY84">
            <v>421.59</v>
          </cell>
          <cell r="CZ84">
            <v>421.59</v>
          </cell>
          <cell r="DA84">
            <v>421.59</v>
          </cell>
          <cell r="DB84">
            <v>0</v>
          </cell>
          <cell r="DC84">
            <v>1232.31</v>
          </cell>
          <cell r="DD84">
            <v>1232.31</v>
          </cell>
          <cell r="DE84">
            <v>1232.31</v>
          </cell>
          <cell r="DF84">
            <v>0</v>
          </cell>
          <cell r="DG84">
            <v>1245.74</v>
          </cell>
          <cell r="DH84">
            <v>1245.74</v>
          </cell>
          <cell r="DI84">
            <v>1245.74</v>
          </cell>
        </row>
        <row r="85">
          <cell r="A85">
            <v>45183</v>
          </cell>
          <cell r="B85">
            <v>1837.05</v>
          </cell>
          <cell r="C85">
            <v>1837.05</v>
          </cell>
          <cell r="D85">
            <v>1837.05</v>
          </cell>
          <cell r="E85">
            <v>1837.05</v>
          </cell>
          <cell r="F85">
            <v>1379.85</v>
          </cell>
          <cell r="G85">
            <v>1379.85</v>
          </cell>
          <cell r="H85">
            <v>1837.05</v>
          </cell>
          <cell r="I85">
            <v>1837.05</v>
          </cell>
          <cell r="J85">
            <v>1837.05</v>
          </cell>
          <cell r="K85">
            <v>1837.05</v>
          </cell>
          <cell r="L85">
            <v>1379.84</v>
          </cell>
          <cell r="M85">
            <v>1379.84</v>
          </cell>
          <cell r="N85">
            <v>2092.71</v>
          </cell>
          <cell r="O85">
            <v>2092.71</v>
          </cell>
          <cell r="P85">
            <v>2092.71</v>
          </cell>
          <cell r="Q85">
            <v>2092.71</v>
          </cell>
          <cell r="R85">
            <v>1498.4</v>
          </cell>
          <cell r="S85">
            <v>1498.4</v>
          </cell>
          <cell r="T85">
            <v>2092.71</v>
          </cell>
          <cell r="U85">
            <v>2092.71</v>
          </cell>
          <cell r="V85">
            <v>2092.71</v>
          </cell>
          <cell r="W85">
            <v>2092.71</v>
          </cell>
          <cell r="X85">
            <v>1496.95</v>
          </cell>
          <cell r="Y85">
            <v>1496.95</v>
          </cell>
          <cell r="Z85">
            <v>1765.73</v>
          </cell>
          <cell r="AA85">
            <v>1765.73</v>
          </cell>
          <cell r="AB85">
            <v>1765.73</v>
          </cell>
          <cell r="AC85">
            <v>1765.73</v>
          </cell>
          <cell r="AD85">
            <v>885.09999999999991</v>
          </cell>
          <cell r="AE85">
            <v>885.09999999999991</v>
          </cell>
          <cell r="AF85">
            <v>1765.73</v>
          </cell>
          <cell r="AG85">
            <v>1765.73</v>
          </cell>
          <cell r="AH85">
            <v>1765.73</v>
          </cell>
          <cell r="AI85">
            <v>1765.73</v>
          </cell>
          <cell r="AJ85">
            <v>884.71</v>
          </cell>
          <cell r="AK85">
            <v>884.71</v>
          </cell>
          <cell r="AL85">
            <v>710.77</v>
          </cell>
          <cell r="AM85">
            <v>710.77</v>
          </cell>
          <cell r="AN85">
            <v>710.77</v>
          </cell>
          <cell r="AO85">
            <v>710.77</v>
          </cell>
          <cell r="AP85">
            <v>634.63</v>
          </cell>
          <cell r="AQ85">
            <v>634.63</v>
          </cell>
          <cell r="AR85">
            <v>710.77</v>
          </cell>
          <cell r="AS85">
            <v>710.77</v>
          </cell>
          <cell r="AT85">
            <v>710.77</v>
          </cell>
          <cell r="AU85">
            <v>710.77</v>
          </cell>
          <cell r="AV85">
            <v>635.15</v>
          </cell>
          <cell r="AW85">
            <v>635.15</v>
          </cell>
          <cell r="AX85">
            <v>0</v>
          </cell>
          <cell r="AY85">
            <v>0</v>
          </cell>
          <cell r="AZ85">
            <v>0</v>
          </cell>
          <cell r="BA85">
            <v>439.13</v>
          </cell>
          <cell r="BB85">
            <v>439.13</v>
          </cell>
          <cell r="BC85">
            <v>439.13</v>
          </cell>
          <cell r="BD85">
            <v>0</v>
          </cell>
          <cell r="BE85">
            <v>0</v>
          </cell>
          <cell r="BF85">
            <v>0</v>
          </cell>
          <cell r="BG85">
            <v>439.54999999999995</v>
          </cell>
          <cell r="BH85">
            <v>439.54999999999995</v>
          </cell>
          <cell r="BI85">
            <v>439.54999999999995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1234.3400000000001</v>
          </cell>
          <cell r="BQ85">
            <v>1150.4399999999978</v>
          </cell>
          <cell r="BR85">
            <v>1002.9399999999978</v>
          </cell>
          <cell r="BS85">
            <v>1150.4399999999978</v>
          </cell>
          <cell r="BT85">
            <v>1099.989999999998</v>
          </cell>
          <cell r="BU85">
            <v>952.48999999999796</v>
          </cell>
          <cell r="BV85">
            <v>952.48999999999705</v>
          </cell>
          <cell r="BW85">
            <v>4774.1100000000006</v>
          </cell>
          <cell r="BX85">
            <v>3320.4199999999946</v>
          </cell>
          <cell r="BY85">
            <v>2905.9000000000005</v>
          </cell>
          <cell r="BZ85">
            <v>3320.4199999999946</v>
          </cell>
          <cell r="CA85">
            <v>3213.2099999999955</v>
          </cell>
          <cell r="CB85">
            <v>2798.6899999999932</v>
          </cell>
          <cell r="CC85">
            <v>2798.6899999999996</v>
          </cell>
          <cell r="CD85">
            <v>50.45</v>
          </cell>
          <cell r="CE85">
            <v>9.49</v>
          </cell>
          <cell r="CF85">
            <v>9.49</v>
          </cell>
          <cell r="CG85">
            <v>9.49</v>
          </cell>
          <cell r="CH85">
            <v>107.21000000000001</v>
          </cell>
          <cell r="CI85">
            <v>9.49</v>
          </cell>
          <cell r="CJ85">
            <v>9.49</v>
          </cell>
          <cell r="CK85">
            <v>9.49</v>
          </cell>
          <cell r="CL85">
            <v>0</v>
          </cell>
          <cell r="CM85">
            <v>75.42</v>
          </cell>
          <cell r="CN85">
            <v>75.42</v>
          </cell>
          <cell r="CO85">
            <v>75.42</v>
          </cell>
          <cell r="CP85">
            <v>0</v>
          </cell>
          <cell r="CQ85">
            <v>75.42</v>
          </cell>
          <cell r="CR85">
            <v>75.42</v>
          </cell>
          <cell r="CS85">
            <v>75.42</v>
          </cell>
          <cell r="CT85">
            <v>0</v>
          </cell>
          <cell r="CU85">
            <v>238.23</v>
          </cell>
          <cell r="CV85">
            <v>238.23</v>
          </cell>
          <cell r="CW85">
            <v>238.23</v>
          </cell>
          <cell r="CX85">
            <v>0</v>
          </cell>
          <cell r="CY85">
            <v>238.23</v>
          </cell>
          <cell r="CZ85">
            <v>238.23</v>
          </cell>
          <cell r="DA85">
            <v>238.23</v>
          </cell>
          <cell r="DB85">
            <v>0</v>
          </cell>
          <cell r="DC85">
            <v>1030.45</v>
          </cell>
          <cell r="DD85">
            <v>1030.45</v>
          </cell>
          <cell r="DE85">
            <v>1030.45</v>
          </cell>
          <cell r="DF85">
            <v>0</v>
          </cell>
          <cell r="DG85">
            <v>1030.45</v>
          </cell>
          <cell r="DH85">
            <v>1030.45</v>
          </cell>
          <cell r="DI85">
            <v>1030.45</v>
          </cell>
        </row>
        <row r="86">
          <cell r="A86">
            <v>45184</v>
          </cell>
          <cell r="B86">
            <v>1051.48</v>
          </cell>
          <cell r="C86">
            <v>1051.48</v>
          </cell>
          <cell r="D86">
            <v>1051.48</v>
          </cell>
          <cell r="E86">
            <v>1051.48</v>
          </cell>
          <cell r="F86">
            <v>1445.15</v>
          </cell>
          <cell r="G86">
            <v>1445.15</v>
          </cell>
          <cell r="H86">
            <v>1051.48</v>
          </cell>
          <cell r="I86">
            <v>1051.48</v>
          </cell>
          <cell r="J86">
            <v>1051.48</v>
          </cell>
          <cell r="K86">
            <v>1051.48</v>
          </cell>
          <cell r="L86">
            <v>1445.35</v>
          </cell>
          <cell r="M86">
            <v>1445.35</v>
          </cell>
          <cell r="N86">
            <v>1549.28</v>
          </cell>
          <cell r="O86">
            <v>1549.28</v>
          </cell>
          <cell r="P86">
            <v>1549.28</v>
          </cell>
          <cell r="Q86">
            <v>1549.28</v>
          </cell>
          <cell r="R86">
            <v>1176.44</v>
          </cell>
          <cell r="S86">
            <v>1176.44</v>
          </cell>
          <cell r="T86">
            <v>1549.28</v>
          </cell>
          <cell r="U86">
            <v>1549.28</v>
          </cell>
          <cell r="V86">
            <v>1549.28</v>
          </cell>
          <cell r="W86">
            <v>1549.28</v>
          </cell>
          <cell r="X86">
            <v>1175.25</v>
          </cell>
          <cell r="Y86">
            <v>1175.25</v>
          </cell>
          <cell r="Z86">
            <v>1542.69</v>
          </cell>
          <cell r="AA86">
            <v>1542.69</v>
          </cell>
          <cell r="AB86">
            <v>1542.69</v>
          </cell>
          <cell r="AC86">
            <v>1542.69</v>
          </cell>
          <cell r="AD86">
            <v>615.45000000000005</v>
          </cell>
          <cell r="AE86">
            <v>615.45000000000005</v>
          </cell>
          <cell r="AF86">
            <v>1542.69</v>
          </cell>
          <cell r="AG86">
            <v>1542.69</v>
          </cell>
          <cell r="AH86">
            <v>1542.69</v>
          </cell>
          <cell r="AI86">
            <v>1542.69</v>
          </cell>
          <cell r="AJ86">
            <v>615.19000000000005</v>
          </cell>
          <cell r="AK86">
            <v>615.19000000000005</v>
          </cell>
          <cell r="AL86">
            <v>790.73</v>
          </cell>
          <cell r="AM86">
            <v>790.73</v>
          </cell>
          <cell r="AN86">
            <v>790.73</v>
          </cell>
          <cell r="AO86">
            <v>790.73</v>
          </cell>
          <cell r="AP86">
            <v>500.36</v>
          </cell>
          <cell r="AQ86">
            <v>500.36</v>
          </cell>
          <cell r="AR86">
            <v>790.73</v>
          </cell>
          <cell r="AS86">
            <v>790.73</v>
          </cell>
          <cell r="AT86">
            <v>790.73</v>
          </cell>
          <cell r="AU86">
            <v>790.73</v>
          </cell>
          <cell r="AV86">
            <v>500.63</v>
          </cell>
          <cell r="AW86">
            <v>500.63</v>
          </cell>
          <cell r="AX86">
            <v>0</v>
          </cell>
          <cell r="AY86">
            <v>0</v>
          </cell>
          <cell r="AZ86">
            <v>0</v>
          </cell>
          <cell r="BA86">
            <v>428.76</v>
          </cell>
          <cell r="BB86">
            <v>428.76</v>
          </cell>
          <cell r="BC86">
            <v>428.76</v>
          </cell>
          <cell r="BD86">
            <v>0</v>
          </cell>
          <cell r="BE86">
            <v>0</v>
          </cell>
          <cell r="BF86">
            <v>0</v>
          </cell>
          <cell r="BG86">
            <v>429.23</v>
          </cell>
          <cell r="BH86">
            <v>429.23</v>
          </cell>
          <cell r="BI86">
            <v>429.23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1593.6100000000004</v>
          </cell>
          <cell r="BQ86">
            <v>1071.2400000000016</v>
          </cell>
          <cell r="BR86">
            <v>1029.2900000000009</v>
          </cell>
          <cell r="BS86">
            <v>1071.2400000000016</v>
          </cell>
          <cell r="BT86">
            <v>1019.0500000000029</v>
          </cell>
          <cell r="BU86">
            <v>977.10000000000218</v>
          </cell>
          <cell r="BV86">
            <v>977.10000000000218</v>
          </cell>
          <cell r="BW86">
            <v>5938.2499999999982</v>
          </cell>
          <cell r="BX86">
            <v>3377.7299999999977</v>
          </cell>
          <cell r="BY86">
            <v>2880.9199999999973</v>
          </cell>
          <cell r="BZ86">
            <v>3377.7299999999977</v>
          </cell>
          <cell r="CA86">
            <v>3272.5899999999983</v>
          </cell>
          <cell r="CB86">
            <v>2775.7799999999988</v>
          </cell>
          <cell r="CC86">
            <v>2775.7799999999988</v>
          </cell>
          <cell r="CD86">
            <v>52.19</v>
          </cell>
          <cell r="CE86">
            <v>20.05</v>
          </cell>
          <cell r="CF86">
            <v>20.05</v>
          </cell>
          <cell r="CG86">
            <v>20.05</v>
          </cell>
          <cell r="CH86">
            <v>105.14</v>
          </cell>
          <cell r="CI86">
            <v>20.05</v>
          </cell>
          <cell r="CJ86">
            <v>20.05</v>
          </cell>
          <cell r="CK86">
            <v>20.05</v>
          </cell>
          <cell r="CL86">
            <v>0</v>
          </cell>
          <cell r="CM86">
            <v>97.31</v>
          </cell>
          <cell r="CN86">
            <v>97.31</v>
          </cell>
          <cell r="CO86">
            <v>97.31</v>
          </cell>
          <cell r="CP86">
            <v>0</v>
          </cell>
          <cell r="CQ86">
            <v>97.31</v>
          </cell>
          <cell r="CR86">
            <v>97.31</v>
          </cell>
          <cell r="CS86">
            <v>97.31</v>
          </cell>
          <cell r="CT86">
            <v>0</v>
          </cell>
          <cell r="CU86">
            <v>167.2</v>
          </cell>
          <cell r="CV86">
            <v>167.2</v>
          </cell>
          <cell r="CW86">
            <v>167.2</v>
          </cell>
          <cell r="CX86">
            <v>0</v>
          </cell>
          <cell r="CY86">
            <v>167.2</v>
          </cell>
          <cell r="CZ86">
            <v>167.2</v>
          </cell>
          <cell r="DA86">
            <v>167.2</v>
          </cell>
          <cell r="DB86">
            <v>0</v>
          </cell>
          <cell r="DC86">
            <v>271.60000000000002</v>
          </cell>
          <cell r="DD86">
            <v>271.60000000000002</v>
          </cell>
          <cell r="DE86">
            <v>271.60000000000002</v>
          </cell>
          <cell r="DF86">
            <v>0</v>
          </cell>
          <cell r="DG86">
            <v>271.60000000000002</v>
          </cell>
          <cell r="DH86">
            <v>271.60000000000002</v>
          </cell>
          <cell r="DI86">
            <v>271.60000000000002</v>
          </cell>
        </row>
        <row r="87">
          <cell r="A87">
            <v>45185</v>
          </cell>
          <cell r="B87">
            <v>808.36</v>
          </cell>
          <cell r="C87">
            <v>808.36</v>
          </cell>
          <cell r="D87">
            <v>808.36</v>
          </cell>
          <cell r="E87">
            <v>808.36</v>
          </cell>
          <cell r="F87">
            <v>893.47</v>
          </cell>
          <cell r="G87">
            <v>893.47</v>
          </cell>
          <cell r="H87">
            <v>808.36</v>
          </cell>
          <cell r="I87">
            <v>808.36</v>
          </cell>
          <cell r="J87">
            <v>808.36</v>
          </cell>
          <cell r="K87">
            <v>808.36</v>
          </cell>
          <cell r="L87">
            <v>893.74</v>
          </cell>
          <cell r="M87">
            <v>893.74</v>
          </cell>
          <cell r="N87">
            <v>2150.35</v>
          </cell>
          <cell r="O87">
            <v>2150.35</v>
          </cell>
          <cell r="P87">
            <v>2150.35</v>
          </cell>
          <cell r="Q87">
            <v>2150.35</v>
          </cell>
          <cell r="R87">
            <v>945.34</v>
          </cell>
          <cell r="S87">
            <v>945.34</v>
          </cell>
          <cell r="T87">
            <v>2150.35</v>
          </cell>
          <cell r="U87">
            <v>2150.35</v>
          </cell>
          <cell r="V87">
            <v>2150.35</v>
          </cell>
          <cell r="W87">
            <v>2150.35</v>
          </cell>
          <cell r="X87">
            <v>944.22</v>
          </cell>
          <cell r="Y87">
            <v>944.22</v>
          </cell>
          <cell r="Z87">
            <v>1764.27</v>
          </cell>
          <cell r="AA87">
            <v>1764.27</v>
          </cell>
          <cell r="AB87">
            <v>1764.27</v>
          </cell>
          <cell r="AC87">
            <v>1764.27</v>
          </cell>
          <cell r="AD87">
            <v>558.38</v>
          </cell>
          <cell r="AE87">
            <v>558.38</v>
          </cell>
          <cell r="AF87">
            <v>1764.27</v>
          </cell>
          <cell r="AG87">
            <v>1764.27</v>
          </cell>
          <cell r="AH87">
            <v>1764.27</v>
          </cell>
          <cell r="AI87">
            <v>1764.27</v>
          </cell>
          <cell r="AJ87">
            <v>558.08999999999992</v>
          </cell>
          <cell r="AK87">
            <v>558.08999999999992</v>
          </cell>
          <cell r="AL87">
            <v>1005.89</v>
          </cell>
          <cell r="AM87">
            <v>1005.89</v>
          </cell>
          <cell r="AN87">
            <v>1005.89</v>
          </cell>
          <cell r="AO87">
            <v>1005.89</v>
          </cell>
          <cell r="AP87">
            <v>554.9</v>
          </cell>
          <cell r="AQ87">
            <v>554.9</v>
          </cell>
          <cell r="AR87">
            <v>1005.89</v>
          </cell>
          <cell r="AS87">
            <v>1005.89</v>
          </cell>
          <cell r="AT87">
            <v>1005.89</v>
          </cell>
          <cell r="AU87">
            <v>1005.89</v>
          </cell>
          <cell r="AV87">
            <v>555.32000000000005</v>
          </cell>
          <cell r="AW87">
            <v>555.32000000000005</v>
          </cell>
          <cell r="AX87">
            <v>0</v>
          </cell>
          <cell r="AY87">
            <v>0</v>
          </cell>
          <cell r="AZ87">
            <v>0</v>
          </cell>
          <cell r="BA87">
            <v>455.46000000000004</v>
          </cell>
          <cell r="BB87">
            <v>455.46000000000004</v>
          </cell>
          <cell r="BC87">
            <v>455.46000000000004</v>
          </cell>
          <cell r="BD87">
            <v>0</v>
          </cell>
          <cell r="BE87">
            <v>0</v>
          </cell>
          <cell r="BF87">
            <v>0</v>
          </cell>
          <cell r="BG87">
            <v>455.95</v>
          </cell>
          <cell r="BH87">
            <v>455.95</v>
          </cell>
          <cell r="BI87">
            <v>455.95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1441.8799999999999</v>
          </cell>
          <cell r="BQ87">
            <v>1015.3699999999999</v>
          </cell>
          <cell r="BR87">
            <v>909.86999999999989</v>
          </cell>
          <cell r="BS87">
            <v>1015.3699999999999</v>
          </cell>
          <cell r="BT87">
            <v>952</v>
          </cell>
          <cell r="BU87">
            <v>846.5</v>
          </cell>
          <cell r="BV87">
            <v>846.5</v>
          </cell>
          <cell r="BW87">
            <v>6410.98</v>
          </cell>
          <cell r="BX87">
            <v>2939.4099999999989</v>
          </cell>
          <cell r="BY87">
            <v>2311.4</v>
          </cell>
          <cell r="BZ87">
            <v>2939.4099999999989</v>
          </cell>
          <cell r="CA87">
            <v>2876.5199999999986</v>
          </cell>
          <cell r="CB87">
            <v>2248.5099999999975</v>
          </cell>
          <cell r="CC87">
            <v>2248.5099999999998</v>
          </cell>
          <cell r="CD87">
            <v>63.37</v>
          </cell>
          <cell r="CE87">
            <v>21.52</v>
          </cell>
          <cell r="CF87">
            <v>21.52</v>
          </cell>
          <cell r="CG87">
            <v>21.52</v>
          </cell>
          <cell r="CH87">
            <v>62.89</v>
          </cell>
          <cell r="CI87">
            <v>21.52</v>
          </cell>
          <cell r="CJ87">
            <v>21.52</v>
          </cell>
          <cell r="CK87">
            <v>21.52</v>
          </cell>
          <cell r="CL87">
            <v>0</v>
          </cell>
          <cell r="CM87">
            <v>85.57</v>
          </cell>
          <cell r="CN87">
            <v>85.57</v>
          </cell>
          <cell r="CO87">
            <v>85.57</v>
          </cell>
          <cell r="CP87">
            <v>0</v>
          </cell>
          <cell r="CQ87">
            <v>85.57</v>
          </cell>
          <cell r="CR87">
            <v>85.57</v>
          </cell>
          <cell r="CS87">
            <v>85.57</v>
          </cell>
          <cell r="CT87">
            <v>0</v>
          </cell>
          <cell r="CU87">
            <v>199.13</v>
          </cell>
          <cell r="CV87">
            <v>199.13</v>
          </cell>
          <cell r="CW87">
            <v>199.13</v>
          </cell>
          <cell r="CX87">
            <v>0</v>
          </cell>
          <cell r="CY87">
            <v>199.13</v>
          </cell>
          <cell r="CZ87">
            <v>199.13</v>
          </cell>
          <cell r="DA87">
            <v>199.13</v>
          </cell>
          <cell r="DB87">
            <v>0</v>
          </cell>
          <cell r="DC87">
            <v>206.9</v>
          </cell>
          <cell r="DD87">
            <v>206.9</v>
          </cell>
          <cell r="DE87">
            <v>206.9</v>
          </cell>
          <cell r="DF87">
            <v>0</v>
          </cell>
          <cell r="DG87">
            <v>206.9</v>
          </cell>
          <cell r="DH87">
            <v>206.9</v>
          </cell>
          <cell r="DI87">
            <v>206.9</v>
          </cell>
        </row>
        <row r="88">
          <cell r="A88">
            <v>45186</v>
          </cell>
          <cell r="B88">
            <v>1894.02</v>
          </cell>
          <cell r="C88">
            <v>1894.02</v>
          </cell>
          <cell r="D88">
            <v>1894.02</v>
          </cell>
          <cell r="E88">
            <v>1894.02</v>
          </cell>
          <cell r="F88">
            <v>1235.42</v>
          </cell>
          <cell r="G88">
            <v>1235.42</v>
          </cell>
          <cell r="H88">
            <v>1894.02</v>
          </cell>
          <cell r="I88">
            <v>1894.02</v>
          </cell>
          <cell r="J88">
            <v>1894.02</v>
          </cell>
          <cell r="K88">
            <v>1894.02</v>
          </cell>
          <cell r="L88">
            <v>1235.75</v>
          </cell>
          <cell r="M88">
            <v>1235.75</v>
          </cell>
          <cell r="N88">
            <v>2986.35</v>
          </cell>
          <cell r="O88">
            <v>2986.35</v>
          </cell>
          <cell r="P88">
            <v>2986.35</v>
          </cell>
          <cell r="Q88">
            <v>2986.35</v>
          </cell>
          <cell r="R88">
            <v>1146.17</v>
          </cell>
          <cell r="S88">
            <v>1146.17</v>
          </cell>
          <cell r="T88">
            <v>2986.35</v>
          </cell>
          <cell r="U88">
            <v>2986.35</v>
          </cell>
          <cell r="V88">
            <v>2986.35</v>
          </cell>
          <cell r="W88">
            <v>2986.35</v>
          </cell>
          <cell r="X88">
            <v>1144.58</v>
          </cell>
          <cell r="Y88">
            <v>1144.58</v>
          </cell>
          <cell r="Z88">
            <v>1817.03</v>
          </cell>
          <cell r="AA88">
            <v>1817.03</v>
          </cell>
          <cell r="AB88">
            <v>1817.03</v>
          </cell>
          <cell r="AC88">
            <v>1817.03</v>
          </cell>
          <cell r="AD88">
            <v>551.96</v>
          </cell>
          <cell r="AE88">
            <v>551.96</v>
          </cell>
          <cell r="AF88">
            <v>1817.03</v>
          </cell>
          <cell r="AG88">
            <v>1817.03</v>
          </cell>
          <cell r="AH88">
            <v>1817.03</v>
          </cell>
          <cell r="AI88">
            <v>1817.03</v>
          </cell>
          <cell r="AJ88">
            <v>551.68999999999994</v>
          </cell>
          <cell r="AK88">
            <v>551.68999999999994</v>
          </cell>
          <cell r="AL88">
            <v>869.75</v>
          </cell>
          <cell r="AM88">
            <v>869.75</v>
          </cell>
          <cell r="AN88">
            <v>869.75</v>
          </cell>
          <cell r="AO88">
            <v>869.75</v>
          </cell>
          <cell r="AP88">
            <v>428.31</v>
          </cell>
          <cell r="AQ88">
            <v>428.31</v>
          </cell>
          <cell r="AR88">
            <v>869.75</v>
          </cell>
          <cell r="AS88">
            <v>869.75</v>
          </cell>
          <cell r="AT88">
            <v>869.75</v>
          </cell>
          <cell r="AU88">
            <v>869.75</v>
          </cell>
          <cell r="AV88">
            <v>428.67999999999995</v>
          </cell>
          <cell r="AW88">
            <v>428.67999999999995</v>
          </cell>
          <cell r="AX88">
            <v>0</v>
          </cell>
          <cell r="AY88">
            <v>0</v>
          </cell>
          <cell r="AZ88">
            <v>0</v>
          </cell>
          <cell r="BA88">
            <v>315.94</v>
          </cell>
          <cell r="BB88">
            <v>315.94</v>
          </cell>
          <cell r="BC88">
            <v>315.94</v>
          </cell>
          <cell r="BD88">
            <v>0</v>
          </cell>
          <cell r="BE88">
            <v>0</v>
          </cell>
          <cell r="BF88">
            <v>0</v>
          </cell>
          <cell r="BG88">
            <v>316.21000000000004</v>
          </cell>
          <cell r="BH88">
            <v>316.21000000000004</v>
          </cell>
          <cell r="BI88">
            <v>316.21000000000004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1067.03</v>
          </cell>
          <cell r="BQ88">
            <v>901.48999999999978</v>
          </cell>
          <cell r="BR88">
            <v>834.6200000000008</v>
          </cell>
          <cell r="BS88">
            <v>901.48999999999978</v>
          </cell>
          <cell r="BT88">
            <v>901.48999999999978</v>
          </cell>
          <cell r="BU88">
            <v>834.62000000000444</v>
          </cell>
          <cell r="BV88">
            <v>834.6200000000008</v>
          </cell>
          <cell r="BW88">
            <v>5850.2500000000018</v>
          </cell>
          <cell r="BX88">
            <v>2460.0799999999963</v>
          </cell>
          <cell r="BY88">
            <v>2115.7300000000018</v>
          </cell>
          <cell r="BZ88">
            <v>2460.0799999999963</v>
          </cell>
          <cell r="CA88">
            <v>2417.1599999999962</v>
          </cell>
          <cell r="CB88">
            <v>2072.8099999999977</v>
          </cell>
          <cell r="CC88">
            <v>2072.8100000000022</v>
          </cell>
          <cell r="CD88">
            <v>0</v>
          </cell>
          <cell r="CE88">
            <v>24.01</v>
          </cell>
          <cell r="CF88">
            <v>24.01</v>
          </cell>
          <cell r="CG88">
            <v>24.01</v>
          </cell>
          <cell r="CH88">
            <v>42.92</v>
          </cell>
          <cell r="CI88">
            <v>24.01</v>
          </cell>
          <cell r="CJ88">
            <v>24.01</v>
          </cell>
          <cell r="CK88">
            <v>24.01</v>
          </cell>
          <cell r="CL88">
            <v>0</v>
          </cell>
          <cell r="CM88">
            <v>106.54</v>
          </cell>
          <cell r="CN88">
            <v>106.54</v>
          </cell>
          <cell r="CO88">
            <v>106.54</v>
          </cell>
          <cell r="CP88">
            <v>0</v>
          </cell>
          <cell r="CQ88">
            <v>106.54</v>
          </cell>
          <cell r="CR88">
            <v>106.54</v>
          </cell>
          <cell r="CS88">
            <v>106.54</v>
          </cell>
          <cell r="CT88">
            <v>0</v>
          </cell>
          <cell r="CU88">
            <v>196.16</v>
          </cell>
          <cell r="CV88">
            <v>196.16</v>
          </cell>
          <cell r="CW88">
            <v>196.16</v>
          </cell>
          <cell r="CX88">
            <v>0</v>
          </cell>
          <cell r="CY88">
            <v>196.16</v>
          </cell>
          <cell r="CZ88">
            <v>196.16</v>
          </cell>
          <cell r="DA88">
            <v>196.16</v>
          </cell>
          <cell r="DB88">
            <v>0</v>
          </cell>
          <cell r="DC88">
            <v>265.55</v>
          </cell>
          <cell r="DD88">
            <v>265.55</v>
          </cell>
          <cell r="DE88">
            <v>265.55</v>
          </cell>
          <cell r="DF88">
            <v>0</v>
          </cell>
          <cell r="DG88">
            <v>265.55</v>
          </cell>
          <cell r="DH88">
            <v>265.55</v>
          </cell>
          <cell r="DI88">
            <v>265.55</v>
          </cell>
        </row>
        <row r="89">
          <cell r="A89">
            <v>45187</v>
          </cell>
          <cell r="B89">
            <v>3759.42</v>
          </cell>
          <cell r="C89">
            <v>3759.42</v>
          </cell>
          <cell r="D89">
            <v>3759.42</v>
          </cell>
          <cell r="E89">
            <v>3759.42</v>
          </cell>
          <cell r="F89">
            <v>1140.9399999999998</v>
          </cell>
          <cell r="G89">
            <v>1140.9399999999998</v>
          </cell>
          <cell r="H89">
            <v>3759.42</v>
          </cell>
          <cell r="I89">
            <v>3759.42</v>
          </cell>
          <cell r="J89">
            <v>3759.42</v>
          </cell>
          <cell r="K89">
            <v>3759.42</v>
          </cell>
          <cell r="L89">
            <v>1140.8399999999999</v>
          </cell>
          <cell r="M89">
            <v>1140.8399999999999</v>
          </cell>
          <cell r="N89">
            <v>3133.24</v>
          </cell>
          <cell r="O89">
            <v>3133.24</v>
          </cell>
          <cell r="P89">
            <v>3133.24</v>
          </cell>
          <cell r="Q89">
            <v>3133.24</v>
          </cell>
          <cell r="R89">
            <v>1491.9</v>
          </cell>
          <cell r="S89">
            <v>1491.9</v>
          </cell>
          <cell r="T89">
            <v>3133.24</v>
          </cell>
          <cell r="U89">
            <v>3133.24</v>
          </cell>
          <cell r="V89">
            <v>3133.24</v>
          </cell>
          <cell r="W89">
            <v>3133.24</v>
          </cell>
          <cell r="X89">
            <v>1489.8200000000002</v>
          </cell>
          <cell r="Y89">
            <v>1489.8200000000002</v>
          </cell>
          <cell r="Z89">
            <v>2173.87</v>
          </cell>
          <cell r="AA89">
            <v>2173.87</v>
          </cell>
          <cell r="AB89">
            <v>2173.87</v>
          </cell>
          <cell r="AC89">
            <v>2173.87</v>
          </cell>
          <cell r="AD89">
            <v>646.89</v>
          </cell>
          <cell r="AE89">
            <v>646.89</v>
          </cell>
          <cell r="AF89">
            <v>2173.87</v>
          </cell>
          <cell r="AG89">
            <v>2173.87</v>
          </cell>
          <cell r="AH89">
            <v>2173.87</v>
          </cell>
          <cell r="AI89">
            <v>2173.87</v>
          </cell>
          <cell r="AJ89">
            <v>646.27</v>
          </cell>
          <cell r="AK89">
            <v>646.27</v>
          </cell>
          <cell r="AL89">
            <v>972.64</v>
          </cell>
          <cell r="AM89">
            <v>972.64</v>
          </cell>
          <cell r="AN89">
            <v>972.64</v>
          </cell>
          <cell r="AO89">
            <v>972.64</v>
          </cell>
          <cell r="AP89">
            <v>377.28</v>
          </cell>
          <cell r="AQ89">
            <v>377.28</v>
          </cell>
          <cell r="AR89">
            <v>972.64</v>
          </cell>
          <cell r="AS89">
            <v>972.64</v>
          </cell>
          <cell r="AT89">
            <v>972.64</v>
          </cell>
          <cell r="AU89">
            <v>972.64</v>
          </cell>
          <cell r="AV89">
            <v>377.68</v>
          </cell>
          <cell r="AW89">
            <v>377.68</v>
          </cell>
          <cell r="AX89">
            <v>0</v>
          </cell>
          <cell r="AY89">
            <v>0</v>
          </cell>
          <cell r="AZ89">
            <v>0</v>
          </cell>
          <cell r="BA89">
            <v>195.36</v>
          </cell>
          <cell r="BB89">
            <v>195.36</v>
          </cell>
          <cell r="BC89">
            <v>195.36</v>
          </cell>
          <cell r="BD89">
            <v>0</v>
          </cell>
          <cell r="BE89">
            <v>0</v>
          </cell>
          <cell r="BF89">
            <v>0</v>
          </cell>
          <cell r="BG89">
            <v>195.52999999999997</v>
          </cell>
          <cell r="BH89">
            <v>195.52999999999997</v>
          </cell>
          <cell r="BI89">
            <v>195.52999999999997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2363.0899999999992</v>
          </cell>
          <cell r="BQ89">
            <v>1333.33</v>
          </cell>
          <cell r="BR89">
            <v>1283.3200000000015</v>
          </cell>
          <cell r="BS89">
            <v>1333.33</v>
          </cell>
          <cell r="BT89">
            <v>1319.1100000000006</v>
          </cell>
          <cell r="BU89">
            <v>1269.1000000000022</v>
          </cell>
          <cell r="BV89">
            <v>1269.1000000000013</v>
          </cell>
          <cell r="BW89">
            <v>5005.1700000000019</v>
          </cell>
          <cell r="BX89">
            <v>2425.5399999999954</v>
          </cell>
          <cell r="BY89">
            <v>2071.2000000000012</v>
          </cell>
          <cell r="BZ89">
            <v>2425.5399999999954</v>
          </cell>
          <cell r="CA89">
            <v>2347.1499999999942</v>
          </cell>
          <cell r="CB89">
            <v>1992.809999999994</v>
          </cell>
          <cell r="CC89">
            <v>1992.8100000000004</v>
          </cell>
          <cell r="CD89">
            <v>14.22</v>
          </cell>
          <cell r="CE89">
            <v>7.5</v>
          </cell>
          <cell r="CF89">
            <v>7.5</v>
          </cell>
          <cell r="CG89">
            <v>7.5</v>
          </cell>
          <cell r="CH89">
            <v>78.39</v>
          </cell>
          <cell r="CI89">
            <v>7.5</v>
          </cell>
          <cell r="CJ89">
            <v>7.5</v>
          </cell>
          <cell r="CK89">
            <v>7.5</v>
          </cell>
          <cell r="CL89">
            <v>0</v>
          </cell>
          <cell r="CM89">
            <v>65.52</v>
          </cell>
          <cell r="CN89">
            <v>65.52</v>
          </cell>
          <cell r="CO89">
            <v>65.52</v>
          </cell>
          <cell r="CP89">
            <v>0</v>
          </cell>
          <cell r="CQ89">
            <v>65.52</v>
          </cell>
          <cell r="CR89">
            <v>65.52</v>
          </cell>
          <cell r="CS89">
            <v>65.52</v>
          </cell>
          <cell r="CT89">
            <v>0</v>
          </cell>
          <cell r="CU89">
            <v>142.22999999999999</v>
          </cell>
          <cell r="CV89">
            <v>142.22999999999999</v>
          </cell>
          <cell r="CW89">
            <v>142.22999999999999</v>
          </cell>
          <cell r="CX89">
            <v>0</v>
          </cell>
          <cell r="CY89">
            <v>142.22999999999999</v>
          </cell>
          <cell r="CZ89">
            <v>142.22999999999999</v>
          </cell>
          <cell r="DA89">
            <v>142.22999999999999</v>
          </cell>
          <cell r="DB89">
            <v>0</v>
          </cell>
          <cell r="DC89">
            <v>276.52999999999997</v>
          </cell>
          <cell r="DD89">
            <v>276.52999999999997</v>
          </cell>
          <cell r="DE89">
            <v>276.52999999999997</v>
          </cell>
          <cell r="DF89">
            <v>0</v>
          </cell>
          <cell r="DG89">
            <v>276.52999999999997</v>
          </cell>
          <cell r="DH89">
            <v>276.52999999999997</v>
          </cell>
          <cell r="DI89">
            <v>276.52999999999997</v>
          </cell>
        </row>
        <row r="90">
          <cell r="A90">
            <v>45188</v>
          </cell>
          <cell r="B90">
            <v>4272.92</v>
          </cell>
          <cell r="C90">
            <v>4272.92</v>
          </cell>
          <cell r="D90">
            <v>4272.92</v>
          </cell>
          <cell r="E90">
            <v>4272.92</v>
          </cell>
          <cell r="F90">
            <v>1912.37</v>
          </cell>
          <cell r="G90">
            <v>1912.37</v>
          </cell>
          <cell r="H90">
            <v>4272.92</v>
          </cell>
          <cell r="I90">
            <v>4272.92</v>
          </cell>
          <cell r="J90">
            <v>4272.92</v>
          </cell>
          <cell r="K90">
            <v>4272.92</v>
          </cell>
          <cell r="L90">
            <v>1912.37</v>
          </cell>
          <cell r="M90">
            <v>1912.37</v>
          </cell>
          <cell r="N90">
            <v>2441.5700000000002</v>
          </cell>
          <cell r="O90">
            <v>2441.5700000000002</v>
          </cell>
          <cell r="P90">
            <v>2441.5700000000002</v>
          </cell>
          <cell r="Q90">
            <v>2441.5700000000002</v>
          </cell>
          <cell r="R90">
            <v>1230.56</v>
          </cell>
          <cell r="S90">
            <v>1230.56</v>
          </cell>
          <cell r="T90">
            <v>2441.5700000000002</v>
          </cell>
          <cell r="U90">
            <v>2441.5700000000002</v>
          </cell>
          <cell r="V90">
            <v>2441.5700000000002</v>
          </cell>
          <cell r="W90">
            <v>2441.5700000000002</v>
          </cell>
          <cell r="X90">
            <v>1230.56</v>
          </cell>
          <cell r="Y90">
            <v>1230.56</v>
          </cell>
          <cell r="Z90">
            <v>1699.12</v>
          </cell>
          <cell r="AA90">
            <v>1699.12</v>
          </cell>
          <cell r="AB90">
            <v>1699.12</v>
          </cell>
          <cell r="AC90">
            <v>1699.12</v>
          </cell>
          <cell r="AD90">
            <v>670.97</v>
          </cell>
          <cell r="AE90">
            <v>670.97</v>
          </cell>
          <cell r="AF90">
            <v>1699.12</v>
          </cell>
          <cell r="AG90">
            <v>1699.12</v>
          </cell>
          <cell r="AH90">
            <v>1699.12</v>
          </cell>
          <cell r="AI90">
            <v>1699.12</v>
          </cell>
          <cell r="AJ90">
            <v>670.97</v>
          </cell>
          <cell r="AK90">
            <v>670.97</v>
          </cell>
          <cell r="AL90">
            <v>725.44</v>
          </cell>
          <cell r="AM90">
            <v>725.44</v>
          </cell>
          <cell r="AN90">
            <v>725.44</v>
          </cell>
          <cell r="AO90">
            <v>725.44</v>
          </cell>
          <cell r="AP90">
            <v>374.69</v>
          </cell>
          <cell r="AQ90">
            <v>374.69</v>
          </cell>
          <cell r="AR90">
            <v>725.44</v>
          </cell>
          <cell r="AS90">
            <v>725.44</v>
          </cell>
          <cell r="AT90">
            <v>725.44</v>
          </cell>
          <cell r="AU90">
            <v>725.44</v>
          </cell>
          <cell r="AV90">
            <v>374.69</v>
          </cell>
          <cell r="AW90">
            <v>374.69</v>
          </cell>
          <cell r="AX90">
            <v>0</v>
          </cell>
          <cell r="AY90">
            <v>0</v>
          </cell>
          <cell r="AZ90">
            <v>0</v>
          </cell>
          <cell r="BA90">
            <v>314.85000000000002</v>
          </cell>
          <cell r="BB90">
            <v>314.85000000000002</v>
          </cell>
          <cell r="BC90">
            <v>314.85000000000002</v>
          </cell>
          <cell r="BD90">
            <v>0</v>
          </cell>
          <cell r="BE90">
            <v>0</v>
          </cell>
          <cell r="BF90">
            <v>0</v>
          </cell>
          <cell r="BG90">
            <v>314.85000000000002</v>
          </cell>
          <cell r="BH90">
            <v>314.85000000000002</v>
          </cell>
          <cell r="BI90">
            <v>314.85000000000002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2582.1899999999991</v>
          </cell>
          <cell r="BQ90">
            <v>1821.5499999999956</v>
          </cell>
          <cell r="BR90">
            <v>1774.5300000000007</v>
          </cell>
          <cell r="BS90">
            <v>1821.5499999999956</v>
          </cell>
          <cell r="BT90">
            <v>1794.8299999999963</v>
          </cell>
          <cell r="BU90">
            <v>1747.8099999999959</v>
          </cell>
          <cell r="BV90">
            <v>1747.8100000000013</v>
          </cell>
          <cell r="BW90">
            <v>6785.8900000000031</v>
          </cell>
          <cell r="BX90">
            <v>3383.1499999999978</v>
          </cell>
          <cell r="BY90">
            <v>3003.9200000000028</v>
          </cell>
          <cell r="BZ90">
            <v>3383.1499999999978</v>
          </cell>
          <cell r="CA90">
            <v>3347.5099999999984</v>
          </cell>
          <cell r="CB90">
            <v>2968.279999999997</v>
          </cell>
          <cell r="CC90">
            <v>2968.2800000000034</v>
          </cell>
          <cell r="CD90">
            <v>26.72</v>
          </cell>
          <cell r="CE90">
            <v>13.27</v>
          </cell>
          <cell r="CF90">
            <v>13.27</v>
          </cell>
          <cell r="CG90">
            <v>13.27</v>
          </cell>
          <cell r="CH90">
            <v>35.64</v>
          </cell>
          <cell r="CI90">
            <v>13.27</v>
          </cell>
          <cell r="CJ90">
            <v>13.27</v>
          </cell>
          <cell r="CK90">
            <v>13.27</v>
          </cell>
          <cell r="CL90">
            <v>0</v>
          </cell>
          <cell r="CM90">
            <v>80.11</v>
          </cell>
          <cell r="CN90">
            <v>80.11</v>
          </cell>
          <cell r="CO90">
            <v>80.11</v>
          </cell>
          <cell r="CP90">
            <v>0</v>
          </cell>
          <cell r="CQ90">
            <v>80.11</v>
          </cell>
          <cell r="CR90">
            <v>80.11</v>
          </cell>
          <cell r="CS90">
            <v>80.11</v>
          </cell>
          <cell r="CT90">
            <v>0</v>
          </cell>
          <cell r="CU90">
            <v>164.89</v>
          </cell>
          <cell r="CV90">
            <v>164.89</v>
          </cell>
          <cell r="CW90">
            <v>164.89</v>
          </cell>
          <cell r="CX90">
            <v>0</v>
          </cell>
          <cell r="CY90">
            <v>164.89</v>
          </cell>
          <cell r="CZ90">
            <v>164.89</v>
          </cell>
          <cell r="DA90">
            <v>164.89</v>
          </cell>
          <cell r="DB90">
            <v>0</v>
          </cell>
          <cell r="DC90">
            <v>249.22</v>
          </cell>
          <cell r="DD90">
            <v>249.22</v>
          </cell>
          <cell r="DE90">
            <v>249.22</v>
          </cell>
          <cell r="DF90">
            <v>0</v>
          </cell>
          <cell r="DG90">
            <v>249.22</v>
          </cell>
          <cell r="DH90">
            <v>249.22</v>
          </cell>
          <cell r="DI90">
            <v>249.22</v>
          </cell>
        </row>
        <row r="91">
          <cell r="A91">
            <v>45189</v>
          </cell>
          <cell r="B91">
            <v>617.6</v>
          </cell>
          <cell r="C91">
            <v>617.6</v>
          </cell>
          <cell r="D91">
            <v>617.6</v>
          </cell>
          <cell r="E91">
            <v>617.6</v>
          </cell>
          <cell r="F91">
            <v>381.77</v>
          </cell>
          <cell r="G91">
            <v>381.77</v>
          </cell>
          <cell r="H91">
            <v>617.6</v>
          </cell>
          <cell r="I91">
            <v>617.6</v>
          </cell>
          <cell r="J91">
            <v>617.6</v>
          </cell>
          <cell r="K91">
            <v>617.6</v>
          </cell>
          <cell r="L91">
            <v>381.77</v>
          </cell>
          <cell r="M91">
            <v>381.77</v>
          </cell>
          <cell r="N91">
            <v>1471.78</v>
          </cell>
          <cell r="O91">
            <v>1471.78</v>
          </cell>
          <cell r="P91">
            <v>1471.78</v>
          </cell>
          <cell r="Q91">
            <v>1471.78</v>
          </cell>
          <cell r="R91">
            <v>602.21</v>
          </cell>
          <cell r="S91">
            <v>602.21</v>
          </cell>
          <cell r="T91">
            <v>1471.78</v>
          </cell>
          <cell r="U91">
            <v>1471.78</v>
          </cell>
          <cell r="V91">
            <v>1471.78</v>
          </cell>
          <cell r="W91">
            <v>1471.78</v>
          </cell>
          <cell r="X91">
            <v>602.21</v>
          </cell>
          <cell r="Y91">
            <v>602.21</v>
          </cell>
          <cell r="Z91">
            <v>1334.97</v>
          </cell>
          <cell r="AA91">
            <v>1334.97</v>
          </cell>
          <cell r="AB91">
            <v>1334.97</v>
          </cell>
          <cell r="AC91">
            <v>1334.97</v>
          </cell>
          <cell r="AD91">
            <v>445.67</v>
          </cell>
          <cell r="AE91">
            <v>445.67</v>
          </cell>
          <cell r="AF91">
            <v>1334.97</v>
          </cell>
          <cell r="AG91">
            <v>1334.97</v>
          </cell>
          <cell r="AH91">
            <v>1334.97</v>
          </cell>
          <cell r="AI91">
            <v>1334.97</v>
          </cell>
          <cell r="AJ91">
            <v>445.67</v>
          </cell>
          <cell r="AK91">
            <v>445.67</v>
          </cell>
          <cell r="AL91">
            <v>648.41</v>
          </cell>
          <cell r="AM91">
            <v>648.41</v>
          </cell>
          <cell r="AN91">
            <v>648.41</v>
          </cell>
          <cell r="AO91">
            <v>648.41</v>
          </cell>
          <cell r="AP91">
            <v>416.94</v>
          </cell>
          <cell r="AQ91">
            <v>416.94</v>
          </cell>
          <cell r="AR91">
            <v>648.41</v>
          </cell>
          <cell r="AS91">
            <v>648.41</v>
          </cell>
          <cell r="AT91">
            <v>648.41</v>
          </cell>
          <cell r="AU91">
            <v>648.41</v>
          </cell>
          <cell r="AV91">
            <v>416.94</v>
          </cell>
          <cell r="AW91">
            <v>416.94</v>
          </cell>
          <cell r="AX91">
            <v>0</v>
          </cell>
          <cell r="AY91">
            <v>0</v>
          </cell>
          <cell r="AZ91">
            <v>0</v>
          </cell>
          <cell r="BA91">
            <v>430.78</v>
          </cell>
          <cell r="BB91">
            <v>430.78</v>
          </cell>
          <cell r="BC91">
            <v>430.78</v>
          </cell>
          <cell r="BD91">
            <v>0</v>
          </cell>
          <cell r="BE91">
            <v>0</v>
          </cell>
          <cell r="BF91">
            <v>0</v>
          </cell>
          <cell r="BG91">
            <v>430.78</v>
          </cell>
          <cell r="BH91">
            <v>430.78</v>
          </cell>
          <cell r="BI91">
            <v>430.78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1611.0400000000002</v>
          </cell>
          <cell r="BQ91">
            <v>1247.5699999999988</v>
          </cell>
          <cell r="BR91">
            <v>1186.3800000000006</v>
          </cell>
          <cell r="BS91">
            <v>1247.5699999999988</v>
          </cell>
          <cell r="BT91">
            <v>1225.7499999999991</v>
          </cell>
          <cell r="BU91">
            <v>1164.5599999999995</v>
          </cell>
          <cell r="BV91">
            <v>1164.56</v>
          </cell>
          <cell r="BW91">
            <v>4323.1000000000004</v>
          </cell>
          <cell r="BX91">
            <v>2303.9100000000008</v>
          </cell>
          <cell r="BY91">
            <v>1990.2399999999998</v>
          </cell>
          <cell r="BZ91">
            <v>2303.9100000000008</v>
          </cell>
          <cell r="CA91">
            <v>2221.3100000000013</v>
          </cell>
          <cell r="CB91">
            <v>1907.6400000000012</v>
          </cell>
          <cell r="CC91">
            <v>1907.6400000000003</v>
          </cell>
          <cell r="CD91">
            <v>21.82</v>
          </cell>
          <cell r="CE91">
            <v>62.09</v>
          </cell>
          <cell r="CF91">
            <v>62.09</v>
          </cell>
          <cell r="CG91">
            <v>62.09</v>
          </cell>
          <cell r="CH91">
            <v>82.6</v>
          </cell>
          <cell r="CI91">
            <v>62.09</v>
          </cell>
          <cell r="CJ91">
            <v>62.09</v>
          </cell>
          <cell r="CK91">
            <v>62.09</v>
          </cell>
          <cell r="CL91">
            <v>0</v>
          </cell>
          <cell r="CM91">
            <v>61.62</v>
          </cell>
          <cell r="CN91">
            <v>61.62</v>
          </cell>
          <cell r="CO91">
            <v>61.62</v>
          </cell>
          <cell r="CP91">
            <v>0</v>
          </cell>
          <cell r="CQ91">
            <v>61.62</v>
          </cell>
          <cell r="CR91">
            <v>61.62</v>
          </cell>
          <cell r="CS91">
            <v>61.62</v>
          </cell>
          <cell r="CT91">
            <v>0</v>
          </cell>
          <cell r="CU91">
            <v>147.68</v>
          </cell>
          <cell r="CV91">
            <v>147.68</v>
          </cell>
          <cell r="CW91">
            <v>147.68</v>
          </cell>
          <cell r="CX91">
            <v>0</v>
          </cell>
          <cell r="CY91">
            <v>147.68</v>
          </cell>
          <cell r="CZ91">
            <v>147.68</v>
          </cell>
          <cell r="DA91">
            <v>147.68</v>
          </cell>
          <cell r="DB91">
            <v>0</v>
          </cell>
          <cell r="DC91">
            <v>227.33</v>
          </cell>
          <cell r="DD91">
            <v>227.33</v>
          </cell>
          <cell r="DE91">
            <v>227.33</v>
          </cell>
          <cell r="DF91">
            <v>0</v>
          </cell>
          <cell r="DG91">
            <v>227.33</v>
          </cell>
          <cell r="DH91">
            <v>227.33</v>
          </cell>
          <cell r="DI91">
            <v>227.33</v>
          </cell>
        </row>
        <row r="92">
          <cell r="A92">
            <v>45190</v>
          </cell>
          <cell r="B92">
            <v>892.18</v>
          </cell>
          <cell r="C92">
            <v>892.18</v>
          </cell>
          <cell r="D92">
            <v>892.18</v>
          </cell>
          <cell r="E92">
            <v>892.18</v>
          </cell>
          <cell r="F92">
            <v>367.01</v>
          </cell>
          <cell r="G92">
            <v>367.01</v>
          </cell>
          <cell r="H92">
            <v>892.18</v>
          </cell>
          <cell r="I92">
            <v>892.18</v>
          </cell>
          <cell r="J92">
            <v>892.18</v>
          </cell>
          <cell r="K92">
            <v>892.18</v>
          </cell>
          <cell r="L92">
            <v>336.06</v>
          </cell>
          <cell r="M92">
            <v>336.06</v>
          </cell>
          <cell r="N92">
            <v>620.96</v>
          </cell>
          <cell r="O92">
            <v>620.96</v>
          </cell>
          <cell r="P92">
            <v>620.96</v>
          </cell>
          <cell r="Q92">
            <v>620.96</v>
          </cell>
          <cell r="R92">
            <v>403.58</v>
          </cell>
          <cell r="S92">
            <v>403.58</v>
          </cell>
          <cell r="T92">
            <v>620.96</v>
          </cell>
          <cell r="U92">
            <v>620.96</v>
          </cell>
          <cell r="V92">
            <v>620.96</v>
          </cell>
          <cell r="W92">
            <v>620.96</v>
          </cell>
          <cell r="X92">
            <v>387.34000000000003</v>
          </cell>
          <cell r="Y92">
            <v>387.34000000000003</v>
          </cell>
          <cell r="Z92">
            <v>783.81</v>
          </cell>
          <cell r="AA92">
            <v>783.81</v>
          </cell>
          <cell r="AB92">
            <v>783.81</v>
          </cell>
          <cell r="AC92">
            <v>783.81</v>
          </cell>
          <cell r="AD92">
            <v>283.12</v>
          </cell>
          <cell r="AE92">
            <v>283.12</v>
          </cell>
          <cell r="AF92">
            <v>783.81</v>
          </cell>
          <cell r="AG92">
            <v>783.81</v>
          </cell>
          <cell r="AH92">
            <v>783.81</v>
          </cell>
          <cell r="AI92">
            <v>783.81</v>
          </cell>
          <cell r="AJ92">
            <v>283</v>
          </cell>
          <cell r="AK92">
            <v>283</v>
          </cell>
          <cell r="AL92">
            <v>394.24</v>
          </cell>
          <cell r="AM92">
            <v>394.24</v>
          </cell>
          <cell r="AN92">
            <v>394.24</v>
          </cell>
          <cell r="AO92">
            <v>394.24</v>
          </cell>
          <cell r="AP92">
            <v>393.28</v>
          </cell>
          <cell r="AQ92">
            <v>393.28</v>
          </cell>
          <cell r="AR92">
            <v>394.24</v>
          </cell>
          <cell r="AS92">
            <v>394.24</v>
          </cell>
          <cell r="AT92">
            <v>394.24</v>
          </cell>
          <cell r="AU92">
            <v>394.24</v>
          </cell>
          <cell r="AV92">
            <v>393.81</v>
          </cell>
          <cell r="AW92">
            <v>393.81</v>
          </cell>
          <cell r="AX92">
            <v>0</v>
          </cell>
          <cell r="AY92">
            <v>0</v>
          </cell>
          <cell r="AZ92">
            <v>0</v>
          </cell>
          <cell r="BA92">
            <v>285.22000000000003</v>
          </cell>
          <cell r="BB92">
            <v>285.22000000000003</v>
          </cell>
          <cell r="BC92">
            <v>285.22000000000003</v>
          </cell>
          <cell r="BD92">
            <v>0</v>
          </cell>
          <cell r="BE92">
            <v>0</v>
          </cell>
          <cell r="BF92">
            <v>0</v>
          </cell>
          <cell r="BG92">
            <v>285.49</v>
          </cell>
          <cell r="BH92">
            <v>285.49</v>
          </cell>
          <cell r="BI92">
            <v>285.49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1474.5200000000004</v>
          </cell>
          <cell r="BQ92">
            <v>955.46999999999753</v>
          </cell>
          <cell r="BR92">
            <v>849.07999999999947</v>
          </cell>
          <cell r="BS92">
            <v>955.46999999999753</v>
          </cell>
          <cell r="BT92">
            <v>842.66999999999689</v>
          </cell>
          <cell r="BU92">
            <v>736.27999999999702</v>
          </cell>
          <cell r="BV92">
            <v>736.27999999999884</v>
          </cell>
          <cell r="BW92">
            <v>3670.0600000000004</v>
          </cell>
          <cell r="BX92">
            <v>2226.5999999999995</v>
          </cell>
          <cell r="BY92">
            <v>1922.8000000000006</v>
          </cell>
          <cell r="BZ92">
            <v>2226.5999999999995</v>
          </cell>
          <cell r="CA92">
            <v>2181.6699999999992</v>
          </cell>
          <cell r="CB92">
            <v>1877.8699999999981</v>
          </cell>
          <cell r="CC92">
            <v>1877.8700000000003</v>
          </cell>
          <cell r="CD92">
            <v>112.80000000000001</v>
          </cell>
          <cell r="CE92">
            <v>1.93</v>
          </cell>
          <cell r="CF92">
            <v>1.93</v>
          </cell>
          <cell r="CG92">
            <v>1.93</v>
          </cell>
          <cell r="CH92">
            <v>44.93</v>
          </cell>
          <cell r="CI92">
            <v>1.93</v>
          </cell>
          <cell r="CJ92">
            <v>1.93</v>
          </cell>
          <cell r="CK92">
            <v>1.93</v>
          </cell>
          <cell r="CL92">
            <v>0</v>
          </cell>
          <cell r="CM92">
            <v>105.78</v>
          </cell>
          <cell r="CN92">
            <v>105.78</v>
          </cell>
          <cell r="CO92">
            <v>105.78</v>
          </cell>
          <cell r="CP92">
            <v>0</v>
          </cell>
          <cell r="CQ92">
            <v>105.78</v>
          </cell>
          <cell r="CR92">
            <v>105.78</v>
          </cell>
          <cell r="CS92">
            <v>105.78</v>
          </cell>
          <cell r="CT92">
            <v>0</v>
          </cell>
          <cell r="CU92">
            <v>130.69999999999999</v>
          </cell>
          <cell r="CV92">
            <v>130.69999999999999</v>
          </cell>
          <cell r="CW92">
            <v>130.69999999999999</v>
          </cell>
          <cell r="CX92">
            <v>0</v>
          </cell>
          <cell r="CY92">
            <v>130.69999999999999</v>
          </cell>
          <cell r="CZ92">
            <v>130.69999999999999</v>
          </cell>
          <cell r="DA92">
            <v>130.69999999999999</v>
          </cell>
          <cell r="DB92">
            <v>0</v>
          </cell>
          <cell r="DC92">
            <v>239.97</v>
          </cell>
          <cell r="DD92">
            <v>239.97</v>
          </cell>
          <cell r="DE92">
            <v>239.97</v>
          </cell>
          <cell r="DF92">
            <v>0</v>
          </cell>
          <cell r="DG92">
            <v>239.97</v>
          </cell>
          <cell r="DH92">
            <v>239.97</v>
          </cell>
          <cell r="DI92">
            <v>239.97</v>
          </cell>
        </row>
        <row r="93">
          <cell r="A93">
            <v>45191</v>
          </cell>
          <cell r="B93">
            <v>765.75</v>
          </cell>
          <cell r="C93">
            <v>765.75</v>
          </cell>
          <cell r="D93">
            <v>765.75</v>
          </cell>
          <cell r="E93">
            <v>765.75</v>
          </cell>
          <cell r="F93">
            <v>581.53000000000009</v>
          </cell>
          <cell r="G93">
            <v>581.53000000000009</v>
          </cell>
          <cell r="H93">
            <v>765.75</v>
          </cell>
          <cell r="I93">
            <v>765.75</v>
          </cell>
          <cell r="J93">
            <v>765.75</v>
          </cell>
          <cell r="K93">
            <v>765.75</v>
          </cell>
          <cell r="L93">
            <v>581.53000000000009</v>
          </cell>
          <cell r="M93">
            <v>581.53000000000009</v>
          </cell>
          <cell r="N93">
            <v>666.88</v>
          </cell>
          <cell r="O93">
            <v>666.88</v>
          </cell>
          <cell r="P93">
            <v>666.88</v>
          </cell>
          <cell r="Q93">
            <v>666.88</v>
          </cell>
          <cell r="R93">
            <v>384.11</v>
          </cell>
          <cell r="S93">
            <v>384.11</v>
          </cell>
          <cell r="T93">
            <v>666.88</v>
          </cell>
          <cell r="U93">
            <v>666.88</v>
          </cell>
          <cell r="V93">
            <v>666.88</v>
          </cell>
          <cell r="W93">
            <v>666.88</v>
          </cell>
          <cell r="X93">
            <v>384.11</v>
          </cell>
          <cell r="Y93">
            <v>384.11</v>
          </cell>
          <cell r="Z93">
            <v>687.67</v>
          </cell>
          <cell r="AA93">
            <v>687.67</v>
          </cell>
          <cell r="AB93">
            <v>687.67</v>
          </cell>
          <cell r="AC93">
            <v>687.67</v>
          </cell>
          <cell r="AD93">
            <v>184.99</v>
          </cell>
          <cell r="AE93">
            <v>184.99</v>
          </cell>
          <cell r="AF93">
            <v>687.67</v>
          </cell>
          <cell r="AG93">
            <v>687.67</v>
          </cell>
          <cell r="AH93">
            <v>687.67</v>
          </cell>
          <cell r="AI93">
            <v>687.67</v>
          </cell>
          <cell r="AJ93">
            <v>184.99</v>
          </cell>
          <cell r="AK93">
            <v>184.99</v>
          </cell>
          <cell r="AL93">
            <v>281.14999999999998</v>
          </cell>
          <cell r="AM93">
            <v>281.14999999999998</v>
          </cell>
          <cell r="AN93">
            <v>281.14999999999998</v>
          </cell>
          <cell r="AO93">
            <v>281.14999999999998</v>
          </cell>
          <cell r="AP93">
            <v>209.89999999999998</v>
          </cell>
          <cell r="AQ93">
            <v>209.89999999999998</v>
          </cell>
          <cell r="AR93">
            <v>281.14999999999998</v>
          </cell>
          <cell r="AS93">
            <v>281.14999999999998</v>
          </cell>
          <cell r="AT93">
            <v>281.14999999999998</v>
          </cell>
          <cell r="AU93">
            <v>281.14999999999998</v>
          </cell>
          <cell r="AV93">
            <v>209.89999999999998</v>
          </cell>
          <cell r="AW93">
            <v>209.89999999999998</v>
          </cell>
          <cell r="AX93">
            <v>0</v>
          </cell>
          <cell r="AY93">
            <v>0</v>
          </cell>
          <cell r="AZ93">
            <v>0</v>
          </cell>
          <cell r="BA93">
            <v>148.31</v>
          </cell>
          <cell r="BB93">
            <v>148.31</v>
          </cell>
          <cell r="BC93">
            <v>148.31</v>
          </cell>
          <cell r="BD93">
            <v>0</v>
          </cell>
          <cell r="BE93">
            <v>0</v>
          </cell>
          <cell r="BF93">
            <v>0</v>
          </cell>
          <cell r="BG93">
            <v>148.31</v>
          </cell>
          <cell r="BH93">
            <v>148.31</v>
          </cell>
          <cell r="BI93">
            <v>148.31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582.82000000000016</v>
          </cell>
          <cell r="BQ93">
            <v>537.5300000000002</v>
          </cell>
          <cell r="BR93">
            <v>508.74000000000024</v>
          </cell>
          <cell r="BS93">
            <v>537.5300000000002</v>
          </cell>
          <cell r="BT93">
            <v>528.08000000000084</v>
          </cell>
          <cell r="BU93">
            <v>499.29000000000087</v>
          </cell>
          <cell r="BV93">
            <v>499.29000000000065</v>
          </cell>
          <cell r="BW93">
            <v>1317.1899999999996</v>
          </cell>
          <cell r="BX93">
            <v>1034.19</v>
          </cell>
          <cell r="BY93">
            <v>930.51</v>
          </cell>
          <cell r="BZ93">
            <v>1034.19</v>
          </cell>
          <cell r="CA93">
            <v>1022.7100000000005</v>
          </cell>
          <cell r="CB93">
            <v>919.03000000000065</v>
          </cell>
          <cell r="CC93">
            <v>919.03000000000043</v>
          </cell>
          <cell r="CD93">
            <v>9.4499999999999993</v>
          </cell>
          <cell r="CE93">
            <v>5.52</v>
          </cell>
          <cell r="CF93">
            <v>5.52</v>
          </cell>
          <cell r="CG93">
            <v>5.52</v>
          </cell>
          <cell r="CH93">
            <v>11.48</v>
          </cell>
          <cell r="CI93">
            <v>5.52</v>
          </cell>
          <cell r="CJ93">
            <v>5.52</v>
          </cell>
          <cell r="CK93">
            <v>5.52</v>
          </cell>
          <cell r="CL93">
            <v>0</v>
          </cell>
          <cell r="CM93">
            <v>12.65</v>
          </cell>
          <cell r="CN93">
            <v>12.65</v>
          </cell>
          <cell r="CO93">
            <v>12.65</v>
          </cell>
          <cell r="CP93">
            <v>0</v>
          </cell>
          <cell r="CQ93">
            <v>12.65</v>
          </cell>
          <cell r="CR93">
            <v>12.65</v>
          </cell>
          <cell r="CS93">
            <v>12.65</v>
          </cell>
          <cell r="CT93">
            <v>0</v>
          </cell>
          <cell r="CU93">
            <v>139.59</v>
          </cell>
          <cell r="CV93">
            <v>139.59</v>
          </cell>
          <cell r="CW93">
            <v>139.59</v>
          </cell>
          <cell r="CX93">
            <v>0</v>
          </cell>
          <cell r="CY93">
            <v>139.59</v>
          </cell>
          <cell r="CZ93">
            <v>139.59</v>
          </cell>
          <cell r="DA93">
            <v>139.59</v>
          </cell>
          <cell r="DB93">
            <v>0</v>
          </cell>
          <cell r="DC93">
            <v>81.3</v>
          </cell>
          <cell r="DD93">
            <v>81.3</v>
          </cell>
          <cell r="DE93">
            <v>81.3</v>
          </cell>
          <cell r="DF93">
            <v>0</v>
          </cell>
          <cell r="DG93">
            <v>81.3</v>
          </cell>
          <cell r="DH93">
            <v>81.3</v>
          </cell>
          <cell r="DI93">
            <v>81.3</v>
          </cell>
        </row>
        <row r="94">
          <cell r="A94">
            <v>45192</v>
          </cell>
          <cell r="B94">
            <v>583.9</v>
          </cell>
          <cell r="C94">
            <v>583.9</v>
          </cell>
          <cell r="D94">
            <v>583.9</v>
          </cell>
          <cell r="E94">
            <v>583.9</v>
          </cell>
          <cell r="F94">
            <v>608.52</v>
          </cell>
          <cell r="G94">
            <v>608.52</v>
          </cell>
          <cell r="H94">
            <v>583.9</v>
          </cell>
          <cell r="I94">
            <v>583.9</v>
          </cell>
          <cell r="J94">
            <v>583.9</v>
          </cell>
          <cell r="K94">
            <v>583.9</v>
          </cell>
          <cell r="L94">
            <v>530.01</v>
          </cell>
          <cell r="M94">
            <v>530.01</v>
          </cell>
          <cell r="N94">
            <v>754.27</v>
          </cell>
          <cell r="O94">
            <v>754.27</v>
          </cell>
          <cell r="P94">
            <v>754.27</v>
          </cell>
          <cell r="Q94">
            <v>754.27</v>
          </cell>
          <cell r="R94">
            <v>600.27</v>
          </cell>
          <cell r="S94">
            <v>600.27</v>
          </cell>
          <cell r="T94">
            <v>754.27</v>
          </cell>
          <cell r="U94">
            <v>754.27</v>
          </cell>
          <cell r="V94">
            <v>754.27</v>
          </cell>
          <cell r="W94">
            <v>754.27</v>
          </cell>
          <cell r="X94">
            <v>566.12</v>
          </cell>
          <cell r="Y94">
            <v>566.12</v>
          </cell>
          <cell r="Z94">
            <v>373.26</v>
          </cell>
          <cell r="AA94">
            <v>373.26</v>
          </cell>
          <cell r="AB94">
            <v>373.26</v>
          </cell>
          <cell r="AC94">
            <v>373.26</v>
          </cell>
          <cell r="AD94">
            <v>226.03</v>
          </cell>
          <cell r="AE94">
            <v>226.03</v>
          </cell>
          <cell r="AF94">
            <v>373.26</v>
          </cell>
          <cell r="AG94">
            <v>373.26</v>
          </cell>
          <cell r="AH94">
            <v>373.26</v>
          </cell>
          <cell r="AI94">
            <v>373.26</v>
          </cell>
          <cell r="AJ94">
            <v>202.72</v>
          </cell>
          <cell r="AK94">
            <v>202.72</v>
          </cell>
          <cell r="AL94">
            <v>112.55</v>
          </cell>
          <cell r="AM94">
            <v>112.55</v>
          </cell>
          <cell r="AN94">
            <v>112.55</v>
          </cell>
          <cell r="AO94">
            <v>112.55</v>
          </cell>
          <cell r="AP94">
            <v>136.59</v>
          </cell>
          <cell r="AQ94">
            <v>136.59</v>
          </cell>
          <cell r="AR94">
            <v>112.55</v>
          </cell>
          <cell r="AS94">
            <v>112.55</v>
          </cell>
          <cell r="AT94">
            <v>112.55</v>
          </cell>
          <cell r="AU94">
            <v>112.55</v>
          </cell>
          <cell r="AV94">
            <v>119.29999999999998</v>
          </cell>
          <cell r="AW94">
            <v>119.29999999999998</v>
          </cell>
          <cell r="AX94">
            <v>0</v>
          </cell>
          <cell r="AY94">
            <v>0</v>
          </cell>
          <cell r="AZ94">
            <v>0</v>
          </cell>
          <cell r="BA94">
            <v>66.34</v>
          </cell>
          <cell r="BB94">
            <v>66.34</v>
          </cell>
          <cell r="BC94">
            <v>66.34</v>
          </cell>
          <cell r="BD94">
            <v>0</v>
          </cell>
          <cell r="BE94">
            <v>0</v>
          </cell>
          <cell r="BF94">
            <v>0</v>
          </cell>
          <cell r="BG94">
            <v>44.81</v>
          </cell>
          <cell r="BH94">
            <v>44.81</v>
          </cell>
          <cell r="BI94">
            <v>44.81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572.4699999999998</v>
          </cell>
          <cell r="BQ94">
            <v>484.94000000000051</v>
          </cell>
          <cell r="BR94">
            <v>447.5</v>
          </cell>
          <cell r="BS94">
            <v>484.94000000000051</v>
          </cell>
          <cell r="BT94">
            <v>452.64000000000033</v>
          </cell>
          <cell r="BU94">
            <v>415.20000000000073</v>
          </cell>
          <cell r="BV94">
            <v>415.19999999999982</v>
          </cell>
          <cell r="BW94">
            <v>1104.25</v>
          </cell>
          <cell r="BX94">
            <v>741.35000000000173</v>
          </cell>
          <cell r="BY94">
            <v>622.54999999999995</v>
          </cell>
          <cell r="BZ94">
            <v>741.35000000000173</v>
          </cell>
          <cell r="CA94">
            <v>741.35000000000173</v>
          </cell>
          <cell r="CB94">
            <v>622.55000000000109</v>
          </cell>
          <cell r="CC94">
            <v>622.54999999999995</v>
          </cell>
          <cell r="CD94">
            <v>32.299999999999997</v>
          </cell>
          <cell r="CE94">
            <v>20.41</v>
          </cell>
          <cell r="CF94">
            <v>20.41</v>
          </cell>
          <cell r="CG94">
            <v>20.41</v>
          </cell>
          <cell r="CH94">
            <v>0</v>
          </cell>
          <cell r="CI94">
            <v>20.41</v>
          </cell>
          <cell r="CJ94">
            <v>20.41</v>
          </cell>
          <cell r="CK94">
            <v>20.41</v>
          </cell>
          <cell r="CL94">
            <v>0</v>
          </cell>
          <cell r="CM94">
            <v>73.87</v>
          </cell>
          <cell r="CN94">
            <v>73.87</v>
          </cell>
          <cell r="CO94">
            <v>73.87</v>
          </cell>
          <cell r="CP94">
            <v>0</v>
          </cell>
          <cell r="CQ94">
            <v>73.87</v>
          </cell>
          <cell r="CR94">
            <v>73.87</v>
          </cell>
          <cell r="CS94">
            <v>73.87</v>
          </cell>
          <cell r="CT94">
            <v>0</v>
          </cell>
          <cell r="CU94">
            <v>139.07</v>
          </cell>
          <cell r="CV94">
            <v>139.07</v>
          </cell>
          <cell r="CW94">
            <v>139.07</v>
          </cell>
          <cell r="CX94">
            <v>0</v>
          </cell>
          <cell r="CY94">
            <v>139.07</v>
          </cell>
          <cell r="CZ94">
            <v>139.07</v>
          </cell>
          <cell r="DA94">
            <v>139.07</v>
          </cell>
          <cell r="DB94">
            <v>0</v>
          </cell>
          <cell r="DC94">
            <v>95.34</v>
          </cell>
          <cell r="DD94">
            <v>95.34</v>
          </cell>
          <cell r="DE94">
            <v>95.34</v>
          </cell>
          <cell r="DF94">
            <v>0</v>
          </cell>
          <cell r="DG94">
            <v>95.34</v>
          </cell>
          <cell r="DH94">
            <v>95.34</v>
          </cell>
          <cell r="DI94">
            <v>95.34</v>
          </cell>
        </row>
        <row r="95">
          <cell r="A95">
            <v>45193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420.88</v>
          </cell>
          <cell r="I95">
            <v>420.88</v>
          </cell>
          <cell r="J95">
            <v>420.88</v>
          </cell>
          <cell r="K95">
            <v>420.88</v>
          </cell>
          <cell r="L95">
            <v>305.96000000000004</v>
          </cell>
          <cell r="M95">
            <v>305.96000000000004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576.24</v>
          </cell>
          <cell r="U95">
            <v>576.24</v>
          </cell>
          <cell r="V95">
            <v>576.24</v>
          </cell>
          <cell r="W95">
            <v>576.24</v>
          </cell>
          <cell r="X95">
            <v>259.83000000000004</v>
          </cell>
          <cell r="Y95">
            <v>259.83000000000004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363.43</v>
          </cell>
          <cell r="AG95">
            <v>363.43</v>
          </cell>
          <cell r="AH95">
            <v>363.43</v>
          </cell>
          <cell r="AI95">
            <v>363.43</v>
          </cell>
          <cell r="AJ95">
            <v>144.69</v>
          </cell>
          <cell r="AK95">
            <v>144.69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178.56</v>
          </cell>
          <cell r="AS95">
            <v>178.56</v>
          </cell>
          <cell r="AT95">
            <v>178.56</v>
          </cell>
          <cell r="AU95">
            <v>178.56</v>
          </cell>
          <cell r="AV95">
            <v>71.210000000000008</v>
          </cell>
          <cell r="AW95">
            <v>71.210000000000008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40.57</v>
          </cell>
          <cell r="BH95">
            <v>40.57</v>
          </cell>
          <cell r="BI95">
            <v>40.57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770.00000000000011</v>
          </cell>
          <cell r="BX95">
            <v>713.03999999999974</v>
          </cell>
          <cell r="BY95">
            <v>713.04000000000019</v>
          </cell>
          <cell r="BZ95">
            <v>713.03999999999974</v>
          </cell>
          <cell r="CA95">
            <v>672.89999999999964</v>
          </cell>
          <cell r="CB95">
            <v>672.89999999999941</v>
          </cell>
          <cell r="CC95">
            <v>672.90000000000009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40.14</v>
          </cell>
          <cell r="CI95">
            <v>26.42</v>
          </cell>
          <cell r="CJ95">
            <v>26.42</v>
          </cell>
          <cell r="CK95">
            <v>26.42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32.08</v>
          </cell>
          <cell r="CR95">
            <v>32.08</v>
          </cell>
          <cell r="CS95">
            <v>32.08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24.99</v>
          </cell>
          <cell r="CZ95">
            <v>24.99</v>
          </cell>
          <cell r="DA95">
            <v>24.99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52.73</v>
          </cell>
          <cell r="DH95">
            <v>52.73</v>
          </cell>
          <cell r="DI95">
            <v>52.73</v>
          </cell>
        </row>
        <row r="96">
          <cell r="A96">
            <v>45194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507.2</v>
          </cell>
          <cell r="I96">
            <v>507.2</v>
          </cell>
          <cell r="J96">
            <v>507.2</v>
          </cell>
          <cell r="K96">
            <v>507.2</v>
          </cell>
          <cell r="L96">
            <v>339.42</v>
          </cell>
          <cell r="M96">
            <v>339.42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249.98</v>
          </cell>
          <cell r="U96">
            <v>249.98</v>
          </cell>
          <cell r="V96">
            <v>249.98</v>
          </cell>
          <cell r="W96">
            <v>249.98</v>
          </cell>
          <cell r="X96">
            <v>224.32999999999998</v>
          </cell>
          <cell r="Y96">
            <v>224.32999999999998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217.83</v>
          </cell>
          <cell r="AG96">
            <v>217.83</v>
          </cell>
          <cell r="AH96">
            <v>217.83</v>
          </cell>
          <cell r="AI96">
            <v>217.83</v>
          </cell>
          <cell r="AJ96">
            <v>100.05</v>
          </cell>
          <cell r="AK96">
            <v>100.05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72.14</v>
          </cell>
          <cell r="AS96">
            <v>72.14</v>
          </cell>
          <cell r="AT96">
            <v>72.14</v>
          </cell>
          <cell r="AU96">
            <v>72.14</v>
          </cell>
          <cell r="AV96">
            <v>59.370000000000005</v>
          </cell>
          <cell r="AW96">
            <v>59.370000000000005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43.379999999999995</v>
          </cell>
          <cell r="BH96">
            <v>43.379999999999995</v>
          </cell>
          <cell r="BI96">
            <v>43.379999999999995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706.95999999999992</v>
          </cell>
          <cell r="BX96">
            <v>572.0300000000002</v>
          </cell>
          <cell r="BY96">
            <v>544.86999999999989</v>
          </cell>
          <cell r="BZ96">
            <v>572.0300000000002</v>
          </cell>
          <cell r="CA96">
            <v>551.85000000000036</v>
          </cell>
          <cell r="CB96">
            <v>524.69000000000028</v>
          </cell>
          <cell r="CC96">
            <v>524.69000000000005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20.18</v>
          </cell>
          <cell r="CI96">
            <v>16.11</v>
          </cell>
          <cell r="CJ96">
            <v>16.11</v>
          </cell>
          <cell r="CK96">
            <v>16.11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52.74</v>
          </cell>
          <cell r="CR96">
            <v>52.74</v>
          </cell>
          <cell r="CS96">
            <v>52.74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123.46</v>
          </cell>
          <cell r="CZ96">
            <v>123.46</v>
          </cell>
          <cell r="DA96">
            <v>123.46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83.45</v>
          </cell>
          <cell r="DH96">
            <v>83.45</v>
          </cell>
          <cell r="DI96">
            <v>83.45</v>
          </cell>
        </row>
        <row r="97">
          <cell r="A97">
            <v>45195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526.49</v>
          </cell>
          <cell r="I97">
            <v>526.49</v>
          </cell>
          <cell r="J97">
            <v>526.49</v>
          </cell>
          <cell r="K97">
            <v>526.49</v>
          </cell>
          <cell r="L97">
            <v>500.53000000000003</v>
          </cell>
          <cell r="M97">
            <v>500.53000000000003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598.59</v>
          </cell>
          <cell r="U97">
            <v>598.59</v>
          </cell>
          <cell r="V97">
            <v>598.59</v>
          </cell>
          <cell r="W97">
            <v>598.59</v>
          </cell>
          <cell r="X97">
            <v>370.1</v>
          </cell>
          <cell r="Y97">
            <v>370.1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341.74</v>
          </cell>
          <cell r="AG97">
            <v>341.74</v>
          </cell>
          <cell r="AH97">
            <v>341.74</v>
          </cell>
          <cell r="AI97">
            <v>341.74</v>
          </cell>
          <cell r="AJ97">
            <v>110.94</v>
          </cell>
          <cell r="AK97">
            <v>110.94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70.37</v>
          </cell>
          <cell r="AS97">
            <v>70.37</v>
          </cell>
          <cell r="AT97">
            <v>70.37</v>
          </cell>
          <cell r="AU97">
            <v>70.37</v>
          </cell>
          <cell r="AV97">
            <v>52.87</v>
          </cell>
          <cell r="AW97">
            <v>52.87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47.849999999999994</v>
          </cell>
          <cell r="BH97">
            <v>47.849999999999994</v>
          </cell>
          <cell r="BI97">
            <v>47.849999999999994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1093.0900000000001</v>
          </cell>
          <cell r="BX97">
            <v>802.63000000000011</v>
          </cell>
          <cell r="BY97">
            <v>770.09999999999991</v>
          </cell>
          <cell r="BZ97">
            <v>802.63000000000011</v>
          </cell>
          <cell r="CA97">
            <v>789.49999999999977</v>
          </cell>
          <cell r="CB97">
            <v>756.96999999999957</v>
          </cell>
          <cell r="CC97">
            <v>756.9699999999998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13.13</v>
          </cell>
          <cell r="CI97">
            <v>10.75</v>
          </cell>
          <cell r="CJ97">
            <v>10.75</v>
          </cell>
          <cell r="CK97">
            <v>10.75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13.76</v>
          </cell>
          <cell r="CR97">
            <v>13.76</v>
          </cell>
          <cell r="CS97">
            <v>13.76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58.74</v>
          </cell>
          <cell r="CZ97">
            <v>58.74</v>
          </cell>
          <cell r="DA97">
            <v>58.74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58.43</v>
          </cell>
          <cell r="DH97">
            <v>58.43</v>
          </cell>
          <cell r="DI97">
            <v>58.43</v>
          </cell>
        </row>
        <row r="98">
          <cell r="A98">
            <v>45196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767.04</v>
          </cell>
          <cell r="I98">
            <v>767.04</v>
          </cell>
          <cell r="J98">
            <v>767.04</v>
          </cell>
          <cell r="K98">
            <v>767.04</v>
          </cell>
          <cell r="L98">
            <v>520.07999999999993</v>
          </cell>
          <cell r="M98">
            <v>520.07999999999993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582.79999999999995</v>
          </cell>
          <cell r="U98">
            <v>582.79999999999995</v>
          </cell>
          <cell r="V98">
            <v>582.79999999999995</v>
          </cell>
          <cell r="W98">
            <v>582.79999999999995</v>
          </cell>
          <cell r="X98">
            <v>406.77</v>
          </cell>
          <cell r="Y98">
            <v>406.77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293.16000000000003</v>
          </cell>
          <cell r="AG98">
            <v>293.16000000000003</v>
          </cell>
          <cell r="AH98">
            <v>293.16000000000003</v>
          </cell>
          <cell r="AI98">
            <v>293.16000000000003</v>
          </cell>
          <cell r="AJ98">
            <v>139.18</v>
          </cell>
          <cell r="AK98">
            <v>139.18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91.9</v>
          </cell>
          <cell r="AS98">
            <v>91.9</v>
          </cell>
          <cell r="AT98">
            <v>91.9</v>
          </cell>
          <cell r="AU98">
            <v>91.9</v>
          </cell>
          <cell r="AV98">
            <v>90.460000000000008</v>
          </cell>
          <cell r="AW98">
            <v>90.460000000000008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48.97</v>
          </cell>
          <cell r="BH98">
            <v>48.97</v>
          </cell>
          <cell r="BI98">
            <v>48.97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1236.3899999999999</v>
          </cell>
          <cell r="BX98">
            <v>732.10999999999967</v>
          </cell>
          <cell r="BY98">
            <v>655.4699999999998</v>
          </cell>
          <cell r="BZ98">
            <v>732.10999999999967</v>
          </cell>
          <cell r="CA98">
            <v>697.99999999999955</v>
          </cell>
          <cell r="CB98">
            <v>621.35999999999922</v>
          </cell>
          <cell r="CC98">
            <v>621.36000000000013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34.11</v>
          </cell>
          <cell r="CI98">
            <v>43.55</v>
          </cell>
          <cell r="CJ98">
            <v>43.55</v>
          </cell>
          <cell r="CK98">
            <v>43.55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5.33</v>
          </cell>
          <cell r="CR98">
            <v>5.33</v>
          </cell>
          <cell r="CS98">
            <v>5.33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96.64</v>
          </cell>
          <cell r="CZ98">
            <v>96.64</v>
          </cell>
          <cell r="DA98">
            <v>96.64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141</v>
          </cell>
          <cell r="DH98">
            <v>141</v>
          </cell>
          <cell r="DI98">
            <v>141</v>
          </cell>
        </row>
        <row r="99">
          <cell r="A99">
            <v>45197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828.52</v>
          </cell>
          <cell r="I99">
            <v>828.52</v>
          </cell>
          <cell r="J99">
            <v>828.52</v>
          </cell>
          <cell r="K99">
            <v>828.52</v>
          </cell>
          <cell r="L99">
            <v>355.24</v>
          </cell>
          <cell r="M99">
            <v>355.24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314.64</v>
          </cell>
          <cell r="U99">
            <v>314.64</v>
          </cell>
          <cell r="V99">
            <v>314.64</v>
          </cell>
          <cell r="W99">
            <v>314.64</v>
          </cell>
          <cell r="X99">
            <v>213.07</v>
          </cell>
          <cell r="Y99">
            <v>213.07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163.04</v>
          </cell>
          <cell r="AG99">
            <v>163.04</v>
          </cell>
          <cell r="AH99">
            <v>163.04</v>
          </cell>
          <cell r="AI99">
            <v>163.04</v>
          </cell>
          <cell r="AJ99">
            <v>67.12</v>
          </cell>
          <cell r="AK99">
            <v>67.12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52.94</v>
          </cell>
          <cell r="AS99">
            <v>52.94</v>
          </cell>
          <cell r="AT99">
            <v>52.94</v>
          </cell>
          <cell r="AU99">
            <v>52.94</v>
          </cell>
          <cell r="AV99">
            <v>36.629999999999995</v>
          </cell>
          <cell r="AW99">
            <v>36.629999999999995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21.9</v>
          </cell>
          <cell r="BH99">
            <v>21.9</v>
          </cell>
          <cell r="BI99">
            <v>21.9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465.9</v>
          </cell>
          <cell r="BX99">
            <v>395.18000000000006</v>
          </cell>
          <cell r="BY99">
            <v>348.95999999999981</v>
          </cell>
          <cell r="BZ99">
            <v>395.18000000000006</v>
          </cell>
          <cell r="CA99">
            <v>379.36000000000013</v>
          </cell>
          <cell r="CB99">
            <v>333.13999999999987</v>
          </cell>
          <cell r="CC99">
            <v>333.13999999999976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15.82</v>
          </cell>
          <cell r="CI99">
            <v>-0.89</v>
          </cell>
          <cell r="CJ99">
            <v>-0.89</v>
          </cell>
          <cell r="CK99">
            <v>-0.89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52.84</v>
          </cell>
          <cell r="CR99">
            <v>52.84</v>
          </cell>
          <cell r="CS99">
            <v>52.84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102.01</v>
          </cell>
          <cell r="CZ99">
            <v>102.01</v>
          </cell>
          <cell r="DA99">
            <v>102.01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113.93</v>
          </cell>
          <cell r="DH99">
            <v>113.93</v>
          </cell>
          <cell r="DI99">
            <v>113.93</v>
          </cell>
        </row>
        <row r="100">
          <cell r="A100">
            <v>45198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718.41</v>
          </cell>
          <cell r="I100">
            <v>718.41</v>
          </cell>
          <cell r="J100">
            <v>0</v>
          </cell>
          <cell r="K100">
            <v>718.41</v>
          </cell>
          <cell r="L100">
            <v>293.92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423.61</v>
          </cell>
          <cell r="U100">
            <v>423.61</v>
          </cell>
          <cell r="V100">
            <v>0</v>
          </cell>
          <cell r="W100">
            <v>423.61</v>
          </cell>
          <cell r="X100">
            <v>357.01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319.47000000000003</v>
          </cell>
          <cell r="AG100">
            <v>319.47000000000003</v>
          </cell>
          <cell r="AH100">
            <v>0</v>
          </cell>
          <cell r="AI100">
            <v>319.47000000000003</v>
          </cell>
          <cell r="AJ100">
            <v>188.03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130.74</v>
          </cell>
          <cell r="AS100">
            <v>130.74</v>
          </cell>
          <cell r="AT100">
            <v>0</v>
          </cell>
          <cell r="AU100">
            <v>130.74</v>
          </cell>
          <cell r="AV100">
            <v>155.76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102.59</v>
          </cell>
          <cell r="BH100">
            <v>102.59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1225.4500000000005</v>
          </cell>
          <cell r="BX100">
            <v>1051.1200000000008</v>
          </cell>
          <cell r="BY100">
            <v>968.46000000000026</v>
          </cell>
          <cell r="BZ100">
            <v>1051.1200000000008</v>
          </cell>
          <cell r="CA100">
            <v>0</v>
          </cell>
          <cell r="CB100">
            <v>968.46000000000117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</row>
        <row r="101">
          <cell r="A101">
            <v>45199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390.3</v>
          </cell>
          <cell r="I101">
            <v>390.3</v>
          </cell>
          <cell r="J101">
            <v>0</v>
          </cell>
          <cell r="K101">
            <v>390.3</v>
          </cell>
          <cell r="L101">
            <v>168.65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447.44</v>
          </cell>
          <cell r="U101">
            <v>447.44</v>
          </cell>
          <cell r="V101">
            <v>0</v>
          </cell>
          <cell r="W101">
            <v>447.44</v>
          </cell>
          <cell r="X101">
            <v>307.58000000000004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267.51</v>
          </cell>
          <cell r="AG101">
            <v>267.51</v>
          </cell>
          <cell r="AH101">
            <v>0</v>
          </cell>
          <cell r="AI101">
            <v>267.51</v>
          </cell>
          <cell r="AJ101">
            <v>136.63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109.48</v>
          </cell>
          <cell r="AS101">
            <v>109.48</v>
          </cell>
          <cell r="AT101">
            <v>0</v>
          </cell>
          <cell r="AU101">
            <v>109.48</v>
          </cell>
          <cell r="AV101">
            <v>104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47.54</v>
          </cell>
          <cell r="BH101">
            <v>47.54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1486.1499999999999</v>
          </cell>
          <cell r="BX101">
            <v>1123.4499999999989</v>
          </cell>
          <cell r="BY101">
            <v>1028.8099999999995</v>
          </cell>
          <cell r="BZ101">
            <v>1123.4499999999989</v>
          </cell>
          <cell r="CA101">
            <v>0</v>
          </cell>
          <cell r="CB101">
            <v>1076.3499999999999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</row>
        <row r="102">
          <cell r="A102">
            <v>45200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430.9</v>
          </cell>
          <cell r="I102">
            <v>430.9</v>
          </cell>
          <cell r="J102">
            <v>0</v>
          </cell>
          <cell r="K102">
            <v>430.9</v>
          </cell>
          <cell r="L102">
            <v>146.96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353.46</v>
          </cell>
          <cell r="U102">
            <v>353.46</v>
          </cell>
          <cell r="V102">
            <v>0</v>
          </cell>
          <cell r="W102">
            <v>353.46</v>
          </cell>
          <cell r="X102">
            <v>248.84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164.13</v>
          </cell>
          <cell r="AG102">
            <v>164.13</v>
          </cell>
          <cell r="AH102">
            <v>0</v>
          </cell>
          <cell r="AI102">
            <v>164.13</v>
          </cell>
          <cell r="AJ102">
            <v>182.92000000000002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144.51</v>
          </cell>
          <cell r="AS102">
            <v>144.51</v>
          </cell>
          <cell r="AT102">
            <v>0</v>
          </cell>
          <cell r="AU102">
            <v>144.51</v>
          </cell>
          <cell r="AV102">
            <v>158.75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193.37</v>
          </cell>
          <cell r="BH102">
            <v>193.37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1045.9099999999999</v>
          </cell>
          <cell r="BX102">
            <v>931.05000000000018</v>
          </cell>
          <cell r="BY102">
            <v>856.06</v>
          </cell>
          <cell r="BZ102">
            <v>931.05000000000018</v>
          </cell>
          <cell r="CA102">
            <v>0</v>
          </cell>
          <cell r="CB102">
            <v>856.06000000000131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</row>
        <row r="103">
          <cell r="A103">
            <v>45201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520.66999999999996</v>
          </cell>
          <cell r="I103">
            <v>520.66999999999996</v>
          </cell>
          <cell r="J103">
            <v>0</v>
          </cell>
          <cell r="K103">
            <v>520.66999999999996</v>
          </cell>
          <cell r="L103">
            <v>209.39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218.56</v>
          </cell>
          <cell r="U103">
            <v>218.56</v>
          </cell>
          <cell r="V103">
            <v>0</v>
          </cell>
          <cell r="W103">
            <v>218.56</v>
          </cell>
          <cell r="X103">
            <v>138.44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79.099999999999994</v>
          </cell>
          <cell r="AG103">
            <v>79.099999999999994</v>
          </cell>
          <cell r="AH103">
            <v>0</v>
          </cell>
          <cell r="AI103">
            <v>79.099999999999994</v>
          </cell>
          <cell r="AJ103">
            <v>48.519999999999996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33.96</v>
          </cell>
          <cell r="AS103">
            <v>33.96</v>
          </cell>
          <cell r="AT103">
            <v>0</v>
          </cell>
          <cell r="AU103">
            <v>33.96</v>
          </cell>
          <cell r="AV103">
            <v>26.759999999999998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9.68</v>
          </cell>
          <cell r="BH103">
            <v>9.68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580.68000000000018</v>
          </cell>
          <cell r="BX103">
            <v>524.13000000000045</v>
          </cell>
          <cell r="BY103">
            <v>497.75999999999954</v>
          </cell>
          <cell r="BZ103">
            <v>524.13000000000045</v>
          </cell>
          <cell r="CA103">
            <v>0</v>
          </cell>
          <cell r="CB103">
            <v>497.76000000000067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</row>
        <row r="104">
          <cell r="A104">
            <v>45202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</row>
        <row r="105">
          <cell r="A105">
            <v>45203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</row>
        <row r="106">
          <cell r="A106">
            <v>45204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</row>
        <row r="107">
          <cell r="A107">
            <v>45205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</row>
        <row r="108">
          <cell r="A108">
            <v>45206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</row>
        <row r="109">
          <cell r="A109">
            <v>45207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</row>
        <row r="110">
          <cell r="A110">
            <v>45208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</row>
        <row r="111">
          <cell r="A111">
            <v>45209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</row>
        <row r="112">
          <cell r="A112">
            <v>45210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</row>
        <row r="113">
          <cell r="A113">
            <v>45211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</row>
        <row r="114">
          <cell r="A114">
            <v>45212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</row>
        <row r="115">
          <cell r="A115">
            <v>45213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</row>
        <row r="116">
          <cell r="A116">
            <v>45214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</row>
        <row r="117">
          <cell r="A117">
            <v>45215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</row>
        <row r="118">
          <cell r="A118">
            <v>45216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</row>
        <row r="119">
          <cell r="A119">
            <v>45217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</row>
        <row r="120">
          <cell r="A120">
            <v>45218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</row>
        <row r="121">
          <cell r="A121">
            <v>45219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</row>
        <row r="122">
          <cell r="A122">
            <v>45220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</row>
        <row r="123">
          <cell r="A123">
            <v>45221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</row>
        <row r="124">
          <cell r="A124">
            <v>45222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</row>
        <row r="125">
          <cell r="A125">
            <v>45223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</row>
        <row r="126">
          <cell r="A126">
            <v>45224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</row>
        <row r="127">
          <cell r="A127">
            <v>45225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</row>
        <row r="128">
          <cell r="A128">
            <v>45226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</row>
        <row r="129">
          <cell r="A129">
            <v>45227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</row>
        <row r="130">
          <cell r="A130">
            <v>45228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</row>
        <row r="131">
          <cell r="A131">
            <v>45229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</row>
        <row r="132">
          <cell r="A132">
            <v>45230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</row>
      </sheetData>
      <sheetData sheetId="17">
        <row r="9">
          <cell r="B9" t="str">
            <v>A1+M</v>
          </cell>
          <cell r="C9" t="str">
            <v>A1+M+A2proj</v>
          </cell>
          <cell r="D9" t="str">
            <v>A1+M+A2</v>
          </cell>
          <cell r="E9" t="str">
            <v>A1+S1+M+A2</v>
          </cell>
          <cell r="F9" t="str">
            <v>S1+M</v>
          </cell>
          <cell r="G9" t="str">
            <v>S1+M+A2</v>
          </cell>
          <cell r="H9" t="str">
            <v>A1+M2</v>
          </cell>
          <cell r="I9" t="str">
            <v>A1+M2+A2proj</v>
          </cell>
          <cell r="J9" t="str">
            <v>A1+M2+A2</v>
          </cell>
          <cell r="K9" t="str">
            <v>A1+S1+M2+A2</v>
          </cell>
          <cell r="L9" t="str">
            <v>S1+M2</v>
          </cell>
          <cell r="M9" t="str">
            <v>S1+M2+A2</v>
          </cell>
          <cell r="N9" t="str">
            <v>A1+M</v>
          </cell>
          <cell r="O9" t="str">
            <v>A1+M+A2proj</v>
          </cell>
          <cell r="P9" t="str">
            <v>A1+M+A2</v>
          </cell>
          <cell r="Q9" t="str">
            <v>A1+S1+M+A2</v>
          </cell>
          <cell r="R9" t="str">
            <v>S1+M</v>
          </cell>
          <cell r="S9" t="str">
            <v>S1+M+A2</v>
          </cell>
          <cell r="T9" t="str">
            <v>A1+M2</v>
          </cell>
          <cell r="U9" t="str">
            <v>A1+M2+A2proj</v>
          </cell>
          <cell r="V9" t="str">
            <v>A1+M2+A2</v>
          </cell>
          <cell r="W9" t="str">
            <v>A1+S1+M2+A2</v>
          </cell>
          <cell r="X9" t="str">
            <v>S1+M2</v>
          </cell>
          <cell r="Y9" t="str">
            <v>S1+M2+A2</v>
          </cell>
          <cell r="Z9" t="str">
            <v>A1+M</v>
          </cell>
          <cell r="AA9" t="str">
            <v>A1+M+A2proj</v>
          </cell>
          <cell r="AB9" t="str">
            <v>A1+M+A2</v>
          </cell>
          <cell r="AC9" t="str">
            <v>A1+S1+M+A2</v>
          </cell>
          <cell r="AD9" t="str">
            <v>S1+M</v>
          </cell>
          <cell r="AE9" t="str">
            <v>S1+M+A2</v>
          </cell>
          <cell r="AF9" t="str">
            <v>A1+M2</v>
          </cell>
          <cell r="AG9" t="str">
            <v>A1+M2+A2proj</v>
          </cell>
          <cell r="AH9" t="str">
            <v>A1+M2+A2</v>
          </cell>
          <cell r="AI9" t="str">
            <v>A1+S1+M2+A2</v>
          </cell>
          <cell r="AJ9" t="str">
            <v>S1+M2</v>
          </cell>
          <cell r="AK9" t="str">
            <v>S1+M2+A2</v>
          </cell>
          <cell r="AL9" t="str">
            <v>A1+M</v>
          </cell>
          <cell r="AM9" t="str">
            <v>A1+M+A2proj</v>
          </cell>
          <cell r="AN9" t="str">
            <v>A1+M+A2</v>
          </cell>
          <cell r="AO9" t="str">
            <v>A1+S1+M+A2</v>
          </cell>
          <cell r="AP9" t="str">
            <v>S1+M</v>
          </cell>
          <cell r="AQ9" t="str">
            <v>S1+M+A2</v>
          </cell>
          <cell r="AR9" t="str">
            <v>A1+M2</v>
          </cell>
          <cell r="AS9" t="str">
            <v>A1+M2+A2proj</v>
          </cell>
          <cell r="AT9" t="str">
            <v>A1+M2+A2</v>
          </cell>
          <cell r="AU9" t="str">
            <v>A1+S1+M2+A2</v>
          </cell>
          <cell r="AV9" t="str">
            <v>S1+M2</v>
          </cell>
          <cell r="AW9" t="str">
            <v>S1+M2+A2</v>
          </cell>
          <cell r="AX9" t="str">
            <v>A1+M</v>
          </cell>
          <cell r="AY9" t="str">
            <v>A1+M+A2proj</v>
          </cell>
          <cell r="AZ9" t="str">
            <v>A1+M+A2</v>
          </cell>
          <cell r="BA9" t="str">
            <v>A1+S1+M+A2</v>
          </cell>
          <cell r="BB9" t="str">
            <v>S1+M</v>
          </cell>
          <cell r="BC9" t="str">
            <v>S1+M+A2</v>
          </cell>
          <cell r="BD9" t="str">
            <v>A1+M2</v>
          </cell>
          <cell r="BE9" t="str">
            <v>A1+M2+A2proj</v>
          </cell>
          <cell r="BF9" t="str">
            <v>A1+M2+A2</v>
          </cell>
          <cell r="BG9" t="str">
            <v>A1+S1+M2+A2</v>
          </cell>
          <cell r="BH9" t="str">
            <v>S1+M2</v>
          </cell>
          <cell r="BI9" t="str">
            <v>S1+M2+A2</v>
          </cell>
          <cell r="BJ9" t="str">
            <v>A1+S1+M+A2</v>
          </cell>
          <cell r="BK9" t="str">
            <v>S1+M</v>
          </cell>
          <cell r="BL9" t="str">
            <v>S1+M+A2</v>
          </cell>
          <cell r="BM9" t="str">
            <v>A1+S1+M2+A2</v>
          </cell>
          <cell r="BN9" t="str">
            <v>S1+M2</v>
          </cell>
          <cell r="BO9" t="str">
            <v>S1+M2+A2</v>
          </cell>
          <cell r="BP9" t="str">
            <v>M</v>
          </cell>
          <cell r="BQ9" t="str">
            <v>A1+M</v>
          </cell>
          <cell r="BR9" t="str">
            <v>S1+M</v>
          </cell>
          <cell r="BS9" t="str">
            <v>A1+M+A2proj</v>
          </cell>
          <cell r="BT9" t="str">
            <v>A1+M+A2</v>
          </cell>
          <cell r="BU9" t="str">
            <v>A1+S1+M+A2</v>
          </cell>
          <cell r="BV9" t="str">
            <v>S1+M+A2</v>
          </cell>
          <cell r="BW9" t="str">
            <v>M2</v>
          </cell>
          <cell r="BX9" t="str">
            <v>A1+M2</v>
          </cell>
          <cell r="BY9" t="str">
            <v>S1+M2</v>
          </cell>
          <cell r="BZ9" t="str">
            <v>A1+M2+A2proj</v>
          </cell>
          <cell r="CA9" t="str">
            <v>A1+M2+A2</v>
          </cell>
          <cell r="CB9" t="str">
            <v>A1+S1+M2+A2</v>
          </cell>
          <cell r="CC9" t="str">
            <v>S1+M2+A2</v>
          </cell>
          <cell r="CD9" t="str">
            <v>A1+M+A2proj</v>
          </cell>
          <cell r="CE9" t="str">
            <v>A1+M+A2</v>
          </cell>
          <cell r="CF9" t="str">
            <v>A1+S1+M+A2</v>
          </cell>
          <cell r="CG9" t="str">
            <v>S1+M+A2</v>
          </cell>
          <cell r="CH9" t="str">
            <v>A1+M2+A2proj</v>
          </cell>
          <cell r="CI9" t="str">
            <v>A1+M2+A2</v>
          </cell>
          <cell r="CJ9" t="str">
            <v>A1+S1+M2+A2</v>
          </cell>
          <cell r="CK9" t="str">
            <v>S1+M2+A2</v>
          </cell>
          <cell r="CL9" t="str">
            <v>A1+M+A2proj</v>
          </cell>
          <cell r="CM9" t="str">
            <v>A1+M+A2</v>
          </cell>
          <cell r="CN9" t="str">
            <v>A1+S1+M+A2</v>
          </cell>
          <cell r="CO9" t="str">
            <v>S1+M+A2</v>
          </cell>
          <cell r="CP9" t="str">
            <v>A1+M2+A2proj</v>
          </cell>
          <cell r="CQ9" t="str">
            <v>A1+M2+A2</v>
          </cell>
          <cell r="CR9" t="str">
            <v>A1+S1+M2+A2</v>
          </cell>
          <cell r="CS9" t="str">
            <v>S1+M2+A2</v>
          </cell>
          <cell r="CT9" t="str">
            <v>A1+M+A2proj</v>
          </cell>
          <cell r="CU9" t="str">
            <v>A1+M+A2</v>
          </cell>
          <cell r="CV9" t="str">
            <v>A1+S1+M+A2</v>
          </cell>
          <cell r="CW9" t="str">
            <v>S1+M+A2</v>
          </cell>
          <cell r="CX9" t="str">
            <v>A1+M2+A2proj</v>
          </cell>
          <cell r="CY9" t="str">
            <v>A1+M2+A2</v>
          </cell>
          <cell r="CZ9" t="str">
            <v>A1+S1+M2+A2</v>
          </cell>
          <cell r="DA9" t="str">
            <v>S1+M2+A2</v>
          </cell>
          <cell r="DB9" t="str">
            <v>A1+M+A2proj</v>
          </cell>
          <cell r="DC9" t="str">
            <v>A1+M+A2</v>
          </cell>
          <cell r="DD9" t="str">
            <v>A1+S1+M+A2</v>
          </cell>
          <cell r="DE9" t="str">
            <v>S1+M+A2</v>
          </cell>
          <cell r="DF9" t="str">
            <v>A1+M2+A2proj</v>
          </cell>
          <cell r="DG9" t="str">
            <v>A1+M2+A2</v>
          </cell>
          <cell r="DH9" t="str">
            <v>A1+S1+M2+A2</v>
          </cell>
          <cell r="DI9" t="str">
            <v>S1+M2+A2</v>
          </cell>
        </row>
        <row r="10">
          <cell r="A10">
            <v>45108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</row>
        <row r="11">
          <cell r="A11">
            <v>45109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</row>
        <row r="12">
          <cell r="A12">
            <v>45110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</row>
        <row r="13">
          <cell r="A13">
            <v>45111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</row>
        <row r="14">
          <cell r="A14">
            <v>45112</v>
          </cell>
          <cell r="B14">
            <v>17.036557999999999</v>
          </cell>
          <cell r="C14">
            <v>17.036557999999999</v>
          </cell>
          <cell r="D14">
            <v>0</v>
          </cell>
          <cell r="E14">
            <v>17.036557999999999</v>
          </cell>
          <cell r="F14">
            <v>19.190358</v>
          </cell>
          <cell r="G14">
            <v>19.190358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19.341124000000001</v>
          </cell>
          <cell r="O14">
            <v>19.341124000000001</v>
          </cell>
          <cell r="P14">
            <v>0</v>
          </cell>
          <cell r="Q14">
            <v>19.341124000000001</v>
          </cell>
          <cell r="R14">
            <v>34.525414000000005</v>
          </cell>
          <cell r="S14">
            <v>34.525414000000005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20.278026999999998</v>
          </cell>
          <cell r="AA14">
            <v>20.278026999999998</v>
          </cell>
          <cell r="AB14">
            <v>0</v>
          </cell>
          <cell r="AC14">
            <v>20.278026999999998</v>
          </cell>
          <cell r="AD14">
            <v>14.699685000000001</v>
          </cell>
          <cell r="AE14">
            <v>14.699685000000001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27.299415</v>
          </cell>
          <cell r="AM14">
            <v>27.299415</v>
          </cell>
          <cell r="AN14">
            <v>0</v>
          </cell>
          <cell r="AO14">
            <v>27.299415</v>
          </cell>
          <cell r="AP14">
            <v>25.188690999999999</v>
          </cell>
          <cell r="AQ14">
            <v>25.188690999999999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7.419840999999999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161.73000000000002</v>
          </cell>
          <cell r="BQ14">
            <v>114.73999999999998</v>
          </cell>
          <cell r="BR14">
            <v>114.74</v>
          </cell>
          <cell r="BS14">
            <v>114.73999999999998</v>
          </cell>
          <cell r="BT14">
            <v>0</v>
          </cell>
          <cell r="BU14">
            <v>114.74000000000001</v>
          </cell>
          <cell r="BV14">
            <v>114.74000000000001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0.40392452433680848</v>
          </cell>
          <cell r="CF14">
            <v>0.40392452433680848</v>
          </cell>
          <cell r="CG14">
            <v>0.40392452433680848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0.1188542050084628</v>
          </cell>
          <cell r="CN14">
            <v>0.1188542050084628</v>
          </cell>
          <cell r="CO14">
            <v>0.1188542050084628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1.3486534356869622</v>
          </cell>
          <cell r="CV14">
            <v>1.3486534356869622</v>
          </cell>
          <cell r="CW14">
            <v>1.3486534356869622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46.778695163382594</v>
          </cell>
          <cell r="DD14">
            <v>46.778695163382594</v>
          </cell>
          <cell r="DE14">
            <v>46.778695163382594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</row>
        <row r="15">
          <cell r="A15">
            <v>45113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</row>
        <row r="16">
          <cell r="A16">
            <v>45114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</row>
        <row r="17">
          <cell r="A17">
            <v>45115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</row>
        <row r="18">
          <cell r="A18">
            <v>45116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</row>
        <row r="19">
          <cell r="A19">
            <v>45117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</row>
        <row r="20">
          <cell r="A20">
            <v>45118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</row>
        <row r="21">
          <cell r="A21">
            <v>45119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</row>
        <row r="22">
          <cell r="A22">
            <v>45120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</row>
        <row r="23">
          <cell r="A23">
            <v>45121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</row>
        <row r="24">
          <cell r="A24">
            <v>45122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</row>
        <row r="25">
          <cell r="A25">
            <v>45123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</row>
        <row r="26">
          <cell r="A26">
            <v>45124</v>
          </cell>
          <cell r="B26">
            <v>19.73</v>
          </cell>
          <cell r="C26">
            <v>0</v>
          </cell>
          <cell r="D26">
            <v>19.73</v>
          </cell>
          <cell r="E26">
            <v>19.73</v>
          </cell>
          <cell r="F26">
            <v>70.289999999999992</v>
          </cell>
          <cell r="G26">
            <v>70.289999999999992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34.03</v>
          </cell>
          <cell r="O26">
            <v>0</v>
          </cell>
          <cell r="P26">
            <v>34.03</v>
          </cell>
          <cell r="Q26">
            <v>34.03</v>
          </cell>
          <cell r="R26">
            <v>31.85</v>
          </cell>
          <cell r="S26">
            <v>31.85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47.92</v>
          </cell>
          <cell r="AA26">
            <v>0</v>
          </cell>
          <cell r="AB26">
            <v>47.92</v>
          </cell>
          <cell r="AC26">
            <v>47.92</v>
          </cell>
          <cell r="AD26">
            <v>25</v>
          </cell>
          <cell r="AE26">
            <v>25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39.200000000000003</v>
          </cell>
          <cell r="AM26">
            <v>0</v>
          </cell>
          <cell r="AN26">
            <v>39.200000000000003</v>
          </cell>
          <cell r="AO26">
            <v>39.200000000000003</v>
          </cell>
          <cell r="AP26">
            <v>29.259999999999998</v>
          </cell>
          <cell r="AQ26">
            <v>29.259999999999998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14.55</v>
          </cell>
          <cell r="BB26">
            <v>14.55</v>
          </cell>
          <cell r="BC26">
            <v>14.55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132.27200000000002</v>
          </cell>
          <cell r="BQ26">
            <v>132.27200000000005</v>
          </cell>
          <cell r="BR26">
            <v>132.27200000000002</v>
          </cell>
          <cell r="BS26">
            <v>0</v>
          </cell>
          <cell r="BT26">
            <v>132.27200000000005</v>
          </cell>
          <cell r="BU26">
            <v>132.27200000000005</v>
          </cell>
          <cell r="BV26">
            <v>132.27200000000005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0.38</v>
          </cell>
          <cell r="CF26">
            <v>0.38</v>
          </cell>
          <cell r="CG26">
            <v>0.38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10.19</v>
          </cell>
          <cell r="CN26">
            <v>10.19</v>
          </cell>
          <cell r="CO26">
            <v>10.19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25.81</v>
          </cell>
          <cell r="CV26">
            <v>25.81</v>
          </cell>
          <cell r="CW26">
            <v>25.81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1.8</v>
          </cell>
          <cell r="DD26">
            <v>1.8</v>
          </cell>
          <cell r="DE26">
            <v>1.8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</row>
        <row r="27">
          <cell r="A27">
            <v>45125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</row>
        <row r="28">
          <cell r="A28">
            <v>45126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</row>
        <row r="29">
          <cell r="A29">
            <v>45127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</row>
        <row r="30">
          <cell r="A30">
            <v>45128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</row>
        <row r="31">
          <cell r="A31">
            <v>45129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</row>
        <row r="32">
          <cell r="A32">
            <v>45130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</row>
        <row r="33">
          <cell r="A33">
            <v>45131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</row>
        <row r="34">
          <cell r="A34">
            <v>45132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</row>
        <row r="35">
          <cell r="A35">
            <v>45133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</row>
        <row r="36">
          <cell r="A36">
            <v>45134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</row>
        <row r="37">
          <cell r="A37">
            <v>45135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</row>
        <row r="38">
          <cell r="A38">
            <v>45136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</row>
        <row r="39">
          <cell r="A39">
            <v>45137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</row>
        <row r="40">
          <cell r="A40">
            <v>45138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</row>
        <row r="41">
          <cell r="A41">
            <v>45139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</row>
        <row r="42">
          <cell r="A42">
            <v>45140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</row>
        <row r="43">
          <cell r="A43">
            <v>45141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</row>
        <row r="44">
          <cell r="A44">
            <v>45142</v>
          </cell>
          <cell r="B44">
            <v>29.25</v>
          </cell>
          <cell r="C44">
            <v>29.25</v>
          </cell>
          <cell r="D44">
            <v>29.25</v>
          </cell>
          <cell r="E44">
            <v>29.25</v>
          </cell>
          <cell r="F44">
            <v>31.99</v>
          </cell>
          <cell r="G44">
            <v>31.99</v>
          </cell>
          <cell r="H44">
            <v>29.25</v>
          </cell>
          <cell r="I44">
            <v>29.25</v>
          </cell>
          <cell r="J44">
            <v>29.25</v>
          </cell>
          <cell r="K44">
            <v>29.25</v>
          </cell>
          <cell r="L44">
            <v>31.99</v>
          </cell>
          <cell r="M44">
            <v>31.99</v>
          </cell>
          <cell r="N44">
            <v>36.42</v>
          </cell>
          <cell r="O44">
            <v>36.42</v>
          </cell>
          <cell r="P44">
            <v>36.42</v>
          </cell>
          <cell r="Q44">
            <v>36.42</v>
          </cell>
          <cell r="R44">
            <v>53.42</v>
          </cell>
          <cell r="S44">
            <v>53.42</v>
          </cell>
          <cell r="T44">
            <v>36.42</v>
          </cell>
          <cell r="U44">
            <v>36.42</v>
          </cell>
          <cell r="V44">
            <v>36.42</v>
          </cell>
          <cell r="W44">
            <v>36.42</v>
          </cell>
          <cell r="X44">
            <v>53.42</v>
          </cell>
          <cell r="Y44">
            <v>53.42</v>
          </cell>
          <cell r="Z44">
            <v>59.61</v>
          </cell>
          <cell r="AA44">
            <v>59.61</v>
          </cell>
          <cell r="AB44">
            <v>59.61</v>
          </cell>
          <cell r="AC44">
            <v>59.61</v>
          </cell>
          <cell r="AD44">
            <v>52.08</v>
          </cell>
          <cell r="AE44">
            <v>52.08</v>
          </cell>
          <cell r="AF44">
            <v>59.61</v>
          </cell>
          <cell r="AG44">
            <v>59.61</v>
          </cell>
          <cell r="AH44">
            <v>59.61</v>
          </cell>
          <cell r="AI44">
            <v>59.61</v>
          </cell>
          <cell r="AJ44">
            <v>52.08</v>
          </cell>
          <cell r="AK44">
            <v>52.08</v>
          </cell>
          <cell r="AL44">
            <v>54.84</v>
          </cell>
          <cell r="AM44">
            <v>54.84</v>
          </cell>
          <cell r="AN44">
            <v>54.84</v>
          </cell>
          <cell r="AO44">
            <v>54.84</v>
          </cell>
          <cell r="AP44">
            <v>51.44</v>
          </cell>
          <cell r="AQ44">
            <v>51.44</v>
          </cell>
          <cell r="AR44">
            <v>54.84</v>
          </cell>
          <cell r="AS44">
            <v>54.84</v>
          </cell>
          <cell r="AT44">
            <v>54.84</v>
          </cell>
          <cell r="AU44">
            <v>54.84</v>
          </cell>
          <cell r="AV44">
            <v>51.44</v>
          </cell>
          <cell r="AW44">
            <v>51.44</v>
          </cell>
          <cell r="AX44">
            <v>0</v>
          </cell>
          <cell r="AY44">
            <v>0</v>
          </cell>
          <cell r="AZ44">
            <v>0</v>
          </cell>
          <cell r="BA44">
            <v>35.61</v>
          </cell>
          <cell r="BB44">
            <v>35.61</v>
          </cell>
          <cell r="BC44">
            <v>35.61</v>
          </cell>
          <cell r="BD44">
            <v>0</v>
          </cell>
          <cell r="BE44">
            <v>0</v>
          </cell>
          <cell r="BF44">
            <v>0</v>
          </cell>
          <cell r="BG44">
            <v>35.61</v>
          </cell>
          <cell r="BH44">
            <v>35.61</v>
          </cell>
          <cell r="BI44">
            <v>35.61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235.39029999999997</v>
          </cell>
          <cell r="BQ44">
            <v>208.57540000000003</v>
          </cell>
          <cell r="BR44">
            <v>208.57540000000006</v>
          </cell>
          <cell r="BS44">
            <v>208.57540000000003</v>
          </cell>
          <cell r="BT44">
            <v>208.57540000000003</v>
          </cell>
          <cell r="BU44">
            <v>208.57539999999997</v>
          </cell>
          <cell r="BV44">
            <v>208.57540000000003</v>
          </cell>
          <cell r="BW44">
            <v>591.28379999999981</v>
          </cell>
          <cell r="BX44">
            <v>543.40570000000002</v>
          </cell>
          <cell r="BY44">
            <v>490.05840000000001</v>
          </cell>
          <cell r="BZ44">
            <v>543.40570000000002</v>
          </cell>
          <cell r="CA44">
            <v>543.40570000000014</v>
          </cell>
          <cell r="CB44">
            <v>490.05840000000018</v>
          </cell>
          <cell r="CC44">
            <v>490.05840000000006</v>
          </cell>
          <cell r="CD44">
            <v>0</v>
          </cell>
          <cell r="CE44">
            <v>0.69</v>
          </cell>
          <cell r="CF44">
            <v>0.69</v>
          </cell>
          <cell r="CG44">
            <v>0.69</v>
          </cell>
          <cell r="CH44">
            <v>0</v>
          </cell>
          <cell r="CI44">
            <v>0.69</v>
          </cell>
          <cell r="CJ44">
            <v>0.69</v>
          </cell>
          <cell r="CK44">
            <v>0.69</v>
          </cell>
          <cell r="CL44">
            <v>0</v>
          </cell>
          <cell r="CM44">
            <v>9.34</v>
          </cell>
          <cell r="CN44">
            <v>9.34</v>
          </cell>
          <cell r="CO44">
            <v>9.34</v>
          </cell>
          <cell r="CP44">
            <v>0</v>
          </cell>
          <cell r="CQ44">
            <v>9.34</v>
          </cell>
          <cell r="CR44">
            <v>9.34</v>
          </cell>
          <cell r="CS44">
            <v>9.34</v>
          </cell>
          <cell r="CT44">
            <v>0</v>
          </cell>
          <cell r="CU44">
            <v>15.13</v>
          </cell>
          <cell r="CV44">
            <v>15.13</v>
          </cell>
          <cell r="CW44">
            <v>15.13</v>
          </cell>
          <cell r="CX44">
            <v>0</v>
          </cell>
          <cell r="CY44">
            <v>15.13</v>
          </cell>
          <cell r="CZ44">
            <v>15.13</v>
          </cell>
          <cell r="DA44">
            <v>15.13</v>
          </cell>
          <cell r="DB44">
            <v>0</v>
          </cell>
          <cell r="DC44">
            <v>24.61</v>
          </cell>
          <cell r="DD44">
            <v>24.61</v>
          </cell>
          <cell r="DE44">
            <v>24.61</v>
          </cell>
          <cell r="DF44">
            <v>0</v>
          </cell>
          <cell r="DG44">
            <v>24.61</v>
          </cell>
          <cell r="DH44">
            <v>24.61</v>
          </cell>
          <cell r="DI44">
            <v>24.61</v>
          </cell>
        </row>
        <row r="45">
          <cell r="A45">
            <v>45143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</row>
        <row r="46">
          <cell r="A46">
            <v>45144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</row>
        <row r="47">
          <cell r="A47">
            <v>45145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</row>
        <row r="48">
          <cell r="A48">
            <v>45146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</row>
        <row r="49">
          <cell r="A49">
            <v>45147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</row>
        <row r="50">
          <cell r="A50">
            <v>45148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</row>
        <row r="51">
          <cell r="A51">
            <v>45149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</row>
        <row r="52">
          <cell r="A52">
            <v>45150</v>
          </cell>
          <cell r="B52">
            <v>204.51</v>
          </cell>
          <cell r="C52">
            <v>204.51</v>
          </cell>
          <cell r="D52">
            <v>204.51</v>
          </cell>
          <cell r="E52">
            <v>204.51</v>
          </cell>
          <cell r="F52">
            <v>106.63</v>
          </cell>
          <cell r="G52">
            <v>106.63</v>
          </cell>
          <cell r="H52">
            <v>204.51</v>
          </cell>
          <cell r="I52">
            <v>204.51</v>
          </cell>
          <cell r="J52">
            <v>204.51</v>
          </cell>
          <cell r="K52">
            <v>204.51</v>
          </cell>
          <cell r="L52">
            <v>140.41999999999999</v>
          </cell>
          <cell r="M52">
            <v>106.63</v>
          </cell>
          <cell r="N52">
            <v>141.65</v>
          </cell>
          <cell r="O52">
            <v>141.65</v>
          </cell>
          <cell r="P52">
            <v>141.65</v>
          </cell>
          <cell r="Q52">
            <v>141.65</v>
          </cell>
          <cell r="R52">
            <v>178.55</v>
          </cell>
          <cell r="S52">
            <v>178.55</v>
          </cell>
          <cell r="T52">
            <v>141.65</v>
          </cell>
          <cell r="U52">
            <v>141.65</v>
          </cell>
          <cell r="V52">
            <v>141.65</v>
          </cell>
          <cell r="W52">
            <v>141.65</v>
          </cell>
          <cell r="X52">
            <v>239.71</v>
          </cell>
          <cell r="Y52">
            <v>178.55</v>
          </cell>
          <cell r="Z52">
            <v>90.85</v>
          </cell>
          <cell r="AA52">
            <v>90.85</v>
          </cell>
          <cell r="AB52">
            <v>90.85</v>
          </cell>
          <cell r="AC52">
            <v>90.85</v>
          </cell>
          <cell r="AD52">
            <v>95.86</v>
          </cell>
          <cell r="AE52">
            <v>95.86</v>
          </cell>
          <cell r="AF52">
            <v>90.85</v>
          </cell>
          <cell r="AG52">
            <v>90.85</v>
          </cell>
          <cell r="AH52">
            <v>90.85</v>
          </cell>
          <cell r="AI52">
            <v>90.85</v>
          </cell>
          <cell r="AJ52">
            <v>181.93</v>
          </cell>
          <cell r="AK52">
            <v>95.86</v>
          </cell>
          <cell r="AL52">
            <v>90.85</v>
          </cell>
          <cell r="AM52">
            <v>90.85</v>
          </cell>
          <cell r="AN52">
            <v>90.85</v>
          </cell>
          <cell r="AO52">
            <v>90.85</v>
          </cell>
          <cell r="AP52">
            <v>103.5</v>
          </cell>
          <cell r="AQ52">
            <v>103.5</v>
          </cell>
          <cell r="AR52">
            <v>90.85</v>
          </cell>
          <cell r="AS52">
            <v>90.85</v>
          </cell>
          <cell r="AT52">
            <v>90.85</v>
          </cell>
          <cell r="AU52">
            <v>90.85</v>
          </cell>
          <cell r="AV52">
            <v>203.2</v>
          </cell>
          <cell r="AW52">
            <v>103.5</v>
          </cell>
          <cell r="AX52">
            <v>0</v>
          </cell>
          <cell r="AY52">
            <v>0</v>
          </cell>
          <cell r="AZ52">
            <v>0</v>
          </cell>
          <cell r="BA52">
            <v>85.41</v>
          </cell>
          <cell r="BB52">
            <v>85.41</v>
          </cell>
          <cell r="BC52">
            <v>85.41</v>
          </cell>
          <cell r="BD52">
            <v>0</v>
          </cell>
          <cell r="BE52">
            <v>0</v>
          </cell>
          <cell r="BF52">
            <v>0</v>
          </cell>
          <cell r="BG52">
            <v>85.41</v>
          </cell>
          <cell r="BH52">
            <v>124.54</v>
          </cell>
          <cell r="BI52">
            <v>85.41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421.43543999999997</v>
          </cell>
          <cell r="BQ52">
            <v>304.12854000000016</v>
          </cell>
          <cell r="BR52">
            <v>304.12854000000016</v>
          </cell>
          <cell r="BS52">
            <v>304.12854000000016</v>
          </cell>
          <cell r="BT52">
            <v>304.12854000000027</v>
          </cell>
          <cell r="BU52">
            <v>304.12854000000044</v>
          </cell>
          <cell r="BV52">
            <v>304.12854000000027</v>
          </cell>
          <cell r="BW52">
            <v>1382.9297399999998</v>
          </cell>
          <cell r="BX52">
            <v>1201.1133599999998</v>
          </cell>
          <cell r="BY52">
            <v>865.67400000000066</v>
          </cell>
          <cell r="BZ52">
            <v>1201.1133599999998</v>
          </cell>
          <cell r="CA52">
            <v>1201.1133599999998</v>
          </cell>
          <cell r="CB52">
            <v>1071.2622599999995</v>
          </cell>
          <cell r="CC52">
            <v>1071.2622599999993</v>
          </cell>
          <cell r="CD52">
            <v>0</v>
          </cell>
          <cell r="CE52">
            <v>12.19</v>
          </cell>
          <cell r="CF52">
            <v>12.19</v>
          </cell>
          <cell r="CG52">
            <v>12.19</v>
          </cell>
          <cell r="CH52">
            <v>0</v>
          </cell>
          <cell r="CI52">
            <v>12.19</v>
          </cell>
          <cell r="CJ52">
            <v>12.19</v>
          </cell>
          <cell r="CK52">
            <v>12.19</v>
          </cell>
          <cell r="CL52">
            <v>0</v>
          </cell>
          <cell r="CM52">
            <v>23.48</v>
          </cell>
          <cell r="CN52">
            <v>23.48</v>
          </cell>
          <cell r="CO52">
            <v>23.48</v>
          </cell>
          <cell r="CP52">
            <v>0</v>
          </cell>
          <cell r="CQ52">
            <v>23.48</v>
          </cell>
          <cell r="CR52">
            <v>23.48</v>
          </cell>
          <cell r="CS52">
            <v>23.48</v>
          </cell>
          <cell r="CT52">
            <v>0</v>
          </cell>
          <cell r="CU52">
            <v>41.84</v>
          </cell>
          <cell r="CV52">
            <v>41.84</v>
          </cell>
          <cell r="CW52">
            <v>41.84</v>
          </cell>
          <cell r="CX52">
            <v>0</v>
          </cell>
          <cell r="CY52">
            <v>41.84</v>
          </cell>
          <cell r="CZ52">
            <v>41.84</v>
          </cell>
          <cell r="DA52">
            <v>41.84</v>
          </cell>
          <cell r="DB52">
            <v>0</v>
          </cell>
          <cell r="DC52">
            <v>54.9</v>
          </cell>
          <cell r="DD52">
            <v>54.9</v>
          </cell>
          <cell r="DE52">
            <v>54.9</v>
          </cell>
          <cell r="DF52">
            <v>0</v>
          </cell>
          <cell r="DG52">
            <v>54.9</v>
          </cell>
          <cell r="DH52">
            <v>54.9</v>
          </cell>
          <cell r="DI52">
            <v>54.9</v>
          </cell>
        </row>
        <row r="53">
          <cell r="A53">
            <v>45151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</row>
        <row r="54">
          <cell r="A54">
            <v>45152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</row>
        <row r="55">
          <cell r="A55">
            <v>45153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</row>
        <row r="56">
          <cell r="A56">
            <v>45154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</row>
        <row r="57">
          <cell r="A57">
            <v>45155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</row>
        <row r="58">
          <cell r="A58">
            <v>45156</v>
          </cell>
          <cell r="B58">
            <v>692.52</v>
          </cell>
          <cell r="C58">
            <v>692.52</v>
          </cell>
          <cell r="D58">
            <v>692.52</v>
          </cell>
          <cell r="E58">
            <v>692.52</v>
          </cell>
          <cell r="F58">
            <v>608.52</v>
          </cell>
          <cell r="G58">
            <v>608.52</v>
          </cell>
          <cell r="H58">
            <v>692.52</v>
          </cell>
          <cell r="I58">
            <v>692.52</v>
          </cell>
          <cell r="J58">
            <v>692.52</v>
          </cell>
          <cell r="K58">
            <v>692.52</v>
          </cell>
          <cell r="L58">
            <v>659.28</v>
          </cell>
          <cell r="M58">
            <v>659.28</v>
          </cell>
          <cell r="N58">
            <v>733.45</v>
          </cell>
          <cell r="O58">
            <v>733.45</v>
          </cell>
          <cell r="P58">
            <v>733.45</v>
          </cell>
          <cell r="Q58">
            <v>733.45</v>
          </cell>
          <cell r="R58">
            <v>627.03</v>
          </cell>
          <cell r="S58">
            <v>627.03</v>
          </cell>
          <cell r="T58">
            <v>733.45</v>
          </cell>
          <cell r="U58">
            <v>733.45</v>
          </cell>
          <cell r="V58">
            <v>733.45</v>
          </cell>
          <cell r="W58">
            <v>733.45</v>
          </cell>
          <cell r="X58">
            <v>662.66</v>
          </cell>
          <cell r="Y58">
            <v>662.66</v>
          </cell>
          <cell r="Z58">
            <v>421.5</v>
          </cell>
          <cell r="AA58">
            <v>421.5</v>
          </cell>
          <cell r="AB58">
            <v>421.5</v>
          </cell>
          <cell r="AC58">
            <v>421.5</v>
          </cell>
          <cell r="AD58">
            <v>395.86</v>
          </cell>
          <cell r="AE58">
            <v>395.86</v>
          </cell>
          <cell r="AF58">
            <v>421.5</v>
          </cell>
          <cell r="AG58">
            <v>421.5</v>
          </cell>
          <cell r="AH58">
            <v>421.5</v>
          </cell>
          <cell r="AI58">
            <v>421.5</v>
          </cell>
          <cell r="AJ58">
            <v>399.72</v>
          </cell>
          <cell r="AK58">
            <v>399.72</v>
          </cell>
          <cell r="AL58">
            <v>323.48</v>
          </cell>
          <cell r="AM58">
            <v>323.48</v>
          </cell>
          <cell r="AN58">
            <v>323.48</v>
          </cell>
          <cell r="AO58">
            <v>323.48</v>
          </cell>
          <cell r="AP58">
            <v>289.43</v>
          </cell>
          <cell r="AQ58">
            <v>289.43</v>
          </cell>
          <cell r="AR58">
            <v>323.48</v>
          </cell>
          <cell r="AS58">
            <v>323.48</v>
          </cell>
          <cell r="AT58">
            <v>323.48</v>
          </cell>
          <cell r="AU58">
            <v>323.48</v>
          </cell>
          <cell r="AV58">
            <v>290.58999999999997</v>
          </cell>
          <cell r="AW58">
            <v>290.58999999999997</v>
          </cell>
          <cell r="AX58">
            <v>0</v>
          </cell>
          <cell r="AY58">
            <v>0</v>
          </cell>
          <cell r="AZ58">
            <v>0</v>
          </cell>
          <cell r="BA58">
            <v>215.8</v>
          </cell>
          <cell r="BB58">
            <v>215.8</v>
          </cell>
          <cell r="BC58">
            <v>215.8</v>
          </cell>
          <cell r="BD58">
            <v>0</v>
          </cell>
          <cell r="BE58">
            <v>0</v>
          </cell>
          <cell r="BF58">
            <v>0</v>
          </cell>
          <cell r="BG58">
            <v>218.01</v>
          </cell>
          <cell r="BH58">
            <v>218.01</v>
          </cell>
          <cell r="BI58">
            <v>218.01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848.93999999999994</v>
          </cell>
          <cell r="BQ58">
            <v>760.42000000000053</v>
          </cell>
          <cell r="BR58">
            <v>741.89000000000033</v>
          </cell>
          <cell r="BS58">
            <v>760.42000000000053</v>
          </cell>
          <cell r="BT58">
            <v>675.63000000000056</v>
          </cell>
          <cell r="BU58">
            <v>657.10000000000036</v>
          </cell>
          <cell r="BV58">
            <v>657.09999999999991</v>
          </cell>
          <cell r="BW58">
            <v>1629.9300000000005</v>
          </cell>
          <cell r="BX58">
            <v>1080.0400000000013</v>
          </cell>
          <cell r="BY58">
            <v>982.33000000000129</v>
          </cell>
          <cell r="BZ58">
            <v>1080.0400000000013</v>
          </cell>
          <cell r="CA58">
            <v>1066.3300000000013</v>
          </cell>
          <cell r="CB58">
            <v>968.62000000000126</v>
          </cell>
          <cell r="CC58">
            <v>968.62000000000126</v>
          </cell>
          <cell r="CD58">
            <v>84.789999999999992</v>
          </cell>
          <cell r="CE58">
            <v>41.28</v>
          </cell>
          <cell r="CF58">
            <v>41.28</v>
          </cell>
          <cell r="CG58">
            <v>41.28</v>
          </cell>
          <cell r="CH58">
            <v>13.71</v>
          </cell>
          <cell r="CI58">
            <v>41.28</v>
          </cell>
          <cell r="CJ58">
            <v>41.28</v>
          </cell>
          <cell r="CK58">
            <v>41.28</v>
          </cell>
          <cell r="CL58">
            <v>0</v>
          </cell>
          <cell r="CM58">
            <v>36.39</v>
          </cell>
          <cell r="CN58">
            <v>36.39</v>
          </cell>
          <cell r="CO58">
            <v>36.39</v>
          </cell>
          <cell r="CP58">
            <v>0</v>
          </cell>
          <cell r="CQ58">
            <v>36.39</v>
          </cell>
          <cell r="CR58">
            <v>36.39</v>
          </cell>
          <cell r="CS58">
            <v>36.39</v>
          </cell>
          <cell r="CT58">
            <v>0</v>
          </cell>
          <cell r="CU58">
            <v>54.41</v>
          </cell>
          <cell r="CV58">
            <v>54.41</v>
          </cell>
          <cell r="CW58">
            <v>54.41</v>
          </cell>
          <cell r="CX58">
            <v>0</v>
          </cell>
          <cell r="CY58">
            <v>54.41</v>
          </cell>
          <cell r="CZ58">
            <v>54.41</v>
          </cell>
          <cell r="DA58">
            <v>54.41</v>
          </cell>
          <cell r="DB58">
            <v>0</v>
          </cell>
          <cell r="DC58">
            <v>52.45</v>
          </cell>
          <cell r="DD58">
            <v>52.45</v>
          </cell>
          <cell r="DE58">
            <v>52.45</v>
          </cell>
          <cell r="DF58">
            <v>0</v>
          </cell>
          <cell r="DG58">
            <v>52.45</v>
          </cell>
          <cell r="DH58">
            <v>52.45</v>
          </cell>
          <cell r="DI58">
            <v>52.45</v>
          </cell>
        </row>
        <row r="59">
          <cell r="A59">
            <v>45157</v>
          </cell>
          <cell r="B59">
            <v>464.08</v>
          </cell>
          <cell r="C59">
            <v>464.08</v>
          </cell>
          <cell r="D59">
            <v>464.08</v>
          </cell>
          <cell r="E59">
            <v>464.08</v>
          </cell>
          <cell r="F59">
            <v>623.21999999999991</v>
          </cell>
          <cell r="G59">
            <v>623.21999999999991</v>
          </cell>
          <cell r="H59">
            <v>464.08</v>
          </cell>
          <cell r="I59">
            <v>464.08</v>
          </cell>
          <cell r="J59">
            <v>464.08</v>
          </cell>
          <cell r="K59">
            <v>464.08</v>
          </cell>
          <cell r="L59">
            <v>623.21999999999991</v>
          </cell>
          <cell r="M59">
            <v>623.21999999999991</v>
          </cell>
          <cell r="N59">
            <v>702.51</v>
          </cell>
          <cell r="O59">
            <v>702.51</v>
          </cell>
          <cell r="P59">
            <v>702.51</v>
          </cell>
          <cell r="Q59">
            <v>702.51</v>
          </cell>
          <cell r="R59">
            <v>684.53</v>
          </cell>
          <cell r="S59">
            <v>684.53</v>
          </cell>
          <cell r="T59">
            <v>702.51</v>
          </cell>
          <cell r="U59">
            <v>702.51</v>
          </cell>
          <cell r="V59">
            <v>702.51</v>
          </cell>
          <cell r="W59">
            <v>702.51</v>
          </cell>
          <cell r="X59">
            <v>684.53</v>
          </cell>
          <cell r="Y59">
            <v>684.53</v>
          </cell>
          <cell r="Z59">
            <v>433.25</v>
          </cell>
          <cell r="AA59">
            <v>433.25</v>
          </cell>
          <cell r="AB59">
            <v>433.25</v>
          </cell>
          <cell r="AC59">
            <v>433.25</v>
          </cell>
          <cell r="AD59">
            <v>377.9</v>
          </cell>
          <cell r="AE59">
            <v>377.9</v>
          </cell>
          <cell r="AF59">
            <v>433.25</v>
          </cell>
          <cell r="AG59">
            <v>433.25</v>
          </cell>
          <cell r="AH59">
            <v>433.25</v>
          </cell>
          <cell r="AI59">
            <v>433.25</v>
          </cell>
          <cell r="AJ59">
            <v>377.9</v>
          </cell>
          <cell r="AK59">
            <v>377.9</v>
          </cell>
          <cell r="AL59">
            <v>251.83</v>
          </cell>
          <cell r="AM59">
            <v>251.83</v>
          </cell>
          <cell r="AN59">
            <v>251.83</v>
          </cell>
          <cell r="AO59">
            <v>251.83</v>
          </cell>
          <cell r="AP59">
            <v>275.79000000000002</v>
          </cell>
          <cell r="AQ59">
            <v>275.79000000000002</v>
          </cell>
          <cell r="AR59">
            <v>251.83</v>
          </cell>
          <cell r="AS59">
            <v>251.83</v>
          </cell>
          <cell r="AT59">
            <v>251.83</v>
          </cell>
          <cell r="AU59">
            <v>251.83</v>
          </cell>
          <cell r="AV59">
            <v>275.79000000000002</v>
          </cell>
          <cell r="AW59">
            <v>275.79000000000002</v>
          </cell>
          <cell r="AX59">
            <v>0</v>
          </cell>
          <cell r="AY59">
            <v>0</v>
          </cell>
          <cell r="AZ59">
            <v>0</v>
          </cell>
          <cell r="BA59">
            <v>109.89</v>
          </cell>
          <cell r="BB59">
            <v>109.89</v>
          </cell>
          <cell r="BC59">
            <v>109.89</v>
          </cell>
          <cell r="BD59">
            <v>0</v>
          </cell>
          <cell r="BE59">
            <v>0</v>
          </cell>
          <cell r="BF59">
            <v>0</v>
          </cell>
          <cell r="BG59">
            <v>109.89</v>
          </cell>
          <cell r="BH59">
            <v>109.89</v>
          </cell>
          <cell r="BI59">
            <v>109.89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706.86930000000018</v>
          </cell>
          <cell r="BQ59">
            <v>706.86929999999938</v>
          </cell>
          <cell r="BR59">
            <v>706.86929999999847</v>
          </cell>
          <cell r="BS59">
            <v>706.86929999999938</v>
          </cell>
          <cell r="BT59">
            <v>644.88059999999916</v>
          </cell>
          <cell r="BU59">
            <v>644.88059999999848</v>
          </cell>
          <cell r="BV59">
            <v>644.88059999999848</v>
          </cell>
          <cell r="BW59">
            <v>1984.0828999999997</v>
          </cell>
          <cell r="BX59">
            <v>1380.4772999999982</v>
          </cell>
          <cell r="BY59">
            <v>1234.986099999998</v>
          </cell>
          <cell r="BZ59">
            <v>1380.4772999999982</v>
          </cell>
          <cell r="CA59">
            <v>1248.2829999999979</v>
          </cell>
          <cell r="CB59">
            <v>1102.7917999999979</v>
          </cell>
          <cell r="CC59">
            <v>1102.7917999999979</v>
          </cell>
          <cell r="CD59">
            <v>48.81</v>
          </cell>
          <cell r="CE59">
            <v>74.06</v>
          </cell>
          <cell r="CF59">
            <v>74.06</v>
          </cell>
          <cell r="CG59">
            <v>74.06</v>
          </cell>
          <cell r="CH59">
            <v>104.09</v>
          </cell>
          <cell r="CI59">
            <v>74.06</v>
          </cell>
          <cell r="CJ59">
            <v>74.06</v>
          </cell>
          <cell r="CK59">
            <v>74.06</v>
          </cell>
          <cell r="CL59">
            <v>0</v>
          </cell>
          <cell r="CM59">
            <v>164.96</v>
          </cell>
          <cell r="CN59">
            <v>164.96</v>
          </cell>
          <cell r="CO59">
            <v>164.96</v>
          </cell>
          <cell r="CP59">
            <v>0</v>
          </cell>
          <cell r="CQ59">
            <v>164.96</v>
          </cell>
          <cell r="CR59">
            <v>164.96</v>
          </cell>
          <cell r="CS59">
            <v>164.96</v>
          </cell>
          <cell r="CT59">
            <v>0</v>
          </cell>
          <cell r="CU59">
            <v>171.19</v>
          </cell>
          <cell r="CV59">
            <v>171.19</v>
          </cell>
          <cell r="CW59">
            <v>171.19</v>
          </cell>
          <cell r="CX59">
            <v>0</v>
          </cell>
          <cell r="CY59">
            <v>171.19</v>
          </cell>
          <cell r="CZ59">
            <v>171.19</v>
          </cell>
          <cell r="DA59">
            <v>171.19</v>
          </cell>
          <cell r="DB59">
            <v>0</v>
          </cell>
          <cell r="DC59">
            <v>142.66</v>
          </cell>
          <cell r="DD59">
            <v>142.66</v>
          </cell>
          <cell r="DE59">
            <v>142.66</v>
          </cell>
          <cell r="DF59">
            <v>0</v>
          </cell>
          <cell r="DG59">
            <v>142.66</v>
          </cell>
          <cell r="DH59">
            <v>142.66</v>
          </cell>
          <cell r="DI59">
            <v>142.66</v>
          </cell>
        </row>
        <row r="60">
          <cell r="A60">
            <v>45158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</row>
        <row r="61">
          <cell r="A61">
            <v>45159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</row>
        <row r="62">
          <cell r="A62">
            <v>45160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</row>
        <row r="63">
          <cell r="A63">
            <v>45161</v>
          </cell>
          <cell r="B63">
            <v>1571.89</v>
          </cell>
          <cell r="C63">
            <v>1571.89</v>
          </cell>
          <cell r="D63">
            <v>1571.89</v>
          </cell>
          <cell r="E63">
            <v>1571.89</v>
          </cell>
          <cell r="F63">
            <v>1588.63</v>
          </cell>
          <cell r="G63">
            <v>1588.63</v>
          </cell>
          <cell r="H63">
            <v>1571.89</v>
          </cell>
          <cell r="I63">
            <v>1571.89</v>
          </cell>
          <cell r="J63">
            <v>1571.89</v>
          </cell>
          <cell r="K63">
            <v>1571.89</v>
          </cell>
          <cell r="L63">
            <v>1594.95</v>
          </cell>
          <cell r="M63">
            <v>1594.95</v>
          </cell>
          <cell r="N63">
            <v>1893.78</v>
          </cell>
          <cell r="O63">
            <v>1893.78</v>
          </cell>
          <cell r="P63">
            <v>1893.78</v>
          </cell>
          <cell r="Q63">
            <v>1893.78</v>
          </cell>
          <cell r="R63">
            <v>1625.98</v>
          </cell>
          <cell r="S63">
            <v>1625.98</v>
          </cell>
          <cell r="T63">
            <v>1893.78</v>
          </cell>
          <cell r="U63">
            <v>1893.78</v>
          </cell>
          <cell r="V63">
            <v>1893.78</v>
          </cell>
          <cell r="W63">
            <v>1893.78</v>
          </cell>
          <cell r="X63">
            <v>1625.98</v>
          </cell>
          <cell r="Y63">
            <v>1625.98</v>
          </cell>
          <cell r="Z63">
            <v>951</v>
          </cell>
          <cell r="AA63">
            <v>951</v>
          </cell>
          <cell r="AB63">
            <v>951</v>
          </cell>
          <cell r="AC63">
            <v>951</v>
          </cell>
          <cell r="AD63">
            <v>777.44</v>
          </cell>
          <cell r="AE63">
            <v>777.44</v>
          </cell>
          <cell r="AF63">
            <v>951</v>
          </cell>
          <cell r="AG63">
            <v>951</v>
          </cell>
          <cell r="AH63">
            <v>951</v>
          </cell>
          <cell r="AI63">
            <v>951</v>
          </cell>
          <cell r="AJ63">
            <v>777.44</v>
          </cell>
          <cell r="AK63">
            <v>777.44</v>
          </cell>
          <cell r="AL63">
            <v>559</v>
          </cell>
          <cell r="AM63">
            <v>559</v>
          </cell>
          <cell r="AN63">
            <v>559</v>
          </cell>
          <cell r="AO63">
            <v>559</v>
          </cell>
          <cell r="AP63">
            <v>568.96</v>
          </cell>
          <cell r="AQ63">
            <v>568.96</v>
          </cell>
          <cell r="AR63">
            <v>559</v>
          </cell>
          <cell r="AS63">
            <v>559</v>
          </cell>
          <cell r="AT63">
            <v>559</v>
          </cell>
          <cell r="AU63">
            <v>559</v>
          </cell>
          <cell r="AV63">
            <v>568.96</v>
          </cell>
          <cell r="AW63">
            <v>568.96</v>
          </cell>
          <cell r="AX63">
            <v>0</v>
          </cell>
          <cell r="AY63">
            <v>0</v>
          </cell>
          <cell r="AZ63">
            <v>0</v>
          </cell>
          <cell r="BA63">
            <v>268.83</v>
          </cell>
          <cell r="BB63">
            <v>268.83</v>
          </cell>
          <cell r="BC63">
            <v>268.83</v>
          </cell>
          <cell r="BD63">
            <v>0</v>
          </cell>
          <cell r="BE63">
            <v>0</v>
          </cell>
          <cell r="BF63">
            <v>0</v>
          </cell>
          <cell r="BG63">
            <v>268.83</v>
          </cell>
          <cell r="BH63">
            <v>268.83</v>
          </cell>
          <cell r="BI63">
            <v>268.83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1384.7652000000003</v>
          </cell>
          <cell r="BQ63">
            <v>1181.2670999999989</v>
          </cell>
          <cell r="BR63">
            <v>1144.5992999999987</v>
          </cell>
          <cell r="BS63">
            <v>1181.2670999999989</v>
          </cell>
          <cell r="BT63">
            <v>1181.2670999999989</v>
          </cell>
          <cell r="BU63">
            <v>1144.5992999999987</v>
          </cell>
          <cell r="BV63">
            <v>1144.5992999999987</v>
          </cell>
          <cell r="BW63">
            <v>3961.8540000000007</v>
          </cell>
          <cell r="BX63">
            <v>2929.2588000000001</v>
          </cell>
          <cell r="BY63">
            <v>2636.6184000000003</v>
          </cell>
          <cell r="BZ63">
            <v>2929.2588000000001</v>
          </cell>
          <cell r="CA63">
            <v>2677.1003999999984</v>
          </cell>
          <cell r="CB63">
            <v>2384.46</v>
          </cell>
          <cell r="CC63">
            <v>2384.46</v>
          </cell>
          <cell r="CD63">
            <v>0</v>
          </cell>
          <cell r="CE63">
            <v>188.55</v>
          </cell>
          <cell r="CF63">
            <v>188.55</v>
          </cell>
          <cell r="CG63">
            <v>188.55</v>
          </cell>
          <cell r="CH63">
            <v>215.51999999999998</v>
          </cell>
          <cell r="CI63">
            <v>188.55</v>
          </cell>
          <cell r="CJ63">
            <v>188.55</v>
          </cell>
          <cell r="CK63">
            <v>188.55</v>
          </cell>
          <cell r="CL63">
            <v>0</v>
          </cell>
          <cell r="CM63">
            <v>440.78</v>
          </cell>
          <cell r="CN63">
            <v>440.78</v>
          </cell>
          <cell r="CO63">
            <v>440.78</v>
          </cell>
          <cell r="CP63">
            <v>0</v>
          </cell>
          <cell r="CQ63">
            <v>440.78</v>
          </cell>
          <cell r="CR63">
            <v>440.78</v>
          </cell>
          <cell r="CS63">
            <v>440.78</v>
          </cell>
          <cell r="CT63">
            <v>0</v>
          </cell>
          <cell r="CU63">
            <v>561.70000000000005</v>
          </cell>
          <cell r="CV63">
            <v>561.70000000000005</v>
          </cell>
          <cell r="CW63">
            <v>561.70000000000005</v>
          </cell>
          <cell r="CX63">
            <v>0</v>
          </cell>
          <cell r="CY63">
            <v>561.70000000000005</v>
          </cell>
          <cell r="CZ63">
            <v>561.70000000000005</v>
          </cell>
          <cell r="DA63">
            <v>561.70000000000005</v>
          </cell>
          <cell r="DB63">
            <v>0</v>
          </cell>
          <cell r="DC63">
            <v>661.73</v>
          </cell>
          <cell r="DD63">
            <v>661.73</v>
          </cell>
          <cell r="DE63">
            <v>661.73</v>
          </cell>
          <cell r="DF63">
            <v>0</v>
          </cell>
          <cell r="DG63">
            <v>661.73</v>
          </cell>
          <cell r="DH63">
            <v>661.73</v>
          </cell>
          <cell r="DI63">
            <v>661.73</v>
          </cell>
        </row>
        <row r="64">
          <cell r="A64">
            <v>45162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</row>
        <row r="65">
          <cell r="A65">
            <v>45163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</row>
        <row r="66">
          <cell r="A66">
            <v>45164</v>
          </cell>
          <cell r="B66">
            <v>390.43</v>
          </cell>
          <cell r="C66">
            <v>390.43</v>
          </cell>
          <cell r="D66">
            <v>390.43</v>
          </cell>
          <cell r="E66">
            <v>390.43</v>
          </cell>
          <cell r="F66">
            <v>675.8</v>
          </cell>
          <cell r="G66">
            <v>675.8</v>
          </cell>
          <cell r="H66">
            <v>390.43</v>
          </cell>
          <cell r="I66">
            <v>390.43</v>
          </cell>
          <cell r="J66">
            <v>390.43</v>
          </cell>
          <cell r="K66">
            <v>390.43</v>
          </cell>
          <cell r="L66">
            <v>706.52</v>
          </cell>
          <cell r="M66">
            <v>706.52</v>
          </cell>
          <cell r="N66">
            <v>563.28</v>
          </cell>
          <cell r="O66">
            <v>563.28</v>
          </cell>
          <cell r="P66">
            <v>563.28</v>
          </cell>
          <cell r="Q66">
            <v>563.28</v>
          </cell>
          <cell r="R66">
            <v>624.33000000000004</v>
          </cell>
          <cell r="S66">
            <v>624.33000000000004</v>
          </cell>
          <cell r="T66">
            <v>563.28</v>
          </cell>
          <cell r="U66">
            <v>563.28</v>
          </cell>
          <cell r="V66">
            <v>563.28</v>
          </cell>
          <cell r="W66">
            <v>563.28</v>
          </cell>
          <cell r="X66">
            <v>652.71</v>
          </cell>
          <cell r="Y66">
            <v>652.71</v>
          </cell>
          <cell r="Z66">
            <v>407</v>
          </cell>
          <cell r="AA66">
            <v>407</v>
          </cell>
          <cell r="AB66">
            <v>407</v>
          </cell>
          <cell r="AC66">
            <v>407</v>
          </cell>
          <cell r="AD66">
            <v>475.40999999999997</v>
          </cell>
          <cell r="AE66">
            <v>475.40999999999997</v>
          </cell>
          <cell r="AF66">
            <v>407</v>
          </cell>
          <cell r="AG66">
            <v>407</v>
          </cell>
          <cell r="AH66">
            <v>407</v>
          </cell>
          <cell r="AI66">
            <v>407</v>
          </cell>
          <cell r="AJ66">
            <v>497.02</v>
          </cell>
          <cell r="AK66">
            <v>497.02</v>
          </cell>
          <cell r="AL66">
            <v>283.5</v>
          </cell>
          <cell r="AM66">
            <v>283.5</v>
          </cell>
          <cell r="AN66">
            <v>283.5</v>
          </cell>
          <cell r="AO66">
            <v>283.5</v>
          </cell>
          <cell r="AP66">
            <v>415.44</v>
          </cell>
          <cell r="AQ66">
            <v>415.44</v>
          </cell>
          <cell r="AR66">
            <v>283.5</v>
          </cell>
          <cell r="AS66">
            <v>283.5</v>
          </cell>
          <cell r="AT66">
            <v>283.5</v>
          </cell>
          <cell r="AU66">
            <v>283.5</v>
          </cell>
          <cell r="AV66">
            <v>434.33000000000004</v>
          </cell>
          <cell r="AW66">
            <v>434.33000000000004</v>
          </cell>
          <cell r="AX66">
            <v>0</v>
          </cell>
          <cell r="AY66">
            <v>0</v>
          </cell>
          <cell r="AZ66">
            <v>0</v>
          </cell>
          <cell r="BA66">
            <v>256.77999999999997</v>
          </cell>
          <cell r="BB66">
            <v>256.77999999999997</v>
          </cell>
          <cell r="BC66">
            <v>256.77999999999997</v>
          </cell>
          <cell r="BD66">
            <v>0</v>
          </cell>
          <cell r="BE66">
            <v>0</v>
          </cell>
          <cell r="BF66">
            <v>0</v>
          </cell>
          <cell r="BG66">
            <v>268.45000000000005</v>
          </cell>
          <cell r="BH66">
            <v>268.45000000000005</v>
          </cell>
          <cell r="BI66">
            <v>268.45000000000005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810.79499999999996</v>
          </cell>
          <cell r="BQ66">
            <v>751.62000000000057</v>
          </cell>
          <cell r="BR66">
            <v>707.75999999999885</v>
          </cell>
          <cell r="BS66">
            <v>751.62000000000057</v>
          </cell>
          <cell r="BT66">
            <v>751.62000000000057</v>
          </cell>
          <cell r="BU66">
            <v>707.75999999999954</v>
          </cell>
          <cell r="BV66">
            <v>707.75999999999885</v>
          </cell>
          <cell r="BW66">
            <v>3020.3849999999993</v>
          </cell>
          <cell r="BX66">
            <v>2679.5850000000005</v>
          </cell>
          <cell r="BY66">
            <v>2346.9000000000005</v>
          </cell>
          <cell r="BZ66">
            <v>2662.4999999999986</v>
          </cell>
          <cell r="CA66">
            <v>2639.6550000000007</v>
          </cell>
          <cell r="CB66">
            <v>2306.9700000000007</v>
          </cell>
          <cell r="CC66">
            <v>2306.9700000000007</v>
          </cell>
          <cell r="CD66">
            <v>0</v>
          </cell>
          <cell r="CE66">
            <v>99</v>
          </cell>
          <cell r="CF66">
            <v>99</v>
          </cell>
          <cell r="CG66">
            <v>99</v>
          </cell>
          <cell r="CH66">
            <v>26.45</v>
          </cell>
          <cell r="CI66">
            <v>99</v>
          </cell>
          <cell r="CJ66">
            <v>99</v>
          </cell>
          <cell r="CK66">
            <v>99</v>
          </cell>
          <cell r="CL66">
            <v>0</v>
          </cell>
          <cell r="CM66">
            <v>170.77</v>
          </cell>
          <cell r="CN66">
            <v>170.77</v>
          </cell>
          <cell r="CO66">
            <v>170.77</v>
          </cell>
          <cell r="CP66">
            <v>0</v>
          </cell>
          <cell r="CQ66">
            <v>170.77</v>
          </cell>
          <cell r="CR66">
            <v>170.77</v>
          </cell>
          <cell r="CS66">
            <v>170.77</v>
          </cell>
          <cell r="CT66">
            <v>0</v>
          </cell>
          <cell r="CU66">
            <v>170.33</v>
          </cell>
          <cell r="CV66">
            <v>170.33</v>
          </cell>
          <cell r="CW66">
            <v>170.33</v>
          </cell>
          <cell r="CX66">
            <v>0</v>
          </cell>
          <cell r="CY66">
            <v>170.33</v>
          </cell>
          <cell r="CZ66">
            <v>170.33</v>
          </cell>
          <cell r="DA66">
            <v>170.33</v>
          </cell>
          <cell r="DB66">
            <v>0</v>
          </cell>
          <cell r="DC66">
            <v>121.9</v>
          </cell>
          <cell r="DD66">
            <v>121.9</v>
          </cell>
          <cell r="DE66">
            <v>121.9</v>
          </cell>
          <cell r="DF66">
            <v>0</v>
          </cell>
          <cell r="DG66">
            <v>121.9</v>
          </cell>
          <cell r="DH66">
            <v>121.9</v>
          </cell>
          <cell r="DI66">
            <v>121.9</v>
          </cell>
        </row>
        <row r="67">
          <cell r="A67">
            <v>45165</v>
          </cell>
          <cell r="B67">
            <v>678.83369565217401</v>
          </cell>
          <cell r="C67">
            <v>678.83369565217401</v>
          </cell>
          <cell r="D67">
            <v>678.83369565217401</v>
          </cell>
          <cell r="E67">
            <v>678.83369565217401</v>
          </cell>
          <cell r="F67">
            <v>1183.3278260869565</v>
          </cell>
          <cell r="G67">
            <v>1183.3278260869565</v>
          </cell>
          <cell r="H67">
            <v>359.85434782608701</v>
          </cell>
          <cell r="I67">
            <v>359.85434782608701</v>
          </cell>
          <cell r="J67">
            <v>359.85434782608701</v>
          </cell>
          <cell r="K67">
            <v>359.85434782608701</v>
          </cell>
          <cell r="L67">
            <v>709.89</v>
          </cell>
          <cell r="M67">
            <v>709.89</v>
          </cell>
          <cell r="N67">
            <v>981.00869565217386</v>
          </cell>
          <cell r="O67">
            <v>981.00869565217386</v>
          </cell>
          <cell r="P67">
            <v>981.00869565217386</v>
          </cell>
          <cell r="Q67">
            <v>981.00869565217386</v>
          </cell>
          <cell r="R67">
            <v>924.64173913043464</v>
          </cell>
          <cell r="S67">
            <v>924.64173913043464</v>
          </cell>
          <cell r="T67">
            <v>981.00869565217386</v>
          </cell>
          <cell r="U67">
            <v>981.00869565217386</v>
          </cell>
          <cell r="V67">
            <v>981.00869565217386</v>
          </cell>
          <cell r="W67">
            <v>981.00869565217386</v>
          </cell>
          <cell r="X67">
            <v>924.64173913043464</v>
          </cell>
          <cell r="Y67">
            <v>924.64173913043464</v>
          </cell>
          <cell r="Z67">
            <v>650.79478260869564</v>
          </cell>
          <cell r="AA67">
            <v>650.79478260869564</v>
          </cell>
          <cell r="AB67">
            <v>650.79478260869564</v>
          </cell>
          <cell r="AC67">
            <v>650.79478260869564</v>
          </cell>
          <cell r="AD67">
            <v>791.81260869565222</v>
          </cell>
          <cell r="AE67">
            <v>791.81260869565222</v>
          </cell>
          <cell r="AF67">
            <v>650.79478260869564</v>
          </cell>
          <cell r="AG67">
            <v>650.79478260869564</v>
          </cell>
          <cell r="AH67">
            <v>650.79478260869564</v>
          </cell>
          <cell r="AI67">
            <v>650.79478260869564</v>
          </cell>
          <cell r="AJ67">
            <v>791.81260869565222</v>
          </cell>
          <cell r="AK67">
            <v>791.81260869565222</v>
          </cell>
          <cell r="AL67">
            <v>457.2041304347826</v>
          </cell>
          <cell r="AM67">
            <v>457.2041304347826</v>
          </cell>
          <cell r="AN67">
            <v>457.2041304347826</v>
          </cell>
          <cell r="AO67">
            <v>457.2041304347826</v>
          </cell>
          <cell r="AP67">
            <v>469.89391304347828</v>
          </cell>
          <cell r="AQ67">
            <v>469.89391304347828</v>
          </cell>
          <cell r="AR67">
            <v>457.2041304347826</v>
          </cell>
          <cell r="AS67">
            <v>457.2041304347826</v>
          </cell>
          <cell r="AT67">
            <v>457.2041304347826</v>
          </cell>
          <cell r="AU67">
            <v>457.2041304347826</v>
          </cell>
          <cell r="AV67">
            <v>469.89391304347828</v>
          </cell>
          <cell r="AW67">
            <v>469.89391304347828</v>
          </cell>
          <cell r="AX67">
            <v>0</v>
          </cell>
          <cell r="AY67">
            <v>0</v>
          </cell>
          <cell r="AZ67">
            <v>0</v>
          </cell>
          <cell r="BA67">
            <v>272.81652173913045</v>
          </cell>
          <cell r="BB67">
            <v>272.81652173913045</v>
          </cell>
          <cell r="BC67">
            <v>272.81652173913045</v>
          </cell>
          <cell r="BD67">
            <v>0</v>
          </cell>
          <cell r="BE67">
            <v>0</v>
          </cell>
          <cell r="BF67">
            <v>0</v>
          </cell>
          <cell r="BG67">
            <v>272.81652173913045</v>
          </cell>
          <cell r="BH67">
            <v>272.81652173913045</v>
          </cell>
          <cell r="BI67">
            <v>272.81652173913045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580.31400000000008</v>
          </cell>
          <cell r="BQ67">
            <v>470.17950000000093</v>
          </cell>
          <cell r="BR67">
            <v>470.17950000000093</v>
          </cell>
          <cell r="BS67">
            <v>470.17950000000093</v>
          </cell>
          <cell r="BT67">
            <v>449.36850000000123</v>
          </cell>
          <cell r="BU67">
            <v>449.36850000000078</v>
          </cell>
          <cell r="BV67">
            <v>449.36850000000027</v>
          </cell>
          <cell r="BW67">
            <v>1295.9939999999999</v>
          </cell>
          <cell r="BX67">
            <v>954.23999999999876</v>
          </cell>
          <cell r="BY67">
            <v>894.31649999999865</v>
          </cell>
          <cell r="BZ67">
            <v>954.23999999999876</v>
          </cell>
          <cell r="CA67">
            <v>947.50949999999898</v>
          </cell>
          <cell r="CB67">
            <v>887.58599999999831</v>
          </cell>
          <cell r="CC67">
            <v>887.58599999999876</v>
          </cell>
          <cell r="CD67">
            <v>19.82</v>
          </cell>
          <cell r="CE67">
            <v>82.51</v>
          </cell>
          <cell r="CF67">
            <v>82.51</v>
          </cell>
          <cell r="CG67">
            <v>82.51</v>
          </cell>
          <cell r="CH67">
            <v>6.41</v>
          </cell>
          <cell r="CI67">
            <v>82.51</v>
          </cell>
          <cell r="CJ67">
            <v>82.51</v>
          </cell>
          <cell r="CK67">
            <v>82.51</v>
          </cell>
          <cell r="CL67">
            <v>0</v>
          </cell>
          <cell r="CM67">
            <v>142.34</v>
          </cell>
          <cell r="CN67">
            <v>142.34</v>
          </cell>
          <cell r="CO67">
            <v>142.34</v>
          </cell>
          <cell r="CP67">
            <v>0</v>
          </cell>
          <cell r="CQ67">
            <v>142.34</v>
          </cell>
          <cell r="CR67">
            <v>142.34</v>
          </cell>
          <cell r="CS67">
            <v>142.34</v>
          </cell>
          <cell r="CT67">
            <v>0</v>
          </cell>
          <cell r="CU67">
            <v>172.4</v>
          </cell>
          <cell r="CV67">
            <v>172.4</v>
          </cell>
          <cell r="CW67">
            <v>172.4</v>
          </cell>
          <cell r="CX67">
            <v>0</v>
          </cell>
          <cell r="CY67">
            <v>172.4</v>
          </cell>
          <cell r="CZ67">
            <v>172.4</v>
          </cell>
          <cell r="DA67">
            <v>172.4</v>
          </cell>
          <cell r="DB67">
            <v>0</v>
          </cell>
          <cell r="DC67">
            <v>117.38</v>
          </cell>
          <cell r="DD67">
            <v>117.38</v>
          </cell>
          <cell r="DE67">
            <v>117.38</v>
          </cell>
          <cell r="DF67">
            <v>0</v>
          </cell>
          <cell r="DG67">
            <v>117.38</v>
          </cell>
          <cell r="DH67">
            <v>117.38</v>
          </cell>
          <cell r="DI67">
            <v>117.38</v>
          </cell>
        </row>
        <row r="68">
          <cell r="A68">
            <v>45166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</row>
        <row r="69">
          <cell r="A69">
            <v>45167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</row>
        <row r="70">
          <cell r="A70">
            <v>45168</v>
          </cell>
          <cell r="B70">
            <v>5488.63</v>
          </cell>
          <cell r="C70">
            <v>5488.63</v>
          </cell>
          <cell r="D70">
            <v>5488.63</v>
          </cell>
          <cell r="E70">
            <v>5488.63</v>
          </cell>
          <cell r="F70">
            <v>5091.8</v>
          </cell>
          <cell r="G70">
            <v>5091.8</v>
          </cell>
          <cell r="H70">
            <v>5488.63</v>
          </cell>
          <cell r="I70">
            <v>5488.63</v>
          </cell>
          <cell r="J70">
            <v>5488.63</v>
          </cell>
          <cell r="K70">
            <v>5488.63</v>
          </cell>
          <cell r="L70">
            <v>6213.12</v>
          </cell>
          <cell r="M70">
            <v>6213.12</v>
          </cell>
          <cell r="N70">
            <v>5231.3</v>
          </cell>
          <cell r="O70">
            <v>5231.3</v>
          </cell>
          <cell r="P70">
            <v>5231.3</v>
          </cell>
          <cell r="Q70">
            <v>5231.3</v>
          </cell>
          <cell r="R70">
            <v>1966.4</v>
          </cell>
          <cell r="S70">
            <v>1966.4</v>
          </cell>
          <cell r="T70">
            <v>5231.3</v>
          </cell>
          <cell r="U70">
            <v>5231.3</v>
          </cell>
          <cell r="V70">
            <v>5231.3</v>
          </cell>
          <cell r="W70">
            <v>5231.3</v>
          </cell>
          <cell r="X70">
            <v>1957.87</v>
          </cell>
          <cell r="Y70">
            <v>1957.87</v>
          </cell>
          <cell r="Z70">
            <v>949.71</v>
          </cell>
          <cell r="AA70">
            <v>949.71</v>
          </cell>
          <cell r="AB70">
            <v>949.71</v>
          </cell>
          <cell r="AC70">
            <v>949.71</v>
          </cell>
          <cell r="AD70">
            <v>792.8</v>
          </cell>
          <cell r="AE70">
            <v>792.8</v>
          </cell>
          <cell r="AF70">
            <v>949.71</v>
          </cell>
          <cell r="AG70">
            <v>949.71</v>
          </cell>
          <cell r="AH70">
            <v>949.71</v>
          </cell>
          <cell r="AI70">
            <v>949.71</v>
          </cell>
          <cell r="AJ70">
            <v>792.26</v>
          </cell>
          <cell r="AK70">
            <v>792.26</v>
          </cell>
          <cell r="AL70">
            <v>352.54</v>
          </cell>
          <cell r="AM70">
            <v>352.54</v>
          </cell>
          <cell r="AN70">
            <v>352.54</v>
          </cell>
          <cell r="AO70">
            <v>352.54</v>
          </cell>
          <cell r="AP70">
            <v>427.87</v>
          </cell>
          <cell r="AQ70">
            <v>427.87</v>
          </cell>
          <cell r="AR70">
            <v>352.54</v>
          </cell>
          <cell r="AS70">
            <v>352.54</v>
          </cell>
          <cell r="AT70">
            <v>352.54</v>
          </cell>
          <cell r="AU70">
            <v>352.54</v>
          </cell>
          <cell r="AV70">
            <v>374.03999999999996</v>
          </cell>
          <cell r="AW70">
            <v>374.03999999999996</v>
          </cell>
          <cell r="AX70">
            <v>0</v>
          </cell>
          <cell r="AY70">
            <v>0</v>
          </cell>
          <cell r="AZ70">
            <v>0</v>
          </cell>
          <cell r="BA70">
            <v>245.5</v>
          </cell>
          <cell r="BB70">
            <v>245.5</v>
          </cell>
          <cell r="BC70">
            <v>245.5</v>
          </cell>
          <cell r="BD70">
            <v>0</v>
          </cell>
          <cell r="BE70">
            <v>0</v>
          </cell>
          <cell r="BF70">
            <v>0</v>
          </cell>
          <cell r="BG70">
            <v>298.59000000000003</v>
          </cell>
          <cell r="BH70">
            <v>298.59000000000003</v>
          </cell>
          <cell r="BI70">
            <v>298.59000000000003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1263.1709999999998</v>
          </cell>
          <cell r="BQ70">
            <v>808.99000000000376</v>
          </cell>
          <cell r="BR70">
            <v>624.74100000000442</v>
          </cell>
          <cell r="BS70">
            <v>808.99000000000376</v>
          </cell>
          <cell r="BT70">
            <v>721.20100000000298</v>
          </cell>
          <cell r="BU70">
            <v>536.95200000000352</v>
          </cell>
          <cell r="BV70">
            <v>536.95200000000352</v>
          </cell>
          <cell r="BW70">
            <v>1978.7949999999994</v>
          </cell>
          <cell r="BX70">
            <v>1079.4810000000011</v>
          </cell>
          <cell r="BY70">
            <v>854.32100000000014</v>
          </cell>
          <cell r="BZ70">
            <v>1079.4810000000011</v>
          </cell>
          <cell r="CA70">
            <v>1079.4810000000011</v>
          </cell>
          <cell r="CB70">
            <v>854.32100000000014</v>
          </cell>
          <cell r="CC70">
            <v>854.32100000000014</v>
          </cell>
          <cell r="CD70">
            <v>67.53</v>
          </cell>
          <cell r="CE70">
            <v>22.35</v>
          </cell>
          <cell r="CF70">
            <v>22.35</v>
          </cell>
          <cell r="CG70">
            <v>22.35</v>
          </cell>
          <cell r="CH70">
            <v>0</v>
          </cell>
          <cell r="CI70">
            <v>22.35</v>
          </cell>
          <cell r="CJ70">
            <v>22.35</v>
          </cell>
          <cell r="CK70">
            <v>22.35</v>
          </cell>
          <cell r="CL70">
            <v>0</v>
          </cell>
          <cell r="CM70">
            <v>94.15</v>
          </cell>
          <cell r="CN70">
            <v>94.15</v>
          </cell>
          <cell r="CO70">
            <v>94.15</v>
          </cell>
          <cell r="CP70">
            <v>0</v>
          </cell>
          <cell r="CQ70">
            <v>94.15</v>
          </cell>
          <cell r="CR70">
            <v>94.15</v>
          </cell>
          <cell r="CS70">
            <v>94.15</v>
          </cell>
          <cell r="CT70">
            <v>0</v>
          </cell>
          <cell r="CU70">
            <v>178.7</v>
          </cell>
          <cell r="CV70">
            <v>178.7</v>
          </cell>
          <cell r="CW70">
            <v>178.7</v>
          </cell>
          <cell r="CX70">
            <v>0</v>
          </cell>
          <cell r="CY70">
            <v>178.7</v>
          </cell>
          <cell r="CZ70">
            <v>178.7</v>
          </cell>
          <cell r="DA70">
            <v>178.7</v>
          </cell>
          <cell r="DB70">
            <v>0</v>
          </cell>
          <cell r="DC70">
            <v>351.9</v>
          </cell>
          <cell r="DD70">
            <v>351.9</v>
          </cell>
          <cell r="DE70">
            <v>351.9</v>
          </cell>
          <cell r="DF70">
            <v>0</v>
          </cell>
          <cell r="DG70">
            <v>351.9</v>
          </cell>
          <cell r="DH70">
            <v>351.9</v>
          </cell>
          <cell r="DI70">
            <v>351.9</v>
          </cell>
        </row>
        <row r="71">
          <cell r="A71">
            <v>45169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</row>
        <row r="72">
          <cell r="A72">
            <v>45170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</row>
        <row r="73">
          <cell r="A73">
            <v>45171</v>
          </cell>
          <cell r="B73">
            <v>4809.93</v>
          </cell>
          <cell r="C73">
            <v>4809.93</v>
          </cell>
          <cell r="D73">
            <v>4809.93</v>
          </cell>
          <cell r="E73">
            <v>4809.93</v>
          </cell>
          <cell r="F73">
            <v>4690.71</v>
          </cell>
          <cell r="G73">
            <v>4690.71</v>
          </cell>
          <cell r="H73">
            <v>4809.93</v>
          </cell>
          <cell r="I73">
            <v>4809.93</v>
          </cell>
          <cell r="J73">
            <v>4809.93</v>
          </cell>
          <cell r="K73">
            <v>4809.93</v>
          </cell>
          <cell r="L73">
            <v>4690.71</v>
          </cell>
          <cell r="M73">
            <v>4690.71</v>
          </cell>
          <cell r="N73">
            <v>7875.43</v>
          </cell>
          <cell r="O73">
            <v>7875.43</v>
          </cell>
          <cell r="P73">
            <v>7875.43</v>
          </cell>
          <cell r="Q73">
            <v>7875.43</v>
          </cell>
          <cell r="R73">
            <v>4279.26</v>
          </cell>
          <cell r="S73">
            <v>4279.26</v>
          </cell>
          <cell r="T73">
            <v>7875.43</v>
          </cell>
          <cell r="U73">
            <v>7875.43</v>
          </cell>
          <cell r="V73">
            <v>7875.43</v>
          </cell>
          <cell r="W73">
            <v>7875.43</v>
          </cell>
          <cell r="X73">
            <v>4279.26</v>
          </cell>
          <cell r="Y73">
            <v>4279.26</v>
          </cell>
          <cell r="Z73">
            <v>5932.61</v>
          </cell>
          <cell r="AA73">
            <v>5932.61</v>
          </cell>
          <cell r="AB73">
            <v>5932.61</v>
          </cell>
          <cell r="AC73">
            <v>5932.61</v>
          </cell>
          <cell r="AD73">
            <v>3418.56</v>
          </cell>
          <cell r="AE73">
            <v>3418.56</v>
          </cell>
          <cell r="AF73">
            <v>5932.61</v>
          </cell>
          <cell r="AG73">
            <v>5932.61</v>
          </cell>
          <cell r="AH73">
            <v>5932.61</v>
          </cell>
          <cell r="AI73">
            <v>5932.61</v>
          </cell>
          <cell r="AJ73">
            <v>3418.56</v>
          </cell>
          <cell r="AK73">
            <v>3418.56</v>
          </cell>
          <cell r="AL73">
            <v>2921.64</v>
          </cell>
          <cell r="AM73">
            <v>2921.64</v>
          </cell>
          <cell r="AN73">
            <v>2921.64</v>
          </cell>
          <cell r="AO73">
            <v>2921.64</v>
          </cell>
          <cell r="AP73">
            <v>2712.07</v>
          </cell>
          <cell r="AQ73">
            <v>2712.07</v>
          </cell>
          <cell r="AR73">
            <v>2921.64</v>
          </cell>
          <cell r="AS73">
            <v>2921.64</v>
          </cell>
          <cell r="AT73">
            <v>2921.64</v>
          </cell>
          <cell r="AU73">
            <v>2921.64</v>
          </cell>
          <cell r="AV73">
            <v>2712.07</v>
          </cell>
          <cell r="AW73">
            <v>2712.07</v>
          </cell>
          <cell r="AX73">
            <v>0</v>
          </cell>
          <cell r="AY73">
            <v>0</v>
          </cell>
          <cell r="AZ73">
            <v>0</v>
          </cell>
          <cell r="BA73">
            <v>864.18</v>
          </cell>
          <cell r="BB73">
            <v>864.18</v>
          </cell>
          <cell r="BC73">
            <v>864.18</v>
          </cell>
          <cell r="BD73">
            <v>0</v>
          </cell>
          <cell r="BE73">
            <v>0</v>
          </cell>
          <cell r="BF73">
            <v>0</v>
          </cell>
          <cell r="BG73">
            <v>864.18</v>
          </cell>
          <cell r="BH73">
            <v>864.18</v>
          </cell>
          <cell r="BI73">
            <v>864.18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720.57599999999968</v>
          </cell>
          <cell r="BQ73">
            <v>240.32160000000442</v>
          </cell>
          <cell r="BR73">
            <v>185.66279999999395</v>
          </cell>
          <cell r="BS73">
            <v>240.32160000000442</v>
          </cell>
          <cell r="BT73">
            <v>224.97480000000536</v>
          </cell>
          <cell r="BU73">
            <v>170.31600000000472</v>
          </cell>
          <cell r="BV73">
            <v>170.31599999999688</v>
          </cell>
          <cell r="BW73">
            <v>12394.825200000005</v>
          </cell>
          <cell r="BX73">
            <v>3125.5955999999883</v>
          </cell>
          <cell r="BY73">
            <v>1629.2339999999876</v>
          </cell>
          <cell r="BZ73">
            <v>3125.5955999999883</v>
          </cell>
          <cell r="CA73">
            <v>3061.5191999999902</v>
          </cell>
          <cell r="CB73">
            <v>1565.1575999999895</v>
          </cell>
          <cell r="CC73">
            <v>1565.1575999999895</v>
          </cell>
          <cell r="CD73">
            <v>14.21</v>
          </cell>
          <cell r="CE73">
            <v>61.49</v>
          </cell>
          <cell r="CF73">
            <v>61.49</v>
          </cell>
          <cell r="CG73">
            <v>61.49</v>
          </cell>
          <cell r="CH73">
            <v>59.33</v>
          </cell>
          <cell r="CI73">
            <v>61.49</v>
          </cell>
          <cell r="CJ73">
            <v>61.49</v>
          </cell>
          <cell r="CK73">
            <v>61.49</v>
          </cell>
          <cell r="CL73">
            <v>0</v>
          </cell>
          <cell r="CM73">
            <v>195.69</v>
          </cell>
          <cell r="CN73">
            <v>195.69</v>
          </cell>
          <cell r="CO73">
            <v>195.69</v>
          </cell>
          <cell r="CP73">
            <v>0</v>
          </cell>
          <cell r="CQ73">
            <v>195.69</v>
          </cell>
          <cell r="CR73">
            <v>195.69</v>
          </cell>
          <cell r="CS73">
            <v>195.69</v>
          </cell>
          <cell r="CT73">
            <v>0</v>
          </cell>
          <cell r="CU73">
            <v>328.26</v>
          </cell>
          <cell r="CV73">
            <v>328.26</v>
          </cell>
          <cell r="CW73">
            <v>328.26</v>
          </cell>
          <cell r="CX73">
            <v>0</v>
          </cell>
          <cell r="CY73">
            <v>328.26</v>
          </cell>
          <cell r="CZ73">
            <v>328.26</v>
          </cell>
          <cell r="DA73">
            <v>328.26</v>
          </cell>
          <cell r="DB73">
            <v>0</v>
          </cell>
          <cell r="DC73">
            <v>163.31</v>
          </cell>
          <cell r="DD73">
            <v>163.31</v>
          </cell>
          <cell r="DE73">
            <v>163.31</v>
          </cell>
          <cell r="DF73">
            <v>0</v>
          </cell>
          <cell r="DG73">
            <v>163.31</v>
          </cell>
          <cell r="DH73">
            <v>163.31</v>
          </cell>
          <cell r="DI73">
            <v>163.31</v>
          </cell>
        </row>
        <row r="74">
          <cell r="A74">
            <v>45172</v>
          </cell>
          <cell r="B74">
            <v>8620.6200000000008</v>
          </cell>
          <cell r="C74">
            <v>8620.6200000000008</v>
          </cell>
          <cell r="D74">
            <v>8620.6200000000008</v>
          </cell>
          <cell r="E74">
            <v>8620.6200000000008</v>
          </cell>
          <cell r="F74">
            <v>7829.48</v>
          </cell>
          <cell r="G74">
            <v>7829.48</v>
          </cell>
          <cell r="H74">
            <v>8620.6200000000008</v>
          </cell>
          <cell r="I74">
            <v>8620.6200000000008</v>
          </cell>
          <cell r="J74">
            <v>8620.6200000000008</v>
          </cell>
          <cell r="K74">
            <v>8620.6200000000008</v>
          </cell>
          <cell r="L74">
            <v>7108.04</v>
          </cell>
          <cell r="M74">
            <v>7108.04</v>
          </cell>
          <cell r="N74">
            <v>11019.1</v>
          </cell>
          <cell r="O74">
            <v>11019.1</v>
          </cell>
          <cell r="P74">
            <v>11019.1</v>
          </cell>
          <cell r="Q74">
            <v>11019.1</v>
          </cell>
          <cell r="R74">
            <v>5877.67</v>
          </cell>
          <cell r="S74">
            <v>5877.67</v>
          </cell>
          <cell r="T74">
            <v>11019.1</v>
          </cell>
          <cell r="U74">
            <v>11019.1</v>
          </cell>
          <cell r="V74">
            <v>11019.1</v>
          </cell>
          <cell r="W74">
            <v>11019.1</v>
          </cell>
          <cell r="X74">
            <v>6069.83</v>
          </cell>
          <cell r="Y74">
            <v>6069.83</v>
          </cell>
          <cell r="Z74">
            <v>5077.1099999999997</v>
          </cell>
          <cell r="AA74">
            <v>5077.1099999999997</v>
          </cell>
          <cell r="AB74">
            <v>5077.1099999999997</v>
          </cell>
          <cell r="AC74">
            <v>5077.1099999999997</v>
          </cell>
          <cell r="AD74">
            <v>4123.6399999999994</v>
          </cell>
          <cell r="AE74">
            <v>4123.6399999999994</v>
          </cell>
          <cell r="AF74">
            <v>5077.1099999999997</v>
          </cell>
          <cell r="AG74">
            <v>5077.1099999999997</v>
          </cell>
          <cell r="AH74">
            <v>5077.1099999999997</v>
          </cell>
          <cell r="AI74">
            <v>5077.1099999999997</v>
          </cell>
          <cell r="AJ74">
            <v>4128.68</v>
          </cell>
          <cell r="AK74">
            <v>4128.68</v>
          </cell>
          <cell r="AL74">
            <v>1762.42</v>
          </cell>
          <cell r="AM74">
            <v>1762.42</v>
          </cell>
          <cell r="AN74">
            <v>1762.42</v>
          </cell>
          <cell r="AO74">
            <v>1762.42</v>
          </cell>
          <cell r="AP74">
            <v>1894.3</v>
          </cell>
          <cell r="AQ74">
            <v>1894.3</v>
          </cell>
          <cell r="AR74">
            <v>1762.42</v>
          </cell>
          <cell r="AS74">
            <v>1762.42</v>
          </cell>
          <cell r="AT74">
            <v>1762.42</v>
          </cell>
          <cell r="AU74">
            <v>1762.42</v>
          </cell>
          <cell r="AV74">
            <v>2303.1099999999997</v>
          </cell>
          <cell r="AW74">
            <v>2303.1099999999997</v>
          </cell>
          <cell r="AX74">
            <v>0</v>
          </cell>
          <cell r="AY74">
            <v>0</v>
          </cell>
          <cell r="AZ74">
            <v>0</v>
          </cell>
          <cell r="BA74">
            <v>1070.32</v>
          </cell>
          <cell r="BB74">
            <v>1070.32</v>
          </cell>
          <cell r="BC74">
            <v>1070.32</v>
          </cell>
          <cell r="BD74">
            <v>0</v>
          </cell>
          <cell r="BE74">
            <v>0</v>
          </cell>
          <cell r="BF74">
            <v>0</v>
          </cell>
          <cell r="BG74">
            <v>997.58</v>
          </cell>
          <cell r="BH74">
            <v>997.58</v>
          </cell>
          <cell r="BI74">
            <v>997.58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1332.0857999999994</v>
          </cell>
          <cell r="BQ74">
            <v>513.54649999998912</v>
          </cell>
          <cell r="BR74">
            <v>451.43299999998993</v>
          </cell>
          <cell r="BS74">
            <v>513.54649999998912</v>
          </cell>
          <cell r="BT74">
            <v>513.54649999998912</v>
          </cell>
          <cell r="BU74">
            <v>451.43299999998993</v>
          </cell>
          <cell r="BV74">
            <v>451.43299999998993</v>
          </cell>
          <cell r="BW74">
            <v>4610.2982999999986</v>
          </cell>
          <cell r="BX74">
            <v>1351.5918999999983</v>
          </cell>
          <cell r="BY74">
            <v>1049.8946999999953</v>
          </cell>
          <cell r="BZ74">
            <v>1351.5918999999983</v>
          </cell>
          <cell r="CA74">
            <v>1279.9232999999986</v>
          </cell>
          <cell r="CB74">
            <v>978.22609999999565</v>
          </cell>
          <cell r="CC74">
            <v>978.22609999999565</v>
          </cell>
          <cell r="CD74">
            <v>0</v>
          </cell>
          <cell r="CE74">
            <v>121.14</v>
          </cell>
          <cell r="CF74">
            <v>121.14</v>
          </cell>
          <cell r="CG74">
            <v>121.14</v>
          </cell>
          <cell r="CH74">
            <v>66.98</v>
          </cell>
          <cell r="CI74">
            <v>121.14</v>
          </cell>
          <cell r="CJ74">
            <v>121.14</v>
          </cell>
          <cell r="CK74">
            <v>121.14</v>
          </cell>
          <cell r="CL74">
            <v>0</v>
          </cell>
          <cell r="CM74">
            <v>344.46</v>
          </cell>
          <cell r="CN74">
            <v>344.46</v>
          </cell>
          <cell r="CO74">
            <v>344.46</v>
          </cell>
          <cell r="CP74">
            <v>0</v>
          </cell>
          <cell r="CQ74">
            <v>344.46</v>
          </cell>
          <cell r="CR74">
            <v>344.46</v>
          </cell>
          <cell r="CS74">
            <v>344.46</v>
          </cell>
          <cell r="CT74">
            <v>0</v>
          </cell>
          <cell r="CU74">
            <v>1034.8499999999999</v>
          </cell>
          <cell r="CV74">
            <v>1034.8499999999999</v>
          </cell>
          <cell r="CW74">
            <v>1034.8499999999999</v>
          </cell>
          <cell r="CX74">
            <v>0</v>
          </cell>
          <cell r="CY74">
            <v>1034.8499999999999</v>
          </cell>
          <cell r="CZ74">
            <v>1034.8499999999999</v>
          </cell>
          <cell r="DA74">
            <v>1034.8499999999999</v>
          </cell>
          <cell r="DB74">
            <v>0</v>
          </cell>
          <cell r="DC74">
            <v>2454.56</v>
          </cell>
          <cell r="DD74">
            <v>2454.56</v>
          </cell>
          <cell r="DE74">
            <v>2454.56</v>
          </cell>
          <cell r="DF74">
            <v>0</v>
          </cell>
          <cell r="DG74">
            <v>2454.56</v>
          </cell>
          <cell r="DH74">
            <v>2454.56</v>
          </cell>
          <cell r="DI74">
            <v>2454.56</v>
          </cell>
        </row>
        <row r="75">
          <cell r="A75">
            <v>45173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</row>
        <row r="76">
          <cell r="A76">
            <v>45174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</row>
        <row r="77">
          <cell r="A77">
            <v>45175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</row>
        <row r="78">
          <cell r="A78">
            <v>45176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</row>
        <row r="79">
          <cell r="A79">
            <v>45177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</row>
        <row r="80">
          <cell r="A80">
            <v>45178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</row>
        <row r="81">
          <cell r="A81">
            <v>45179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</row>
        <row r="82">
          <cell r="A82">
            <v>45180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</row>
        <row r="83">
          <cell r="A83">
            <v>45181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</row>
        <row r="84">
          <cell r="A84">
            <v>45182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</row>
        <row r="85">
          <cell r="A85">
            <v>45183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</row>
        <row r="86">
          <cell r="A86">
            <v>45184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</row>
        <row r="87">
          <cell r="A87">
            <v>45185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</row>
        <row r="88">
          <cell r="A88">
            <v>45186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</row>
        <row r="89">
          <cell r="A89">
            <v>45187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</row>
        <row r="90">
          <cell r="A90">
            <v>45188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</row>
        <row r="91">
          <cell r="A91">
            <v>45189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</row>
        <row r="92">
          <cell r="A92">
            <v>45190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</row>
        <row r="93">
          <cell r="A93">
            <v>45191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</row>
        <row r="94">
          <cell r="A94">
            <v>45192</v>
          </cell>
          <cell r="B94">
            <v>583.9</v>
          </cell>
          <cell r="C94">
            <v>583.9</v>
          </cell>
          <cell r="D94">
            <v>583.9</v>
          </cell>
          <cell r="E94">
            <v>583.9</v>
          </cell>
          <cell r="F94">
            <v>608.52</v>
          </cell>
          <cell r="G94">
            <v>608.52</v>
          </cell>
          <cell r="H94">
            <v>583.9</v>
          </cell>
          <cell r="I94">
            <v>583.9</v>
          </cell>
          <cell r="J94">
            <v>583.9</v>
          </cell>
          <cell r="K94">
            <v>583.9</v>
          </cell>
          <cell r="L94">
            <v>530.01</v>
          </cell>
          <cell r="M94">
            <v>530.01</v>
          </cell>
          <cell r="N94">
            <v>754.27</v>
          </cell>
          <cell r="O94">
            <v>754.27</v>
          </cell>
          <cell r="P94">
            <v>754.27</v>
          </cell>
          <cell r="Q94">
            <v>754.27</v>
          </cell>
          <cell r="R94">
            <v>600.27</v>
          </cell>
          <cell r="S94">
            <v>600.27</v>
          </cell>
          <cell r="T94">
            <v>754.27</v>
          </cell>
          <cell r="U94">
            <v>754.27</v>
          </cell>
          <cell r="V94">
            <v>754.27</v>
          </cell>
          <cell r="W94">
            <v>754.27</v>
          </cell>
          <cell r="X94">
            <v>566.12</v>
          </cell>
          <cell r="Y94">
            <v>566.12</v>
          </cell>
          <cell r="Z94">
            <v>373.26</v>
          </cell>
          <cell r="AA94">
            <v>373.26</v>
          </cell>
          <cell r="AB94">
            <v>373.26</v>
          </cell>
          <cell r="AC94">
            <v>373.26</v>
          </cell>
          <cell r="AD94">
            <v>226.03</v>
          </cell>
          <cell r="AE94">
            <v>226.03</v>
          </cell>
          <cell r="AF94">
            <v>373.26</v>
          </cell>
          <cell r="AG94">
            <v>373.26</v>
          </cell>
          <cell r="AH94">
            <v>373.26</v>
          </cell>
          <cell r="AI94">
            <v>373.26</v>
          </cell>
          <cell r="AJ94">
            <v>202.72</v>
          </cell>
          <cell r="AK94">
            <v>202.72</v>
          </cell>
          <cell r="AL94">
            <v>112.55</v>
          </cell>
          <cell r="AM94">
            <v>112.55</v>
          </cell>
          <cell r="AN94">
            <v>112.55</v>
          </cell>
          <cell r="AO94">
            <v>112.55</v>
          </cell>
          <cell r="AP94">
            <v>136.59</v>
          </cell>
          <cell r="AQ94">
            <v>136.59</v>
          </cell>
          <cell r="AR94">
            <v>112.55</v>
          </cell>
          <cell r="AS94">
            <v>112.55</v>
          </cell>
          <cell r="AT94">
            <v>112.55</v>
          </cell>
          <cell r="AU94">
            <v>112.55</v>
          </cell>
          <cell r="AV94">
            <v>119.29999999999998</v>
          </cell>
          <cell r="AW94">
            <v>119.29999999999998</v>
          </cell>
          <cell r="AX94">
            <v>0</v>
          </cell>
          <cell r="AY94">
            <v>0</v>
          </cell>
          <cell r="AZ94">
            <v>0</v>
          </cell>
          <cell r="BA94">
            <v>66.34</v>
          </cell>
          <cell r="BB94">
            <v>66.34</v>
          </cell>
          <cell r="BC94">
            <v>66.34</v>
          </cell>
          <cell r="BD94">
            <v>0</v>
          </cell>
          <cell r="BE94">
            <v>0</v>
          </cell>
          <cell r="BF94">
            <v>0</v>
          </cell>
          <cell r="BG94">
            <v>44.81</v>
          </cell>
          <cell r="BH94">
            <v>44.81</v>
          </cell>
          <cell r="BI94">
            <v>44.81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772.83449999999982</v>
          </cell>
          <cell r="BQ94">
            <v>654.66900000000078</v>
          </cell>
          <cell r="BR94">
            <v>604.125</v>
          </cell>
          <cell r="BS94">
            <v>654.66900000000078</v>
          </cell>
          <cell r="BT94">
            <v>611.06400000000053</v>
          </cell>
          <cell r="BU94">
            <v>560.520000000001</v>
          </cell>
          <cell r="BV94">
            <v>560.51999999999975</v>
          </cell>
          <cell r="BW94">
            <v>1490.7375000000002</v>
          </cell>
          <cell r="BX94">
            <v>1000.8225000000024</v>
          </cell>
          <cell r="BY94">
            <v>840.4425</v>
          </cell>
          <cell r="BZ94">
            <v>1000.8225000000024</v>
          </cell>
          <cell r="CA94">
            <v>1000.8225000000024</v>
          </cell>
          <cell r="CB94">
            <v>840.44250000000147</v>
          </cell>
          <cell r="CC94">
            <v>840.4425</v>
          </cell>
          <cell r="CD94">
            <v>32.299999999999997</v>
          </cell>
          <cell r="CE94">
            <v>20.41</v>
          </cell>
          <cell r="CF94">
            <v>20.41</v>
          </cell>
          <cell r="CG94">
            <v>20.41</v>
          </cell>
          <cell r="CH94">
            <v>0</v>
          </cell>
          <cell r="CI94">
            <v>20.41</v>
          </cell>
          <cell r="CJ94">
            <v>20.41</v>
          </cell>
          <cell r="CK94">
            <v>20.41</v>
          </cell>
          <cell r="CL94">
            <v>0</v>
          </cell>
          <cell r="CM94">
            <v>73.87</v>
          </cell>
          <cell r="CN94">
            <v>73.87</v>
          </cell>
          <cell r="CO94">
            <v>73.87</v>
          </cell>
          <cell r="CP94">
            <v>0</v>
          </cell>
          <cell r="CQ94">
            <v>73.87</v>
          </cell>
          <cell r="CR94">
            <v>73.87</v>
          </cell>
          <cell r="CS94">
            <v>73.87</v>
          </cell>
          <cell r="CT94">
            <v>0</v>
          </cell>
          <cell r="CU94">
            <v>139.07</v>
          </cell>
          <cell r="CV94">
            <v>139.07</v>
          </cell>
          <cell r="CW94">
            <v>139.07</v>
          </cell>
          <cell r="CX94">
            <v>0</v>
          </cell>
          <cell r="CY94">
            <v>139.07</v>
          </cell>
          <cell r="CZ94">
            <v>139.07</v>
          </cell>
          <cell r="DA94">
            <v>139.07</v>
          </cell>
          <cell r="DB94">
            <v>0</v>
          </cell>
          <cell r="DC94">
            <v>95.34</v>
          </cell>
          <cell r="DD94">
            <v>95.34</v>
          </cell>
          <cell r="DE94">
            <v>95.34</v>
          </cell>
          <cell r="DF94">
            <v>0</v>
          </cell>
          <cell r="DG94">
            <v>95.34</v>
          </cell>
          <cell r="DH94">
            <v>95.34</v>
          </cell>
          <cell r="DI94">
            <v>95.34</v>
          </cell>
        </row>
        <row r="95">
          <cell r="A95">
            <v>45193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420.88</v>
          </cell>
          <cell r="I95">
            <v>420.88</v>
          </cell>
          <cell r="J95">
            <v>420.88</v>
          </cell>
          <cell r="K95">
            <v>420.88</v>
          </cell>
          <cell r="L95">
            <v>305.96000000000004</v>
          </cell>
          <cell r="M95">
            <v>305.96000000000004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576.24</v>
          </cell>
          <cell r="U95">
            <v>576.24</v>
          </cell>
          <cell r="V95">
            <v>576.24</v>
          </cell>
          <cell r="W95">
            <v>576.24</v>
          </cell>
          <cell r="X95">
            <v>259.83000000000004</v>
          </cell>
          <cell r="Y95">
            <v>259.83000000000004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363.43</v>
          </cell>
          <cell r="AG95">
            <v>363.43</v>
          </cell>
          <cell r="AH95">
            <v>363.43</v>
          </cell>
          <cell r="AI95">
            <v>363.43</v>
          </cell>
          <cell r="AJ95">
            <v>144.69</v>
          </cell>
          <cell r="AK95">
            <v>144.69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178.56</v>
          </cell>
          <cell r="AS95">
            <v>178.56</v>
          </cell>
          <cell r="AT95">
            <v>178.56</v>
          </cell>
          <cell r="AU95">
            <v>178.56</v>
          </cell>
          <cell r="AV95">
            <v>71.210000000000008</v>
          </cell>
          <cell r="AW95">
            <v>71.210000000000008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40.57</v>
          </cell>
          <cell r="BH95">
            <v>40.57</v>
          </cell>
          <cell r="BI95">
            <v>40.57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669.90000000000009</v>
          </cell>
          <cell r="BX95">
            <v>620.34479999999974</v>
          </cell>
          <cell r="BY95">
            <v>620.34480000000019</v>
          </cell>
          <cell r="BZ95">
            <v>620.34479999999974</v>
          </cell>
          <cell r="CA95">
            <v>585.42299999999966</v>
          </cell>
          <cell r="CB95">
            <v>585.42299999999943</v>
          </cell>
          <cell r="CC95">
            <v>585.42300000000012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40.14</v>
          </cell>
          <cell r="CI95">
            <v>26.42</v>
          </cell>
          <cell r="CJ95">
            <v>26.42</v>
          </cell>
          <cell r="CK95">
            <v>26.42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32.08</v>
          </cell>
          <cell r="CR95">
            <v>32.08</v>
          </cell>
          <cell r="CS95">
            <v>32.08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24.99</v>
          </cell>
          <cell r="CZ95">
            <v>24.99</v>
          </cell>
          <cell r="DA95">
            <v>24.99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52.73</v>
          </cell>
          <cell r="DH95">
            <v>52.73</v>
          </cell>
          <cell r="DI95">
            <v>52.73</v>
          </cell>
        </row>
        <row r="96">
          <cell r="A96">
            <v>45194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</row>
        <row r="97">
          <cell r="A97">
            <v>45195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</row>
        <row r="98">
          <cell r="A98">
            <v>45196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</row>
        <row r="99">
          <cell r="A99">
            <v>45197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</row>
        <row r="100">
          <cell r="A100">
            <v>45198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</row>
        <row r="101">
          <cell r="A101">
            <v>45199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</row>
        <row r="102">
          <cell r="A102">
            <v>45200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</row>
        <row r="103">
          <cell r="A103">
            <v>45201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</row>
        <row r="104">
          <cell r="A104">
            <v>45202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</row>
        <row r="105">
          <cell r="A105">
            <v>45203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</row>
        <row r="106">
          <cell r="A106">
            <v>45204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</row>
        <row r="107">
          <cell r="A107">
            <v>45205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</row>
        <row r="108">
          <cell r="A108">
            <v>45206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</row>
        <row r="109">
          <cell r="A109">
            <v>45207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</row>
        <row r="110">
          <cell r="A110">
            <v>45208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</row>
        <row r="111">
          <cell r="A111">
            <v>45209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</row>
        <row r="112">
          <cell r="A112">
            <v>45210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</row>
        <row r="113">
          <cell r="A113">
            <v>45211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</row>
        <row r="114">
          <cell r="A114">
            <v>45212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</row>
        <row r="115">
          <cell r="A115">
            <v>45213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</row>
        <row r="116">
          <cell r="A116">
            <v>45214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</row>
        <row r="117">
          <cell r="A117">
            <v>45215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</row>
        <row r="118">
          <cell r="A118">
            <v>45216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</row>
        <row r="119">
          <cell r="A119">
            <v>45217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</row>
        <row r="120">
          <cell r="A120">
            <v>45218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</row>
        <row r="121">
          <cell r="A121">
            <v>45219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</row>
        <row r="122">
          <cell r="A122">
            <v>45220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</row>
        <row r="123">
          <cell r="A123">
            <v>45221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</row>
        <row r="124">
          <cell r="A124">
            <v>45222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</row>
        <row r="125">
          <cell r="A125">
            <v>45223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</row>
        <row r="126">
          <cell r="A126">
            <v>45224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</row>
        <row r="127">
          <cell r="A127">
            <v>45225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</row>
        <row r="128">
          <cell r="A128">
            <v>45226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</row>
        <row r="129">
          <cell r="A129">
            <v>45227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</row>
        <row r="130">
          <cell r="A130">
            <v>45228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</row>
        <row r="131">
          <cell r="A131">
            <v>45229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</row>
        <row r="132">
          <cell r="A132">
            <v>45230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SockPinkSummary"/>
      <sheetName val="SockSummary"/>
      <sheetName val="PinkSummary"/>
      <sheetName val="Figures"/>
      <sheetName val="PsgEstMethods"/>
      <sheetName val="Select"/>
      <sheetName val="CohoEst"/>
      <sheetName val="PinkEst"/>
      <sheetName val="ChinEst"/>
      <sheetName val="SockEst"/>
      <sheetName val="ChumEst"/>
      <sheetName val="WhonSpComp"/>
      <sheetName val="AlbnChinCPUE"/>
      <sheetName val="AlbnCohoCPUE"/>
      <sheetName val="AlbnChumCPUE"/>
      <sheetName val="AlbnCat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>
            <v>2023</v>
          </cell>
        </row>
        <row r="6">
          <cell r="A6">
            <v>45092</v>
          </cell>
          <cell r="B6">
            <v>166</v>
          </cell>
        </row>
        <row r="7">
          <cell r="A7">
            <v>45093</v>
          </cell>
          <cell r="B7">
            <v>167</v>
          </cell>
        </row>
        <row r="8">
          <cell r="A8">
            <v>45094</v>
          </cell>
          <cell r="B8">
            <v>168</v>
          </cell>
        </row>
        <row r="9">
          <cell r="A9">
            <v>45095</v>
          </cell>
          <cell r="B9">
            <v>169</v>
          </cell>
        </row>
        <row r="10">
          <cell r="A10">
            <v>45096</v>
          </cell>
          <cell r="B10">
            <v>170</v>
          </cell>
        </row>
        <row r="11">
          <cell r="A11">
            <v>45097</v>
          </cell>
          <cell r="B11">
            <v>171</v>
          </cell>
        </row>
        <row r="12">
          <cell r="A12">
            <v>45098</v>
          </cell>
          <cell r="B12">
            <v>172</v>
          </cell>
        </row>
        <row r="13">
          <cell r="A13">
            <v>45099</v>
          </cell>
          <cell r="B13">
            <v>173</v>
          </cell>
        </row>
        <row r="14">
          <cell r="A14">
            <v>45100</v>
          </cell>
          <cell r="B14">
            <v>174</v>
          </cell>
        </row>
        <row r="15">
          <cell r="A15">
            <v>45101</v>
          </cell>
          <cell r="B15">
            <v>175</v>
          </cell>
        </row>
        <row r="16">
          <cell r="A16">
            <v>45102</v>
          </cell>
          <cell r="B16">
            <v>176</v>
          </cell>
        </row>
        <row r="17">
          <cell r="A17">
            <v>45103</v>
          </cell>
          <cell r="B17">
            <v>177</v>
          </cell>
        </row>
        <row r="18">
          <cell r="A18">
            <v>45104</v>
          </cell>
          <cell r="B18">
            <v>178</v>
          </cell>
        </row>
        <row r="19">
          <cell r="A19">
            <v>45105</v>
          </cell>
          <cell r="B19">
            <v>179</v>
          </cell>
        </row>
        <row r="20">
          <cell r="A20">
            <v>45106</v>
          </cell>
          <cell r="B20">
            <v>180</v>
          </cell>
        </row>
        <row r="21">
          <cell r="A21">
            <v>45107</v>
          </cell>
          <cell r="B21">
            <v>181</v>
          </cell>
        </row>
        <row r="22">
          <cell r="A22">
            <v>45108</v>
          </cell>
          <cell r="B22">
            <v>182</v>
          </cell>
        </row>
        <row r="23">
          <cell r="A23">
            <v>45109</v>
          </cell>
          <cell r="B23">
            <v>183</v>
          </cell>
        </row>
        <row r="24">
          <cell r="A24">
            <v>45110</v>
          </cell>
          <cell r="B24">
            <v>184</v>
          </cell>
        </row>
        <row r="25">
          <cell r="A25">
            <v>45111</v>
          </cell>
          <cell r="B25">
            <v>185</v>
          </cell>
        </row>
        <row r="26">
          <cell r="A26">
            <v>45112</v>
          </cell>
          <cell r="B26">
            <v>186</v>
          </cell>
        </row>
        <row r="27">
          <cell r="A27">
            <v>45113</v>
          </cell>
          <cell r="B27">
            <v>187</v>
          </cell>
        </row>
        <row r="28">
          <cell r="A28">
            <v>45114</v>
          </cell>
          <cell r="B28">
            <v>188</v>
          </cell>
        </row>
        <row r="29">
          <cell r="A29">
            <v>45115</v>
          </cell>
          <cell r="B29">
            <v>189</v>
          </cell>
        </row>
        <row r="30">
          <cell r="A30">
            <v>45116</v>
          </cell>
          <cell r="B30">
            <v>190</v>
          </cell>
        </row>
        <row r="31">
          <cell r="A31">
            <v>45117</v>
          </cell>
          <cell r="B31">
            <v>191</v>
          </cell>
        </row>
        <row r="32">
          <cell r="A32">
            <v>45118</v>
          </cell>
          <cell r="B32">
            <v>192</v>
          </cell>
        </row>
        <row r="33">
          <cell r="A33">
            <v>45119</v>
          </cell>
          <cell r="B33">
            <v>193</v>
          </cell>
        </row>
        <row r="34">
          <cell r="A34">
            <v>45120</v>
          </cell>
          <cell r="B34">
            <v>194</v>
          </cell>
        </row>
        <row r="35">
          <cell r="A35">
            <v>45121</v>
          </cell>
          <cell r="B35">
            <v>195</v>
          </cell>
        </row>
        <row r="36">
          <cell r="A36">
            <v>45122</v>
          </cell>
          <cell r="B36">
            <v>196</v>
          </cell>
        </row>
        <row r="37">
          <cell r="A37">
            <v>45123</v>
          </cell>
          <cell r="B37">
            <v>197</v>
          </cell>
        </row>
        <row r="38">
          <cell r="A38">
            <v>45124</v>
          </cell>
          <cell r="B38">
            <v>198</v>
          </cell>
        </row>
        <row r="39">
          <cell r="A39">
            <v>45125</v>
          </cell>
          <cell r="B39">
            <v>199</v>
          </cell>
        </row>
        <row r="40">
          <cell r="A40">
            <v>45126</v>
          </cell>
          <cell r="B40">
            <v>200</v>
          </cell>
        </row>
        <row r="41">
          <cell r="A41">
            <v>45127</v>
          </cell>
          <cell r="B41">
            <v>201</v>
          </cell>
        </row>
        <row r="42">
          <cell r="A42">
            <v>45128</v>
          </cell>
          <cell r="B42">
            <v>202</v>
          </cell>
        </row>
        <row r="43">
          <cell r="A43">
            <v>45129</v>
          </cell>
          <cell r="B43">
            <v>203</v>
          </cell>
        </row>
        <row r="44">
          <cell r="A44">
            <v>45130</v>
          </cell>
          <cell r="B44">
            <v>204</v>
          </cell>
        </row>
        <row r="45">
          <cell r="A45">
            <v>45131</v>
          </cell>
          <cell r="B45">
            <v>205</v>
          </cell>
        </row>
        <row r="46">
          <cell r="A46">
            <v>45132</v>
          </cell>
          <cell r="B46">
            <v>206</v>
          </cell>
        </row>
        <row r="47">
          <cell r="A47">
            <v>45133</v>
          </cell>
          <cell r="B47">
            <v>207</v>
          </cell>
        </row>
        <row r="48">
          <cell r="A48">
            <v>45134</v>
          </cell>
          <cell r="B48">
            <v>208</v>
          </cell>
        </row>
        <row r="49">
          <cell r="A49">
            <v>45135</v>
          </cell>
          <cell r="B49">
            <v>209</v>
          </cell>
        </row>
        <row r="50">
          <cell r="A50">
            <v>45136</v>
          </cell>
          <cell r="B50">
            <v>210</v>
          </cell>
        </row>
        <row r="51">
          <cell r="A51">
            <v>45137</v>
          </cell>
          <cell r="B51">
            <v>211</v>
          </cell>
        </row>
        <row r="52">
          <cell r="A52">
            <v>45138</v>
          </cell>
          <cell r="B52">
            <v>212</v>
          </cell>
        </row>
        <row r="53">
          <cell r="A53">
            <v>45139</v>
          </cell>
          <cell r="B53">
            <v>213</v>
          </cell>
        </row>
        <row r="54">
          <cell r="A54">
            <v>45140</v>
          </cell>
          <cell r="B54">
            <v>214</v>
          </cell>
        </row>
        <row r="55">
          <cell r="A55">
            <v>45141</v>
          </cell>
          <cell r="B55">
            <v>215</v>
          </cell>
        </row>
        <row r="56">
          <cell r="A56">
            <v>45142</v>
          </cell>
          <cell r="B56">
            <v>216</v>
          </cell>
        </row>
        <row r="57">
          <cell r="A57">
            <v>45143</v>
          </cell>
          <cell r="B57">
            <v>217</v>
          </cell>
        </row>
        <row r="58">
          <cell r="A58">
            <v>45144</v>
          </cell>
          <cell r="B58">
            <v>218</v>
          </cell>
        </row>
        <row r="59">
          <cell r="A59">
            <v>45145</v>
          </cell>
          <cell r="B59">
            <v>219</v>
          </cell>
        </row>
        <row r="60">
          <cell r="A60">
            <v>45146</v>
          </cell>
          <cell r="B60">
            <v>220</v>
          </cell>
        </row>
        <row r="61">
          <cell r="A61">
            <v>45147</v>
          </cell>
          <cell r="B61">
            <v>221</v>
          </cell>
        </row>
        <row r="62">
          <cell r="A62">
            <v>45148</v>
          </cell>
          <cell r="B62">
            <v>222</v>
          </cell>
        </row>
        <row r="63">
          <cell r="A63">
            <v>45149</v>
          </cell>
          <cell r="B63">
            <v>223</v>
          </cell>
        </row>
        <row r="64">
          <cell r="A64">
            <v>45150</v>
          </cell>
          <cell r="B64">
            <v>224</v>
          </cell>
        </row>
        <row r="65">
          <cell r="A65">
            <v>45151</v>
          </cell>
          <cell r="B65">
            <v>225</v>
          </cell>
        </row>
        <row r="66">
          <cell r="A66">
            <v>45152</v>
          </cell>
          <cell r="B66">
            <v>226</v>
          </cell>
        </row>
        <row r="67">
          <cell r="A67">
            <v>45153</v>
          </cell>
          <cell r="B67">
            <v>227</v>
          </cell>
        </row>
        <row r="68">
          <cell r="A68">
            <v>45154</v>
          </cell>
          <cell r="B68">
            <v>228</v>
          </cell>
        </row>
        <row r="69">
          <cell r="A69">
            <v>45155</v>
          </cell>
          <cell r="B69">
            <v>229</v>
          </cell>
        </row>
        <row r="70">
          <cell r="A70">
            <v>45156</v>
          </cell>
          <cell r="B70">
            <v>230</v>
          </cell>
        </row>
        <row r="71">
          <cell r="A71">
            <v>45157</v>
          </cell>
          <cell r="B71">
            <v>231</v>
          </cell>
        </row>
        <row r="72">
          <cell r="A72">
            <v>45158</v>
          </cell>
          <cell r="B72">
            <v>232</v>
          </cell>
        </row>
        <row r="73">
          <cell r="A73">
            <v>45159</v>
          </cell>
          <cell r="B73">
            <v>233</v>
          </cell>
        </row>
        <row r="74">
          <cell r="A74">
            <v>45160</v>
          </cell>
          <cell r="B74">
            <v>234</v>
          </cell>
        </row>
        <row r="75">
          <cell r="A75">
            <v>45161</v>
          </cell>
          <cell r="B75">
            <v>235</v>
          </cell>
        </row>
        <row r="76">
          <cell r="A76">
            <v>45162</v>
          </cell>
          <cell r="B76">
            <v>236</v>
          </cell>
        </row>
        <row r="77">
          <cell r="A77">
            <v>45163</v>
          </cell>
          <cell r="B77">
            <v>237</v>
          </cell>
        </row>
        <row r="78">
          <cell r="A78">
            <v>45164</v>
          </cell>
          <cell r="B78">
            <v>238</v>
          </cell>
        </row>
        <row r="79">
          <cell r="A79">
            <v>45165</v>
          </cell>
          <cell r="B79">
            <v>239</v>
          </cell>
        </row>
        <row r="80">
          <cell r="A80">
            <v>45166</v>
          </cell>
          <cell r="B80">
            <v>240</v>
          </cell>
        </row>
        <row r="81">
          <cell r="A81">
            <v>45167</v>
          </cell>
          <cell r="B81">
            <v>241</v>
          </cell>
        </row>
        <row r="82">
          <cell r="A82">
            <v>45168</v>
          </cell>
          <cell r="B82">
            <v>242</v>
          </cell>
        </row>
        <row r="83">
          <cell r="A83">
            <v>45169</v>
          </cell>
          <cell r="B83">
            <v>243</v>
          </cell>
        </row>
        <row r="84">
          <cell r="A84">
            <v>45170</v>
          </cell>
          <cell r="B84">
            <v>244</v>
          </cell>
        </row>
        <row r="85">
          <cell r="A85">
            <v>45171</v>
          </cell>
          <cell r="B85">
            <v>245</v>
          </cell>
        </row>
        <row r="86">
          <cell r="A86">
            <v>45172</v>
          </cell>
          <cell r="B86">
            <v>246</v>
          </cell>
        </row>
        <row r="87">
          <cell r="A87">
            <v>45173</v>
          </cell>
          <cell r="B87">
            <v>247</v>
          </cell>
        </row>
        <row r="88">
          <cell r="A88">
            <v>45174</v>
          </cell>
          <cell r="B88">
            <v>248</v>
          </cell>
        </row>
        <row r="89">
          <cell r="A89">
            <v>45175</v>
          </cell>
          <cell r="B89">
            <v>249</v>
          </cell>
        </row>
        <row r="90">
          <cell r="A90">
            <v>45176</v>
          </cell>
          <cell r="B90">
            <v>250</v>
          </cell>
        </row>
        <row r="91">
          <cell r="A91">
            <v>45177</v>
          </cell>
          <cell r="B91">
            <v>251</v>
          </cell>
        </row>
        <row r="92">
          <cell r="A92">
            <v>45178</v>
          </cell>
          <cell r="B92">
            <v>252</v>
          </cell>
        </row>
        <row r="93">
          <cell r="A93">
            <v>45179</v>
          </cell>
          <cell r="B93">
            <v>253</v>
          </cell>
        </row>
        <row r="94">
          <cell r="A94">
            <v>45180</v>
          </cell>
          <cell r="B94">
            <v>254</v>
          </cell>
        </row>
        <row r="95">
          <cell r="A95">
            <v>45181</v>
          </cell>
          <cell r="B95">
            <v>255</v>
          </cell>
        </row>
        <row r="96">
          <cell r="A96">
            <v>45182</v>
          </cell>
          <cell r="B96">
            <v>256</v>
          </cell>
        </row>
        <row r="97">
          <cell r="A97">
            <v>45183</v>
          </cell>
          <cell r="B97">
            <v>257</v>
          </cell>
        </row>
        <row r="98">
          <cell r="A98">
            <v>45184</v>
          </cell>
          <cell r="B98">
            <v>258</v>
          </cell>
        </row>
        <row r="99">
          <cell r="A99">
            <v>45185</v>
          </cell>
          <cell r="B99">
            <v>259</v>
          </cell>
        </row>
        <row r="100">
          <cell r="A100">
            <v>45186</v>
          </cell>
          <cell r="B100">
            <v>260</v>
          </cell>
        </row>
        <row r="101">
          <cell r="A101">
            <v>45187</v>
          </cell>
          <cell r="B101">
            <v>261</v>
          </cell>
        </row>
        <row r="102">
          <cell r="A102">
            <v>45188</v>
          </cell>
          <cell r="B102">
            <v>262</v>
          </cell>
        </row>
        <row r="103">
          <cell r="A103">
            <v>45189</v>
          </cell>
          <cell r="B103">
            <v>263</v>
          </cell>
        </row>
        <row r="104">
          <cell r="A104">
            <v>45190</v>
          </cell>
          <cell r="B104">
            <v>264</v>
          </cell>
        </row>
        <row r="105">
          <cell r="A105">
            <v>45191</v>
          </cell>
          <cell r="B105">
            <v>265</v>
          </cell>
        </row>
        <row r="106">
          <cell r="A106">
            <v>45192</v>
          </cell>
          <cell r="B106">
            <v>266</v>
          </cell>
        </row>
        <row r="107">
          <cell r="A107">
            <v>45193</v>
          </cell>
          <cell r="B107">
            <v>267</v>
          </cell>
        </row>
        <row r="108">
          <cell r="A108">
            <v>45194</v>
          </cell>
          <cell r="B108">
            <v>268</v>
          </cell>
        </row>
        <row r="109">
          <cell r="A109">
            <v>45195</v>
          </cell>
          <cell r="B109">
            <v>269</v>
          </cell>
        </row>
        <row r="110">
          <cell r="A110">
            <v>45196</v>
          </cell>
          <cell r="B110">
            <v>270</v>
          </cell>
        </row>
        <row r="111">
          <cell r="A111">
            <v>45197</v>
          </cell>
          <cell r="B111">
            <v>271</v>
          </cell>
        </row>
        <row r="112">
          <cell r="A112">
            <v>45198</v>
          </cell>
          <cell r="B112">
            <v>272</v>
          </cell>
        </row>
        <row r="113">
          <cell r="A113">
            <v>45199</v>
          </cell>
          <cell r="B113">
            <v>273</v>
          </cell>
        </row>
        <row r="114">
          <cell r="A114">
            <v>45200</v>
          </cell>
          <cell r="B114">
            <v>274</v>
          </cell>
        </row>
        <row r="115">
          <cell r="A115">
            <v>45201</v>
          </cell>
          <cell r="B115">
            <v>275</v>
          </cell>
        </row>
        <row r="116">
          <cell r="A116">
            <v>45202</v>
          </cell>
          <cell r="B116">
            <v>276</v>
          </cell>
        </row>
        <row r="117">
          <cell r="A117">
            <v>45203</v>
          </cell>
          <cell r="B117">
            <v>277</v>
          </cell>
        </row>
        <row r="118">
          <cell r="A118">
            <v>45204</v>
          </cell>
          <cell r="B118">
            <v>278</v>
          </cell>
        </row>
        <row r="119">
          <cell r="A119">
            <v>45205</v>
          </cell>
          <cell r="B119">
            <v>279</v>
          </cell>
        </row>
        <row r="120">
          <cell r="A120">
            <v>45206</v>
          </cell>
          <cell r="B120">
            <v>280</v>
          </cell>
        </row>
        <row r="121">
          <cell r="A121">
            <v>45207</v>
          </cell>
          <cell r="B121">
            <v>281</v>
          </cell>
        </row>
        <row r="122">
          <cell r="A122">
            <v>45208</v>
          </cell>
          <cell r="B122">
            <v>282</v>
          </cell>
        </row>
        <row r="123">
          <cell r="A123">
            <v>45209</v>
          </cell>
          <cell r="B123">
            <v>283</v>
          </cell>
        </row>
        <row r="124">
          <cell r="A124">
            <v>45210</v>
          </cell>
          <cell r="B124">
            <v>284</v>
          </cell>
        </row>
        <row r="125">
          <cell r="A125">
            <v>45211</v>
          </cell>
          <cell r="B125">
            <v>285</v>
          </cell>
        </row>
        <row r="126">
          <cell r="A126">
            <v>45212</v>
          </cell>
          <cell r="B126">
            <v>286</v>
          </cell>
        </row>
        <row r="127">
          <cell r="A127">
            <v>45213</v>
          </cell>
          <cell r="B127">
            <v>287</v>
          </cell>
        </row>
        <row r="128">
          <cell r="A128">
            <v>45214</v>
          </cell>
          <cell r="B128">
            <v>288</v>
          </cell>
        </row>
        <row r="129">
          <cell r="A129">
            <v>45215</v>
          </cell>
          <cell r="B129">
            <v>289</v>
          </cell>
        </row>
        <row r="130">
          <cell r="A130">
            <v>45216</v>
          </cell>
          <cell r="B130">
            <v>290</v>
          </cell>
        </row>
        <row r="131">
          <cell r="A131">
            <v>45217</v>
          </cell>
          <cell r="B131">
            <v>291</v>
          </cell>
        </row>
        <row r="132">
          <cell r="A132">
            <v>45218</v>
          </cell>
          <cell r="B132">
            <v>292</v>
          </cell>
        </row>
        <row r="133">
          <cell r="A133">
            <v>45219</v>
          </cell>
          <cell r="B133">
            <v>293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_Whonnock_Species_Compositio"/>
    </sheetNames>
    <sheetDataSet>
      <sheetData sheetId="0">
        <row r="1">
          <cell r="A1" t="str">
            <v>TRIP_DTT</v>
          </cell>
          <cell r="B1" t="str">
            <v>Sockeye Adult Gilled</v>
          </cell>
          <cell r="C1" t="str">
            <v>Sockeye Adult Tangled</v>
          </cell>
          <cell r="D1" t="str">
            <v>Sockeye Jack Gilled</v>
          </cell>
          <cell r="E1" t="str">
            <v>Sockeye Jack Tangled</v>
          </cell>
          <cell r="F1" t="str">
            <v>Pink All Gilled</v>
          </cell>
          <cell r="G1" t="str">
            <v>Pink All Tangled</v>
          </cell>
          <cell r="H1" t="str">
            <v>Chinook Adult Gilled</v>
          </cell>
          <cell r="I1" t="str">
            <v>Chinook Adult Tangled</v>
          </cell>
          <cell r="J1" t="str">
            <v>Chinook Jack Gilled</v>
          </cell>
          <cell r="K1" t="str">
            <v>Chinook Jack Tangled</v>
          </cell>
          <cell r="L1" t="str">
            <v>Coho All Gilled</v>
          </cell>
          <cell r="M1" t="str">
            <v>Coho All Tangled</v>
          </cell>
          <cell r="N1" t="str">
            <v>Chum All Gilled</v>
          </cell>
          <cell r="O1" t="str">
            <v>Chum All Tangled</v>
          </cell>
        </row>
        <row r="2">
          <cell r="A2">
            <v>45103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</row>
        <row r="3">
          <cell r="A3">
            <v>45104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</row>
        <row r="4">
          <cell r="A4">
            <v>45105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>
            <v>45106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2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A6">
            <v>45107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>
            <v>45108</v>
          </cell>
          <cell r="B7">
            <v>0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>
            <v>45109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2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A9">
            <v>45110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>
            <v>45111</v>
          </cell>
          <cell r="B10">
            <v>0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>
            <v>45112</v>
          </cell>
          <cell r="B11">
            <v>0</v>
          </cell>
          <cell r="C11">
            <v>2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>
            <v>45113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>
            <v>45114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>
            <v>45115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>
            <v>45116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>
            <v>45117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>
            <v>45118</v>
          </cell>
          <cell r="B17">
            <v>0</v>
          </cell>
          <cell r="C17">
            <v>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>
            <v>45119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>
            <v>45120</v>
          </cell>
          <cell r="B19">
            <v>1</v>
          </cell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>
            <v>45121</v>
          </cell>
          <cell r="B20">
            <v>8</v>
          </cell>
          <cell r="C20">
            <v>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7</v>
          </cell>
          <cell r="J20">
            <v>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>
            <v>45122</v>
          </cell>
          <cell r="B21">
            <v>6</v>
          </cell>
          <cell r="C21">
            <v>7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8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>
            <v>45123</v>
          </cell>
          <cell r="B22">
            <v>18</v>
          </cell>
          <cell r="C22">
            <v>11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2</v>
          </cell>
          <cell r="I22">
            <v>3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>
            <v>45124</v>
          </cell>
          <cell r="B23">
            <v>12</v>
          </cell>
          <cell r="C23">
            <v>17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8</v>
          </cell>
          <cell r="I23">
            <v>8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45125</v>
          </cell>
          <cell r="B24">
            <v>18</v>
          </cell>
          <cell r="C24">
            <v>22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8</v>
          </cell>
          <cell r="I24">
            <v>12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>
            <v>45126</v>
          </cell>
          <cell r="B25">
            <v>15</v>
          </cell>
          <cell r="C25">
            <v>12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5</v>
          </cell>
          <cell r="I25">
            <v>10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45127</v>
          </cell>
          <cell r="B26">
            <v>7</v>
          </cell>
          <cell r="C26">
            <v>11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13</v>
          </cell>
          <cell r="J26">
            <v>2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>
            <v>45128</v>
          </cell>
          <cell r="B27">
            <v>1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45129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>
            <v>45130</v>
          </cell>
          <cell r="B29">
            <v>0</v>
          </cell>
          <cell r="C29">
            <v>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45131</v>
          </cell>
          <cell r="B30">
            <v>2</v>
          </cell>
          <cell r="C30">
            <v>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>
            <v>45132</v>
          </cell>
          <cell r="B31">
            <v>1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6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45133</v>
          </cell>
          <cell r="B32">
            <v>0</v>
          </cell>
          <cell r="C32">
            <v>4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>
            <v>45134</v>
          </cell>
          <cell r="B33">
            <v>0</v>
          </cell>
          <cell r="C33">
            <v>2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6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45135</v>
          </cell>
          <cell r="B34">
            <v>8</v>
          </cell>
          <cell r="C34">
            <v>1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>
            <v>45136</v>
          </cell>
          <cell r="B35">
            <v>0</v>
          </cell>
          <cell r="C35">
            <v>3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3</v>
          </cell>
          <cell r="I35">
            <v>3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45137</v>
          </cell>
          <cell r="B36">
            <v>2</v>
          </cell>
          <cell r="C36">
            <v>3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2</v>
          </cell>
          <cell r="I36">
            <v>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>
            <v>45138</v>
          </cell>
          <cell r="B37">
            <v>7</v>
          </cell>
          <cell r="C37">
            <v>12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5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45139</v>
          </cell>
          <cell r="B38">
            <v>2</v>
          </cell>
          <cell r="C38">
            <v>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</v>
          </cell>
          <cell r="I38">
            <v>6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>
            <v>45140</v>
          </cell>
          <cell r="B39">
            <v>4</v>
          </cell>
          <cell r="C39">
            <v>16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3</v>
          </cell>
          <cell r="I39">
            <v>4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>
            <v>45141</v>
          </cell>
          <cell r="B40">
            <v>11</v>
          </cell>
          <cell r="C40">
            <v>10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4</v>
          </cell>
          <cell r="I40">
            <v>12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>
            <v>45142</v>
          </cell>
          <cell r="B41">
            <v>6</v>
          </cell>
          <cell r="C41">
            <v>9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3</v>
          </cell>
          <cell r="I41">
            <v>5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>
            <v>45143</v>
          </cell>
          <cell r="B42">
            <v>28</v>
          </cell>
          <cell r="C42">
            <v>30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7</v>
          </cell>
          <cell r="I42">
            <v>12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>
            <v>45144</v>
          </cell>
          <cell r="B43">
            <v>12</v>
          </cell>
          <cell r="C43">
            <v>19</v>
          </cell>
          <cell r="D43">
            <v>0</v>
          </cell>
          <cell r="E43">
            <v>0</v>
          </cell>
          <cell r="F43">
            <v>0</v>
          </cell>
          <cell r="G43">
            <v>1</v>
          </cell>
          <cell r="H43">
            <v>8</v>
          </cell>
          <cell r="I43">
            <v>18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45145</v>
          </cell>
          <cell r="B44">
            <v>4</v>
          </cell>
          <cell r="C44">
            <v>7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</v>
          </cell>
          <cell r="I44">
            <v>6</v>
          </cell>
          <cell r="J44">
            <v>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>
            <v>45146</v>
          </cell>
          <cell r="B45">
            <v>5</v>
          </cell>
          <cell r="C45">
            <v>7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5</v>
          </cell>
          <cell r="I45">
            <v>6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45147</v>
          </cell>
          <cell r="B46">
            <v>4</v>
          </cell>
          <cell r="C46">
            <v>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>
            <v>45148</v>
          </cell>
          <cell r="B47">
            <v>14</v>
          </cell>
          <cell r="C47">
            <v>10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7</v>
          </cell>
          <cell r="I47">
            <v>7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45149</v>
          </cell>
          <cell r="B48">
            <v>33</v>
          </cell>
          <cell r="C48">
            <v>11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5</v>
          </cell>
          <cell r="I48">
            <v>7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>
            <v>45150</v>
          </cell>
          <cell r="B49">
            <v>56</v>
          </cell>
          <cell r="C49">
            <v>16</v>
          </cell>
          <cell r="D49">
            <v>0</v>
          </cell>
          <cell r="E49">
            <v>0</v>
          </cell>
          <cell r="F49">
            <v>1</v>
          </cell>
          <cell r="G49">
            <v>0</v>
          </cell>
          <cell r="H49">
            <v>20</v>
          </cell>
          <cell r="I49">
            <v>7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>
            <v>45151</v>
          </cell>
          <cell r="B50">
            <v>43</v>
          </cell>
          <cell r="C50">
            <v>17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9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>
            <v>45152</v>
          </cell>
          <cell r="B51">
            <v>66</v>
          </cell>
          <cell r="C51">
            <v>18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5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45153</v>
          </cell>
          <cell r="B52">
            <v>98</v>
          </cell>
          <cell r="C52">
            <v>11</v>
          </cell>
          <cell r="D52">
            <v>0</v>
          </cell>
          <cell r="E52">
            <v>0</v>
          </cell>
          <cell r="F52">
            <v>1</v>
          </cell>
          <cell r="G52">
            <v>0</v>
          </cell>
          <cell r="H52">
            <v>17</v>
          </cell>
          <cell r="I52">
            <v>7</v>
          </cell>
          <cell r="J52">
            <v>2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>
            <v>45154</v>
          </cell>
          <cell r="B53">
            <v>86</v>
          </cell>
          <cell r="C53">
            <v>52</v>
          </cell>
          <cell r="D53">
            <v>0</v>
          </cell>
          <cell r="E53">
            <v>0</v>
          </cell>
          <cell r="F53">
            <v>2</v>
          </cell>
          <cell r="G53">
            <v>2</v>
          </cell>
          <cell r="H53">
            <v>4</v>
          </cell>
          <cell r="I53">
            <v>11</v>
          </cell>
          <cell r="J53">
            <v>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>
            <v>45155</v>
          </cell>
          <cell r="B54">
            <v>107</v>
          </cell>
          <cell r="C54">
            <v>71</v>
          </cell>
          <cell r="D54">
            <v>0</v>
          </cell>
          <cell r="E54">
            <v>0</v>
          </cell>
          <cell r="F54">
            <v>1</v>
          </cell>
          <cell r="G54">
            <v>2</v>
          </cell>
          <cell r="H54">
            <v>2</v>
          </cell>
          <cell r="I54">
            <v>5</v>
          </cell>
          <cell r="J54">
            <v>2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>
            <v>45156</v>
          </cell>
          <cell r="B55">
            <v>90</v>
          </cell>
          <cell r="C55">
            <v>54</v>
          </cell>
          <cell r="D55">
            <v>0</v>
          </cell>
          <cell r="E55">
            <v>0</v>
          </cell>
          <cell r="F55">
            <v>2</v>
          </cell>
          <cell r="G55">
            <v>1</v>
          </cell>
          <cell r="H55">
            <v>2</v>
          </cell>
          <cell r="I55">
            <v>9</v>
          </cell>
          <cell r="J55">
            <v>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>
            <v>45157</v>
          </cell>
          <cell r="B56">
            <v>98</v>
          </cell>
          <cell r="C56">
            <v>82</v>
          </cell>
          <cell r="D56">
            <v>0</v>
          </cell>
          <cell r="E56">
            <v>0</v>
          </cell>
          <cell r="F56">
            <v>13</v>
          </cell>
          <cell r="G56">
            <v>1</v>
          </cell>
          <cell r="H56">
            <v>7</v>
          </cell>
          <cell r="I56">
            <v>17</v>
          </cell>
          <cell r="J56">
            <v>2</v>
          </cell>
          <cell r="K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>
            <v>45158</v>
          </cell>
          <cell r="B57">
            <v>118</v>
          </cell>
          <cell r="C57">
            <v>42</v>
          </cell>
          <cell r="D57">
            <v>0</v>
          </cell>
          <cell r="E57">
            <v>0</v>
          </cell>
          <cell r="F57">
            <v>27</v>
          </cell>
          <cell r="G57">
            <v>1</v>
          </cell>
          <cell r="H57">
            <v>32</v>
          </cell>
          <cell r="I57">
            <v>12</v>
          </cell>
          <cell r="J57">
            <v>3</v>
          </cell>
          <cell r="K57">
            <v>0</v>
          </cell>
          <cell r="L57">
            <v>1</v>
          </cell>
          <cell r="M57">
            <v>0</v>
          </cell>
          <cell r="N57">
            <v>0</v>
          </cell>
          <cell r="O57">
            <v>0</v>
          </cell>
        </row>
        <row r="58">
          <cell r="A58">
            <v>45159</v>
          </cell>
          <cell r="B58">
            <v>38</v>
          </cell>
          <cell r="C58">
            <v>5</v>
          </cell>
          <cell r="D58">
            <v>0</v>
          </cell>
          <cell r="E58">
            <v>0</v>
          </cell>
          <cell r="F58">
            <v>9</v>
          </cell>
          <cell r="G58">
            <v>0</v>
          </cell>
          <cell r="H58">
            <v>24</v>
          </cell>
          <cell r="I58">
            <v>0</v>
          </cell>
          <cell r="J58">
            <v>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A59">
            <v>45160</v>
          </cell>
          <cell r="B59">
            <v>33</v>
          </cell>
          <cell r="C59">
            <v>13</v>
          </cell>
          <cell r="D59">
            <v>1</v>
          </cell>
          <cell r="E59">
            <v>0</v>
          </cell>
          <cell r="F59">
            <v>9</v>
          </cell>
          <cell r="G59">
            <v>4</v>
          </cell>
          <cell r="H59">
            <v>50</v>
          </cell>
          <cell r="I59">
            <v>28</v>
          </cell>
          <cell r="J59">
            <v>4</v>
          </cell>
          <cell r="K59">
            <v>0</v>
          </cell>
          <cell r="L59">
            <v>1</v>
          </cell>
          <cell r="M59">
            <v>0</v>
          </cell>
          <cell r="N59">
            <v>0</v>
          </cell>
          <cell r="O59">
            <v>0</v>
          </cell>
        </row>
        <row r="60">
          <cell r="A60">
            <v>45161</v>
          </cell>
          <cell r="B60">
            <v>31</v>
          </cell>
          <cell r="C60">
            <v>19</v>
          </cell>
          <cell r="D60">
            <v>0</v>
          </cell>
          <cell r="E60">
            <v>0</v>
          </cell>
          <cell r="F60">
            <v>17</v>
          </cell>
          <cell r="G60">
            <v>14</v>
          </cell>
          <cell r="H60">
            <v>22</v>
          </cell>
          <cell r="I60">
            <v>35</v>
          </cell>
          <cell r="J60">
            <v>3</v>
          </cell>
          <cell r="K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A61">
            <v>45162</v>
          </cell>
          <cell r="B61">
            <v>25</v>
          </cell>
          <cell r="C61">
            <v>26</v>
          </cell>
          <cell r="D61">
            <v>0</v>
          </cell>
          <cell r="E61">
            <v>0</v>
          </cell>
          <cell r="F61">
            <v>14</v>
          </cell>
          <cell r="G61">
            <v>3</v>
          </cell>
          <cell r="H61">
            <v>5</v>
          </cell>
          <cell r="I61">
            <v>31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A62">
            <v>45163</v>
          </cell>
          <cell r="B62">
            <v>36</v>
          </cell>
          <cell r="C62">
            <v>27</v>
          </cell>
          <cell r="D62">
            <v>0</v>
          </cell>
          <cell r="E62">
            <v>0</v>
          </cell>
          <cell r="F62">
            <v>11</v>
          </cell>
          <cell r="G62">
            <v>12</v>
          </cell>
          <cell r="H62">
            <v>10</v>
          </cell>
          <cell r="I62">
            <v>16</v>
          </cell>
          <cell r="J62">
            <v>0</v>
          </cell>
          <cell r="K62">
            <v>0</v>
          </cell>
          <cell r="L62">
            <v>0</v>
          </cell>
          <cell r="M62">
            <v>1</v>
          </cell>
          <cell r="N62">
            <v>0</v>
          </cell>
          <cell r="O62">
            <v>0</v>
          </cell>
        </row>
        <row r="63">
          <cell r="A63">
            <v>45164</v>
          </cell>
          <cell r="B63">
            <v>29</v>
          </cell>
          <cell r="C63">
            <v>7</v>
          </cell>
          <cell r="D63">
            <v>0</v>
          </cell>
          <cell r="E63">
            <v>0</v>
          </cell>
          <cell r="F63">
            <v>34</v>
          </cell>
          <cell r="G63">
            <v>12</v>
          </cell>
          <cell r="H63">
            <v>31</v>
          </cell>
          <cell r="I63">
            <v>11</v>
          </cell>
          <cell r="J63">
            <v>2</v>
          </cell>
          <cell r="K63">
            <v>0</v>
          </cell>
          <cell r="L63">
            <v>1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45165</v>
          </cell>
          <cell r="B64">
            <v>17</v>
          </cell>
          <cell r="C64">
            <v>11</v>
          </cell>
          <cell r="D64">
            <v>0</v>
          </cell>
          <cell r="E64">
            <v>0</v>
          </cell>
          <cell r="F64">
            <v>21</v>
          </cell>
          <cell r="G64">
            <v>19</v>
          </cell>
          <cell r="H64">
            <v>5</v>
          </cell>
          <cell r="I64">
            <v>17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>
            <v>45166</v>
          </cell>
          <cell r="B65">
            <v>10</v>
          </cell>
          <cell r="C65">
            <v>6</v>
          </cell>
          <cell r="D65">
            <v>0</v>
          </cell>
          <cell r="E65">
            <v>0</v>
          </cell>
          <cell r="F65">
            <v>27</v>
          </cell>
          <cell r="G65">
            <v>33</v>
          </cell>
          <cell r="H65">
            <v>17</v>
          </cell>
          <cell r="I65">
            <v>8</v>
          </cell>
          <cell r="J65">
            <v>0</v>
          </cell>
          <cell r="K65">
            <v>1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>
            <v>45167</v>
          </cell>
          <cell r="B66">
            <v>14</v>
          </cell>
          <cell r="C66">
            <v>5</v>
          </cell>
          <cell r="D66">
            <v>0</v>
          </cell>
          <cell r="E66">
            <v>0</v>
          </cell>
          <cell r="F66">
            <v>31</v>
          </cell>
          <cell r="G66">
            <v>49</v>
          </cell>
          <cell r="H66">
            <v>9</v>
          </cell>
          <cell r="I66">
            <v>14</v>
          </cell>
          <cell r="J66">
            <v>0</v>
          </cell>
          <cell r="K66">
            <v>1</v>
          </cell>
          <cell r="L66">
            <v>0</v>
          </cell>
          <cell r="M66">
            <v>1</v>
          </cell>
          <cell r="N66">
            <v>0</v>
          </cell>
          <cell r="O66">
            <v>0</v>
          </cell>
        </row>
        <row r="67">
          <cell r="A67">
            <v>45168</v>
          </cell>
          <cell r="B67">
            <v>12</v>
          </cell>
          <cell r="C67">
            <v>5</v>
          </cell>
          <cell r="D67">
            <v>0</v>
          </cell>
          <cell r="E67">
            <v>0</v>
          </cell>
          <cell r="F67">
            <v>45</v>
          </cell>
          <cell r="G67">
            <v>47</v>
          </cell>
          <cell r="H67">
            <v>10</v>
          </cell>
          <cell r="I67">
            <v>13</v>
          </cell>
          <cell r="J67">
            <v>0</v>
          </cell>
          <cell r="K67">
            <v>1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</row>
        <row r="68">
          <cell r="A68">
            <v>45169</v>
          </cell>
          <cell r="B68">
            <v>7</v>
          </cell>
          <cell r="C68">
            <v>5</v>
          </cell>
          <cell r="D68">
            <v>0</v>
          </cell>
          <cell r="E68">
            <v>0</v>
          </cell>
          <cell r="F68">
            <v>16</v>
          </cell>
          <cell r="G68">
            <v>18</v>
          </cell>
          <cell r="H68">
            <v>14</v>
          </cell>
          <cell r="I68">
            <v>14</v>
          </cell>
          <cell r="J68">
            <v>1</v>
          </cell>
          <cell r="K68">
            <v>0</v>
          </cell>
          <cell r="L68">
            <v>1</v>
          </cell>
          <cell r="M68">
            <v>0</v>
          </cell>
          <cell r="N68">
            <v>0</v>
          </cell>
          <cell r="O68">
            <v>0</v>
          </cell>
        </row>
        <row r="69">
          <cell r="A69">
            <v>45170</v>
          </cell>
          <cell r="B69">
            <v>6</v>
          </cell>
          <cell r="C69">
            <v>2</v>
          </cell>
          <cell r="D69">
            <v>0</v>
          </cell>
          <cell r="E69">
            <v>0</v>
          </cell>
          <cell r="F69">
            <v>40</v>
          </cell>
          <cell r="G69">
            <v>48</v>
          </cell>
          <cell r="H69">
            <v>14</v>
          </cell>
          <cell r="I69">
            <v>22</v>
          </cell>
          <cell r="J69">
            <v>1</v>
          </cell>
          <cell r="K69">
            <v>0</v>
          </cell>
          <cell r="L69">
            <v>2</v>
          </cell>
          <cell r="M69">
            <v>0</v>
          </cell>
          <cell r="N69">
            <v>0</v>
          </cell>
          <cell r="O69">
            <v>0</v>
          </cell>
        </row>
        <row r="70">
          <cell r="A70">
            <v>45171</v>
          </cell>
          <cell r="B70">
            <v>7</v>
          </cell>
          <cell r="C70">
            <v>3</v>
          </cell>
          <cell r="D70">
            <v>0</v>
          </cell>
          <cell r="E70">
            <v>0</v>
          </cell>
          <cell r="F70">
            <v>75</v>
          </cell>
          <cell r="G70">
            <v>151</v>
          </cell>
          <cell r="H70">
            <v>16</v>
          </cell>
          <cell r="I70">
            <v>36</v>
          </cell>
          <cell r="J70">
            <v>3</v>
          </cell>
          <cell r="K70">
            <v>2</v>
          </cell>
          <cell r="L70">
            <v>1</v>
          </cell>
          <cell r="M70">
            <v>2</v>
          </cell>
          <cell r="N70">
            <v>0</v>
          </cell>
          <cell r="O70">
            <v>0</v>
          </cell>
        </row>
        <row r="71">
          <cell r="A71">
            <v>45172</v>
          </cell>
          <cell r="B71">
            <v>11</v>
          </cell>
          <cell r="C71">
            <v>9</v>
          </cell>
          <cell r="D71">
            <v>0</v>
          </cell>
          <cell r="E71">
            <v>0</v>
          </cell>
          <cell r="F71">
            <v>34</v>
          </cell>
          <cell r="G71">
            <v>84</v>
          </cell>
          <cell r="H71">
            <v>24</v>
          </cell>
          <cell r="I71">
            <v>38</v>
          </cell>
          <cell r="J71">
            <v>0</v>
          </cell>
          <cell r="K71">
            <v>1</v>
          </cell>
          <cell r="L71">
            <v>2</v>
          </cell>
          <cell r="M71">
            <v>2</v>
          </cell>
          <cell r="N71">
            <v>0</v>
          </cell>
          <cell r="O71">
            <v>0</v>
          </cell>
        </row>
        <row r="72">
          <cell r="A72">
            <v>45173</v>
          </cell>
          <cell r="B72">
            <v>4</v>
          </cell>
          <cell r="C72">
            <v>4</v>
          </cell>
          <cell r="D72">
            <v>0</v>
          </cell>
          <cell r="E72">
            <v>0</v>
          </cell>
          <cell r="F72">
            <v>48</v>
          </cell>
          <cell r="G72">
            <v>117</v>
          </cell>
          <cell r="H72">
            <v>10</v>
          </cell>
          <cell r="I72">
            <v>12</v>
          </cell>
          <cell r="J72">
            <v>0</v>
          </cell>
          <cell r="K72">
            <v>0</v>
          </cell>
          <cell r="L72">
            <v>1</v>
          </cell>
          <cell r="M72">
            <v>1</v>
          </cell>
          <cell r="N72">
            <v>0</v>
          </cell>
          <cell r="O72">
            <v>0</v>
          </cell>
        </row>
        <row r="73">
          <cell r="A73">
            <v>45174</v>
          </cell>
          <cell r="B73">
            <v>16</v>
          </cell>
          <cell r="C73">
            <v>11</v>
          </cell>
          <cell r="D73">
            <v>0</v>
          </cell>
          <cell r="E73">
            <v>0</v>
          </cell>
          <cell r="F73">
            <v>14</v>
          </cell>
          <cell r="G73">
            <v>59</v>
          </cell>
          <cell r="H73">
            <v>6</v>
          </cell>
          <cell r="I73">
            <v>21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  <cell r="O73">
            <v>0</v>
          </cell>
        </row>
        <row r="74">
          <cell r="A74">
            <v>45175</v>
          </cell>
          <cell r="B74">
            <v>9</v>
          </cell>
          <cell r="C74">
            <v>8</v>
          </cell>
          <cell r="D74">
            <v>0</v>
          </cell>
          <cell r="E74">
            <v>0</v>
          </cell>
          <cell r="F74">
            <v>15</v>
          </cell>
          <cell r="G74">
            <v>33</v>
          </cell>
          <cell r="H74">
            <v>2</v>
          </cell>
          <cell r="I74">
            <v>6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>
            <v>45176</v>
          </cell>
          <cell r="B75">
            <v>1</v>
          </cell>
          <cell r="C75">
            <v>3</v>
          </cell>
          <cell r="D75">
            <v>0</v>
          </cell>
          <cell r="E75">
            <v>0</v>
          </cell>
          <cell r="F75">
            <v>13</v>
          </cell>
          <cell r="G75">
            <v>21</v>
          </cell>
          <cell r="H75">
            <v>3</v>
          </cell>
          <cell r="I75">
            <v>4</v>
          </cell>
          <cell r="J75">
            <v>0</v>
          </cell>
          <cell r="K75">
            <v>2</v>
          </cell>
          <cell r="L75">
            <v>1</v>
          </cell>
          <cell r="M75">
            <v>2</v>
          </cell>
          <cell r="N75">
            <v>0</v>
          </cell>
          <cell r="O75">
            <v>0</v>
          </cell>
        </row>
        <row r="76">
          <cell r="A76">
            <v>45177</v>
          </cell>
          <cell r="B76">
            <v>2</v>
          </cell>
          <cell r="C76">
            <v>4</v>
          </cell>
          <cell r="D76">
            <v>0</v>
          </cell>
          <cell r="E76">
            <v>0</v>
          </cell>
          <cell r="F76">
            <v>43</v>
          </cell>
          <cell r="G76">
            <v>96</v>
          </cell>
          <cell r="H76">
            <v>0</v>
          </cell>
          <cell r="I76">
            <v>3</v>
          </cell>
          <cell r="J76">
            <v>0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  <cell r="O76">
            <v>0</v>
          </cell>
        </row>
        <row r="77">
          <cell r="A77">
            <v>45178</v>
          </cell>
          <cell r="B77">
            <v>4</v>
          </cell>
          <cell r="C77">
            <v>3</v>
          </cell>
          <cell r="D77">
            <v>0</v>
          </cell>
          <cell r="E77">
            <v>0</v>
          </cell>
          <cell r="F77">
            <v>67</v>
          </cell>
          <cell r="G77">
            <v>155</v>
          </cell>
          <cell r="H77">
            <v>0</v>
          </cell>
          <cell r="I77">
            <v>1</v>
          </cell>
          <cell r="J77">
            <v>0</v>
          </cell>
          <cell r="K77">
            <v>1</v>
          </cell>
          <cell r="L77">
            <v>1</v>
          </cell>
          <cell r="M77">
            <v>2</v>
          </cell>
          <cell r="N77">
            <v>0</v>
          </cell>
          <cell r="O77">
            <v>1</v>
          </cell>
        </row>
        <row r="78">
          <cell r="A78">
            <v>45179</v>
          </cell>
          <cell r="B78">
            <v>0</v>
          </cell>
          <cell r="C78">
            <v>2</v>
          </cell>
          <cell r="D78">
            <v>0</v>
          </cell>
          <cell r="E78">
            <v>0</v>
          </cell>
          <cell r="F78">
            <v>126</v>
          </cell>
          <cell r="G78">
            <v>171</v>
          </cell>
          <cell r="H78">
            <v>2</v>
          </cell>
          <cell r="I78">
            <v>1</v>
          </cell>
          <cell r="J78">
            <v>0</v>
          </cell>
          <cell r="K78">
            <v>0</v>
          </cell>
          <cell r="L78">
            <v>2</v>
          </cell>
          <cell r="M78">
            <v>1</v>
          </cell>
          <cell r="N78">
            <v>0</v>
          </cell>
          <cell r="O78">
            <v>1</v>
          </cell>
        </row>
        <row r="79">
          <cell r="A79">
            <v>45180</v>
          </cell>
          <cell r="B79">
            <v>1</v>
          </cell>
          <cell r="C79">
            <v>4</v>
          </cell>
          <cell r="D79">
            <v>0</v>
          </cell>
          <cell r="E79">
            <v>0</v>
          </cell>
          <cell r="F79">
            <v>72</v>
          </cell>
          <cell r="G79">
            <v>208</v>
          </cell>
          <cell r="H79">
            <v>2</v>
          </cell>
          <cell r="I79">
            <v>2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  <cell r="O79">
            <v>1</v>
          </cell>
        </row>
        <row r="80">
          <cell r="A80">
            <v>45181</v>
          </cell>
          <cell r="B80">
            <v>2</v>
          </cell>
          <cell r="C80">
            <v>2</v>
          </cell>
          <cell r="D80">
            <v>0</v>
          </cell>
          <cell r="E80">
            <v>0</v>
          </cell>
          <cell r="F80">
            <v>46</v>
          </cell>
          <cell r="G80">
            <v>200</v>
          </cell>
          <cell r="H80">
            <v>2</v>
          </cell>
          <cell r="I80">
            <v>4</v>
          </cell>
          <cell r="J80">
            <v>0</v>
          </cell>
          <cell r="K80">
            <v>0</v>
          </cell>
          <cell r="L80">
            <v>0</v>
          </cell>
          <cell r="M80">
            <v>4</v>
          </cell>
          <cell r="N80">
            <v>0</v>
          </cell>
          <cell r="O80">
            <v>0</v>
          </cell>
        </row>
        <row r="81">
          <cell r="A81">
            <v>45182</v>
          </cell>
          <cell r="B81">
            <v>1</v>
          </cell>
          <cell r="C81">
            <v>1</v>
          </cell>
          <cell r="D81">
            <v>0</v>
          </cell>
          <cell r="E81">
            <v>0</v>
          </cell>
          <cell r="F81">
            <v>19</v>
          </cell>
          <cell r="G81">
            <v>55</v>
          </cell>
          <cell r="H81">
            <v>2</v>
          </cell>
          <cell r="I81">
            <v>4</v>
          </cell>
          <cell r="J81">
            <v>0</v>
          </cell>
          <cell r="K81">
            <v>0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</row>
        <row r="82">
          <cell r="A82">
            <v>45183</v>
          </cell>
          <cell r="B82">
            <v>1</v>
          </cell>
          <cell r="C82">
            <v>1</v>
          </cell>
          <cell r="D82">
            <v>0</v>
          </cell>
          <cell r="E82">
            <v>0</v>
          </cell>
          <cell r="F82">
            <v>8</v>
          </cell>
          <cell r="G82">
            <v>27</v>
          </cell>
          <cell r="H82">
            <v>5</v>
          </cell>
          <cell r="I82">
            <v>11</v>
          </cell>
          <cell r="J82">
            <v>0</v>
          </cell>
          <cell r="K82">
            <v>1</v>
          </cell>
          <cell r="L82">
            <v>0</v>
          </cell>
          <cell r="M82">
            <v>6</v>
          </cell>
          <cell r="N82">
            <v>0</v>
          </cell>
          <cell r="O82">
            <v>1</v>
          </cell>
        </row>
        <row r="83">
          <cell r="A83">
            <v>45184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28</v>
          </cell>
          <cell r="G83">
            <v>46</v>
          </cell>
          <cell r="H83">
            <v>0</v>
          </cell>
          <cell r="I83">
            <v>2</v>
          </cell>
          <cell r="J83">
            <v>0</v>
          </cell>
          <cell r="K83">
            <v>0</v>
          </cell>
          <cell r="L83">
            <v>0</v>
          </cell>
          <cell r="M83">
            <v>4</v>
          </cell>
          <cell r="N83">
            <v>1</v>
          </cell>
          <cell r="O83">
            <v>0</v>
          </cell>
        </row>
        <row r="84">
          <cell r="A84">
            <v>45185</v>
          </cell>
          <cell r="B84">
            <v>1</v>
          </cell>
          <cell r="C84">
            <v>1</v>
          </cell>
          <cell r="D84">
            <v>0</v>
          </cell>
          <cell r="E84">
            <v>0</v>
          </cell>
          <cell r="F84">
            <v>18</v>
          </cell>
          <cell r="G84">
            <v>35</v>
          </cell>
          <cell r="H84">
            <v>1</v>
          </cell>
          <cell r="I84">
            <v>7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  <cell r="O84">
            <v>1</v>
          </cell>
        </row>
        <row r="85">
          <cell r="A85">
            <v>45186</v>
          </cell>
          <cell r="B85">
            <v>4</v>
          </cell>
          <cell r="C85">
            <v>2</v>
          </cell>
          <cell r="D85">
            <v>0</v>
          </cell>
          <cell r="E85">
            <v>0</v>
          </cell>
          <cell r="F85">
            <v>24</v>
          </cell>
          <cell r="G85">
            <v>50</v>
          </cell>
          <cell r="H85">
            <v>2</v>
          </cell>
          <cell r="I85">
            <v>4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  <cell r="O85">
            <v>7</v>
          </cell>
        </row>
        <row r="86">
          <cell r="A86">
            <v>45187</v>
          </cell>
          <cell r="B86">
            <v>2</v>
          </cell>
          <cell r="C86">
            <v>0</v>
          </cell>
          <cell r="D86">
            <v>0</v>
          </cell>
          <cell r="E86">
            <v>0</v>
          </cell>
          <cell r="F86">
            <v>37</v>
          </cell>
          <cell r="G86">
            <v>55</v>
          </cell>
          <cell r="H86">
            <v>3</v>
          </cell>
          <cell r="I86">
            <v>6</v>
          </cell>
          <cell r="J86">
            <v>0</v>
          </cell>
          <cell r="K86">
            <v>0</v>
          </cell>
          <cell r="L86">
            <v>4</v>
          </cell>
          <cell r="M86">
            <v>5</v>
          </cell>
          <cell r="N86">
            <v>0</v>
          </cell>
          <cell r="O86">
            <v>1</v>
          </cell>
        </row>
        <row r="87">
          <cell r="A87">
            <v>45188</v>
          </cell>
          <cell r="B87">
            <v>1</v>
          </cell>
          <cell r="C87">
            <v>2</v>
          </cell>
          <cell r="D87">
            <v>0</v>
          </cell>
          <cell r="E87">
            <v>0</v>
          </cell>
          <cell r="F87">
            <v>14</v>
          </cell>
          <cell r="G87">
            <v>36</v>
          </cell>
          <cell r="H87">
            <v>2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2</v>
          </cell>
          <cell r="N87">
            <v>2</v>
          </cell>
          <cell r="O87">
            <v>0</v>
          </cell>
        </row>
        <row r="88">
          <cell r="A88">
            <v>45189</v>
          </cell>
          <cell r="B88">
            <v>2</v>
          </cell>
          <cell r="C88">
            <v>5</v>
          </cell>
          <cell r="D88">
            <v>0</v>
          </cell>
          <cell r="E88">
            <v>0</v>
          </cell>
          <cell r="F88">
            <v>13</v>
          </cell>
          <cell r="G88">
            <v>28</v>
          </cell>
          <cell r="H88">
            <v>2</v>
          </cell>
          <cell r="I88">
            <v>5</v>
          </cell>
          <cell r="J88">
            <v>0</v>
          </cell>
          <cell r="K88">
            <v>0</v>
          </cell>
          <cell r="L88">
            <v>1</v>
          </cell>
          <cell r="M88">
            <v>1</v>
          </cell>
          <cell r="N88">
            <v>0</v>
          </cell>
          <cell r="O88">
            <v>4</v>
          </cell>
        </row>
        <row r="89">
          <cell r="A89">
            <v>45190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2</v>
          </cell>
          <cell r="G89">
            <v>6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1</v>
          </cell>
        </row>
        <row r="90">
          <cell r="A90">
            <v>45191</v>
          </cell>
          <cell r="B90">
            <v>0</v>
          </cell>
          <cell r="C90">
            <v>2</v>
          </cell>
          <cell r="D90">
            <v>0</v>
          </cell>
          <cell r="E90">
            <v>0</v>
          </cell>
          <cell r="F90">
            <v>6</v>
          </cell>
          <cell r="G90">
            <v>3</v>
          </cell>
          <cell r="H90">
            <v>1</v>
          </cell>
          <cell r="I90">
            <v>3</v>
          </cell>
          <cell r="J90">
            <v>0</v>
          </cell>
          <cell r="K90">
            <v>0</v>
          </cell>
          <cell r="L90">
            <v>0</v>
          </cell>
          <cell r="M90">
            <v>3</v>
          </cell>
          <cell r="N90">
            <v>0</v>
          </cell>
          <cell r="O90">
            <v>2</v>
          </cell>
        </row>
        <row r="91">
          <cell r="A91">
            <v>45192</v>
          </cell>
          <cell r="B91">
            <v>4</v>
          </cell>
          <cell r="C91">
            <v>0</v>
          </cell>
          <cell r="D91">
            <v>0</v>
          </cell>
          <cell r="E91">
            <v>0</v>
          </cell>
          <cell r="F91">
            <v>2</v>
          </cell>
          <cell r="G91">
            <v>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  <cell r="O91">
            <v>0</v>
          </cell>
        </row>
        <row r="92">
          <cell r="A92">
            <v>45193</v>
          </cell>
          <cell r="B92">
            <v>3</v>
          </cell>
          <cell r="C92">
            <v>3</v>
          </cell>
          <cell r="D92">
            <v>0</v>
          </cell>
          <cell r="E92">
            <v>0</v>
          </cell>
          <cell r="F92">
            <v>0</v>
          </cell>
          <cell r="G92">
            <v>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  <cell r="O92">
            <v>2</v>
          </cell>
        </row>
        <row r="93">
          <cell r="A93">
            <v>45194</v>
          </cell>
          <cell r="B93">
            <v>1</v>
          </cell>
          <cell r="C93">
            <v>2</v>
          </cell>
          <cell r="D93">
            <v>0</v>
          </cell>
          <cell r="E93">
            <v>0</v>
          </cell>
          <cell r="F93">
            <v>5</v>
          </cell>
          <cell r="G93">
            <v>6</v>
          </cell>
          <cell r="H93">
            <v>0</v>
          </cell>
          <cell r="I93">
            <v>3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5</v>
          </cell>
        </row>
        <row r="94">
          <cell r="A94">
            <v>45195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2</v>
          </cell>
          <cell r="G94">
            <v>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1</v>
          </cell>
          <cell r="O94">
            <v>1</v>
          </cell>
        </row>
        <row r="95">
          <cell r="A95">
            <v>45196</v>
          </cell>
          <cell r="B95">
            <v>1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1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3</v>
          </cell>
        </row>
        <row r="96">
          <cell r="A96">
            <v>45197</v>
          </cell>
          <cell r="B96">
            <v>0</v>
          </cell>
          <cell r="C96">
            <v>2</v>
          </cell>
          <cell r="D96">
            <v>0</v>
          </cell>
          <cell r="E96">
            <v>0</v>
          </cell>
          <cell r="F96">
            <v>0</v>
          </cell>
          <cell r="G96">
            <v>2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1</v>
          </cell>
          <cell r="O96">
            <v>1</v>
          </cell>
        </row>
        <row r="97">
          <cell r="A97">
            <v>45198</v>
          </cell>
          <cell r="B97">
            <v>1</v>
          </cell>
          <cell r="C97">
            <v>2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5</v>
          </cell>
          <cell r="J97">
            <v>0</v>
          </cell>
          <cell r="K97">
            <v>0</v>
          </cell>
          <cell r="L97">
            <v>0</v>
          </cell>
          <cell r="M97">
            <v>2</v>
          </cell>
          <cell r="N97">
            <v>2</v>
          </cell>
          <cell r="O97">
            <v>8</v>
          </cell>
        </row>
        <row r="98">
          <cell r="A98">
            <v>45199</v>
          </cell>
          <cell r="B98">
            <v>0</v>
          </cell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2</v>
          </cell>
          <cell r="H98">
            <v>3</v>
          </cell>
          <cell r="I98">
            <v>3</v>
          </cell>
          <cell r="J98">
            <v>0</v>
          </cell>
          <cell r="K98">
            <v>0</v>
          </cell>
          <cell r="L98">
            <v>1</v>
          </cell>
          <cell r="M98">
            <v>1</v>
          </cell>
          <cell r="N98">
            <v>2</v>
          </cell>
          <cell r="O98">
            <v>8</v>
          </cell>
        </row>
        <row r="99">
          <cell r="A99">
            <v>45200</v>
          </cell>
          <cell r="B99">
            <v>1</v>
          </cell>
          <cell r="C99">
            <v>2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4</v>
          </cell>
          <cell r="I99">
            <v>3</v>
          </cell>
          <cell r="J99">
            <v>0</v>
          </cell>
          <cell r="K99">
            <v>0</v>
          </cell>
          <cell r="L99">
            <v>3</v>
          </cell>
          <cell r="M99">
            <v>2</v>
          </cell>
          <cell r="N99">
            <v>2</v>
          </cell>
          <cell r="O99">
            <v>9</v>
          </cell>
        </row>
        <row r="100">
          <cell r="A100">
            <v>45201</v>
          </cell>
          <cell r="B100">
            <v>0</v>
          </cell>
          <cell r="C100">
            <v>1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</v>
          </cell>
          <cell r="I100">
            <v>1</v>
          </cell>
          <cell r="J100">
            <v>0</v>
          </cell>
          <cell r="K100">
            <v>0</v>
          </cell>
          <cell r="L100">
            <v>1</v>
          </cell>
          <cell r="M100">
            <v>1</v>
          </cell>
          <cell r="N100">
            <v>4</v>
          </cell>
          <cell r="O100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file:///\\adams\testfish\Testfish\InternalReports\2020\FisherySummaryTables.xlsx" TargetMode="External"/><Relationship Id="rId1" Type="http://schemas.openxmlformats.org/officeDocument/2006/relationships/hyperlink" Target="file:///\\adams\testfish\Testfish\InternalReports\2020\WhonnockSpeciesComposition.xlsx" TargetMode="External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3A18-AB3C-478F-AE03-162284CD2AEA}">
  <sheetPr codeName="Sheet1">
    <tabColor theme="7" tint="0.59999389629810485"/>
  </sheetPr>
  <dimension ref="A1:AU198"/>
  <sheetViews>
    <sheetView tabSelected="1" zoomScale="90" zoomScaleNormal="90" workbookViewId="0">
      <pane xSplit="1" ySplit="5" topLeftCell="AB89" activePane="bottomRight" state="frozen"/>
      <selection pane="topRight" activeCell="B1" sqref="B1"/>
      <selection pane="bottomLeft" activeCell="A6" sqref="A6"/>
      <selection pane="bottomRight" activeCell="AP100" sqref="AP100"/>
    </sheetView>
  </sheetViews>
  <sheetFormatPr defaultRowHeight="14.4" x14ac:dyDescent="0.3"/>
  <cols>
    <col min="1" max="1" width="12.44140625" bestFit="1" customWidth="1"/>
    <col min="2" max="2" width="9.44140625" bestFit="1" customWidth="1"/>
    <col min="3" max="3" width="8.88671875" bestFit="1" customWidth="1"/>
    <col min="4" max="4" width="13.6640625" customWidth="1"/>
    <col min="5" max="6" width="8.88671875" bestFit="1" customWidth="1"/>
    <col min="7" max="9" width="9.109375" bestFit="1" customWidth="1"/>
    <col min="10" max="10" width="9.44140625" bestFit="1" customWidth="1"/>
    <col min="11" max="11" width="8.88671875" bestFit="1" customWidth="1"/>
    <col min="12" max="12" width="14.5546875" customWidth="1"/>
    <col min="13" max="14" width="8.88671875" bestFit="1" customWidth="1"/>
    <col min="15" max="17" width="9.109375" bestFit="1" customWidth="1"/>
    <col min="18" max="18" width="9.44140625" customWidth="1"/>
    <col min="19" max="19" width="8.88671875" customWidth="1"/>
    <col min="20" max="20" width="14" customWidth="1"/>
    <col min="21" max="22" width="8.88671875" customWidth="1"/>
    <col min="23" max="25" width="9.109375" customWidth="1"/>
    <col min="26" max="26" width="9.44140625" bestFit="1" customWidth="1"/>
    <col min="27" max="27" width="8.88671875" bestFit="1" customWidth="1"/>
    <col min="28" max="28" width="13.6640625" customWidth="1"/>
    <col min="29" max="30" width="8.88671875" bestFit="1" customWidth="1"/>
    <col min="31" max="33" width="9.109375" bestFit="1" customWidth="1"/>
    <col min="34" max="34" width="7" customWidth="1"/>
    <col min="35" max="35" width="6.33203125" customWidth="1"/>
    <col min="36" max="36" width="7" bestFit="1" customWidth="1"/>
    <col min="37" max="37" width="6.33203125" bestFit="1" customWidth="1"/>
    <col min="38" max="38" width="7" bestFit="1" customWidth="1"/>
    <col min="39" max="39" width="6.33203125" bestFit="1" customWidth="1"/>
    <col min="40" max="41" width="8.44140625" customWidth="1"/>
    <col min="42" max="42" width="14" customWidth="1"/>
    <col min="43" max="43" width="20.109375" bestFit="1" customWidth="1"/>
    <col min="44" max="44" width="17.33203125" hidden="1" customWidth="1"/>
    <col min="46" max="46" width="16.109375" bestFit="1" customWidth="1"/>
    <col min="47" max="47" width="15.5546875" bestFit="1" customWidth="1"/>
  </cols>
  <sheetData>
    <row r="1" spans="1:47" ht="26.4" thickBot="1" x14ac:dyDescent="0.55000000000000004">
      <c r="A1" s="228" t="s">
        <v>12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30"/>
      <c r="AP1" s="75"/>
      <c r="AT1" s="226" t="s">
        <v>142</v>
      </c>
      <c r="AU1" s="227"/>
    </row>
    <row r="2" spans="1:47" ht="24" thickBot="1" x14ac:dyDescent="0.5">
      <c r="A2" s="124">
        <v>2023</v>
      </c>
      <c r="AT2" s="159" t="s">
        <v>133</v>
      </c>
      <c r="AU2" s="160" t="s">
        <v>132</v>
      </c>
    </row>
    <row r="3" spans="1:47" ht="21.6" thickBot="1" x14ac:dyDescent="0.45">
      <c r="A3" s="239" t="s">
        <v>0</v>
      </c>
      <c r="B3" s="231" t="s">
        <v>11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3" t="s">
        <v>1</v>
      </c>
      <c r="AI3" s="234"/>
      <c r="AJ3" s="234"/>
      <c r="AK3" s="234"/>
      <c r="AL3" s="234"/>
      <c r="AM3" s="234"/>
      <c r="AN3" s="234"/>
      <c r="AO3" s="235"/>
      <c r="AP3" s="224" t="s">
        <v>53</v>
      </c>
      <c r="AQ3" s="224" t="s">
        <v>137</v>
      </c>
      <c r="AR3" s="224" t="s">
        <v>138</v>
      </c>
      <c r="AT3" s="161" t="s">
        <v>134</v>
      </c>
      <c r="AU3" s="3" t="s">
        <v>139</v>
      </c>
    </row>
    <row r="4" spans="1:47" ht="18" x14ac:dyDescent="0.35">
      <c r="A4" s="240"/>
      <c r="B4" s="236" t="s">
        <v>35</v>
      </c>
      <c r="C4" s="237"/>
      <c r="D4" s="237"/>
      <c r="E4" s="237"/>
      <c r="F4" s="237"/>
      <c r="G4" s="237"/>
      <c r="H4" s="237"/>
      <c r="I4" s="238"/>
      <c r="J4" s="236" t="s">
        <v>36</v>
      </c>
      <c r="K4" s="237"/>
      <c r="L4" s="237"/>
      <c r="M4" s="237"/>
      <c r="N4" s="237"/>
      <c r="O4" s="237"/>
      <c r="P4" s="237"/>
      <c r="Q4" s="238"/>
      <c r="R4" s="236" t="s">
        <v>49</v>
      </c>
      <c r="S4" s="237"/>
      <c r="T4" s="237"/>
      <c r="U4" s="237"/>
      <c r="V4" s="237"/>
      <c r="W4" s="237"/>
      <c r="X4" s="237"/>
      <c r="Y4" s="238"/>
      <c r="Z4" s="236" t="s">
        <v>10</v>
      </c>
      <c r="AA4" s="237"/>
      <c r="AB4" s="237"/>
      <c r="AC4" s="237"/>
      <c r="AD4" s="237"/>
      <c r="AE4" s="237"/>
      <c r="AF4" s="237"/>
      <c r="AG4" s="238"/>
      <c r="AH4" s="241" t="s">
        <v>2</v>
      </c>
      <c r="AI4" s="242"/>
      <c r="AJ4" s="243" t="s">
        <v>3</v>
      </c>
      <c r="AK4" s="242"/>
      <c r="AL4" s="243" t="s">
        <v>4</v>
      </c>
      <c r="AM4" s="242"/>
      <c r="AN4" s="244" t="s">
        <v>5</v>
      </c>
      <c r="AO4" s="245"/>
      <c r="AP4" s="225"/>
      <c r="AQ4" s="225"/>
      <c r="AR4" s="225"/>
      <c r="AT4" s="161" t="s">
        <v>135</v>
      </c>
      <c r="AU4" s="3" t="s">
        <v>140</v>
      </c>
    </row>
    <row r="5" spans="1:47" ht="59.4" customHeight="1" thickBot="1" x14ac:dyDescent="0.35">
      <c r="A5" s="240"/>
      <c r="B5" s="118" t="s">
        <v>87</v>
      </c>
      <c r="C5" s="119" t="s">
        <v>89</v>
      </c>
      <c r="D5" s="121" t="s">
        <v>105</v>
      </c>
      <c r="E5" s="120" t="s">
        <v>94</v>
      </c>
      <c r="F5" s="119" t="s">
        <v>98</v>
      </c>
      <c r="G5" s="119" t="s">
        <v>90</v>
      </c>
      <c r="H5" s="119" t="s">
        <v>95</v>
      </c>
      <c r="I5" s="163" t="s">
        <v>99</v>
      </c>
      <c r="J5" s="118" t="s">
        <v>88</v>
      </c>
      <c r="K5" s="119" t="s">
        <v>91</v>
      </c>
      <c r="L5" s="121" t="s">
        <v>105</v>
      </c>
      <c r="M5" s="119" t="s">
        <v>94</v>
      </c>
      <c r="N5" s="120" t="s">
        <v>100</v>
      </c>
      <c r="O5" s="119" t="s">
        <v>90</v>
      </c>
      <c r="P5" s="119" t="s">
        <v>95</v>
      </c>
      <c r="Q5" s="163" t="s">
        <v>99</v>
      </c>
      <c r="R5" s="118" t="s">
        <v>87</v>
      </c>
      <c r="S5" s="119" t="s">
        <v>92</v>
      </c>
      <c r="T5" s="121" t="s">
        <v>105</v>
      </c>
      <c r="U5" s="119" t="s">
        <v>96</v>
      </c>
      <c r="V5" s="120" t="s">
        <v>100</v>
      </c>
      <c r="W5" s="119" t="s">
        <v>90</v>
      </c>
      <c r="X5" s="119" t="s">
        <v>97</v>
      </c>
      <c r="Y5" s="163" t="s">
        <v>99</v>
      </c>
      <c r="Z5" s="118" t="s">
        <v>87</v>
      </c>
      <c r="AA5" s="119" t="s">
        <v>91</v>
      </c>
      <c r="AB5" s="121" t="s">
        <v>105</v>
      </c>
      <c r="AC5" s="119" t="s">
        <v>96</v>
      </c>
      <c r="AD5" s="120" t="s">
        <v>100</v>
      </c>
      <c r="AE5" s="119" t="s">
        <v>93</v>
      </c>
      <c r="AF5" s="119" t="s">
        <v>97</v>
      </c>
      <c r="AG5" s="163" t="s">
        <v>101</v>
      </c>
      <c r="AH5" s="109" t="s">
        <v>6</v>
      </c>
      <c r="AI5" s="110" t="s">
        <v>7</v>
      </c>
      <c r="AJ5" s="111" t="s">
        <v>6</v>
      </c>
      <c r="AK5" s="110" t="s">
        <v>7</v>
      </c>
      <c r="AL5" s="111" t="s">
        <v>6</v>
      </c>
      <c r="AM5" s="110" t="s">
        <v>7</v>
      </c>
      <c r="AN5" s="9" t="s">
        <v>6</v>
      </c>
      <c r="AO5" s="10" t="s">
        <v>7</v>
      </c>
      <c r="AP5" s="225"/>
      <c r="AQ5" s="225"/>
      <c r="AR5" s="225"/>
      <c r="AT5" s="162" t="s">
        <v>136</v>
      </c>
      <c r="AU5" s="15" t="s">
        <v>141</v>
      </c>
    </row>
    <row r="6" spans="1:47" x14ac:dyDescent="0.3">
      <c r="A6" s="20">
        <f>'[1]Passage Estimates'!$A6</f>
        <v>45108</v>
      </c>
      <c r="B6" s="164" cm="1">
        <f t="array" ref="B6">IF(ISBLANK($AQ6), "", INDEX([2]SalmonProps!$A$2:$AA$10001,MATCH(1,($A6=[2]SalmonProps!$A$2:$A$10001)*(1=[2]SalmonProps!$C$2:$C$10001)*(1=[2]SalmonProps!$D$2:$D$10001)*("A1" = [2]SalmonProps!$B$2:$B$10001)*($AP6 = [2]SalmonProps!$F$2:$F$10001) *($AR6 = [2]SalmonProps!$G$2:$G$10001),0), 17))</f>
        <v>0</v>
      </c>
      <c r="C6" s="165" cm="1">
        <f t="array" ref="C6">IF(ISBLANK($AQ6), "", INDEX([2]SalmonProps!$A$2:$AA$10001,MATCH(1,($A6=[2]SalmonProps!$A$2:$A$10001)*(1=[2]SalmonProps!$C$2:$C$10001)*(2=[2]SalmonProps!$D$2:$D$10001)*("A1" = [2]SalmonProps!$B$2:$B$10001)*($AP6 = [2]SalmonProps!$F$2:$F$10001) *($AR6 = [2]SalmonProps!$G$2:$G$10001),0), 17))</f>
        <v>0</v>
      </c>
      <c r="D6" s="165" cm="1">
        <f t="array" ref="D6">IF(ISBLANK($AQ6), "", INDEX([2]SalmonProps!$A$2:$AA$10001,MATCH(1,($A6=[2]SalmonProps!$A$2:$A$10001)*(1=[2]SalmonProps!$C$2:$C$10001)*("1&amp;2"=[2]SalmonProps!$D$2:$D$10001)*("A1" = [2]SalmonProps!$B$2:$B$10001)*($AP6 = [2]SalmonProps!$F$2:$F$10001) *($AR6 = [2]SalmonProps!$G$2:$G$10001),0), 17))</f>
        <v>0</v>
      </c>
      <c r="E6" s="181" cm="1">
        <f t="array" ref="E6">IF(ISBLANK($AQ6), "", INDEX([2]SalmonProps!$A$2:$AA$10001,MATCH(1,($A6=[2]SalmonProps!$A$2:$A$10001)*(2=[2]SalmonProps!$C$2:$C$10001)*(3=[2]SalmonProps!$D$2:$D$10001)*("A1" = [2]SalmonProps!$B$2:$B$10001)*($AP6 = [2]SalmonProps!$F$2:$F$10001) *($AR6 = [2]SalmonProps!$G$2:$G$10001),0), 17))</f>
        <v>3.04E-2</v>
      </c>
      <c r="F6" s="180" cm="1">
        <f t="array" ref="F6">IF(ISBLANK($AQ6), "", INDEX([2]SalmonProps!$A$2:$AA$10001,MATCH(1,($A6=[2]SalmonProps!$A$2:$A$10001)*(3=[2]SalmonProps!$C$2:$C$10001)*(3=[2]SalmonProps!$D$2:$D$10001)*("A1" = [2]SalmonProps!$B$2:$B$10001)*($AP6 = [2]SalmonProps!$F$2:$F$10001) *($AR6 = [2]SalmonProps!$G$2:$G$10001),0), 17))</f>
        <v>0.1186</v>
      </c>
      <c r="G6" s="166">
        <v>0</v>
      </c>
      <c r="H6" s="166">
        <v>3.3300000000000003E-2</v>
      </c>
      <c r="I6" s="167">
        <v>6.9400000000000003E-2</v>
      </c>
      <c r="J6" s="164" t="str" cm="1">
        <f t="array" ref="J6">IF(ISBLANK($AQ6), "", INDEX([2]SalmonProps!$A$2:$AA$10001,MATCH(1,($A6=[2]SalmonProps!$A$2:$A$10001)*(1=[2]SalmonProps!$C$2:$C$10001)*(1=[2]SalmonProps!$D$2:$D$10001)*("A1" = [2]SalmonProps!$B$2:$B$10001)*($AP6 = [2]SalmonProps!$F$2:$F$10001) *($AR6 = [2]SalmonProps!$G$2:$G$10001),0), 19))</f>
        <v>NA</v>
      </c>
      <c r="K6" s="165" t="str" cm="1">
        <f t="array" ref="K6">IF(ISBLANK($AQ6), "", INDEX([2]SalmonProps!$A$2:$AA$10001,MATCH(1,($A6=[2]SalmonProps!$A$2:$A$10001)*(1=[2]SalmonProps!$C$2:$C$10001)*(2=[2]SalmonProps!$D$2:$D$10001)*("A1" = [2]SalmonProps!$B$2:$B$10001)*($AP6 = [2]SalmonProps!$F$2:$F$10001) *($AR6 = [2]SalmonProps!$G$2:$G$10001),0), 19))</f>
        <v>NA</v>
      </c>
      <c r="L6" s="165" t="str" cm="1">
        <f t="array" ref="L6">IF(ISBLANK($AQ6), "", INDEX([2]SalmonProps!$A$2:$AA$10001,MATCH(1,($A6=[2]SalmonProps!$A$2:$A$10001)*(1=[2]SalmonProps!$C$2:$C$10001)*("1&amp;2"=[2]SalmonProps!$D$2:$D$10001)*("A1" = [2]SalmonProps!$B$2:$B$10001)*($AP6 = [2]SalmonProps!$F$2:$F$10001) *($AR6 = [2]SalmonProps!$G$2:$G$10001),0), 19))</f>
        <v>NA</v>
      </c>
      <c r="M6" s="165" t="str" cm="1">
        <f t="array" ref="M6">IF(ISBLANK($AQ6), "", INDEX([2]SalmonProps!$A$2:$AA$10001,MATCH(1,($A6=[2]SalmonProps!$A$2:$A$10001)*(2=[2]SalmonProps!$C$2:$C$10001)*(3=[2]SalmonProps!$D$2:$D$10001)*("A1" = [2]SalmonProps!$B$2:$B$10001)*($AP6 = [2]SalmonProps!$F$2:$F$10001) *($AR6 = [2]SalmonProps!$G$2:$G$10001),0), 19))</f>
        <v>NA</v>
      </c>
      <c r="N6" s="181" t="str" cm="1">
        <f t="array" ref="N6">IF(ISBLANK($AQ6), "", INDEX([2]SalmonProps!$A$2:$AA$10001,MATCH(1,($A6=[2]SalmonProps!$A$2:$A$10001)*(3=[2]SalmonProps!$C$2:$C$10001)*(3=[2]SalmonProps!$D$2:$D$10001)*("A1" = [2]SalmonProps!$B$2:$B$10001)*($AP6 = [2]SalmonProps!$F$2:$F$10001) *($AR6 = [2]SalmonProps!$G$2:$G$10001),0), 19))</f>
        <v>NA</v>
      </c>
      <c r="O6" s="165" t="e" cm="1">
        <f t="array" ref="O6">IF(ISBLANK($AQ6), "", INDEX([2]SalmonProps!$A$2:$AA$10001,MATCH(1,($A6=[2]SalmonProps!$A$2:$A$10001)*(1=[2]SalmonProps!$C$2:$C$10001)*(1=[2]SalmonProps!$D$2:$D$10001)*("A2" = [2]SalmonProps!$B$2:$B$10001)*($AP6 = [2]SalmonProps!$F$2:$F$10001) *($AR6 = [2]SalmonProps!$G$2:$G$10001),0), 19))</f>
        <v>#N/A</v>
      </c>
      <c r="P6" s="165" t="e" cm="1">
        <f t="array" ref="P6">IF(ISBLANK($AQ6), "", INDEX([2]SalmonProps!$A$2:$AA$10001,MATCH(1,($A6=[2]SalmonProps!$A$2:$A$10001)*(2=[2]SalmonProps!$C$2:$C$10001)*(1=[2]SalmonProps!$D$2:$D$10001)*("A2" = [2]SalmonProps!$B$2:$B$10001)*($AP6 = [2]SalmonProps!$F$2:$F$10001) *($AR6 = [2]SalmonProps!$G$2:$G$10001),0), 19))</f>
        <v>#N/A</v>
      </c>
      <c r="Q6" s="168" t="e" cm="1">
        <f t="array" ref="Q6">IF(ISBLANK($AQ6), "", INDEX([2]SalmonProps!$A$2:$AA$10001,MATCH(1,($A6=[2]SalmonProps!$A$2:$A$10001)*(3=[2]SalmonProps!$C$2:$C$10001)*(1=[2]SalmonProps!$D$2:$D$10001)*("A2" = [2]SalmonProps!$B$2:$B$10001)*($AP6 = [2]SalmonProps!$F$2:$F$10001) *($AR6 = [2]SalmonProps!$G$2:$G$10001),0), 19))</f>
        <v>#N/A</v>
      </c>
      <c r="R6" s="164" t="str" cm="1">
        <f t="array" ref="R6">IF(ISBLANK($AQ6), "", INDEX([2]SalmonProps!$A$2:$AA$10001,MATCH(1,($A6=[2]SalmonProps!$A$2:$A$10001)*(1=[2]SalmonProps!$C$2:$C$10001)*(1=[2]SalmonProps!$D$2:$D$10001)*("A1" = [2]SalmonProps!$B$2:$B$10001)*($AP6 = [2]SalmonProps!$F$2:$F$10001) *($AR6 = [2]SalmonProps!$G$2:$G$10001),0), 18))</f>
        <v>NA</v>
      </c>
      <c r="S6" s="165" t="str" cm="1">
        <f t="array" ref="S6">IF(ISBLANK($AQ6), "", INDEX([2]SalmonProps!$A$2:$AA$10001,MATCH(1,($A6=[2]SalmonProps!$A$2:$A$10001)*(1=[2]SalmonProps!$C$2:$C$10001)*(2=[2]SalmonProps!$D$2:$D$10001)*("A1" = [2]SalmonProps!$B$2:$B$10001)*($AP6 = [2]SalmonProps!$F$2:$F$10001) *($AR6 = [2]SalmonProps!$G$2:$G$10001),0), 18))</f>
        <v>NA</v>
      </c>
      <c r="T6" s="165" t="str" cm="1">
        <f t="array" ref="T6">IF(ISBLANK($AQ6), "", INDEX([2]SalmonProps!$A$2:$AA$10001,MATCH(1,($A6=[2]SalmonProps!$A$2:$A$10001)*(1=[2]SalmonProps!$C$2:$C$10001)*("1&amp;2"=[2]SalmonProps!$D$2:$D$10001)*("A1" = [2]SalmonProps!$B$2:$B$10001)*($AP6 = [2]SalmonProps!$F$2:$F$10001) *($AR6 = [2]SalmonProps!$G$2:$G$10001),0), 18))</f>
        <v>NA</v>
      </c>
      <c r="U6" s="165" t="str" cm="1">
        <f t="array" ref="U6">IF(ISBLANK($AQ6), "", INDEX([2]SalmonProps!$A$2:$AA$10001,MATCH(1,($A6=[2]SalmonProps!$A$2:$A$10001)*(2=[2]SalmonProps!$C$2:$C$10001)*(3=[2]SalmonProps!$D$2:$D$10001)*("A1" = [2]SalmonProps!$B$2:$B$10001)*($AP6 = [2]SalmonProps!$F$2:$F$10001) *($AR6 = [2]SalmonProps!$G$2:$G$10001),0), 18))</f>
        <v>NA</v>
      </c>
      <c r="V6" s="181" t="str" cm="1">
        <f t="array" ref="V6">IF(ISBLANK($AQ6), "", INDEX([2]SalmonProps!$A$2:$AA$10001,MATCH(1,($A6=[2]SalmonProps!$A$2:$A$10001)*(3=[2]SalmonProps!$C$2:$C$10001)*(3=[2]SalmonProps!$D$2:$D$10001)*("A1" = [2]SalmonProps!$B$2:$B$10001)*($AP6 = [2]SalmonProps!$F$2:$F$10001) *($AR6 = [2]SalmonProps!$G$2:$G$10001),0), 18))</f>
        <v>NA</v>
      </c>
      <c r="W6" s="180" t="e" cm="1">
        <f t="array" ref="W6">IF(ISBLANK($AQ6), "", INDEX([2]SalmonProps!$A$2:$AA$10001,MATCH(1,($A6=[2]SalmonProps!$A$2:$A$10001)*(1=[2]SalmonProps!$C$2:$C$10001)*(1=[2]SalmonProps!$D$2:$D$10001)*("A2" = [2]SalmonProps!$B$2:$B$10001)*($AP6 = [2]SalmonProps!$F$2:$F$10001) *($AR6 = [2]SalmonProps!$G$2:$G$10001),0), 18))</f>
        <v>#N/A</v>
      </c>
      <c r="X6" s="165" t="e" cm="1">
        <f t="array" ref="X6">IF(ISBLANK($AQ6), "", INDEX([2]SalmonProps!$A$2:$AA$10001,MATCH(1,($A6=[2]SalmonProps!$A$2:$A$10001)*(2=[2]SalmonProps!$C$2:$C$10001)*(1=[2]SalmonProps!$D$2:$D$10001)*("A2" = [2]SalmonProps!$B$2:$B$10001)*($AP6 = [2]SalmonProps!$F$2:$F$10001) *($AR6 = [2]SalmonProps!$G$2:$G$10001),0), 18))</f>
        <v>#N/A</v>
      </c>
      <c r="Y6" s="168" t="e" cm="1">
        <f t="array" ref="Y6">IF(ISBLANK($AQ6), "", INDEX([2]SalmonProps!$A$2:$AA$10001,MATCH(1,($A6=[2]SalmonProps!$A$2:$A$10001)*(3=[2]SalmonProps!$C$2:$C$10001)*(1=[2]SalmonProps!$D$2:$D$10001)*("A2" = [2]SalmonProps!$B$2:$B$10001)*($AP6 = [2]SalmonProps!$F$2:$F$10001) *($AR6 = [2]SalmonProps!$G$2:$G$10001),0), 18))</f>
        <v>#N/A</v>
      </c>
      <c r="Z6" s="164" cm="1">
        <f t="array" ref="Z6">IF(ISBLANK($AQ6), "", INDEX([2]SalmonProps!$A$2:$AA$10001,MATCH(1,($A6=[2]SalmonProps!$A$2:$A$10001)*(1=[2]SalmonProps!$C$2:$C$10001)*(1=[2]SalmonProps!$D$2:$D$10001)*("A1" = [2]SalmonProps!$B$2:$B$10001)*($AP6 = [2]SalmonProps!$F$2:$F$10001) *($AR6 = [2]SalmonProps!$G$2:$G$10001),0), 15))</f>
        <v>6.0299999999999999E-2</v>
      </c>
      <c r="AA6" s="165" cm="1">
        <f t="array" ref="AA6">IF(ISBLANK($AQ6), "", INDEX([2]SalmonProps!$A$2:$AA$10001,MATCH(1,($A6=[2]SalmonProps!$A$2:$A$10001)*(1=[2]SalmonProps!$C$2:$C$10001)*(2=[2]SalmonProps!$D$2:$D$10001)*("A1" = [2]SalmonProps!$B$2:$B$10001)*($AP6 = [2]SalmonProps!$F$2:$F$10001) *($AR6 = [2]SalmonProps!$G$2:$G$10001),0), 15))</f>
        <v>1.9800000000000002E-2</v>
      </c>
      <c r="AB6" s="165" cm="1">
        <f t="array" ref="AB6">IF(ISBLANK($AQ6), "", INDEX([2]SalmonProps!$A$2:$AA$10001,MATCH(1,($A6=[2]SalmonProps!$A$2:$A$10001)*(1=[2]SalmonProps!$C$2:$C$10001)*("1&amp;2"=[2]SalmonProps!$D$2:$D$10001)*("A1" = [2]SalmonProps!$B$2:$B$10001)*($AP6 = [2]SalmonProps!$F$2:$F$10001) *($AR6 = [2]SalmonProps!$G$2:$G$10001),0), 15))</f>
        <v>4.3700000000000003E-2</v>
      </c>
      <c r="AC6" s="165" cm="1">
        <f t="array" ref="AC6">IF(ISBLANK($AQ6), "", INDEX([2]SalmonProps!$A$2:$AA$10001,MATCH(1,($A6=[2]SalmonProps!$A$2:$A$10001)*(2=[2]SalmonProps!$C$2:$C$10001)*(3=[2]SalmonProps!$D$2:$D$10001)*("A1" = [2]SalmonProps!$B$2:$B$10001)*($AP6 = [2]SalmonProps!$F$2:$F$10001) *($AR6 = [2]SalmonProps!$G$2:$G$10001),0), 15))</f>
        <v>0.15870000000000001</v>
      </c>
      <c r="AD6" s="181" cm="1">
        <f t="array" ref="AD6">IF(ISBLANK($AQ6), "", INDEX([2]SalmonProps!$A$2:$AA$10001,MATCH(1,($A6=[2]SalmonProps!$A$2:$A$10001)*(3=[2]SalmonProps!$C$2:$C$10001)*(3=[2]SalmonProps!$D$2:$D$10001)*("A1" = [2]SalmonProps!$B$2:$B$10001)*($AP6 = [2]SalmonProps!$F$2:$F$10001) *($AR6 = [2]SalmonProps!$G$2:$G$10001),0), 15))</f>
        <v>0.1351</v>
      </c>
      <c r="AE6" s="166">
        <v>6.3899999999999998E-2</v>
      </c>
      <c r="AF6" s="166">
        <v>6.3200000000000006E-2</v>
      </c>
      <c r="AG6" s="167">
        <v>0.23569999999999999</v>
      </c>
      <c r="AH6" s="173"/>
      <c r="AI6" s="183"/>
      <c r="AJ6" s="174" cm="1">
        <f t="array" ref="AJ6">IF(ISBLANK($AQ6), "", INDEX([2]SalmonProps!$A$2:$AA$10001,MATCH(1,($A6=[2]SalmonProps!$A$2:$A$10001)*($AP6 = [2]SalmonProps!$F$2:$F$10001) *($AR6 = [2]SalmonProps!$G$2:$G$10001),0), 20))</f>
        <v>61.4</v>
      </c>
      <c r="AK6" s="183" cm="1">
        <f t="array" ref="AK6">IF(ISBLANK($AQ6), "", INDEX([2]SalmonProps!$A$2:$AA$10001,MATCH(1,($A6=[2]SalmonProps!$A$2:$A$10001)*($AP6 = [2]SalmonProps!$F$2:$F$10001) *($AR6 = [2]SalmonProps!$G$2:$G$10001),0), 21))</f>
        <v>5</v>
      </c>
      <c r="AL6" s="174" cm="1">
        <f t="array" ref="AL6">IF(ISBLANK($AQ6), "", INDEX([2]SalmonProps!$A$2:$AA$10001,MATCH(1,($A6=[2]SalmonProps!$A$2:$A$10001)*($AP6 = [2]SalmonProps!$F$2:$F$10001) *($AR6 = [2]SalmonProps!$G$2:$G$10001),0), 22))</f>
        <v>75.099999999999994</v>
      </c>
      <c r="AM6" s="183" cm="1">
        <f t="array" ref="AM6">IF(ISBLANK($AQ6), "", INDEX([2]SalmonProps!$A$2:$AA$10001,MATCH(1,($A6=[2]SalmonProps!$A$2:$A$10001)*($AP6 = [2]SalmonProps!$F$2:$F$10001) *($AR6 = [2]SalmonProps!$G$2:$G$10001),0), 23))</f>
        <v>7.6</v>
      </c>
      <c r="AN6" s="174" t="str" cm="1">
        <f t="array" ref="AN6">IF(ISBLANK($AQ6), "", INDEX([2]SalmonProps!$A$2:$AA$10001,MATCH(1,($A6=[2]SalmonProps!$A$2:$A$10001)*($AP6 = [2]SalmonProps!$F$2:$F$10001) *($AR6 = [2]SalmonProps!$G$2:$G$10001),0), 26))</f>
        <v>NA</v>
      </c>
      <c r="AO6" s="175" t="str" cm="1">
        <f t="array" ref="AO6">IF(ISBLANK($AQ6), "", INDEX([2]SalmonProps!$A$2:$AA$10001,MATCH(1,($A6=[2]SalmonProps!$A$2:$A$10001)*($AP6 = [2]SalmonProps!$F$2:$F$10001) *($AR6 = [2]SalmonProps!$G$2:$G$10001),0), 27))</f>
        <v>NA</v>
      </c>
      <c r="AP6" s="112">
        <v>3</v>
      </c>
      <c r="AQ6" s="112" t="s">
        <v>133</v>
      </c>
      <c r="AR6" s="112" t="str">
        <f t="shared" ref="AR6:AR19" si="0">INDEX($AT$2:$AU$5, MATCH(AQ6,$AT$2:$AT$5, 0), 2)</f>
        <v>Unweighted</v>
      </c>
    </row>
    <row r="7" spans="1:47" x14ac:dyDescent="0.3">
      <c r="A7" s="20">
        <f>'[1]Passage Estimates'!$A7</f>
        <v>45109</v>
      </c>
      <c r="B7" s="164" cm="1">
        <f t="array" ref="B7">IF(ISBLANK($AQ7), "", INDEX([2]SalmonProps!$A$2:$AA$10001,MATCH(1,($A7=[2]SalmonProps!$A$2:$A$10001)*(1=[2]SalmonProps!$C$2:$C$10001)*(1=[2]SalmonProps!$D$2:$D$10001)*("A1" = [2]SalmonProps!$B$2:$B$10001)*($AP7 = [2]SalmonProps!$F$2:$F$10001) *($AR7 = [2]SalmonProps!$G$2:$G$10001),0), 17))</f>
        <v>0</v>
      </c>
      <c r="C7" s="165" cm="1">
        <f t="array" ref="C7">IF(ISBLANK($AQ7), "", INDEX([2]SalmonProps!$A$2:$AA$10001,MATCH(1,($A7=[2]SalmonProps!$A$2:$A$10001)*(1=[2]SalmonProps!$C$2:$C$10001)*(2=[2]SalmonProps!$D$2:$D$10001)*("A1" = [2]SalmonProps!$B$2:$B$10001)*($AP7 = [2]SalmonProps!$F$2:$F$10001) *($AR7 = [2]SalmonProps!$G$2:$G$10001),0), 17))</f>
        <v>0</v>
      </c>
      <c r="D7" s="165" cm="1">
        <f t="array" ref="D7">IF(ISBLANK($AQ7), "", INDEX([2]SalmonProps!$A$2:$AA$10001,MATCH(1,($A7=[2]SalmonProps!$A$2:$A$10001)*(1=[2]SalmonProps!$C$2:$C$10001)*("1&amp;2"=[2]SalmonProps!$D$2:$D$10001)*("A1" = [2]SalmonProps!$B$2:$B$10001)*($AP7 = [2]SalmonProps!$F$2:$F$10001) *($AR7 = [2]SalmonProps!$G$2:$G$10001),0), 17))</f>
        <v>0</v>
      </c>
      <c r="E7" s="181" cm="1">
        <f t="array" ref="E7">IF(ISBLANK($AQ7), "", INDEX([2]SalmonProps!$A$2:$AA$10001,MATCH(1,($A7=[2]SalmonProps!$A$2:$A$10001)*(2=[2]SalmonProps!$C$2:$C$10001)*(3=[2]SalmonProps!$D$2:$D$10001)*("A1" = [2]SalmonProps!$B$2:$B$10001)*($AP7 = [2]SalmonProps!$F$2:$F$10001) *($AR7 = [2]SalmonProps!$G$2:$G$10001),0), 17))</f>
        <v>3.04E-2</v>
      </c>
      <c r="F7" s="180" cm="1">
        <f t="array" ref="F7">IF(ISBLANK($AQ7), "", INDEX([2]SalmonProps!$A$2:$AA$10001,MATCH(1,($A7=[2]SalmonProps!$A$2:$A$10001)*(3=[2]SalmonProps!$C$2:$C$10001)*(3=[2]SalmonProps!$D$2:$D$10001)*("A1" = [2]SalmonProps!$B$2:$B$10001)*($AP7 = [2]SalmonProps!$F$2:$F$10001) *($AR7 = [2]SalmonProps!$G$2:$G$10001),0), 17))</f>
        <v>0.224</v>
      </c>
      <c r="G7" s="166">
        <v>0</v>
      </c>
      <c r="H7" s="166">
        <v>3.3300000000000003E-2</v>
      </c>
      <c r="I7" s="167">
        <v>6.9400000000000003E-2</v>
      </c>
      <c r="J7" s="164" t="str" cm="1">
        <f t="array" ref="J7">IF(ISBLANK($AQ7), "", INDEX([2]SalmonProps!$A$2:$AA$10001,MATCH(1,($A7=[2]SalmonProps!$A$2:$A$10001)*(1=[2]SalmonProps!$C$2:$C$10001)*(1=[2]SalmonProps!$D$2:$D$10001)*("A1" = [2]SalmonProps!$B$2:$B$10001)*($AP7 = [2]SalmonProps!$F$2:$F$10001) *($AR7 = [2]SalmonProps!$G$2:$G$10001),0), 19))</f>
        <v>NA</v>
      </c>
      <c r="K7" s="165" t="str" cm="1">
        <f t="array" ref="K7">IF(ISBLANK($AQ7), "", INDEX([2]SalmonProps!$A$2:$AA$10001,MATCH(1,($A7=[2]SalmonProps!$A$2:$A$10001)*(1=[2]SalmonProps!$C$2:$C$10001)*(2=[2]SalmonProps!$D$2:$D$10001)*("A1" = [2]SalmonProps!$B$2:$B$10001)*($AP7 = [2]SalmonProps!$F$2:$F$10001) *($AR7 = [2]SalmonProps!$G$2:$G$10001),0), 19))</f>
        <v>NA</v>
      </c>
      <c r="L7" s="165" t="str" cm="1">
        <f t="array" ref="L7">IF(ISBLANK($AQ7), "", INDEX([2]SalmonProps!$A$2:$AA$10001,MATCH(1,($A7=[2]SalmonProps!$A$2:$A$10001)*(1=[2]SalmonProps!$C$2:$C$10001)*("1&amp;2"=[2]SalmonProps!$D$2:$D$10001)*("A1" = [2]SalmonProps!$B$2:$B$10001)*($AP7 = [2]SalmonProps!$F$2:$F$10001) *($AR7 = [2]SalmonProps!$G$2:$G$10001),0), 19))</f>
        <v>NA</v>
      </c>
      <c r="M7" s="165" t="str" cm="1">
        <f t="array" ref="M7">IF(ISBLANK($AQ7), "", INDEX([2]SalmonProps!$A$2:$AA$10001,MATCH(1,($A7=[2]SalmonProps!$A$2:$A$10001)*(2=[2]SalmonProps!$C$2:$C$10001)*(3=[2]SalmonProps!$D$2:$D$10001)*("A1" = [2]SalmonProps!$B$2:$B$10001)*($AP7 = [2]SalmonProps!$F$2:$F$10001) *($AR7 = [2]SalmonProps!$G$2:$G$10001),0), 19))</f>
        <v>NA</v>
      </c>
      <c r="N7" s="181" t="str" cm="1">
        <f t="array" ref="N7">IF(ISBLANK($AQ7), "", INDEX([2]SalmonProps!$A$2:$AA$10001,MATCH(1,($A7=[2]SalmonProps!$A$2:$A$10001)*(3=[2]SalmonProps!$C$2:$C$10001)*(3=[2]SalmonProps!$D$2:$D$10001)*("A1" = [2]SalmonProps!$B$2:$B$10001)*($AP7 = [2]SalmonProps!$F$2:$F$10001) *($AR7 = [2]SalmonProps!$G$2:$G$10001),0), 19))</f>
        <v>NA</v>
      </c>
      <c r="O7" s="165" t="e" cm="1">
        <f t="array" ref="O7">IF(ISBLANK($AQ7), "", INDEX([2]SalmonProps!$A$2:$AA$10001,MATCH(1,($A7=[2]SalmonProps!$A$2:$A$10001)*(1=[2]SalmonProps!$C$2:$C$10001)*(1=[2]SalmonProps!$D$2:$D$10001)*("A2" = [2]SalmonProps!$B$2:$B$10001)*($AP7 = [2]SalmonProps!$F$2:$F$10001) *($AR7 = [2]SalmonProps!$G$2:$G$10001),0), 19))</f>
        <v>#N/A</v>
      </c>
      <c r="P7" s="165" t="e" cm="1">
        <f t="array" ref="P7">IF(ISBLANK($AQ7), "", INDEX([2]SalmonProps!$A$2:$AA$10001,MATCH(1,($A7=[2]SalmonProps!$A$2:$A$10001)*(2=[2]SalmonProps!$C$2:$C$10001)*(1=[2]SalmonProps!$D$2:$D$10001)*("A2" = [2]SalmonProps!$B$2:$B$10001)*($AP7 = [2]SalmonProps!$F$2:$F$10001) *($AR7 = [2]SalmonProps!$G$2:$G$10001),0), 19))</f>
        <v>#N/A</v>
      </c>
      <c r="Q7" s="168" t="e" cm="1">
        <f t="array" ref="Q7">IF(ISBLANK($AQ7), "", INDEX([2]SalmonProps!$A$2:$AA$10001,MATCH(1,($A7=[2]SalmonProps!$A$2:$A$10001)*(3=[2]SalmonProps!$C$2:$C$10001)*(1=[2]SalmonProps!$D$2:$D$10001)*("A2" = [2]SalmonProps!$B$2:$B$10001)*($AP7 = [2]SalmonProps!$F$2:$F$10001) *($AR7 = [2]SalmonProps!$G$2:$G$10001),0), 19))</f>
        <v>#N/A</v>
      </c>
      <c r="R7" s="164" t="str" cm="1">
        <f t="array" ref="R7">IF(ISBLANK($AQ7), "", INDEX([2]SalmonProps!$A$2:$AA$10001,MATCH(1,($A7=[2]SalmonProps!$A$2:$A$10001)*(1=[2]SalmonProps!$C$2:$C$10001)*(1=[2]SalmonProps!$D$2:$D$10001)*("A1" = [2]SalmonProps!$B$2:$B$10001)*($AP7 = [2]SalmonProps!$F$2:$F$10001) *($AR7 = [2]SalmonProps!$G$2:$G$10001),0), 18))</f>
        <v>NA</v>
      </c>
      <c r="S7" s="165" t="str" cm="1">
        <f t="array" ref="S7">IF(ISBLANK($AQ7), "", INDEX([2]SalmonProps!$A$2:$AA$10001,MATCH(1,($A7=[2]SalmonProps!$A$2:$A$10001)*(1=[2]SalmonProps!$C$2:$C$10001)*(2=[2]SalmonProps!$D$2:$D$10001)*("A1" = [2]SalmonProps!$B$2:$B$10001)*($AP7 = [2]SalmonProps!$F$2:$F$10001) *($AR7 = [2]SalmonProps!$G$2:$G$10001),0), 18))</f>
        <v>NA</v>
      </c>
      <c r="T7" s="165" t="str" cm="1">
        <f t="array" ref="T7">IF(ISBLANK($AQ7), "", INDEX([2]SalmonProps!$A$2:$AA$10001,MATCH(1,($A7=[2]SalmonProps!$A$2:$A$10001)*(1=[2]SalmonProps!$C$2:$C$10001)*("1&amp;2"=[2]SalmonProps!$D$2:$D$10001)*("A1" = [2]SalmonProps!$B$2:$B$10001)*($AP7 = [2]SalmonProps!$F$2:$F$10001) *($AR7 = [2]SalmonProps!$G$2:$G$10001),0), 18))</f>
        <v>NA</v>
      </c>
      <c r="U7" s="165" t="str" cm="1">
        <f t="array" ref="U7">IF(ISBLANK($AQ7), "", INDEX([2]SalmonProps!$A$2:$AA$10001,MATCH(1,($A7=[2]SalmonProps!$A$2:$A$10001)*(2=[2]SalmonProps!$C$2:$C$10001)*(3=[2]SalmonProps!$D$2:$D$10001)*("A1" = [2]SalmonProps!$B$2:$B$10001)*($AP7 = [2]SalmonProps!$F$2:$F$10001) *($AR7 = [2]SalmonProps!$G$2:$G$10001),0), 18))</f>
        <v>NA</v>
      </c>
      <c r="V7" s="181" t="str" cm="1">
        <f t="array" ref="V7">IF(ISBLANK($AQ7), "", INDEX([2]SalmonProps!$A$2:$AA$10001,MATCH(1,($A7=[2]SalmonProps!$A$2:$A$10001)*(3=[2]SalmonProps!$C$2:$C$10001)*(3=[2]SalmonProps!$D$2:$D$10001)*("A1" = [2]SalmonProps!$B$2:$B$10001)*($AP7 = [2]SalmonProps!$F$2:$F$10001) *($AR7 = [2]SalmonProps!$G$2:$G$10001),0), 18))</f>
        <v>NA</v>
      </c>
      <c r="W7" s="180" t="e" cm="1">
        <f t="array" ref="W7">IF(ISBLANK($AQ7), "", INDEX([2]SalmonProps!$A$2:$AA$10001,MATCH(1,($A7=[2]SalmonProps!$A$2:$A$10001)*(1=[2]SalmonProps!$C$2:$C$10001)*(1=[2]SalmonProps!$D$2:$D$10001)*("A2" = [2]SalmonProps!$B$2:$B$10001)*($AP7 = [2]SalmonProps!$F$2:$F$10001) *($AR7 = [2]SalmonProps!$G$2:$G$10001),0), 18))</f>
        <v>#N/A</v>
      </c>
      <c r="X7" s="165" t="e" cm="1">
        <f t="array" ref="X7">IF(ISBLANK($AQ7), "", INDEX([2]SalmonProps!$A$2:$AA$10001,MATCH(1,($A7=[2]SalmonProps!$A$2:$A$10001)*(2=[2]SalmonProps!$C$2:$C$10001)*(1=[2]SalmonProps!$D$2:$D$10001)*("A2" = [2]SalmonProps!$B$2:$B$10001)*($AP7 = [2]SalmonProps!$F$2:$F$10001) *($AR7 = [2]SalmonProps!$G$2:$G$10001),0), 18))</f>
        <v>#N/A</v>
      </c>
      <c r="Y7" s="168" t="e" cm="1">
        <f t="array" ref="Y7">IF(ISBLANK($AQ7), "", INDEX([2]SalmonProps!$A$2:$AA$10001,MATCH(1,($A7=[2]SalmonProps!$A$2:$A$10001)*(3=[2]SalmonProps!$C$2:$C$10001)*(1=[2]SalmonProps!$D$2:$D$10001)*("A2" = [2]SalmonProps!$B$2:$B$10001)*($AP7 = [2]SalmonProps!$F$2:$F$10001) *($AR7 = [2]SalmonProps!$G$2:$G$10001),0), 18))</f>
        <v>#N/A</v>
      </c>
      <c r="Z7" s="164" cm="1">
        <f t="array" ref="Z7">IF(ISBLANK($AQ7), "", INDEX([2]SalmonProps!$A$2:$AA$10001,MATCH(1,($A7=[2]SalmonProps!$A$2:$A$10001)*(1=[2]SalmonProps!$C$2:$C$10001)*(1=[2]SalmonProps!$D$2:$D$10001)*("A1" = [2]SalmonProps!$B$2:$B$10001)*($AP7 = [2]SalmonProps!$F$2:$F$10001) *($AR7 = [2]SalmonProps!$G$2:$G$10001),0), 15))</f>
        <v>7.6100000000000001E-2</v>
      </c>
      <c r="AA7" s="165" cm="1">
        <f t="array" ref="AA7">IF(ISBLANK($AQ7), "", INDEX([2]SalmonProps!$A$2:$AA$10001,MATCH(1,($A7=[2]SalmonProps!$A$2:$A$10001)*(1=[2]SalmonProps!$C$2:$C$10001)*(2=[2]SalmonProps!$D$2:$D$10001)*("A1" = [2]SalmonProps!$B$2:$B$10001)*($AP7 = [2]SalmonProps!$F$2:$F$10001) *($AR7 = [2]SalmonProps!$G$2:$G$10001),0), 15))</f>
        <v>1.8200000000000001E-2</v>
      </c>
      <c r="AB7" s="165" cm="1">
        <f t="array" ref="AB7">IF(ISBLANK($AQ7), "", INDEX([2]SalmonProps!$A$2:$AA$10001,MATCH(1,($A7=[2]SalmonProps!$A$2:$A$10001)*(1=[2]SalmonProps!$C$2:$C$10001)*("1&amp;2"=[2]SalmonProps!$D$2:$D$10001)*("A1" = [2]SalmonProps!$B$2:$B$10001)*($AP7 = [2]SalmonProps!$F$2:$F$10001) *($AR7 = [2]SalmonProps!$G$2:$G$10001),0), 15))</f>
        <v>4.8099999999999997E-2</v>
      </c>
      <c r="AC7" s="165" cm="1">
        <f t="array" ref="AC7">IF(ISBLANK($AQ7), "", INDEX([2]SalmonProps!$A$2:$AA$10001,MATCH(1,($A7=[2]SalmonProps!$A$2:$A$10001)*(2=[2]SalmonProps!$C$2:$C$10001)*(3=[2]SalmonProps!$D$2:$D$10001)*("A1" = [2]SalmonProps!$B$2:$B$10001)*($AP7 = [2]SalmonProps!$F$2:$F$10001) *($AR7 = [2]SalmonProps!$G$2:$G$10001),0), 15))</f>
        <v>0.15870000000000001</v>
      </c>
      <c r="AD7" s="181" cm="1">
        <f t="array" ref="AD7">IF(ISBLANK($AQ7), "", INDEX([2]SalmonProps!$A$2:$AA$10001,MATCH(1,($A7=[2]SalmonProps!$A$2:$A$10001)*(3=[2]SalmonProps!$C$2:$C$10001)*(3=[2]SalmonProps!$D$2:$D$10001)*("A1" = [2]SalmonProps!$B$2:$B$10001)*($AP7 = [2]SalmonProps!$F$2:$F$10001) *($AR7 = [2]SalmonProps!$G$2:$G$10001),0), 15))</f>
        <v>0.35470000000000002</v>
      </c>
      <c r="AE7" s="166">
        <v>6.3899999999999998E-2</v>
      </c>
      <c r="AF7" s="166">
        <v>6.3200000000000006E-2</v>
      </c>
      <c r="AG7" s="167">
        <v>0.23569999999999999</v>
      </c>
      <c r="AH7" s="173"/>
      <c r="AI7" s="183"/>
      <c r="AJ7" s="174" cm="1">
        <f t="array" ref="AJ7">IF(ISBLANK($AQ7), "", INDEX([2]SalmonProps!$A$2:$AA$10001,MATCH(1,($A7=[2]SalmonProps!$A$2:$A$10001)*($AP7 = [2]SalmonProps!$F$2:$F$10001) *($AR7 = [2]SalmonProps!$G$2:$G$10001),0), 20))</f>
        <v>61.4</v>
      </c>
      <c r="AK7" s="183" cm="1">
        <f t="array" ref="AK7">IF(ISBLANK($AQ7), "", INDEX([2]SalmonProps!$A$2:$AA$10001,MATCH(1,($A7=[2]SalmonProps!$A$2:$A$10001)*($AP7 = [2]SalmonProps!$F$2:$F$10001) *($AR7 = [2]SalmonProps!$G$2:$G$10001),0), 21))</f>
        <v>5</v>
      </c>
      <c r="AL7" s="174" cm="1">
        <f t="array" ref="AL7">IF(ISBLANK($AQ7), "", INDEX([2]SalmonProps!$A$2:$AA$10001,MATCH(1,($A7=[2]SalmonProps!$A$2:$A$10001)*($AP7 = [2]SalmonProps!$F$2:$F$10001) *($AR7 = [2]SalmonProps!$G$2:$G$10001),0), 22))</f>
        <v>75.099999999999994</v>
      </c>
      <c r="AM7" s="183" cm="1">
        <f t="array" ref="AM7">IF(ISBLANK($AQ7), "", INDEX([2]SalmonProps!$A$2:$AA$10001,MATCH(1,($A7=[2]SalmonProps!$A$2:$A$10001)*($AP7 = [2]SalmonProps!$F$2:$F$10001) *($AR7 = [2]SalmonProps!$G$2:$G$10001),0), 23))</f>
        <v>7.6</v>
      </c>
      <c r="AN7" s="174" t="str" cm="1">
        <f t="array" ref="AN7">IF(ISBLANK($AQ7), "", INDEX([2]SalmonProps!$A$2:$AA$10001,MATCH(1,($A7=[2]SalmonProps!$A$2:$A$10001)*($AP7 = [2]SalmonProps!$F$2:$F$10001) *($AR7 = [2]SalmonProps!$G$2:$G$10001),0), 26))</f>
        <v>NA</v>
      </c>
      <c r="AO7" s="175" t="str" cm="1">
        <f t="array" ref="AO7">IF(ISBLANK($AQ7), "", INDEX([2]SalmonProps!$A$2:$AA$10001,MATCH(1,($A7=[2]SalmonProps!$A$2:$A$10001)*($AP7 = [2]SalmonProps!$F$2:$F$10001) *($AR7 = [2]SalmonProps!$G$2:$G$10001),0), 27))</f>
        <v>NA</v>
      </c>
      <c r="AP7" s="112">
        <v>3</v>
      </c>
      <c r="AQ7" s="112" t="s">
        <v>133</v>
      </c>
      <c r="AR7" s="112" t="str">
        <f t="shared" si="0"/>
        <v>Unweighted</v>
      </c>
    </row>
    <row r="8" spans="1:47" x14ac:dyDescent="0.3">
      <c r="A8" s="20">
        <f>'[1]Passage Estimates'!$A8</f>
        <v>45110</v>
      </c>
      <c r="B8" s="164" cm="1">
        <f t="array" ref="B8">IF(ISBLANK($AQ8), "", INDEX([2]SalmonProps!$A$2:$AA$10001,MATCH(1,($A8=[2]SalmonProps!$A$2:$A$10001)*(1=[2]SalmonProps!$C$2:$C$10001)*(1=[2]SalmonProps!$D$2:$D$10001)*("A1" = [2]SalmonProps!$B$2:$B$10001)*($AP8 = [2]SalmonProps!$F$2:$F$10001) *($AR8 = [2]SalmonProps!$G$2:$G$10001),0), 17))</f>
        <v>1.2E-2</v>
      </c>
      <c r="C8" s="165" cm="1">
        <f t="array" ref="C8">IF(ISBLANK($AQ8), "", INDEX([2]SalmonProps!$A$2:$AA$10001,MATCH(1,($A8=[2]SalmonProps!$A$2:$A$10001)*(1=[2]SalmonProps!$C$2:$C$10001)*(2=[2]SalmonProps!$D$2:$D$10001)*("A1" = [2]SalmonProps!$B$2:$B$10001)*($AP8 = [2]SalmonProps!$F$2:$F$10001) *($AR8 = [2]SalmonProps!$G$2:$G$10001),0), 17))</f>
        <v>0</v>
      </c>
      <c r="D8" s="165" cm="1">
        <f t="array" ref="D8">IF(ISBLANK($AQ8), "", INDEX([2]SalmonProps!$A$2:$AA$10001,MATCH(1,($A8=[2]SalmonProps!$A$2:$A$10001)*(1=[2]SalmonProps!$C$2:$C$10001)*("1&amp;2"=[2]SalmonProps!$D$2:$D$10001)*("A1" = [2]SalmonProps!$B$2:$B$10001)*($AP8 = [2]SalmonProps!$F$2:$F$10001) *($AR8 = [2]SalmonProps!$G$2:$G$10001),0), 17))</f>
        <v>3.7000000000000002E-3</v>
      </c>
      <c r="E8" s="181" cm="1">
        <f t="array" ref="E8">IF(ISBLANK($AQ8), "", INDEX([2]SalmonProps!$A$2:$AA$10001,MATCH(1,($A8=[2]SalmonProps!$A$2:$A$10001)*(2=[2]SalmonProps!$C$2:$C$10001)*(3=[2]SalmonProps!$D$2:$D$10001)*("A1" = [2]SalmonProps!$B$2:$B$10001)*($AP8 = [2]SalmonProps!$F$2:$F$10001) *($AR8 = [2]SalmonProps!$G$2:$G$10001),0), 17))</f>
        <v>3.5799999999999998E-2</v>
      </c>
      <c r="F8" s="180" cm="1">
        <f t="array" ref="F8">IF(ISBLANK($AQ8), "", INDEX([2]SalmonProps!$A$2:$AA$10001,MATCH(1,($A8=[2]SalmonProps!$A$2:$A$10001)*(3=[2]SalmonProps!$C$2:$C$10001)*(3=[2]SalmonProps!$D$2:$D$10001)*("A1" = [2]SalmonProps!$B$2:$B$10001)*($AP8 = [2]SalmonProps!$F$2:$F$10001) *($AR8 = [2]SalmonProps!$G$2:$G$10001),0), 17))</f>
        <v>0.23180000000000001</v>
      </c>
      <c r="G8" s="166">
        <v>0</v>
      </c>
      <c r="H8" s="166">
        <v>3.3300000000000003E-2</v>
      </c>
      <c r="I8" s="167">
        <v>6.9400000000000003E-2</v>
      </c>
      <c r="J8" s="164" t="str" cm="1">
        <f t="array" ref="J8">IF(ISBLANK($AQ8), "", INDEX([2]SalmonProps!$A$2:$AA$10001,MATCH(1,($A8=[2]SalmonProps!$A$2:$A$10001)*(1=[2]SalmonProps!$C$2:$C$10001)*(1=[2]SalmonProps!$D$2:$D$10001)*("A1" = [2]SalmonProps!$B$2:$B$10001)*($AP8 = [2]SalmonProps!$F$2:$F$10001) *($AR8 = [2]SalmonProps!$G$2:$G$10001),0), 19))</f>
        <v>NA</v>
      </c>
      <c r="K8" s="165" t="str" cm="1">
        <f t="array" ref="K8">IF(ISBLANK($AQ8), "", INDEX([2]SalmonProps!$A$2:$AA$10001,MATCH(1,($A8=[2]SalmonProps!$A$2:$A$10001)*(1=[2]SalmonProps!$C$2:$C$10001)*(2=[2]SalmonProps!$D$2:$D$10001)*("A1" = [2]SalmonProps!$B$2:$B$10001)*($AP8 = [2]SalmonProps!$F$2:$F$10001) *($AR8 = [2]SalmonProps!$G$2:$G$10001),0), 19))</f>
        <v>NA</v>
      </c>
      <c r="L8" s="165" t="str" cm="1">
        <f t="array" ref="L8">IF(ISBLANK($AQ8), "", INDEX([2]SalmonProps!$A$2:$AA$10001,MATCH(1,($A8=[2]SalmonProps!$A$2:$A$10001)*(1=[2]SalmonProps!$C$2:$C$10001)*("1&amp;2"=[2]SalmonProps!$D$2:$D$10001)*("A1" = [2]SalmonProps!$B$2:$B$10001)*($AP8 = [2]SalmonProps!$F$2:$F$10001) *($AR8 = [2]SalmonProps!$G$2:$G$10001),0), 19))</f>
        <v>NA</v>
      </c>
      <c r="M8" s="165" t="str" cm="1">
        <f t="array" ref="M8">IF(ISBLANK($AQ8), "", INDEX([2]SalmonProps!$A$2:$AA$10001,MATCH(1,($A8=[2]SalmonProps!$A$2:$A$10001)*(2=[2]SalmonProps!$C$2:$C$10001)*(3=[2]SalmonProps!$D$2:$D$10001)*("A1" = [2]SalmonProps!$B$2:$B$10001)*($AP8 = [2]SalmonProps!$F$2:$F$10001) *($AR8 = [2]SalmonProps!$G$2:$G$10001),0), 19))</f>
        <v>NA</v>
      </c>
      <c r="N8" s="181" t="str" cm="1">
        <f t="array" ref="N8">IF(ISBLANK($AQ8), "", INDEX([2]SalmonProps!$A$2:$AA$10001,MATCH(1,($A8=[2]SalmonProps!$A$2:$A$10001)*(3=[2]SalmonProps!$C$2:$C$10001)*(3=[2]SalmonProps!$D$2:$D$10001)*("A1" = [2]SalmonProps!$B$2:$B$10001)*($AP8 = [2]SalmonProps!$F$2:$F$10001) *($AR8 = [2]SalmonProps!$G$2:$G$10001),0), 19))</f>
        <v>NA</v>
      </c>
      <c r="O8" s="165" t="e" cm="1">
        <f t="array" ref="O8">IF(ISBLANK($AQ8), "", INDEX([2]SalmonProps!$A$2:$AA$10001,MATCH(1,($A8=[2]SalmonProps!$A$2:$A$10001)*(1=[2]SalmonProps!$C$2:$C$10001)*(1=[2]SalmonProps!$D$2:$D$10001)*("A2" = [2]SalmonProps!$B$2:$B$10001)*($AP8 = [2]SalmonProps!$F$2:$F$10001) *($AR8 = [2]SalmonProps!$G$2:$G$10001),0), 19))</f>
        <v>#N/A</v>
      </c>
      <c r="P8" s="165" t="e" cm="1">
        <f t="array" ref="P8">IF(ISBLANK($AQ8), "", INDEX([2]SalmonProps!$A$2:$AA$10001,MATCH(1,($A8=[2]SalmonProps!$A$2:$A$10001)*(2=[2]SalmonProps!$C$2:$C$10001)*(1=[2]SalmonProps!$D$2:$D$10001)*("A2" = [2]SalmonProps!$B$2:$B$10001)*($AP8 = [2]SalmonProps!$F$2:$F$10001) *($AR8 = [2]SalmonProps!$G$2:$G$10001),0), 19))</f>
        <v>#N/A</v>
      </c>
      <c r="Q8" s="168" t="e" cm="1">
        <f t="array" ref="Q8">IF(ISBLANK($AQ8), "", INDEX([2]SalmonProps!$A$2:$AA$10001,MATCH(1,($A8=[2]SalmonProps!$A$2:$A$10001)*(3=[2]SalmonProps!$C$2:$C$10001)*(1=[2]SalmonProps!$D$2:$D$10001)*("A2" = [2]SalmonProps!$B$2:$B$10001)*($AP8 = [2]SalmonProps!$F$2:$F$10001) *($AR8 = [2]SalmonProps!$G$2:$G$10001),0), 19))</f>
        <v>#N/A</v>
      </c>
      <c r="R8" s="164" t="str" cm="1">
        <f t="array" ref="R8">IF(ISBLANK($AQ8), "", INDEX([2]SalmonProps!$A$2:$AA$10001,MATCH(1,($A8=[2]SalmonProps!$A$2:$A$10001)*(1=[2]SalmonProps!$C$2:$C$10001)*(1=[2]SalmonProps!$D$2:$D$10001)*("A1" = [2]SalmonProps!$B$2:$B$10001)*($AP8 = [2]SalmonProps!$F$2:$F$10001) *($AR8 = [2]SalmonProps!$G$2:$G$10001),0), 18))</f>
        <v>NA</v>
      </c>
      <c r="S8" s="165" t="str" cm="1">
        <f t="array" ref="S8">IF(ISBLANK($AQ8), "", INDEX([2]SalmonProps!$A$2:$AA$10001,MATCH(1,($A8=[2]SalmonProps!$A$2:$A$10001)*(1=[2]SalmonProps!$C$2:$C$10001)*(2=[2]SalmonProps!$D$2:$D$10001)*("A1" = [2]SalmonProps!$B$2:$B$10001)*($AP8 = [2]SalmonProps!$F$2:$F$10001) *($AR8 = [2]SalmonProps!$G$2:$G$10001),0), 18))</f>
        <v>NA</v>
      </c>
      <c r="T8" s="165" t="str" cm="1">
        <f t="array" ref="T8">IF(ISBLANK($AQ8), "", INDEX([2]SalmonProps!$A$2:$AA$10001,MATCH(1,($A8=[2]SalmonProps!$A$2:$A$10001)*(1=[2]SalmonProps!$C$2:$C$10001)*("1&amp;2"=[2]SalmonProps!$D$2:$D$10001)*("A1" = [2]SalmonProps!$B$2:$B$10001)*($AP8 = [2]SalmonProps!$F$2:$F$10001) *($AR8 = [2]SalmonProps!$G$2:$G$10001),0), 18))</f>
        <v>NA</v>
      </c>
      <c r="U8" s="165" t="str" cm="1">
        <f t="array" ref="U8">IF(ISBLANK($AQ8), "", INDEX([2]SalmonProps!$A$2:$AA$10001,MATCH(1,($A8=[2]SalmonProps!$A$2:$A$10001)*(2=[2]SalmonProps!$C$2:$C$10001)*(3=[2]SalmonProps!$D$2:$D$10001)*("A1" = [2]SalmonProps!$B$2:$B$10001)*($AP8 = [2]SalmonProps!$F$2:$F$10001) *($AR8 = [2]SalmonProps!$G$2:$G$10001),0), 18))</f>
        <v>NA</v>
      </c>
      <c r="V8" s="181" t="str" cm="1">
        <f t="array" ref="V8">IF(ISBLANK($AQ8), "", INDEX([2]SalmonProps!$A$2:$AA$10001,MATCH(1,($A8=[2]SalmonProps!$A$2:$A$10001)*(3=[2]SalmonProps!$C$2:$C$10001)*(3=[2]SalmonProps!$D$2:$D$10001)*("A1" = [2]SalmonProps!$B$2:$B$10001)*($AP8 = [2]SalmonProps!$F$2:$F$10001) *($AR8 = [2]SalmonProps!$G$2:$G$10001),0), 18))</f>
        <v>NA</v>
      </c>
      <c r="W8" s="180" t="e" cm="1">
        <f t="array" ref="W8">IF(ISBLANK($AQ8), "", INDEX([2]SalmonProps!$A$2:$AA$10001,MATCH(1,($A8=[2]SalmonProps!$A$2:$A$10001)*(1=[2]SalmonProps!$C$2:$C$10001)*(1=[2]SalmonProps!$D$2:$D$10001)*("A2" = [2]SalmonProps!$B$2:$B$10001)*($AP8 = [2]SalmonProps!$F$2:$F$10001) *($AR8 = [2]SalmonProps!$G$2:$G$10001),0), 18))</f>
        <v>#N/A</v>
      </c>
      <c r="X8" s="165" t="e" cm="1">
        <f t="array" ref="X8">IF(ISBLANK($AQ8), "", INDEX([2]SalmonProps!$A$2:$AA$10001,MATCH(1,($A8=[2]SalmonProps!$A$2:$A$10001)*(2=[2]SalmonProps!$C$2:$C$10001)*(1=[2]SalmonProps!$D$2:$D$10001)*("A2" = [2]SalmonProps!$B$2:$B$10001)*($AP8 = [2]SalmonProps!$F$2:$F$10001) *($AR8 = [2]SalmonProps!$G$2:$G$10001),0), 18))</f>
        <v>#N/A</v>
      </c>
      <c r="Y8" s="168" t="e" cm="1">
        <f t="array" ref="Y8">IF(ISBLANK($AQ8), "", INDEX([2]SalmonProps!$A$2:$AA$10001,MATCH(1,($A8=[2]SalmonProps!$A$2:$A$10001)*(3=[2]SalmonProps!$C$2:$C$10001)*(1=[2]SalmonProps!$D$2:$D$10001)*("A2" = [2]SalmonProps!$B$2:$B$10001)*($AP8 = [2]SalmonProps!$F$2:$F$10001) *($AR8 = [2]SalmonProps!$G$2:$G$10001),0), 18))</f>
        <v>#N/A</v>
      </c>
      <c r="Z8" s="164" cm="1">
        <f t="array" ref="Z8">IF(ISBLANK($AQ8), "", INDEX([2]SalmonProps!$A$2:$AA$10001,MATCH(1,($A8=[2]SalmonProps!$A$2:$A$10001)*(1=[2]SalmonProps!$C$2:$C$10001)*(1=[2]SalmonProps!$D$2:$D$10001)*("A1" = [2]SalmonProps!$B$2:$B$10001)*($AP8 = [2]SalmonProps!$F$2:$F$10001) *($AR8 = [2]SalmonProps!$G$2:$G$10001),0), 15))</f>
        <v>1.2E-2</v>
      </c>
      <c r="AA8" s="165" cm="1">
        <f t="array" ref="AA8">IF(ISBLANK($AQ8), "", INDEX([2]SalmonProps!$A$2:$AA$10001,MATCH(1,($A8=[2]SalmonProps!$A$2:$A$10001)*(1=[2]SalmonProps!$C$2:$C$10001)*(2=[2]SalmonProps!$D$2:$D$10001)*("A1" = [2]SalmonProps!$B$2:$B$10001)*($AP8 = [2]SalmonProps!$F$2:$F$10001) *($AR8 = [2]SalmonProps!$G$2:$G$10001),0), 15))</f>
        <v>7.1999999999999998E-3</v>
      </c>
      <c r="AB8" s="165" cm="1">
        <f t="array" ref="AB8">IF(ISBLANK($AQ8), "", INDEX([2]SalmonProps!$A$2:$AA$10001,MATCH(1,($A8=[2]SalmonProps!$A$2:$A$10001)*(1=[2]SalmonProps!$C$2:$C$10001)*("1&amp;2"=[2]SalmonProps!$D$2:$D$10001)*("A1" = [2]SalmonProps!$B$2:$B$10001)*($AP8 = [2]SalmonProps!$F$2:$F$10001) *($AR8 = [2]SalmonProps!$G$2:$G$10001),0), 15))</f>
        <v>7.4999999999999997E-3</v>
      </c>
      <c r="AC8" s="165" cm="1">
        <f t="array" ref="AC8">IF(ISBLANK($AQ8), "", INDEX([2]SalmonProps!$A$2:$AA$10001,MATCH(1,($A8=[2]SalmonProps!$A$2:$A$10001)*(2=[2]SalmonProps!$C$2:$C$10001)*(3=[2]SalmonProps!$D$2:$D$10001)*("A1" = [2]SalmonProps!$B$2:$B$10001)*($AP8 = [2]SalmonProps!$F$2:$F$10001) *($AR8 = [2]SalmonProps!$G$2:$G$10001),0), 15))</f>
        <v>0.1132</v>
      </c>
      <c r="AD8" s="181" cm="1">
        <f t="array" ref="AD8">IF(ISBLANK($AQ8), "", INDEX([2]SalmonProps!$A$2:$AA$10001,MATCH(1,($A8=[2]SalmonProps!$A$2:$A$10001)*(3=[2]SalmonProps!$C$2:$C$10001)*(3=[2]SalmonProps!$D$2:$D$10001)*("A1" = [2]SalmonProps!$B$2:$B$10001)*($AP8 = [2]SalmonProps!$F$2:$F$10001) *($AR8 = [2]SalmonProps!$G$2:$G$10001),0), 15))</f>
        <v>0.27939999999999998</v>
      </c>
      <c r="AE8" s="166">
        <v>6.3899999999999998E-2</v>
      </c>
      <c r="AF8" s="166">
        <v>6.3200000000000006E-2</v>
      </c>
      <c r="AG8" s="167">
        <v>0.23569999999999999</v>
      </c>
      <c r="AH8" s="173"/>
      <c r="AI8" s="183"/>
      <c r="AJ8" s="174" cm="1">
        <f t="array" ref="AJ8">IF(ISBLANK($AQ8), "", INDEX([2]SalmonProps!$A$2:$AA$10001,MATCH(1,($A8=[2]SalmonProps!$A$2:$A$10001)*($AP8 = [2]SalmonProps!$F$2:$F$10001) *($AR8 = [2]SalmonProps!$G$2:$G$10001),0), 20))</f>
        <v>61.4</v>
      </c>
      <c r="AK8" s="183" cm="1">
        <f t="array" ref="AK8">IF(ISBLANK($AQ8), "", INDEX([2]SalmonProps!$A$2:$AA$10001,MATCH(1,($A8=[2]SalmonProps!$A$2:$A$10001)*($AP8 = [2]SalmonProps!$F$2:$F$10001) *($AR8 = [2]SalmonProps!$G$2:$G$10001),0), 21))</f>
        <v>5</v>
      </c>
      <c r="AL8" s="174" cm="1">
        <f t="array" ref="AL8">IF(ISBLANK($AQ8), "", INDEX([2]SalmonProps!$A$2:$AA$10001,MATCH(1,($A8=[2]SalmonProps!$A$2:$A$10001)*($AP8 = [2]SalmonProps!$F$2:$F$10001) *($AR8 = [2]SalmonProps!$G$2:$G$10001),0), 22))</f>
        <v>75.099999999999994</v>
      </c>
      <c r="AM8" s="183" cm="1">
        <f t="array" ref="AM8">IF(ISBLANK($AQ8), "", INDEX([2]SalmonProps!$A$2:$AA$10001,MATCH(1,($A8=[2]SalmonProps!$A$2:$A$10001)*($AP8 = [2]SalmonProps!$F$2:$F$10001) *($AR8 = [2]SalmonProps!$G$2:$G$10001),0), 23))</f>
        <v>7.6</v>
      </c>
      <c r="AN8" s="174" t="str" cm="1">
        <f t="array" ref="AN8">IF(ISBLANK($AQ8), "", INDEX([2]SalmonProps!$A$2:$AA$10001,MATCH(1,($A8=[2]SalmonProps!$A$2:$A$10001)*($AP8 = [2]SalmonProps!$F$2:$F$10001) *($AR8 = [2]SalmonProps!$G$2:$G$10001),0), 26))</f>
        <v>NA</v>
      </c>
      <c r="AO8" s="175" t="str" cm="1">
        <f t="array" ref="AO8">IF(ISBLANK($AQ8), "", INDEX([2]SalmonProps!$A$2:$AA$10001,MATCH(1,($A8=[2]SalmonProps!$A$2:$A$10001)*($AP8 = [2]SalmonProps!$F$2:$F$10001) *($AR8 = [2]SalmonProps!$G$2:$G$10001),0), 27))</f>
        <v>NA</v>
      </c>
      <c r="AP8" s="112">
        <v>3</v>
      </c>
      <c r="AQ8" s="112" t="s">
        <v>133</v>
      </c>
      <c r="AR8" s="112" t="str">
        <f t="shared" si="0"/>
        <v>Unweighted</v>
      </c>
    </row>
    <row r="9" spans="1:47" x14ac:dyDescent="0.3">
      <c r="A9" s="20">
        <f>'[1]Passage Estimates'!$A9</f>
        <v>45111</v>
      </c>
      <c r="B9" s="164" cm="1">
        <f t="array" ref="B9">IF(ISBLANK($AQ9), "", INDEX([2]SalmonProps!$A$2:$AA$10001,MATCH(1,($A9=[2]SalmonProps!$A$2:$A$10001)*(1=[2]SalmonProps!$C$2:$C$10001)*(1=[2]SalmonProps!$D$2:$D$10001)*("A1" = [2]SalmonProps!$B$2:$B$10001)*($AP9 = [2]SalmonProps!$F$2:$F$10001) *($AR9 = [2]SalmonProps!$G$2:$G$10001),0), 17))</f>
        <v>0</v>
      </c>
      <c r="C9" s="165" cm="1">
        <f t="array" ref="C9">IF(ISBLANK($AQ9), "", INDEX([2]SalmonProps!$A$2:$AA$10001,MATCH(1,($A9=[2]SalmonProps!$A$2:$A$10001)*(1=[2]SalmonProps!$C$2:$C$10001)*(2=[2]SalmonProps!$D$2:$D$10001)*("A1" = [2]SalmonProps!$B$2:$B$10001)*($AP9 = [2]SalmonProps!$F$2:$F$10001) *($AR9 = [2]SalmonProps!$G$2:$G$10001),0), 17))</f>
        <v>0</v>
      </c>
      <c r="D9" s="165" cm="1">
        <f t="array" ref="D9">IF(ISBLANK($AQ9), "", INDEX([2]SalmonProps!$A$2:$AA$10001,MATCH(1,($A9=[2]SalmonProps!$A$2:$A$10001)*(1=[2]SalmonProps!$C$2:$C$10001)*("1&amp;2"=[2]SalmonProps!$D$2:$D$10001)*("A1" = [2]SalmonProps!$B$2:$B$10001)*($AP9 = [2]SalmonProps!$F$2:$F$10001) *($AR9 = [2]SalmonProps!$G$2:$G$10001),0), 17))</f>
        <v>0</v>
      </c>
      <c r="E9" s="181" cm="1">
        <f t="array" ref="E9">IF(ISBLANK($AQ9), "", INDEX([2]SalmonProps!$A$2:$AA$10001,MATCH(1,($A9=[2]SalmonProps!$A$2:$A$10001)*(2=[2]SalmonProps!$C$2:$C$10001)*(3=[2]SalmonProps!$D$2:$D$10001)*("A1" = [2]SalmonProps!$B$2:$B$10001)*($AP9 = [2]SalmonProps!$F$2:$F$10001) *($AR9 = [2]SalmonProps!$G$2:$G$10001),0), 17))</f>
        <v>0.1421</v>
      </c>
      <c r="F9" s="180" cm="1">
        <f t="array" ref="F9">IF(ISBLANK($AQ9), "", INDEX([2]SalmonProps!$A$2:$AA$10001,MATCH(1,($A9=[2]SalmonProps!$A$2:$A$10001)*(3=[2]SalmonProps!$C$2:$C$10001)*(3=[2]SalmonProps!$D$2:$D$10001)*("A1" = [2]SalmonProps!$B$2:$B$10001)*($AP9 = [2]SalmonProps!$F$2:$F$10001) *($AR9 = [2]SalmonProps!$G$2:$G$10001),0), 17))</f>
        <v>0.30499999999999999</v>
      </c>
      <c r="G9" s="166">
        <v>0</v>
      </c>
      <c r="H9" s="166">
        <v>3.3300000000000003E-2</v>
      </c>
      <c r="I9" s="167">
        <v>6.9400000000000003E-2</v>
      </c>
      <c r="J9" s="164" t="str" cm="1">
        <f t="array" ref="J9">IF(ISBLANK($AQ9), "", INDEX([2]SalmonProps!$A$2:$AA$10001,MATCH(1,($A9=[2]SalmonProps!$A$2:$A$10001)*(1=[2]SalmonProps!$C$2:$C$10001)*(1=[2]SalmonProps!$D$2:$D$10001)*("A1" = [2]SalmonProps!$B$2:$B$10001)*($AP9 = [2]SalmonProps!$F$2:$F$10001) *($AR9 = [2]SalmonProps!$G$2:$G$10001),0), 19))</f>
        <v>NA</v>
      </c>
      <c r="K9" s="165" t="str" cm="1">
        <f t="array" ref="K9">IF(ISBLANK($AQ9), "", INDEX([2]SalmonProps!$A$2:$AA$10001,MATCH(1,($A9=[2]SalmonProps!$A$2:$A$10001)*(1=[2]SalmonProps!$C$2:$C$10001)*(2=[2]SalmonProps!$D$2:$D$10001)*("A1" = [2]SalmonProps!$B$2:$B$10001)*($AP9 = [2]SalmonProps!$F$2:$F$10001) *($AR9 = [2]SalmonProps!$G$2:$G$10001),0), 19))</f>
        <v>NA</v>
      </c>
      <c r="L9" s="165" t="str" cm="1">
        <f t="array" ref="L9">IF(ISBLANK($AQ9), "", INDEX([2]SalmonProps!$A$2:$AA$10001,MATCH(1,($A9=[2]SalmonProps!$A$2:$A$10001)*(1=[2]SalmonProps!$C$2:$C$10001)*("1&amp;2"=[2]SalmonProps!$D$2:$D$10001)*("A1" = [2]SalmonProps!$B$2:$B$10001)*($AP9 = [2]SalmonProps!$F$2:$F$10001) *($AR9 = [2]SalmonProps!$G$2:$G$10001),0), 19))</f>
        <v>NA</v>
      </c>
      <c r="M9" s="165" t="str" cm="1">
        <f t="array" ref="M9">IF(ISBLANK($AQ9), "", INDEX([2]SalmonProps!$A$2:$AA$10001,MATCH(1,($A9=[2]SalmonProps!$A$2:$A$10001)*(2=[2]SalmonProps!$C$2:$C$10001)*(3=[2]SalmonProps!$D$2:$D$10001)*("A1" = [2]SalmonProps!$B$2:$B$10001)*($AP9 = [2]SalmonProps!$F$2:$F$10001) *($AR9 = [2]SalmonProps!$G$2:$G$10001),0), 19))</f>
        <v>NA</v>
      </c>
      <c r="N9" s="181" t="str" cm="1">
        <f t="array" ref="N9">IF(ISBLANK($AQ9), "", INDEX([2]SalmonProps!$A$2:$AA$10001,MATCH(1,($A9=[2]SalmonProps!$A$2:$A$10001)*(3=[2]SalmonProps!$C$2:$C$10001)*(3=[2]SalmonProps!$D$2:$D$10001)*("A1" = [2]SalmonProps!$B$2:$B$10001)*($AP9 = [2]SalmonProps!$F$2:$F$10001) *($AR9 = [2]SalmonProps!$G$2:$G$10001),0), 19))</f>
        <v>NA</v>
      </c>
      <c r="O9" s="165" t="e" cm="1">
        <f t="array" ref="O9">IF(ISBLANK($AQ9), "", INDEX([2]SalmonProps!$A$2:$AA$10001,MATCH(1,($A9=[2]SalmonProps!$A$2:$A$10001)*(1=[2]SalmonProps!$C$2:$C$10001)*(1=[2]SalmonProps!$D$2:$D$10001)*("A2" = [2]SalmonProps!$B$2:$B$10001)*($AP9 = [2]SalmonProps!$F$2:$F$10001) *($AR9 = [2]SalmonProps!$G$2:$G$10001),0), 19))</f>
        <v>#N/A</v>
      </c>
      <c r="P9" s="165" t="e" cm="1">
        <f t="array" ref="P9">IF(ISBLANK($AQ9), "", INDEX([2]SalmonProps!$A$2:$AA$10001,MATCH(1,($A9=[2]SalmonProps!$A$2:$A$10001)*(2=[2]SalmonProps!$C$2:$C$10001)*(1=[2]SalmonProps!$D$2:$D$10001)*("A2" = [2]SalmonProps!$B$2:$B$10001)*($AP9 = [2]SalmonProps!$F$2:$F$10001) *($AR9 = [2]SalmonProps!$G$2:$G$10001),0), 19))</f>
        <v>#N/A</v>
      </c>
      <c r="Q9" s="168" t="e" cm="1">
        <f t="array" ref="Q9">IF(ISBLANK($AQ9), "", INDEX([2]SalmonProps!$A$2:$AA$10001,MATCH(1,($A9=[2]SalmonProps!$A$2:$A$10001)*(3=[2]SalmonProps!$C$2:$C$10001)*(1=[2]SalmonProps!$D$2:$D$10001)*("A2" = [2]SalmonProps!$B$2:$B$10001)*($AP9 = [2]SalmonProps!$F$2:$F$10001) *($AR9 = [2]SalmonProps!$G$2:$G$10001),0), 19))</f>
        <v>#N/A</v>
      </c>
      <c r="R9" s="164" t="str" cm="1">
        <f t="array" ref="R9">IF(ISBLANK($AQ9), "", INDEX([2]SalmonProps!$A$2:$AA$10001,MATCH(1,($A9=[2]SalmonProps!$A$2:$A$10001)*(1=[2]SalmonProps!$C$2:$C$10001)*(1=[2]SalmonProps!$D$2:$D$10001)*("A1" = [2]SalmonProps!$B$2:$B$10001)*($AP9 = [2]SalmonProps!$F$2:$F$10001) *($AR9 = [2]SalmonProps!$G$2:$G$10001),0), 18))</f>
        <v>NA</v>
      </c>
      <c r="S9" s="165" t="str" cm="1">
        <f t="array" ref="S9">IF(ISBLANK($AQ9), "", INDEX([2]SalmonProps!$A$2:$AA$10001,MATCH(1,($A9=[2]SalmonProps!$A$2:$A$10001)*(1=[2]SalmonProps!$C$2:$C$10001)*(2=[2]SalmonProps!$D$2:$D$10001)*("A1" = [2]SalmonProps!$B$2:$B$10001)*($AP9 = [2]SalmonProps!$F$2:$F$10001) *($AR9 = [2]SalmonProps!$G$2:$G$10001),0), 18))</f>
        <v>NA</v>
      </c>
      <c r="T9" s="165" t="str" cm="1">
        <f t="array" ref="T9">IF(ISBLANK($AQ9), "", INDEX([2]SalmonProps!$A$2:$AA$10001,MATCH(1,($A9=[2]SalmonProps!$A$2:$A$10001)*(1=[2]SalmonProps!$C$2:$C$10001)*("1&amp;2"=[2]SalmonProps!$D$2:$D$10001)*("A1" = [2]SalmonProps!$B$2:$B$10001)*($AP9 = [2]SalmonProps!$F$2:$F$10001) *($AR9 = [2]SalmonProps!$G$2:$G$10001),0), 18))</f>
        <v>NA</v>
      </c>
      <c r="U9" s="165" t="str" cm="1">
        <f t="array" ref="U9">IF(ISBLANK($AQ9), "", INDEX([2]SalmonProps!$A$2:$AA$10001,MATCH(1,($A9=[2]SalmonProps!$A$2:$A$10001)*(2=[2]SalmonProps!$C$2:$C$10001)*(3=[2]SalmonProps!$D$2:$D$10001)*("A1" = [2]SalmonProps!$B$2:$B$10001)*($AP9 = [2]SalmonProps!$F$2:$F$10001) *($AR9 = [2]SalmonProps!$G$2:$G$10001),0), 18))</f>
        <v>NA</v>
      </c>
      <c r="V9" s="181" t="str" cm="1">
        <f t="array" ref="V9">IF(ISBLANK($AQ9), "", INDEX([2]SalmonProps!$A$2:$AA$10001,MATCH(1,($A9=[2]SalmonProps!$A$2:$A$10001)*(3=[2]SalmonProps!$C$2:$C$10001)*(3=[2]SalmonProps!$D$2:$D$10001)*("A1" = [2]SalmonProps!$B$2:$B$10001)*($AP9 = [2]SalmonProps!$F$2:$F$10001) *($AR9 = [2]SalmonProps!$G$2:$G$10001),0), 18))</f>
        <v>NA</v>
      </c>
      <c r="W9" s="180" t="e" cm="1">
        <f t="array" ref="W9">IF(ISBLANK($AQ9), "", INDEX([2]SalmonProps!$A$2:$AA$10001,MATCH(1,($A9=[2]SalmonProps!$A$2:$A$10001)*(1=[2]SalmonProps!$C$2:$C$10001)*(1=[2]SalmonProps!$D$2:$D$10001)*("A2" = [2]SalmonProps!$B$2:$B$10001)*($AP9 = [2]SalmonProps!$F$2:$F$10001) *($AR9 = [2]SalmonProps!$G$2:$G$10001),0), 18))</f>
        <v>#N/A</v>
      </c>
      <c r="X9" s="165" t="e" cm="1">
        <f t="array" ref="X9">IF(ISBLANK($AQ9), "", INDEX([2]SalmonProps!$A$2:$AA$10001,MATCH(1,($A9=[2]SalmonProps!$A$2:$A$10001)*(2=[2]SalmonProps!$C$2:$C$10001)*(1=[2]SalmonProps!$D$2:$D$10001)*("A2" = [2]SalmonProps!$B$2:$B$10001)*($AP9 = [2]SalmonProps!$F$2:$F$10001) *($AR9 = [2]SalmonProps!$G$2:$G$10001),0), 18))</f>
        <v>#N/A</v>
      </c>
      <c r="Y9" s="168" t="e" cm="1">
        <f t="array" ref="Y9">IF(ISBLANK($AQ9), "", INDEX([2]SalmonProps!$A$2:$AA$10001,MATCH(1,($A9=[2]SalmonProps!$A$2:$A$10001)*(3=[2]SalmonProps!$C$2:$C$10001)*(1=[2]SalmonProps!$D$2:$D$10001)*("A2" = [2]SalmonProps!$B$2:$B$10001)*($AP9 = [2]SalmonProps!$F$2:$F$10001) *($AR9 = [2]SalmonProps!$G$2:$G$10001),0), 18))</f>
        <v>#N/A</v>
      </c>
      <c r="Z9" s="164" cm="1">
        <f t="array" ref="Z9">IF(ISBLANK($AQ9), "", INDEX([2]SalmonProps!$A$2:$AA$10001,MATCH(1,($A9=[2]SalmonProps!$A$2:$A$10001)*(1=[2]SalmonProps!$C$2:$C$10001)*(1=[2]SalmonProps!$D$2:$D$10001)*("A1" = [2]SalmonProps!$B$2:$B$10001)*($AP9 = [2]SalmonProps!$F$2:$F$10001) *($AR9 = [2]SalmonProps!$G$2:$G$10001),0), 15))</f>
        <v>4.1099999999999998E-2</v>
      </c>
      <c r="AA9" s="165" cm="1">
        <f t="array" ref="AA9">IF(ISBLANK($AQ9), "", INDEX([2]SalmonProps!$A$2:$AA$10001,MATCH(1,($A9=[2]SalmonProps!$A$2:$A$10001)*(1=[2]SalmonProps!$C$2:$C$10001)*(2=[2]SalmonProps!$D$2:$D$10001)*("A1" = [2]SalmonProps!$B$2:$B$10001)*($AP9 = [2]SalmonProps!$F$2:$F$10001) *($AR9 = [2]SalmonProps!$G$2:$G$10001),0), 15))</f>
        <v>3.9899999999999998E-2</v>
      </c>
      <c r="AB9" s="165" cm="1">
        <f t="array" ref="AB9">IF(ISBLANK($AQ9), "", INDEX([2]SalmonProps!$A$2:$AA$10001,MATCH(1,($A9=[2]SalmonProps!$A$2:$A$10001)*(1=[2]SalmonProps!$C$2:$C$10001)*("1&amp;2"=[2]SalmonProps!$D$2:$D$10001)*("A1" = [2]SalmonProps!$B$2:$B$10001)*($AP9 = [2]SalmonProps!$F$2:$F$10001) *($AR9 = [2]SalmonProps!$G$2:$G$10001),0), 15))</f>
        <v>4.07E-2</v>
      </c>
      <c r="AC9" s="165" cm="1">
        <f t="array" ref="AC9">IF(ISBLANK($AQ9), "", INDEX([2]SalmonProps!$A$2:$AA$10001,MATCH(1,($A9=[2]SalmonProps!$A$2:$A$10001)*(2=[2]SalmonProps!$C$2:$C$10001)*(3=[2]SalmonProps!$D$2:$D$10001)*("A1" = [2]SalmonProps!$B$2:$B$10001)*($AP9 = [2]SalmonProps!$F$2:$F$10001) *($AR9 = [2]SalmonProps!$G$2:$G$10001),0), 15))</f>
        <v>0.25629999999999997</v>
      </c>
      <c r="AD9" s="181" cm="1">
        <f t="array" ref="AD9">IF(ISBLANK($AQ9), "", INDEX([2]SalmonProps!$A$2:$AA$10001,MATCH(1,($A9=[2]SalmonProps!$A$2:$A$10001)*(3=[2]SalmonProps!$C$2:$C$10001)*(3=[2]SalmonProps!$D$2:$D$10001)*("A1" = [2]SalmonProps!$B$2:$B$10001)*($AP9 = [2]SalmonProps!$F$2:$F$10001) *($AR9 = [2]SalmonProps!$G$2:$G$10001),0), 15))</f>
        <v>0.48039999999999999</v>
      </c>
      <c r="AE9" s="166">
        <v>6.3899999999999998E-2</v>
      </c>
      <c r="AF9" s="166">
        <v>6.3200000000000006E-2</v>
      </c>
      <c r="AG9" s="167">
        <v>0.23569999999999999</v>
      </c>
      <c r="AH9" s="173" t="str" cm="1">
        <f t="array" ref="AH9">IF(ISBLANK($AQ9), "", INDEX([2]SalmonProps!$A$2:$AA$10001,MATCH(1,($A9=[2]SalmonProps!$A$2:$A$10001)*($AP9 = [2]SalmonProps!$F$2:$F$10001) *($AR9 = [2]SalmonProps!$G$2:$G$10001),0), 24))</f>
        <v>NA</v>
      </c>
      <c r="AI9" s="183" t="str" cm="1">
        <f t="array" ref="AI9">IF(ISBLANK($AQ9), "", INDEX([2]SalmonProps!$A$2:$AA$10001,MATCH(1,($A9=[2]SalmonProps!$A$2:$A$10001)*($AP9 = [2]SalmonProps!$F$2:$F$10001) *($AR9 = [2]SalmonProps!$G$2:$G$10001),0), 25))</f>
        <v>NA</v>
      </c>
      <c r="AJ9" s="174" cm="1">
        <f t="array" ref="AJ9">IF(ISBLANK($AQ9), "", INDEX([2]SalmonProps!$A$2:$AA$10001,MATCH(1,($A9=[2]SalmonProps!$A$2:$A$10001)*($AP9 = [2]SalmonProps!$F$2:$F$10001) *($AR9 = [2]SalmonProps!$G$2:$G$10001),0), 20))</f>
        <v>61.4</v>
      </c>
      <c r="AK9" s="183" cm="1">
        <f t="array" ref="AK9">IF(ISBLANK($AQ9), "", INDEX([2]SalmonProps!$A$2:$AA$10001,MATCH(1,($A9=[2]SalmonProps!$A$2:$A$10001)*($AP9 = [2]SalmonProps!$F$2:$F$10001) *($AR9 = [2]SalmonProps!$G$2:$G$10001),0), 21))</f>
        <v>5</v>
      </c>
      <c r="AL9" s="174" cm="1">
        <f t="array" ref="AL9">IF(ISBLANK($AQ9), "", INDEX([2]SalmonProps!$A$2:$AA$10001,MATCH(1,($A9=[2]SalmonProps!$A$2:$A$10001)*($AP9 = [2]SalmonProps!$F$2:$F$10001) *($AR9 = [2]SalmonProps!$G$2:$G$10001),0), 22))</f>
        <v>75.099999999999994</v>
      </c>
      <c r="AM9" s="183" cm="1">
        <f t="array" ref="AM9">IF(ISBLANK($AQ9), "", INDEX([2]SalmonProps!$A$2:$AA$10001,MATCH(1,($A9=[2]SalmonProps!$A$2:$A$10001)*($AP9 = [2]SalmonProps!$F$2:$F$10001) *($AR9 = [2]SalmonProps!$G$2:$G$10001),0), 23))</f>
        <v>7.6</v>
      </c>
      <c r="AN9" s="174" t="str" cm="1">
        <f t="array" ref="AN9">IF(ISBLANK($AQ9), "", INDEX([2]SalmonProps!$A$2:$AA$10001,MATCH(1,($A9=[2]SalmonProps!$A$2:$A$10001)*($AP9 = [2]SalmonProps!$F$2:$F$10001) *($AR9 = [2]SalmonProps!$G$2:$G$10001),0), 26))</f>
        <v>NA</v>
      </c>
      <c r="AO9" s="175" t="str" cm="1">
        <f t="array" ref="AO9">IF(ISBLANK($AQ9), "", INDEX([2]SalmonProps!$A$2:$AA$10001,MATCH(1,($A9=[2]SalmonProps!$A$2:$A$10001)*($AP9 = [2]SalmonProps!$F$2:$F$10001) *($AR9 = [2]SalmonProps!$G$2:$G$10001),0), 27))</f>
        <v>NA</v>
      </c>
      <c r="AP9" s="112">
        <v>3</v>
      </c>
      <c r="AQ9" s="112" t="s">
        <v>133</v>
      </c>
      <c r="AR9" s="112" t="str">
        <f t="shared" si="0"/>
        <v>Unweighted</v>
      </c>
    </row>
    <row r="10" spans="1:47" x14ac:dyDescent="0.3">
      <c r="A10" s="20">
        <f>'[1]Passage Estimates'!$A10</f>
        <v>45112</v>
      </c>
      <c r="B10" s="164" cm="1">
        <f t="array" ref="B10">IF(ISBLANK($AQ10), "", INDEX([2]SalmonProps!$A$2:$AA$10001,MATCH(1,($A10=[2]SalmonProps!$A$2:$A$10001)*(1=[2]SalmonProps!$C$2:$C$10001)*(1=[2]SalmonProps!$D$2:$D$10001)*("A1" = [2]SalmonProps!$B$2:$B$10001)*($AP10 = [2]SalmonProps!$F$2:$F$10001) *($AR10 = [2]SalmonProps!$G$2:$G$10001),0), 17))</f>
        <v>0</v>
      </c>
      <c r="C10" s="165" cm="1">
        <f t="array" ref="C10">IF(ISBLANK($AQ10), "", INDEX([2]SalmonProps!$A$2:$AA$10001,MATCH(1,($A10=[2]SalmonProps!$A$2:$A$10001)*(1=[2]SalmonProps!$C$2:$C$10001)*(2=[2]SalmonProps!$D$2:$D$10001)*("A1" = [2]SalmonProps!$B$2:$B$10001)*($AP10 = [2]SalmonProps!$F$2:$F$10001) *($AR10 = [2]SalmonProps!$G$2:$G$10001),0), 17))</f>
        <v>0</v>
      </c>
      <c r="D10" s="165" cm="1">
        <f t="array" ref="D10">IF(ISBLANK($AQ10), "", INDEX([2]SalmonProps!$A$2:$AA$10001,MATCH(1,($A10=[2]SalmonProps!$A$2:$A$10001)*(1=[2]SalmonProps!$C$2:$C$10001)*("1&amp;2"=[2]SalmonProps!$D$2:$D$10001)*("A1" = [2]SalmonProps!$B$2:$B$10001)*($AP10 = [2]SalmonProps!$F$2:$F$10001) *($AR10 = [2]SalmonProps!$G$2:$G$10001),0), 17))</f>
        <v>0</v>
      </c>
      <c r="E10" s="181" cm="1">
        <f t="array" ref="E10">IF(ISBLANK($AQ10), "", INDEX([2]SalmonProps!$A$2:$AA$10001,MATCH(1,($A10=[2]SalmonProps!$A$2:$A$10001)*(2=[2]SalmonProps!$C$2:$C$10001)*(3=[2]SalmonProps!$D$2:$D$10001)*("A1" = [2]SalmonProps!$B$2:$B$10001)*($AP10 = [2]SalmonProps!$F$2:$F$10001) *($AR10 = [2]SalmonProps!$G$2:$G$10001),0), 17))</f>
        <v>6.9500000000000006E-2</v>
      </c>
      <c r="F10" s="180" cm="1">
        <f t="array" ref="F10">IF(ISBLANK($AQ10), "", INDEX([2]SalmonProps!$A$2:$AA$10001,MATCH(1,($A10=[2]SalmonProps!$A$2:$A$10001)*(3=[2]SalmonProps!$C$2:$C$10001)*(3=[2]SalmonProps!$D$2:$D$10001)*("A1" = [2]SalmonProps!$B$2:$B$10001)*($AP10 = [2]SalmonProps!$F$2:$F$10001) *($AR10 = [2]SalmonProps!$G$2:$G$10001),0), 17))</f>
        <v>0.40039999999999998</v>
      </c>
      <c r="G10" s="166">
        <v>0</v>
      </c>
      <c r="H10" s="166">
        <v>3.3300000000000003E-2</v>
      </c>
      <c r="I10" s="167">
        <v>6.9400000000000003E-2</v>
      </c>
      <c r="J10" s="164" t="str" cm="1">
        <f t="array" ref="J10">IF(ISBLANK($AQ10), "", INDEX([2]SalmonProps!$A$2:$AA$10001,MATCH(1,($A10=[2]SalmonProps!$A$2:$A$10001)*(1=[2]SalmonProps!$C$2:$C$10001)*(1=[2]SalmonProps!$D$2:$D$10001)*("A1" = [2]SalmonProps!$B$2:$B$10001)*($AP10 = [2]SalmonProps!$F$2:$F$10001) *($AR10 = [2]SalmonProps!$G$2:$G$10001),0), 19))</f>
        <v>NA</v>
      </c>
      <c r="K10" s="165" t="str" cm="1">
        <f t="array" ref="K10">IF(ISBLANK($AQ10), "", INDEX([2]SalmonProps!$A$2:$AA$10001,MATCH(1,($A10=[2]SalmonProps!$A$2:$A$10001)*(1=[2]SalmonProps!$C$2:$C$10001)*(2=[2]SalmonProps!$D$2:$D$10001)*("A1" = [2]SalmonProps!$B$2:$B$10001)*($AP10 = [2]SalmonProps!$F$2:$F$10001) *($AR10 = [2]SalmonProps!$G$2:$G$10001),0), 19))</f>
        <v>NA</v>
      </c>
      <c r="L10" s="165" t="str" cm="1">
        <f t="array" ref="L10">IF(ISBLANK($AQ10), "", INDEX([2]SalmonProps!$A$2:$AA$10001,MATCH(1,($A10=[2]SalmonProps!$A$2:$A$10001)*(1=[2]SalmonProps!$C$2:$C$10001)*("1&amp;2"=[2]SalmonProps!$D$2:$D$10001)*("A1" = [2]SalmonProps!$B$2:$B$10001)*($AP10 = [2]SalmonProps!$F$2:$F$10001) *($AR10 = [2]SalmonProps!$G$2:$G$10001),0), 19))</f>
        <v>NA</v>
      </c>
      <c r="M10" s="165" t="str" cm="1">
        <f t="array" ref="M10">IF(ISBLANK($AQ10), "", INDEX([2]SalmonProps!$A$2:$AA$10001,MATCH(1,($A10=[2]SalmonProps!$A$2:$A$10001)*(2=[2]SalmonProps!$C$2:$C$10001)*(3=[2]SalmonProps!$D$2:$D$10001)*("A1" = [2]SalmonProps!$B$2:$B$10001)*($AP10 = [2]SalmonProps!$F$2:$F$10001) *($AR10 = [2]SalmonProps!$G$2:$G$10001),0), 19))</f>
        <v>NA</v>
      </c>
      <c r="N10" s="181" t="str" cm="1">
        <f t="array" ref="N10">IF(ISBLANK($AQ10), "", INDEX([2]SalmonProps!$A$2:$AA$10001,MATCH(1,($A10=[2]SalmonProps!$A$2:$A$10001)*(3=[2]SalmonProps!$C$2:$C$10001)*(3=[2]SalmonProps!$D$2:$D$10001)*("A1" = [2]SalmonProps!$B$2:$B$10001)*($AP10 = [2]SalmonProps!$F$2:$F$10001) *($AR10 = [2]SalmonProps!$G$2:$G$10001),0), 19))</f>
        <v>NA</v>
      </c>
      <c r="O10" s="165" t="e" cm="1">
        <f t="array" ref="O10">IF(ISBLANK($AQ10), "", INDEX([2]SalmonProps!$A$2:$AA$10001,MATCH(1,($A10=[2]SalmonProps!$A$2:$A$10001)*(1=[2]SalmonProps!$C$2:$C$10001)*(1=[2]SalmonProps!$D$2:$D$10001)*("A2" = [2]SalmonProps!$B$2:$B$10001)*($AP10 = [2]SalmonProps!$F$2:$F$10001) *($AR10 = [2]SalmonProps!$G$2:$G$10001),0), 19))</f>
        <v>#N/A</v>
      </c>
      <c r="P10" s="165" t="e" cm="1">
        <f t="array" ref="P10">IF(ISBLANK($AQ10), "", INDEX([2]SalmonProps!$A$2:$AA$10001,MATCH(1,($A10=[2]SalmonProps!$A$2:$A$10001)*(2=[2]SalmonProps!$C$2:$C$10001)*(1=[2]SalmonProps!$D$2:$D$10001)*("A2" = [2]SalmonProps!$B$2:$B$10001)*($AP10 = [2]SalmonProps!$F$2:$F$10001) *($AR10 = [2]SalmonProps!$G$2:$G$10001),0), 19))</f>
        <v>#N/A</v>
      </c>
      <c r="Q10" s="168" t="e" cm="1">
        <f t="array" ref="Q10">IF(ISBLANK($AQ10), "", INDEX([2]SalmonProps!$A$2:$AA$10001,MATCH(1,($A10=[2]SalmonProps!$A$2:$A$10001)*(3=[2]SalmonProps!$C$2:$C$10001)*(1=[2]SalmonProps!$D$2:$D$10001)*("A2" = [2]SalmonProps!$B$2:$B$10001)*($AP10 = [2]SalmonProps!$F$2:$F$10001) *($AR10 = [2]SalmonProps!$G$2:$G$10001),0), 19))</f>
        <v>#N/A</v>
      </c>
      <c r="R10" s="164" t="str" cm="1">
        <f t="array" ref="R10">IF(ISBLANK($AQ10), "", INDEX([2]SalmonProps!$A$2:$AA$10001,MATCH(1,($A10=[2]SalmonProps!$A$2:$A$10001)*(1=[2]SalmonProps!$C$2:$C$10001)*(1=[2]SalmonProps!$D$2:$D$10001)*("A1" = [2]SalmonProps!$B$2:$B$10001)*($AP10 = [2]SalmonProps!$F$2:$F$10001) *($AR10 = [2]SalmonProps!$G$2:$G$10001),0), 18))</f>
        <v>NA</v>
      </c>
      <c r="S10" s="165" t="str" cm="1">
        <f t="array" ref="S10">IF(ISBLANK($AQ10), "", INDEX([2]SalmonProps!$A$2:$AA$10001,MATCH(1,($A10=[2]SalmonProps!$A$2:$A$10001)*(1=[2]SalmonProps!$C$2:$C$10001)*(2=[2]SalmonProps!$D$2:$D$10001)*("A1" = [2]SalmonProps!$B$2:$B$10001)*($AP10 = [2]SalmonProps!$F$2:$F$10001) *($AR10 = [2]SalmonProps!$G$2:$G$10001),0), 18))</f>
        <v>NA</v>
      </c>
      <c r="T10" s="165" t="str" cm="1">
        <f t="array" ref="T10">IF(ISBLANK($AQ10), "", INDEX([2]SalmonProps!$A$2:$AA$10001,MATCH(1,($A10=[2]SalmonProps!$A$2:$A$10001)*(1=[2]SalmonProps!$C$2:$C$10001)*("1&amp;2"=[2]SalmonProps!$D$2:$D$10001)*("A1" = [2]SalmonProps!$B$2:$B$10001)*($AP10 = [2]SalmonProps!$F$2:$F$10001) *($AR10 = [2]SalmonProps!$G$2:$G$10001),0), 18))</f>
        <v>NA</v>
      </c>
      <c r="U10" s="165" t="str" cm="1">
        <f t="array" ref="U10">IF(ISBLANK($AQ10), "", INDEX([2]SalmonProps!$A$2:$AA$10001,MATCH(1,($A10=[2]SalmonProps!$A$2:$A$10001)*(2=[2]SalmonProps!$C$2:$C$10001)*(3=[2]SalmonProps!$D$2:$D$10001)*("A1" = [2]SalmonProps!$B$2:$B$10001)*($AP10 = [2]SalmonProps!$F$2:$F$10001) *($AR10 = [2]SalmonProps!$G$2:$G$10001),0), 18))</f>
        <v>NA</v>
      </c>
      <c r="V10" s="181" t="str" cm="1">
        <f t="array" ref="V10">IF(ISBLANK($AQ10), "", INDEX([2]SalmonProps!$A$2:$AA$10001,MATCH(1,($A10=[2]SalmonProps!$A$2:$A$10001)*(3=[2]SalmonProps!$C$2:$C$10001)*(3=[2]SalmonProps!$D$2:$D$10001)*("A1" = [2]SalmonProps!$B$2:$B$10001)*($AP10 = [2]SalmonProps!$F$2:$F$10001) *($AR10 = [2]SalmonProps!$G$2:$G$10001),0), 18))</f>
        <v>NA</v>
      </c>
      <c r="W10" s="180" t="e" cm="1">
        <f t="array" ref="W10">IF(ISBLANK($AQ10), "", INDEX([2]SalmonProps!$A$2:$AA$10001,MATCH(1,($A10=[2]SalmonProps!$A$2:$A$10001)*(1=[2]SalmonProps!$C$2:$C$10001)*(1=[2]SalmonProps!$D$2:$D$10001)*("A2" = [2]SalmonProps!$B$2:$B$10001)*($AP10 = [2]SalmonProps!$F$2:$F$10001) *($AR10 = [2]SalmonProps!$G$2:$G$10001),0), 18))</f>
        <v>#N/A</v>
      </c>
      <c r="X10" s="165" t="e" cm="1">
        <f t="array" ref="X10">IF(ISBLANK($AQ10), "", INDEX([2]SalmonProps!$A$2:$AA$10001,MATCH(1,($A10=[2]SalmonProps!$A$2:$A$10001)*(2=[2]SalmonProps!$C$2:$C$10001)*(1=[2]SalmonProps!$D$2:$D$10001)*("A2" = [2]SalmonProps!$B$2:$B$10001)*($AP10 = [2]SalmonProps!$F$2:$F$10001) *($AR10 = [2]SalmonProps!$G$2:$G$10001),0), 18))</f>
        <v>#N/A</v>
      </c>
      <c r="Y10" s="168" t="e" cm="1">
        <f t="array" ref="Y10">IF(ISBLANK($AQ10), "", INDEX([2]SalmonProps!$A$2:$AA$10001,MATCH(1,($A10=[2]SalmonProps!$A$2:$A$10001)*(3=[2]SalmonProps!$C$2:$C$10001)*(1=[2]SalmonProps!$D$2:$D$10001)*("A2" = [2]SalmonProps!$B$2:$B$10001)*($AP10 = [2]SalmonProps!$F$2:$F$10001) *($AR10 = [2]SalmonProps!$G$2:$G$10001),0), 18))</f>
        <v>#N/A</v>
      </c>
      <c r="Z10" s="164" cm="1">
        <f t="array" ref="Z10">IF(ISBLANK($AQ10), "", INDEX([2]SalmonProps!$A$2:$AA$10001,MATCH(1,($A10=[2]SalmonProps!$A$2:$A$10001)*(1=[2]SalmonProps!$C$2:$C$10001)*(1=[2]SalmonProps!$D$2:$D$10001)*("A1" = [2]SalmonProps!$B$2:$B$10001)*($AP10 = [2]SalmonProps!$F$2:$F$10001) *($AR10 = [2]SalmonProps!$G$2:$G$10001),0), 15))</f>
        <v>4.4600000000000001E-2</v>
      </c>
      <c r="AA10" s="165" cm="1">
        <f t="array" ref="AA10">IF(ISBLANK($AQ10), "", INDEX([2]SalmonProps!$A$2:$AA$10001,MATCH(1,($A10=[2]SalmonProps!$A$2:$A$10001)*(1=[2]SalmonProps!$C$2:$C$10001)*(2=[2]SalmonProps!$D$2:$D$10001)*("A1" = [2]SalmonProps!$B$2:$B$10001)*($AP10 = [2]SalmonProps!$F$2:$F$10001) *($AR10 = [2]SalmonProps!$G$2:$G$10001),0), 15))</f>
        <v>2.06E-2</v>
      </c>
      <c r="AB10" s="165" cm="1">
        <f t="array" ref="AB10">IF(ISBLANK($AQ10), "", INDEX([2]SalmonProps!$A$2:$AA$10001,MATCH(1,($A10=[2]SalmonProps!$A$2:$A$10001)*(1=[2]SalmonProps!$C$2:$C$10001)*("1&amp;2"=[2]SalmonProps!$D$2:$D$10001)*("A1" = [2]SalmonProps!$B$2:$B$10001)*($AP10 = [2]SalmonProps!$F$2:$F$10001) *($AR10 = [2]SalmonProps!$G$2:$G$10001),0), 15))</f>
        <v>2.7400000000000001E-2</v>
      </c>
      <c r="AC10" s="165" cm="1">
        <f t="array" ref="AC10">IF(ISBLANK($AQ10), "", INDEX([2]SalmonProps!$A$2:$AA$10001,MATCH(1,($A10=[2]SalmonProps!$A$2:$A$10001)*(2=[2]SalmonProps!$C$2:$C$10001)*(3=[2]SalmonProps!$D$2:$D$10001)*("A1" = [2]SalmonProps!$B$2:$B$10001)*($AP10 = [2]SalmonProps!$F$2:$F$10001) *($AR10 = [2]SalmonProps!$G$2:$G$10001),0), 15))</f>
        <v>0.24279999999999999</v>
      </c>
      <c r="AD10" s="181" cm="1">
        <f t="array" ref="AD10">IF(ISBLANK($AQ10), "", INDEX([2]SalmonProps!$A$2:$AA$10001,MATCH(1,($A10=[2]SalmonProps!$A$2:$A$10001)*(3=[2]SalmonProps!$C$2:$C$10001)*(3=[2]SalmonProps!$D$2:$D$10001)*("A1" = [2]SalmonProps!$B$2:$B$10001)*($AP10 = [2]SalmonProps!$F$2:$F$10001) *($AR10 = [2]SalmonProps!$G$2:$G$10001),0), 15))</f>
        <v>0.40039999999999998</v>
      </c>
      <c r="AE10" s="166">
        <v>6.3899999999999998E-2</v>
      </c>
      <c r="AF10" s="166">
        <v>6.3200000000000006E-2</v>
      </c>
      <c r="AG10" s="167">
        <v>0.23569999999999999</v>
      </c>
      <c r="AH10" s="173" t="str" cm="1">
        <f t="array" ref="AH10">IF(ISBLANK($AQ10), "", INDEX([2]SalmonProps!$A$2:$AA$10001,MATCH(1,($A10=[2]SalmonProps!$A$2:$A$10001)*($AP10 = [2]SalmonProps!$F$2:$F$10001) *($AR10 = [2]SalmonProps!$G$2:$G$10001),0), 24))</f>
        <v>NA</v>
      </c>
      <c r="AI10" s="183" t="str" cm="1">
        <f t="array" ref="AI10">IF(ISBLANK($AQ10), "", INDEX([2]SalmonProps!$A$2:$AA$10001,MATCH(1,($A10=[2]SalmonProps!$A$2:$A$10001)*($AP10 = [2]SalmonProps!$F$2:$F$10001) *($AR10 = [2]SalmonProps!$G$2:$G$10001),0), 25))</f>
        <v>NA</v>
      </c>
      <c r="AJ10" s="174" cm="1">
        <f t="array" ref="AJ10">IF(ISBLANK($AQ10), "", INDEX([2]SalmonProps!$A$2:$AA$10001,MATCH(1,($A10=[2]SalmonProps!$A$2:$A$10001)*($AP10 = [2]SalmonProps!$F$2:$F$10001) *($AR10 = [2]SalmonProps!$G$2:$G$10001),0), 20))</f>
        <v>61.4</v>
      </c>
      <c r="AK10" s="183" cm="1">
        <f t="array" ref="AK10">IF(ISBLANK($AQ10), "", INDEX([2]SalmonProps!$A$2:$AA$10001,MATCH(1,($A10=[2]SalmonProps!$A$2:$A$10001)*($AP10 = [2]SalmonProps!$F$2:$F$10001) *($AR10 = [2]SalmonProps!$G$2:$G$10001),0), 21))</f>
        <v>5</v>
      </c>
      <c r="AL10" s="174" cm="1">
        <f t="array" ref="AL10">IF(ISBLANK($AQ10), "", INDEX([2]SalmonProps!$A$2:$AA$10001,MATCH(1,($A10=[2]SalmonProps!$A$2:$A$10001)*($AP10 = [2]SalmonProps!$F$2:$F$10001) *($AR10 = [2]SalmonProps!$G$2:$G$10001),0), 22))</f>
        <v>75.099999999999994</v>
      </c>
      <c r="AM10" s="183" cm="1">
        <f t="array" ref="AM10">IF(ISBLANK($AQ10), "", INDEX([2]SalmonProps!$A$2:$AA$10001,MATCH(1,($A10=[2]SalmonProps!$A$2:$A$10001)*($AP10 = [2]SalmonProps!$F$2:$F$10001) *($AR10 = [2]SalmonProps!$G$2:$G$10001),0), 23))</f>
        <v>7.6</v>
      </c>
      <c r="AN10" s="174" t="str" cm="1">
        <f t="array" ref="AN10">IF(ISBLANK($AQ10), "", INDEX([2]SalmonProps!$A$2:$AA$10001,MATCH(1,($A10=[2]SalmonProps!$A$2:$A$10001)*($AP10 = [2]SalmonProps!$F$2:$F$10001) *($AR10 = [2]SalmonProps!$G$2:$G$10001),0), 26))</f>
        <v>NA</v>
      </c>
      <c r="AO10" s="175" t="str" cm="1">
        <f t="array" ref="AO10">IF(ISBLANK($AQ10), "", INDEX([2]SalmonProps!$A$2:$AA$10001,MATCH(1,($A10=[2]SalmonProps!$A$2:$A$10001)*($AP10 = [2]SalmonProps!$F$2:$F$10001) *($AR10 = [2]SalmonProps!$G$2:$G$10001),0), 27))</f>
        <v>NA</v>
      </c>
      <c r="AP10" s="112">
        <v>3</v>
      </c>
      <c r="AQ10" s="112" t="s">
        <v>133</v>
      </c>
      <c r="AR10" s="112" t="str">
        <f t="shared" si="0"/>
        <v>Unweighted</v>
      </c>
    </row>
    <row r="11" spans="1:47" x14ac:dyDescent="0.3">
      <c r="A11" s="20">
        <f>'[1]Passage Estimates'!$A11</f>
        <v>45113</v>
      </c>
      <c r="B11" s="164" cm="1">
        <f t="array" ref="B11">IF(ISBLANK($AQ11), "", INDEX([2]SalmonProps!$A$2:$AA$10001,MATCH(1,($A11=[2]SalmonProps!$A$2:$A$10001)*(1=[2]SalmonProps!$C$2:$C$10001)*(1=[2]SalmonProps!$D$2:$D$10001)*("A1" = [2]SalmonProps!$B$2:$B$10001)*($AP11 = [2]SalmonProps!$F$2:$F$10001) *($AR11 = [2]SalmonProps!$G$2:$G$10001),0), 17))</f>
        <v>0</v>
      </c>
      <c r="C11" s="165" cm="1">
        <f t="array" ref="C11">IF(ISBLANK($AQ11), "", INDEX([2]SalmonProps!$A$2:$AA$10001,MATCH(1,($A11=[2]SalmonProps!$A$2:$A$10001)*(1=[2]SalmonProps!$C$2:$C$10001)*(2=[2]SalmonProps!$D$2:$D$10001)*("A1" = [2]SalmonProps!$B$2:$B$10001)*($AP11 = [2]SalmonProps!$F$2:$F$10001) *($AR11 = [2]SalmonProps!$G$2:$G$10001),0), 17))</f>
        <v>0</v>
      </c>
      <c r="D11" s="165" cm="1">
        <f t="array" ref="D11">IF(ISBLANK($AQ11), "", INDEX([2]SalmonProps!$A$2:$AA$10001,MATCH(1,($A11=[2]SalmonProps!$A$2:$A$10001)*(1=[2]SalmonProps!$C$2:$C$10001)*("1&amp;2"=[2]SalmonProps!$D$2:$D$10001)*("A1" = [2]SalmonProps!$B$2:$B$10001)*($AP11 = [2]SalmonProps!$F$2:$F$10001) *($AR11 = [2]SalmonProps!$G$2:$G$10001),0), 17))</f>
        <v>0</v>
      </c>
      <c r="E11" s="181" cm="1">
        <f t="array" ref="E11">IF(ISBLANK($AQ11), "", INDEX([2]SalmonProps!$A$2:$AA$10001,MATCH(1,($A11=[2]SalmonProps!$A$2:$A$10001)*(2=[2]SalmonProps!$C$2:$C$10001)*(3=[2]SalmonProps!$D$2:$D$10001)*("A1" = [2]SalmonProps!$B$2:$B$10001)*($AP11 = [2]SalmonProps!$F$2:$F$10001) *($AR11 = [2]SalmonProps!$G$2:$G$10001),0), 17))</f>
        <v>0.1125</v>
      </c>
      <c r="F11" s="180" cm="1">
        <f t="array" ref="F11">IF(ISBLANK($AQ11), "", INDEX([2]SalmonProps!$A$2:$AA$10001,MATCH(1,($A11=[2]SalmonProps!$A$2:$A$10001)*(3=[2]SalmonProps!$C$2:$C$10001)*(3=[2]SalmonProps!$D$2:$D$10001)*("A1" = [2]SalmonProps!$B$2:$B$10001)*($AP11 = [2]SalmonProps!$F$2:$F$10001) *($AR11 = [2]SalmonProps!$G$2:$G$10001),0), 17))</f>
        <v>0.31159999999999999</v>
      </c>
      <c r="G11" s="166">
        <v>0</v>
      </c>
      <c r="H11" s="166">
        <v>3.3300000000000003E-2</v>
      </c>
      <c r="I11" s="167">
        <v>6.9400000000000003E-2</v>
      </c>
      <c r="J11" s="164" t="str" cm="1">
        <f t="array" ref="J11">IF(ISBLANK($AQ11), "", INDEX([2]SalmonProps!$A$2:$AA$10001,MATCH(1,($A11=[2]SalmonProps!$A$2:$A$10001)*(1=[2]SalmonProps!$C$2:$C$10001)*(1=[2]SalmonProps!$D$2:$D$10001)*("A1" = [2]SalmonProps!$B$2:$B$10001)*($AP11 = [2]SalmonProps!$F$2:$F$10001) *($AR11 = [2]SalmonProps!$G$2:$G$10001),0), 19))</f>
        <v>NA</v>
      </c>
      <c r="K11" s="165" t="str" cm="1">
        <f t="array" ref="K11">IF(ISBLANK($AQ11), "", INDEX([2]SalmonProps!$A$2:$AA$10001,MATCH(1,($A11=[2]SalmonProps!$A$2:$A$10001)*(1=[2]SalmonProps!$C$2:$C$10001)*(2=[2]SalmonProps!$D$2:$D$10001)*("A1" = [2]SalmonProps!$B$2:$B$10001)*($AP11 = [2]SalmonProps!$F$2:$F$10001) *($AR11 = [2]SalmonProps!$G$2:$G$10001),0), 19))</f>
        <v>NA</v>
      </c>
      <c r="L11" s="165" t="str" cm="1">
        <f t="array" ref="L11">IF(ISBLANK($AQ11), "", INDEX([2]SalmonProps!$A$2:$AA$10001,MATCH(1,($A11=[2]SalmonProps!$A$2:$A$10001)*(1=[2]SalmonProps!$C$2:$C$10001)*("1&amp;2"=[2]SalmonProps!$D$2:$D$10001)*("A1" = [2]SalmonProps!$B$2:$B$10001)*($AP11 = [2]SalmonProps!$F$2:$F$10001) *($AR11 = [2]SalmonProps!$G$2:$G$10001),0), 19))</f>
        <v>NA</v>
      </c>
      <c r="M11" s="165" t="str" cm="1">
        <f t="array" ref="M11">IF(ISBLANK($AQ11), "", INDEX([2]SalmonProps!$A$2:$AA$10001,MATCH(1,($A11=[2]SalmonProps!$A$2:$A$10001)*(2=[2]SalmonProps!$C$2:$C$10001)*(3=[2]SalmonProps!$D$2:$D$10001)*("A1" = [2]SalmonProps!$B$2:$B$10001)*($AP11 = [2]SalmonProps!$F$2:$F$10001) *($AR11 = [2]SalmonProps!$G$2:$G$10001),0), 19))</f>
        <v>NA</v>
      </c>
      <c r="N11" s="181" t="str" cm="1">
        <f t="array" ref="N11">IF(ISBLANK($AQ11), "", INDEX([2]SalmonProps!$A$2:$AA$10001,MATCH(1,($A11=[2]SalmonProps!$A$2:$A$10001)*(3=[2]SalmonProps!$C$2:$C$10001)*(3=[2]SalmonProps!$D$2:$D$10001)*("A1" = [2]SalmonProps!$B$2:$B$10001)*($AP11 = [2]SalmonProps!$F$2:$F$10001) *($AR11 = [2]SalmonProps!$G$2:$G$10001),0), 19))</f>
        <v>NA</v>
      </c>
      <c r="O11" s="165" t="str" cm="1">
        <f t="array" ref="O11">IF(ISBLANK($AQ11), "", INDEX([2]SalmonProps!$A$2:$AA$10001,MATCH(1,($A11=[2]SalmonProps!$A$2:$A$10001)*(1=[2]SalmonProps!$C$2:$C$10001)*(1=[2]SalmonProps!$D$2:$D$10001)*("A2" = [2]SalmonProps!$B$2:$B$10001)*($AP11 = [2]SalmonProps!$F$2:$F$10001) *($AR11 = [2]SalmonProps!$G$2:$G$10001),0), 19))</f>
        <v>NA</v>
      </c>
      <c r="P11" s="165" t="e" cm="1">
        <f t="array" ref="P11">IF(ISBLANK($AQ11), "", INDEX([2]SalmonProps!$A$2:$AA$10001,MATCH(1,($A11=[2]SalmonProps!$A$2:$A$10001)*(2=[2]SalmonProps!$C$2:$C$10001)*(1=[2]SalmonProps!$D$2:$D$10001)*("A2" = [2]SalmonProps!$B$2:$B$10001)*($AP11 = [2]SalmonProps!$F$2:$F$10001) *($AR11 = [2]SalmonProps!$G$2:$G$10001),0), 19))</f>
        <v>#N/A</v>
      </c>
      <c r="Q11" s="168" t="e" cm="1">
        <f t="array" ref="Q11">IF(ISBLANK($AQ11), "", INDEX([2]SalmonProps!$A$2:$AA$10001,MATCH(1,($A11=[2]SalmonProps!$A$2:$A$10001)*(3=[2]SalmonProps!$C$2:$C$10001)*(1=[2]SalmonProps!$D$2:$D$10001)*("A2" = [2]SalmonProps!$B$2:$B$10001)*($AP11 = [2]SalmonProps!$F$2:$F$10001) *($AR11 = [2]SalmonProps!$G$2:$G$10001),0), 19))</f>
        <v>#N/A</v>
      </c>
      <c r="R11" s="164" t="str" cm="1">
        <f t="array" ref="R11">IF(ISBLANK($AQ11), "", INDEX([2]SalmonProps!$A$2:$AA$10001,MATCH(1,($A11=[2]SalmonProps!$A$2:$A$10001)*(1=[2]SalmonProps!$C$2:$C$10001)*(1=[2]SalmonProps!$D$2:$D$10001)*("A1" = [2]SalmonProps!$B$2:$B$10001)*($AP11 = [2]SalmonProps!$F$2:$F$10001) *($AR11 = [2]SalmonProps!$G$2:$G$10001),0), 18))</f>
        <v>NA</v>
      </c>
      <c r="S11" s="165" t="str" cm="1">
        <f t="array" ref="S11">IF(ISBLANK($AQ11), "", INDEX([2]SalmonProps!$A$2:$AA$10001,MATCH(1,($A11=[2]SalmonProps!$A$2:$A$10001)*(1=[2]SalmonProps!$C$2:$C$10001)*(2=[2]SalmonProps!$D$2:$D$10001)*("A1" = [2]SalmonProps!$B$2:$B$10001)*($AP11 = [2]SalmonProps!$F$2:$F$10001) *($AR11 = [2]SalmonProps!$G$2:$G$10001),0), 18))</f>
        <v>NA</v>
      </c>
      <c r="T11" s="165" t="str" cm="1">
        <f t="array" ref="T11">IF(ISBLANK($AQ11), "", INDEX([2]SalmonProps!$A$2:$AA$10001,MATCH(1,($A11=[2]SalmonProps!$A$2:$A$10001)*(1=[2]SalmonProps!$C$2:$C$10001)*("1&amp;2"=[2]SalmonProps!$D$2:$D$10001)*("A1" = [2]SalmonProps!$B$2:$B$10001)*($AP11 = [2]SalmonProps!$F$2:$F$10001) *($AR11 = [2]SalmonProps!$G$2:$G$10001),0), 18))</f>
        <v>NA</v>
      </c>
      <c r="U11" s="165" t="str" cm="1">
        <f t="array" ref="U11">IF(ISBLANK($AQ11), "", INDEX([2]SalmonProps!$A$2:$AA$10001,MATCH(1,($A11=[2]SalmonProps!$A$2:$A$10001)*(2=[2]SalmonProps!$C$2:$C$10001)*(3=[2]SalmonProps!$D$2:$D$10001)*("A1" = [2]SalmonProps!$B$2:$B$10001)*($AP11 = [2]SalmonProps!$F$2:$F$10001) *($AR11 = [2]SalmonProps!$G$2:$G$10001),0), 18))</f>
        <v>NA</v>
      </c>
      <c r="V11" s="181" t="str" cm="1">
        <f t="array" ref="V11">IF(ISBLANK($AQ11), "", INDEX([2]SalmonProps!$A$2:$AA$10001,MATCH(1,($A11=[2]SalmonProps!$A$2:$A$10001)*(3=[2]SalmonProps!$C$2:$C$10001)*(3=[2]SalmonProps!$D$2:$D$10001)*("A1" = [2]SalmonProps!$B$2:$B$10001)*($AP11 = [2]SalmonProps!$F$2:$F$10001) *($AR11 = [2]SalmonProps!$G$2:$G$10001),0), 18))</f>
        <v>NA</v>
      </c>
      <c r="W11" s="180" t="str" cm="1">
        <f t="array" ref="W11">IF(ISBLANK($AQ11), "", INDEX([2]SalmonProps!$A$2:$AA$10001,MATCH(1,($A11=[2]SalmonProps!$A$2:$A$10001)*(1=[2]SalmonProps!$C$2:$C$10001)*(1=[2]SalmonProps!$D$2:$D$10001)*("A2" = [2]SalmonProps!$B$2:$B$10001)*($AP11 = [2]SalmonProps!$F$2:$F$10001) *($AR11 = [2]SalmonProps!$G$2:$G$10001),0), 18))</f>
        <v>NA</v>
      </c>
      <c r="X11" s="165" t="e" cm="1">
        <f t="array" ref="X11">IF(ISBLANK($AQ11), "", INDEX([2]SalmonProps!$A$2:$AA$10001,MATCH(1,($A11=[2]SalmonProps!$A$2:$A$10001)*(2=[2]SalmonProps!$C$2:$C$10001)*(1=[2]SalmonProps!$D$2:$D$10001)*("A2" = [2]SalmonProps!$B$2:$B$10001)*($AP11 = [2]SalmonProps!$F$2:$F$10001) *($AR11 = [2]SalmonProps!$G$2:$G$10001),0), 18))</f>
        <v>#N/A</v>
      </c>
      <c r="Y11" s="168" t="e" cm="1">
        <f t="array" ref="Y11">IF(ISBLANK($AQ11), "", INDEX([2]SalmonProps!$A$2:$AA$10001,MATCH(1,($A11=[2]SalmonProps!$A$2:$A$10001)*(3=[2]SalmonProps!$C$2:$C$10001)*(1=[2]SalmonProps!$D$2:$D$10001)*("A2" = [2]SalmonProps!$B$2:$B$10001)*($AP11 = [2]SalmonProps!$F$2:$F$10001) *($AR11 = [2]SalmonProps!$G$2:$G$10001),0), 18))</f>
        <v>#N/A</v>
      </c>
      <c r="Z11" s="164" cm="1">
        <f t="array" ref="Z11">IF(ISBLANK($AQ11), "", INDEX([2]SalmonProps!$A$2:$AA$10001,MATCH(1,($A11=[2]SalmonProps!$A$2:$A$10001)*(1=[2]SalmonProps!$C$2:$C$10001)*(1=[2]SalmonProps!$D$2:$D$10001)*("A1" = [2]SalmonProps!$B$2:$B$10001)*($AP11 = [2]SalmonProps!$F$2:$F$10001) *($AR11 = [2]SalmonProps!$G$2:$G$10001),0), 15))</f>
        <v>6.1800000000000001E-2</v>
      </c>
      <c r="AA11" s="165" cm="1">
        <f t="array" ref="AA11">IF(ISBLANK($AQ11), "", INDEX([2]SalmonProps!$A$2:$AA$10001,MATCH(1,($A11=[2]SalmonProps!$A$2:$A$10001)*(1=[2]SalmonProps!$C$2:$C$10001)*(2=[2]SalmonProps!$D$2:$D$10001)*("A1" = [2]SalmonProps!$B$2:$B$10001)*($AP11 = [2]SalmonProps!$F$2:$F$10001) *($AR11 = [2]SalmonProps!$G$2:$G$10001),0), 15))</f>
        <v>5.5999999999999999E-3</v>
      </c>
      <c r="AB11" s="165" cm="1">
        <f t="array" ref="AB11">IF(ISBLANK($AQ11), "", INDEX([2]SalmonProps!$A$2:$AA$10001,MATCH(1,($A11=[2]SalmonProps!$A$2:$A$10001)*(1=[2]SalmonProps!$C$2:$C$10001)*("1&amp;2"=[2]SalmonProps!$D$2:$D$10001)*("A1" = [2]SalmonProps!$B$2:$B$10001)*($AP11 = [2]SalmonProps!$F$2:$F$10001) *($AR11 = [2]SalmonProps!$G$2:$G$10001),0), 15))</f>
        <v>3.2500000000000001E-2</v>
      </c>
      <c r="AC11" s="165" cm="1">
        <f t="array" ref="AC11">IF(ISBLANK($AQ11), "", INDEX([2]SalmonProps!$A$2:$AA$10001,MATCH(1,($A11=[2]SalmonProps!$A$2:$A$10001)*(2=[2]SalmonProps!$C$2:$C$10001)*(3=[2]SalmonProps!$D$2:$D$10001)*("A1" = [2]SalmonProps!$B$2:$B$10001)*($AP11 = [2]SalmonProps!$F$2:$F$10001) *($AR11 = [2]SalmonProps!$G$2:$G$10001),0), 15))</f>
        <v>0.17610000000000001</v>
      </c>
      <c r="AD11" s="181" cm="1">
        <f t="array" ref="AD11">IF(ISBLANK($AQ11), "", INDEX([2]SalmonProps!$A$2:$AA$10001,MATCH(1,($A11=[2]SalmonProps!$A$2:$A$10001)*(3=[2]SalmonProps!$C$2:$C$10001)*(3=[2]SalmonProps!$D$2:$D$10001)*("A1" = [2]SalmonProps!$B$2:$B$10001)*($AP11 = [2]SalmonProps!$F$2:$F$10001) *($AR11 = [2]SalmonProps!$G$2:$G$10001),0), 15))</f>
        <v>0.46560000000000001</v>
      </c>
      <c r="AE11" s="166">
        <v>6.3899999999999998E-2</v>
      </c>
      <c r="AF11" s="166">
        <v>6.3200000000000006E-2</v>
      </c>
      <c r="AG11" s="167">
        <v>0.23569999999999999</v>
      </c>
      <c r="AH11" s="173" t="str" cm="1">
        <f t="array" ref="AH11">IF(ISBLANK($AQ11), "", INDEX([2]SalmonProps!$A$2:$AA$10001,MATCH(1,($A11=[2]SalmonProps!$A$2:$A$10001)*($AP11 = [2]SalmonProps!$F$2:$F$10001) *($AR11 = [2]SalmonProps!$G$2:$G$10001),0), 24))</f>
        <v>NA</v>
      </c>
      <c r="AI11" s="183" t="str" cm="1">
        <f t="array" ref="AI11">IF(ISBLANK($AQ11), "", INDEX([2]SalmonProps!$A$2:$AA$10001,MATCH(1,($A11=[2]SalmonProps!$A$2:$A$10001)*($AP11 = [2]SalmonProps!$F$2:$F$10001) *($AR11 = [2]SalmonProps!$G$2:$G$10001),0), 25))</f>
        <v>NA</v>
      </c>
      <c r="AJ11" s="174" cm="1">
        <f t="array" ref="AJ11">IF(ISBLANK($AQ11), "", INDEX([2]SalmonProps!$A$2:$AA$10001,MATCH(1,($A11=[2]SalmonProps!$A$2:$A$10001)*($AP11 = [2]SalmonProps!$F$2:$F$10001) *($AR11 = [2]SalmonProps!$G$2:$G$10001),0), 20))</f>
        <v>61.4</v>
      </c>
      <c r="AK11" s="183" cm="1">
        <f t="array" ref="AK11">IF(ISBLANK($AQ11), "", INDEX([2]SalmonProps!$A$2:$AA$10001,MATCH(1,($A11=[2]SalmonProps!$A$2:$A$10001)*($AP11 = [2]SalmonProps!$F$2:$F$10001) *($AR11 = [2]SalmonProps!$G$2:$G$10001),0), 21))</f>
        <v>5</v>
      </c>
      <c r="AL11" s="174" cm="1">
        <f t="array" ref="AL11">IF(ISBLANK($AQ11), "", INDEX([2]SalmonProps!$A$2:$AA$10001,MATCH(1,($A11=[2]SalmonProps!$A$2:$A$10001)*($AP11 = [2]SalmonProps!$F$2:$F$10001) *($AR11 = [2]SalmonProps!$G$2:$G$10001),0), 22))</f>
        <v>75.099999999999994</v>
      </c>
      <c r="AM11" s="183" cm="1">
        <f t="array" ref="AM11">IF(ISBLANK($AQ11), "", INDEX([2]SalmonProps!$A$2:$AA$10001,MATCH(1,($A11=[2]SalmonProps!$A$2:$A$10001)*($AP11 = [2]SalmonProps!$F$2:$F$10001) *($AR11 = [2]SalmonProps!$G$2:$G$10001),0), 23))</f>
        <v>7.6</v>
      </c>
      <c r="AN11" s="174" t="str" cm="1">
        <f t="array" ref="AN11">IF(ISBLANK($AQ11), "", INDEX([2]SalmonProps!$A$2:$AA$10001,MATCH(1,($A11=[2]SalmonProps!$A$2:$A$10001)*($AP11 = [2]SalmonProps!$F$2:$F$10001) *($AR11 = [2]SalmonProps!$G$2:$G$10001),0), 26))</f>
        <v>NA</v>
      </c>
      <c r="AO11" s="175" t="str" cm="1">
        <f t="array" ref="AO11">IF(ISBLANK($AQ11), "", INDEX([2]SalmonProps!$A$2:$AA$10001,MATCH(1,($A11=[2]SalmonProps!$A$2:$A$10001)*($AP11 = [2]SalmonProps!$F$2:$F$10001) *($AR11 = [2]SalmonProps!$G$2:$G$10001),0), 27))</f>
        <v>NA</v>
      </c>
      <c r="AP11" s="112">
        <v>3</v>
      </c>
      <c r="AQ11" s="112" t="s">
        <v>133</v>
      </c>
      <c r="AR11" s="112" t="str">
        <f t="shared" si="0"/>
        <v>Unweighted</v>
      </c>
    </row>
    <row r="12" spans="1:47" x14ac:dyDescent="0.3">
      <c r="A12" s="20">
        <f>'[1]Passage Estimates'!$A12</f>
        <v>45114</v>
      </c>
      <c r="B12" s="164" cm="1">
        <f t="array" ref="B12">IF(ISBLANK($AQ12), "", INDEX([2]SalmonProps!$A$2:$AA$10001,MATCH(1,($A12=[2]SalmonProps!$A$2:$A$10001)*(1=[2]SalmonProps!$C$2:$C$10001)*(1=[2]SalmonProps!$D$2:$D$10001)*("A1" = [2]SalmonProps!$B$2:$B$10001)*($AP12 = [2]SalmonProps!$F$2:$F$10001) *($AR12 = [2]SalmonProps!$G$2:$G$10001),0), 17))</f>
        <v>0</v>
      </c>
      <c r="C12" s="165" cm="1">
        <f t="array" ref="C12">IF(ISBLANK($AQ12), "", INDEX([2]SalmonProps!$A$2:$AA$10001,MATCH(1,($A12=[2]SalmonProps!$A$2:$A$10001)*(1=[2]SalmonProps!$C$2:$C$10001)*(2=[2]SalmonProps!$D$2:$D$10001)*("A1" = [2]SalmonProps!$B$2:$B$10001)*($AP12 = [2]SalmonProps!$F$2:$F$10001) *($AR12 = [2]SalmonProps!$G$2:$G$10001),0), 17))</f>
        <v>0</v>
      </c>
      <c r="D12" s="165" cm="1">
        <f t="array" ref="D12">IF(ISBLANK($AQ12), "", INDEX([2]SalmonProps!$A$2:$AA$10001,MATCH(1,($A12=[2]SalmonProps!$A$2:$A$10001)*(1=[2]SalmonProps!$C$2:$C$10001)*("1&amp;2"=[2]SalmonProps!$D$2:$D$10001)*("A1" = [2]SalmonProps!$B$2:$B$10001)*($AP12 = [2]SalmonProps!$F$2:$F$10001) *($AR12 = [2]SalmonProps!$G$2:$G$10001),0), 17))</f>
        <v>0</v>
      </c>
      <c r="E12" s="181" cm="1">
        <f t="array" ref="E12">IF(ISBLANK($AQ12), "", INDEX([2]SalmonProps!$A$2:$AA$10001,MATCH(1,($A12=[2]SalmonProps!$A$2:$A$10001)*(2=[2]SalmonProps!$C$2:$C$10001)*(3=[2]SalmonProps!$D$2:$D$10001)*("A1" = [2]SalmonProps!$B$2:$B$10001)*($AP12 = [2]SalmonProps!$F$2:$F$10001) *($AR12 = [2]SalmonProps!$G$2:$G$10001),0), 17))</f>
        <v>0.1125</v>
      </c>
      <c r="F12" s="180" cm="1">
        <f t="array" ref="F12">IF(ISBLANK($AQ12), "", INDEX([2]SalmonProps!$A$2:$AA$10001,MATCH(1,($A12=[2]SalmonProps!$A$2:$A$10001)*(3=[2]SalmonProps!$C$2:$C$10001)*(3=[2]SalmonProps!$D$2:$D$10001)*("A1" = [2]SalmonProps!$B$2:$B$10001)*($AP12 = [2]SalmonProps!$F$2:$F$10001) *($AR12 = [2]SalmonProps!$G$2:$G$10001),0), 17))</f>
        <v>0.31159999999999999</v>
      </c>
      <c r="G12" s="166">
        <v>0</v>
      </c>
      <c r="H12" s="166">
        <v>3.3300000000000003E-2</v>
      </c>
      <c r="I12" s="167">
        <v>6.9400000000000003E-2</v>
      </c>
      <c r="J12" s="164" t="str" cm="1">
        <f t="array" ref="J12">IF(ISBLANK($AQ12), "", INDEX([2]SalmonProps!$A$2:$AA$10001,MATCH(1,($A12=[2]SalmonProps!$A$2:$A$10001)*(1=[2]SalmonProps!$C$2:$C$10001)*(1=[2]SalmonProps!$D$2:$D$10001)*("A1" = [2]SalmonProps!$B$2:$B$10001)*($AP12 = [2]SalmonProps!$F$2:$F$10001) *($AR12 = [2]SalmonProps!$G$2:$G$10001),0), 19))</f>
        <v>NA</v>
      </c>
      <c r="K12" s="165" t="str" cm="1">
        <f t="array" ref="K12">IF(ISBLANK($AQ12), "", INDEX([2]SalmonProps!$A$2:$AA$10001,MATCH(1,($A12=[2]SalmonProps!$A$2:$A$10001)*(1=[2]SalmonProps!$C$2:$C$10001)*(2=[2]SalmonProps!$D$2:$D$10001)*("A1" = [2]SalmonProps!$B$2:$B$10001)*($AP12 = [2]SalmonProps!$F$2:$F$10001) *($AR12 = [2]SalmonProps!$G$2:$G$10001),0), 19))</f>
        <v>NA</v>
      </c>
      <c r="L12" s="165" t="str" cm="1">
        <f t="array" ref="L12">IF(ISBLANK($AQ12), "", INDEX([2]SalmonProps!$A$2:$AA$10001,MATCH(1,($A12=[2]SalmonProps!$A$2:$A$10001)*(1=[2]SalmonProps!$C$2:$C$10001)*("1&amp;2"=[2]SalmonProps!$D$2:$D$10001)*("A1" = [2]SalmonProps!$B$2:$B$10001)*($AP12 = [2]SalmonProps!$F$2:$F$10001) *($AR12 = [2]SalmonProps!$G$2:$G$10001),0), 19))</f>
        <v>NA</v>
      </c>
      <c r="M12" s="165" t="str" cm="1">
        <f t="array" ref="M12">IF(ISBLANK($AQ12), "", INDEX([2]SalmonProps!$A$2:$AA$10001,MATCH(1,($A12=[2]SalmonProps!$A$2:$A$10001)*(2=[2]SalmonProps!$C$2:$C$10001)*(3=[2]SalmonProps!$D$2:$D$10001)*("A1" = [2]SalmonProps!$B$2:$B$10001)*($AP12 = [2]SalmonProps!$F$2:$F$10001) *($AR12 = [2]SalmonProps!$G$2:$G$10001),0), 19))</f>
        <v>NA</v>
      </c>
      <c r="N12" s="181" t="str" cm="1">
        <f t="array" ref="N12">IF(ISBLANK($AQ12), "", INDEX([2]SalmonProps!$A$2:$AA$10001,MATCH(1,($A12=[2]SalmonProps!$A$2:$A$10001)*(3=[2]SalmonProps!$C$2:$C$10001)*(3=[2]SalmonProps!$D$2:$D$10001)*("A1" = [2]SalmonProps!$B$2:$B$10001)*($AP12 = [2]SalmonProps!$F$2:$F$10001) *($AR12 = [2]SalmonProps!$G$2:$G$10001),0), 19))</f>
        <v>NA</v>
      </c>
      <c r="O12" s="165" t="str" cm="1">
        <f t="array" ref="O12">IF(ISBLANK($AQ12), "", INDEX([2]SalmonProps!$A$2:$AA$10001,MATCH(1,($A12=[2]SalmonProps!$A$2:$A$10001)*(1=[2]SalmonProps!$C$2:$C$10001)*(1=[2]SalmonProps!$D$2:$D$10001)*("A2" = [2]SalmonProps!$B$2:$B$10001)*($AP12 = [2]SalmonProps!$F$2:$F$10001) *($AR12 = [2]SalmonProps!$G$2:$G$10001),0), 19))</f>
        <v>NA</v>
      </c>
      <c r="P12" s="165" t="e" cm="1">
        <f t="array" ref="P12">IF(ISBLANK($AQ12), "", INDEX([2]SalmonProps!$A$2:$AA$10001,MATCH(1,($A12=[2]SalmonProps!$A$2:$A$10001)*(2=[2]SalmonProps!$C$2:$C$10001)*(1=[2]SalmonProps!$D$2:$D$10001)*("A2" = [2]SalmonProps!$B$2:$B$10001)*($AP12 = [2]SalmonProps!$F$2:$F$10001) *($AR12 = [2]SalmonProps!$G$2:$G$10001),0), 19))</f>
        <v>#N/A</v>
      </c>
      <c r="Q12" s="168" t="e" cm="1">
        <f t="array" ref="Q12">IF(ISBLANK($AQ12), "", INDEX([2]SalmonProps!$A$2:$AA$10001,MATCH(1,($A12=[2]SalmonProps!$A$2:$A$10001)*(3=[2]SalmonProps!$C$2:$C$10001)*(1=[2]SalmonProps!$D$2:$D$10001)*("A2" = [2]SalmonProps!$B$2:$B$10001)*($AP12 = [2]SalmonProps!$F$2:$F$10001) *($AR12 = [2]SalmonProps!$G$2:$G$10001),0), 19))</f>
        <v>#N/A</v>
      </c>
      <c r="R12" s="164" t="str" cm="1">
        <f t="array" ref="R12">IF(ISBLANK($AQ12), "", INDEX([2]SalmonProps!$A$2:$AA$10001,MATCH(1,($A12=[2]SalmonProps!$A$2:$A$10001)*(1=[2]SalmonProps!$C$2:$C$10001)*(1=[2]SalmonProps!$D$2:$D$10001)*("A1" = [2]SalmonProps!$B$2:$B$10001)*($AP12 = [2]SalmonProps!$F$2:$F$10001) *($AR12 = [2]SalmonProps!$G$2:$G$10001),0), 18))</f>
        <v>NA</v>
      </c>
      <c r="S12" s="165" t="str" cm="1">
        <f t="array" ref="S12">IF(ISBLANK($AQ12), "", INDEX([2]SalmonProps!$A$2:$AA$10001,MATCH(1,($A12=[2]SalmonProps!$A$2:$A$10001)*(1=[2]SalmonProps!$C$2:$C$10001)*(2=[2]SalmonProps!$D$2:$D$10001)*("A1" = [2]SalmonProps!$B$2:$B$10001)*($AP12 = [2]SalmonProps!$F$2:$F$10001) *($AR12 = [2]SalmonProps!$G$2:$G$10001),0), 18))</f>
        <v>NA</v>
      </c>
      <c r="T12" s="165" t="str" cm="1">
        <f t="array" ref="T12">IF(ISBLANK($AQ12), "", INDEX([2]SalmonProps!$A$2:$AA$10001,MATCH(1,($A12=[2]SalmonProps!$A$2:$A$10001)*(1=[2]SalmonProps!$C$2:$C$10001)*("1&amp;2"=[2]SalmonProps!$D$2:$D$10001)*("A1" = [2]SalmonProps!$B$2:$B$10001)*($AP12 = [2]SalmonProps!$F$2:$F$10001) *($AR12 = [2]SalmonProps!$G$2:$G$10001),0), 18))</f>
        <v>NA</v>
      </c>
      <c r="U12" s="165" t="str" cm="1">
        <f t="array" ref="U12">IF(ISBLANK($AQ12), "", INDEX([2]SalmonProps!$A$2:$AA$10001,MATCH(1,($A12=[2]SalmonProps!$A$2:$A$10001)*(2=[2]SalmonProps!$C$2:$C$10001)*(3=[2]SalmonProps!$D$2:$D$10001)*("A1" = [2]SalmonProps!$B$2:$B$10001)*($AP12 = [2]SalmonProps!$F$2:$F$10001) *($AR12 = [2]SalmonProps!$G$2:$G$10001),0), 18))</f>
        <v>NA</v>
      </c>
      <c r="V12" s="181" t="str" cm="1">
        <f t="array" ref="V12">IF(ISBLANK($AQ12), "", INDEX([2]SalmonProps!$A$2:$AA$10001,MATCH(1,($A12=[2]SalmonProps!$A$2:$A$10001)*(3=[2]SalmonProps!$C$2:$C$10001)*(3=[2]SalmonProps!$D$2:$D$10001)*("A1" = [2]SalmonProps!$B$2:$B$10001)*($AP12 = [2]SalmonProps!$F$2:$F$10001) *($AR12 = [2]SalmonProps!$G$2:$G$10001),0), 18))</f>
        <v>NA</v>
      </c>
      <c r="W12" s="180" t="str" cm="1">
        <f t="array" ref="W12">IF(ISBLANK($AQ12), "", INDEX([2]SalmonProps!$A$2:$AA$10001,MATCH(1,($A12=[2]SalmonProps!$A$2:$A$10001)*(1=[2]SalmonProps!$C$2:$C$10001)*(1=[2]SalmonProps!$D$2:$D$10001)*("A2" = [2]SalmonProps!$B$2:$B$10001)*($AP12 = [2]SalmonProps!$F$2:$F$10001) *($AR12 = [2]SalmonProps!$G$2:$G$10001),0), 18))</f>
        <v>NA</v>
      </c>
      <c r="X12" s="165" t="e" cm="1">
        <f t="array" ref="X12">IF(ISBLANK($AQ12), "", INDEX([2]SalmonProps!$A$2:$AA$10001,MATCH(1,($A12=[2]SalmonProps!$A$2:$A$10001)*(2=[2]SalmonProps!$C$2:$C$10001)*(1=[2]SalmonProps!$D$2:$D$10001)*("A2" = [2]SalmonProps!$B$2:$B$10001)*($AP12 = [2]SalmonProps!$F$2:$F$10001) *($AR12 = [2]SalmonProps!$G$2:$G$10001),0), 18))</f>
        <v>#N/A</v>
      </c>
      <c r="Y12" s="168" t="e" cm="1">
        <f t="array" ref="Y12">IF(ISBLANK($AQ12), "", INDEX([2]SalmonProps!$A$2:$AA$10001,MATCH(1,($A12=[2]SalmonProps!$A$2:$A$10001)*(3=[2]SalmonProps!$C$2:$C$10001)*(1=[2]SalmonProps!$D$2:$D$10001)*("A2" = [2]SalmonProps!$B$2:$B$10001)*($AP12 = [2]SalmonProps!$F$2:$F$10001) *($AR12 = [2]SalmonProps!$G$2:$G$10001),0), 18))</f>
        <v>#N/A</v>
      </c>
      <c r="Z12" s="164" cm="1">
        <f t="array" ref="Z12">IF(ISBLANK($AQ12), "", INDEX([2]SalmonProps!$A$2:$AA$10001,MATCH(1,($A12=[2]SalmonProps!$A$2:$A$10001)*(1=[2]SalmonProps!$C$2:$C$10001)*(1=[2]SalmonProps!$D$2:$D$10001)*("A1" = [2]SalmonProps!$B$2:$B$10001)*($AP12 = [2]SalmonProps!$F$2:$F$10001) *($AR12 = [2]SalmonProps!$G$2:$G$10001),0), 15))</f>
        <v>6.1800000000000001E-2</v>
      </c>
      <c r="AA12" s="165" cm="1">
        <f t="array" ref="AA12">IF(ISBLANK($AQ12), "", INDEX([2]SalmonProps!$A$2:$AA$10001,MATCH(1,($A12=[2]SalmonProps!$A$2:$A$10001)*(1=[2]SalmonProps!$C$2:$C$10001)*(2=[2]SalmonProps!$D$2:$D$10001)*("A1" = [2]SalmonProps!$B$2:$B$10001)*($AP12 = [2]SalmonProps!$F$2:$F$10001) *($AR12 = [2]SalmonProps!$G$2:$G$10001),0), 15))</f>
        <v>5.5999999999999999E-3</v>
      </c>
      <c r="AB12" s="165" cm="1">
        <f t="array" ref="AB12">IF(ISBLANK($AQ12), "", INDEX([2]SalmonProps!$A$2:$AA$10001,MATCH(1,($A12=[2]SalmonProps!$A$2:$A$10001)*(1=[2]SalmonProps!$C$2:$C$10001)*("1&amp;2"=[2]SalmonProps!$D$2:$D$10001)*("A1" = [2]SalmonProps!$B$2:$B$10001)*($AP12 = [2]SalmonProps!$F$2:$F$10001) *($AR12 = [2]SalmonProps!$G$2:$G$10001),0), 15))</f>
        <v>3.2500000000000001E-2</v>
      </c>
      <c r="AC12" s="165" cm="1">
        <f t="array" ref="AC12">IF(ISBLANK($AQ12), "", INDEX([2]SalmonProps!$A$2:$AA$10001,MATCH(1,($A12=[2]SalmonProps!$A$2:$A$10001)*(2=[2]SalmonProps!$C$2:$C$10001)*(3=[2]SalmonProps!$D$2:$D$10001)*("A1" = [2]SalmonProps!$B$2:$B$10001)*($AP12 = [2]SalmonProps!$F$2:$F$10001) *($AR12 = [2]SalmonProps!$G$2:$G$10001),0), 15))</f>
        <v>0.17610000000000001</v>
      </c>
      <c r="AD12" s="181" cm="1">
        <f t="array" ref="AD12">IF(ISBLANK($AQ12), "", INDEX([2]SalmonProps!$A$2:$AA$10001,MATCH(1,($A12=[2]SalmonProps!$A$2:$A$10001)*(3=[2]SalmonProps!$C$2:$C$10001)*(3=[2]SalmonProps!$D$2:$D$10001)*("A1" = [2]SalmonProps!$B$2:$B$10001)*($AP12 = [2]SalmonProps!$F$2:$F$10001) *($AR12 = [2]SalmonProps!$G$2:$G$10001),0), 15))</f>
        <v>0.46560000000000001</v>
      </c>
      <c r="AE12" s="166">
        <v>6.3899999999999998E-2</v>
      </c>
      <c r="AF12" s="166">
        <v>6.3200000000000006E-2</v>
      </c>
      <c r="AG12" s="167">
        <v>0.23569999999999999</v>
      </c>
      <c r="AH12" s="173" t="str" cm="1">
        <f t="array" ref="AH12">IF(ISBLANK($AQ12), "", INDEX([2]SalmonProps!$A$2:$AA$10001,MATCH(1,($A12=[2]SalmonProps!$A$2:$A$10001)*($AP12 = [2]SalmonProps!$F$2:$F$10001) *($AR12 = [2]SalmonProps!$G$2:$G$10001),0), 24))</f>
        <v>NA</v>
      </c>
      <c r="AI12" s="183" t="str" cm="1">
        <f t="array" ref="AI12">IF(ISBLANK($AQ12), "", INDEX([2]SalmonProps!$A$2:$AA$10001,MATCH(1,($A12=[2]SalmonProps!$A$2:$A$10001)*($AP12 = [2]SalmonProps!$F$2:$F$10001) *($AR12 = [2]SalmonProps!$G$2:$G$10001),0), 25))</f>
        <v>NA</v>
      </c>
      <c r="AJ12" s="174" cm="1">
        <f t="array" ref="AJ12">IF(ISBLANK($AQ12), "", INDEX([2]SalmonProps!$A$2:$AA$10001,MATCH(1,($A12=[2]SalmonProps!$A$2:$A$10001)*($AP12 = [2]SalmonProps!$F$2:$F$10001) *($AR12 = [2]SalmonProps!$G$2:$G$10001),0), 20))</f>
        <v>61.4</v>
      </c>
      <c r="AK12" s="183" cm="1">
        <f t="array" ref="AK12">IF(ISBLANK($AQ12), "", INDEX([2]SalmonProps!$A$2:$AA$10001,MATCH(1,($A12=[2]SalmonProps!$A$2:$A$10001)*($AP12 = [2]SalmonProps!$F$2:$F$10001) *($AR12 = [2]SalmonProps!$G$2:$G$10001),0), 21))</f>
        <v>5</v>
      </c>
      <c r="AL12" s="174" cm="1">
        <f t="array" ref="AL12">IF(ISBLANK($AQ12), "", INDEX([2]SalmonProps!$A$2:$AA$10001,MATCH(1,($A12=[2]SalmonProps!$A$2:$A$10001)*($AP12 = [2]SalmonProps!$F$2:$F$10001) *($AR12 = [2]SalmonProps!$G$2:$G$10001),0), 22))</f>
        <v>75.099999999999994</v>
      </c>
      <c r="AM12" s="183" cm="1">
        <f t="array" ref="AM12">IF(ISBLANK($AQ12), "", INDEX([2]SalmonProps!$A$2:$AA$10001,MATCH(1,($A12=[2]SalmonProps!$A$2:$A$10001)*($AP12 = [2]SalmonProps!$F$2:$F$10001) *($AR12 = [2]SalmonProps!$G$2:$G$10001),0), 23))</f>
        <v>7.6</v>
      </c>
      <c r="AN12" s="174" t="str" cm="1">
        <f t="array" ref="AN12">IF(ISBLANK($AQ12), "", INDEX([2]SalmonProps!$A$2:$AA$10001,MATCH(1,($A12=[2]SalmonProps!$A$2:$A$10001)*($AP12 = [2]SalmonProps!$F$2:$F$10001) *($AR12 = [2]SalmonProps!$G$2:$G$10001),0), 26))</f>
        <v>NA</v>
      </c>
      <c r="AO12" s="175" t="str" cm="1">
        <f t="array" ref="AO12">IF(ISBLANK($AQ12), "", INDEX([2]SalmonProps!$A$2:$AA$10001,MATCH(1,($A12=[2]SalmonProps!$A$2:$A$10001)*($AP12 = [2]SalmonProps!$F$2:$F$10001) *($AR12 = [2]SalmonProps!$G$2:$G$10001),0), 27))</f>
        <v>NA</v>
      </c>
      <c r="AP12" s="112">
        <v>3</v>
      </c>
      <c r="AQ12" s="112" t="s">
        <v>133</v>
      </c>
      <c r="AR12" s="112" t="str">
        <f t="shared" si="0"/>
        <v>Unweighted</v>
      </c>
    </row>
    <row r="13" spans="1:47" x14ac:dyDescent="0.3">
      <c r="A13" s="20">
        <f>'[1]Passage Estimates'!$A13</f>
        <v>45115</v>
      </c>
      <c r="B13" s="164" cm="1">
        <f t="array" ref="B13">IF(ISBLANK($AQ13), "", INDEX([2]SalmonProps!$A$2:$AA$10001,MATCH(1,($A13=[2]SalmonProps!$A$2:$A$10001)*(1=[2]SalmonProps!$C$2:$C$10001)*(1=[2]SalmonProps!$D$2:$D$10001)*("A1" = [2]SalmonProps!$B$2:$B$10001)*($AP13 = [2]SalmonProps!$F$2:$F$10001) *($AR13 = [2]SalmonProps!$G$2:$G$10001),0), 17))</f>
        <v>0</v>
      </c>
      <c r="C13" s="165" cm="1">
        <f t="array" ref="C13">IF(ISBLANK($AQ13), "", INDEX([2]SalmonProps!$A$2:$AA$10001,MATCH(1,($A13=[2]SalmonProps!$A$2:$A$10001)*(1=[2]SalmonProps!$C$2:$C$10001)*(2=[2]SalmonProps!$D$2:$D$10001)*("A1" = [2]SalmonProps!$B$2:$B$10001)*($AP13 = [2]SalmonProps!$F$2:$F$10001) *($AR13 = [2]SalmonProps!$G$2:$G$10001),0), 17))</f>
        <v>0</v>
      </c>
      <c r="D13" s="165" cm="1">
        <f t="array" ref="D13">IF(ISBLANK($AQ13), "", INDEX([2]SalmonProps!$A$2:$AA$10001,MATCH(1,($A13=[2]SalmonProps!$A$2:$A$10001)*(1=[2]SalmonProps!$C$2:$C$10001)*("1&amp;2"=[2]SalmonProps!$D$2:$D$10001)*("A1" = [2]SalmonProps!$B$2:$B$10001)*($AP13 = [2]SalmonProps!$F$2:$F$10001) *($AR13 = [2]SalmonProps!$G$2:$G$10001),0), 17))</f>
        <v>0</v>
      </c>
      <c r="E13" s="181" cm="1">
        <f t="array" ref="E13">IF(ISBLANK($AQ13), "", INDEX([2]SalmonProps!$A$2:$AA$10001,MATCH(1,($A13=[2]SalmonProps!$A$2:$A$10001)*(2=[2]SalmonProps!$C$2:$C$10001)*(3=[2]SalmonProps!$D$2:$D$10001)*("A1" = [2]SalmonProps!$B$2:$B$10001)*($AP13 = [2]SalmonProps!$F$2:$F$10001) *($AR13 = [2]SalmonProps!$G$2:$G$10001),0), 17))</f>
        <v>0.1125</v>
      </c>
      <c r="F13" s="180" cm="1">
        <f t="array" ref="F13">IF(ISBLANK($AQ13), "", INDEX([2]SalmonProps!$A$2:$AA$10001,MATCH(1,($A13=[2]SalmonProps!$A$2:$A$10001)*(3=[2]SalmonProps!$C$2:$C$10001)*(3=[2]SalmonProps!$D$2:$D$10001)*("A1" = [2]SalmonProps!$B$2:$B$10001)*($AP13 = [2]SalmonProps!$F$2:$F$10001) *($AR13 = [2]SalmonProps!$G$2:$G$10001),0), 17))</f>
        <v>0.31159999999999999</v>
      </c>
      <c r="G13" s="166">
        <v>0</v>
      </c>
      <c r="H13" s="166">
        <v>3.3300000000000003E-2</v>
      </c>
      <c r="I13" s="167">
        <v>6.9400000000000003E-2</v>
      </c>
      <c r="J13" s="164" t="str" cm="1">
        <f t="array" ref="J13">IF(ISBLANK($AQ13), "", INDEX([2]SalmonProps!$A$2:$AA$10001,MATCH(1,($A13=[2]SalmonProps!$A$2:$A$10001)*(1=[2]SalmonProps!$C$2:$C$10001)*(1=[2]SalmonProps!$D$2:$D$10001)*("A1" = [2]SalmonProps!$B$2:$B$10001)*($AP13 = [2]SalmonProps!$F$2:$F$10001) *($AR13 = [2]SalmonProps!$G$2:$G$10001),0), 19))</f>
        <v>NA</v>
      </c>
      <c r="K13" s="165" t="str" cm="1">
        <f t="array" ref="K13">IF(ISBLANK($AQ13), "", INDEX([2]SalmonProps!$A$2:$AA$10001,MATCH(1,($A13=[2]SalmonProps!$A$2:$A$10001)*(1=[2]SalmonProps!$C$2:$C$10001)*(2=[2]SalmonProps!$D$2:$D$10001)*("A1" = [2]SalmonProps!$B$2:$B$10001)*($AP13 = [2]SalmonProps!$F$2:$F$10001) *($AR13 = [2]SalmonProps!$G$2:$G$10001),0), 19))</f>
        <v>NA</v>
      </c>
      <c r="L13" s="165" t="str" cm="1">
        <f t="array" ref="L13">IF(ISBLANK($AQ13), "", INDEX([2]SalmonProps!$A$2:$AA$10001,MATCH(1,($A13=[2]SalmonProps!$A$2:$A$10001)*(1=[2]SalmonProps!$C$2:$C$10001)*("1&amp;2"=[2]SalmonProps!$D$2:$D$10001)*("A1" = [2]SalmonProps!$B$2:$B$10001)*($AP13 = [2]SalmonProps!$F$2:$F$10001) *($AR13 = [2]SalmonProps!$G$2:$G$10001),0), 19))</f>
        <v>NA</v>
      </c>
      <c r="M13" s="165" t="str" cm="1">
        <f t="array" ref="M13">IF(ISBLANK($AQ13), "", INDEX([2]SalmonProps!$A$2:$AA$10001,MATCH(1,($A13=[2]SalmonProps!$A$2:$A$10001)*(2=[2]SalmonProps!$C$2:$C$10001)*(3=[2]SalmonProps!$D$2:$D$10001)*("A1" = [2]SalmonProps!$B$2:$B$10001)*($AP13 = [2]SalmonProps!$F$2:$F$10001) *($AR13 = [2]SalmonProps!$G$2:$G$10001),0), 19))</f>
        <v>NA</v>
      </c>
      <c r="N13" s="181" t="str" cm="1">
        <f t="array" ref="N13">IF(ISBLANK($AQ13), "", INDEX([2]SalmonProps!$A$2:$AA$10001,MATCH(1,($A13=[2]SalmonProps!$A$2:$A$10001)*(3=[2]SalmonProps!$C$2:$C$10001)*(3=[2]SalmonProps!$D$2:$D$10001)*("A1" = [2]SalmonProps!$B$2:$B$10001)*($AP13 = [2]SalmonProps!$F$2:$F$10001) *($AR13 = [2]SalmonProps!$G$2:$G$10001),0), 19))</f>
        <v>NA</v>
      </c>
      <c r="O13" s="165" t="str" cm="1">
        <f t="array" ref="O13">IF(ISBLANK($AQ13), "", INDEX([2]SalmonProps!$A$2:$AA$10001,MATCH(1,($A13=[2]SalmonProps!$A$2:$A$10001)*(1=[2]SalmonProps!$C$2:$C$10001)*(1=[2]SalmonProps!$D$2:$D$10001)*("A2" = [2]SalmonProps!$B$2:$B$10001)*($AP13 = [2]SalmonProps!$F$2:$F$10001) *($AR13 = [2]SalmonProps!$G$2:$G$10001),0), 19))</f>
        <v>NA</v>
      </c>
      <c r="P13" s="165" t="e" cm="1">
        <f t="array" ref="P13">IF(ISBLANK($AQ13), "", INDEX([2]SalmonProps!$A$2:$AA$10001,MATCH(1,($A13=[2]SalmonProps!$A$2:$A$10001)*(2=[2]SalmonProps!$C$2:$C$10001)*(1=[2]SalmonProps!$D$2:$D$10001)*("A2" = [2]SalmonProps!$B$2:$B$10001)*($AP13 = [2]SalmonProps!$F$2:$F$10001) *($AR13 = [2]SalmonProps!$G$2:$G$10001),0), 19))</f>
        <v>#N/A</v>
      </c>
      <c r="Q13" s="168" t="e" cm="1">
        <f t="array" ref="Q13">IF(ISBLANK($AQ13), "", INDEX([2]SalmonProps!$A$2:$AA$10001,MATCH(1,($A13=[2]SalmonProps!$A$2:$A$10001)*(3=[2]SalmonProps!$C$2:$C$10001)*(1=[2]SalmonProps!$D$2:$D$10001)*("A2" = [2]SalmonProps!$B$2:$B$10001)*($AP13 = [2]SalmonProps!$F$2:$F$10001) *($AR13 = [2]SalmonProps!$G$2:$G$10001),0), 19))</f>
        <v>#N/A</v>
      </c>
      <c r="R13" s="164" t="str" cm="1">
        <f t="array" ref="R13">IF(ISBLANK($AQ13), "", INDEX([2]SalmonProps!$A$2:$AA$10001,MATCH(1,($A13=[2]SalmonProps!$A$2:$A$10001)*(1=[2]SalmonProps!$C$2:$C$10001)*(1=[2]SalmonProps!$D$2:$D$10001)*("A1" = [2]SalmonProps!$B$2:$B$10001)*($AP13 = [2]SalmonProps!$F$2:$F$10001) *($AR13 = [2]SalmonProps!$G$2:$G$10001),0), 18))</f>
        <v>NA</v>
      </c>
      <c r="S13" s="165" t="str" cm="1">
        <f t="array" ref="S13">IF(ISBLANK($AQ13), "", INDEX([2]SalmonProps!$A$2:$AA$10001,MATCH(1,($A13=[2]SalmonProps!$A$2:$A$10001)*(1=[2]SalmonProps!$C$2:$C$10001)*(2=[2]SalmonProps!$D$2:$D$10001)*("A1" = [2]SalmonProps!$B$2:$B$10001)*($AP13 = [2]SalmonProps!$F$2:$F$10001) *($AR13 = [2]SalmonProps!$G$2:$G$10001),0), 18))</f>
        <v>NA</v>
      </c>
      <c r="T13" s="165" t="str" cm="1">
        <f t="array" ref="T13">IF(ISBLANK($AQ13), "", INDEX([2]SalmonProps!$A$2:$AA$10001,MATCH(1,($A13=[2]SalmonProps!$A$2:$A$10001)*(1=[2]SalmonProps!$C$2:$C$10001)*("1&amp;2"=[2]SalmonProps!$D$2:$D$10001)*("A1" = [2]SalmonProps!$B$2:$B$10001)*($AP13 = [2]SalmonProps!$F$2:$F$10001) *($AR13 = [2]SalmonProps!$G$2:$G$10001),0), 18))</f>
        <v>NA</v>
      </c>
      <c r="U13" s="165" t="str" cm="1">
        <f t="array" ref="U13">IF(ISBLANK($AQ13), "", INDEX([2]SalmonProps!$A$2:$AA$10001,MATCH(1,($A13=[2]SalmonProps!$A$2:$A$10001)*(2=[2]SalmonProps!$C$2:$C$10001)*(3=[2]SalmonProps!$D$2:$D$10001)*("A1" = [2]SalmonProps!$B$2:$B$10001)*($AP13 = [2]SalmonProps!$F$2:$F$10001) *($AR13 = [2]SalmonProps!$G$2:$G$10001),0), 18))</f>
        <v>NA</v>
      </c>
      <c r="V13" s="181" t="str" cm="1">
        <f t="array" ref="V13">IF(ISBLANK($AQ13), "", INDEX([2]SalmonProps!$A$2:$AA$10001,MATCH(1,($A13=[2]SalmonProps!$A$2:$A$10001)*(3=[2]SalmonProps!$C$2:$C$10001)*(3=[2]SalmonProps!$D$2:$D$10001)*("A1" = [2]SalmonProps!$B$2:$B$10001)*($AP13 = [2]SalmonProps!$F$2:$F$10001) *($AR13 = [2]SalmonProps!$G$2:$G$10001),0), 18))</f>
        <v>NA</v>
      </c>
      <c r="W13" s="180" t="str" cm="1">
        <f t="array" ref="W13">IF(ISBLANK($AQ13), "", INDEX([2]SalmonProps!$A$2:$AA$10001,MATCH(1,($A13=[2]SalmonProps!$A$2:$A$10001)*(1=[2]SalmonProps!$C$2:$C$10001)*(1=[2]SalmonProps!$D$2:$D$10001)*("A2" = [2]SalmonProps!$B$2:$B$10001)*($AP13 = [2]SalmonProps!$F$2:$F$10001) *($AR13 = [2]SalmonProps!$G$2:$G$10001),0), 18))</f>
        <v>NA</v>
      </c>
      <c r="X13" s="165" t="e" cm="1">
        <f t="array" ref="X13">IF(ISBLANK($AQ13), "", INDEX([2]SalmonProps!$A$2:$AA$10001,MATCH(1,($A13=[2]SalmonProps!$A$2:$A$10001)*(2=[2]SalmonProps!$C$2:$C$10001)*(1=[2]SalmonProps!$D$2:$D$10001)*("A2" = [2]SalmonProps!$B$2:$B$10001)*($AP13 = [2]SalmonProps!$F$2:$F$10001) *($AR13 = [2]SalmonProps!$G$2:$G$10001),0), 18))</f>
        <v>#N/A</v>
      </c>
      <c r="Y13" s="168" t="e" cm="1">
        <f t="array" ref="Y13">IF(ISBLANK($AQ13), "", INDEX([2]SalmonProps!$A$2:$AA$10001,MATCH(1,($A13=[2]SalmonProps!$A$2:$A$10001)*(3=[2]SalmonProps!$C$2:$C$10001)*(1=[2]SalmonProps!$D$2:$D$10001)*("A2" = [2]SalmonProps!$B$2:$B$10001)*($AP13 = [2]SalmonProps!$F$2:$F$10001) *($AR13 = [2]SalmonProps!$G$2:$G$10001),0), 18))</f>
        <v>#N/A</v>
      </c>
      <c r="Z13" s="164" cm="1">
        <f t="array" ref="Z13">IF(ISBLANK($AQ13), "", INDEX([2]SalmonProps!$A$2:$AA$10001,MATCH(1,($A13=[2]SalmonProps!$A$2:$A$10001)*(1=[2]SalmonProps!$C$2:$C$10001)*(1=[2]SalmonProps!$D$2:$D$10001)*("A1" = [2]SalmonProps!$B$2:$B$10001)*($AP13 = [2]SalmonProps!$F$2:$F$10001) *($AR13 = [2]SalmonProps!$G$2:$G$10001),0), 15))</f>
        <v>6.1800000000000001E-2</v>
      </c>
      <c r="AA13" s="165" cm="1">
        <f t="array" ref="AA13">IF(ISBLANK($AQ13), "", INDEX([2]SalmonProps!$A$2:$AA$10001,MATCH(1,($A13=[2]SalmonProps!$A$2:$A$10001)*(1=[2]SalmonProps!$C$2:$C$10001)*(2=[2]SalmonProps!$D$2:$D$10001)*("A1" = [2]SalmonProps!$B$2:$B$10001)*($AP13 = [2]SalmonProps!$F$2:$F$10001) *($AR13 = [2]SalmonProps!$G$2:$G$10001),0), 15))</f>
        <v>5.5999999999999999E-3</v>
      </c>
      <c r="AB13" s="165" cm="1">
        <f t="array" ref="AB13">IF(ISBLANK($AQ13), "", INDEX([2]SalmonProps!$A$2:$AA$10001,MATCH(1,($A13=[2]SalmonProps!$A$2:$A$10001)*(1=[2]SalmonProps!$C$2:$C$10001)*("1&amp;2"=[2]SalmonProps!$D$2:$D$10001)*("A1" = [2]SalmonProps!$B$2:$B$10001)*($AP13 = [2]SalmonProps!$F$2:$F$10001) *($AR13 = [2]SalmonProps!$G$2:$G$10001),0), 15))</f>
        <v>3.2500000000000001E-2</v>
      </c>
      <c r="AC13" s="165" cm="1">
        <f t="array" ref="AC13">IF(ISBLANK($AQ13), "", INDEX([2]SalmonProps!$A$2:$AA$10001,MATCH(1,($A13=[2]SalmonProps!$A$2:$A$10001)*(2=[2]SalmonProps!$C$2:$C$10001)*(3=[2]SalmonProps!$D$2:$D$10001)*("A1" = [2]SalmonProps!$B$2:$B$10001)*($AP13 = [2]SalmonProps!$F$2:$F$10001) *($AR13 = [2]SalmonProps!$G$2:$G$10001),0), 15))</f>
        <v>0.17610000000000001</v>
      </c>
      <c r="AD13" s="181" cm="1">
        <f t="array" ref="AD13">IF(ISBLANK($AQ13), "", INDEX([2]SalmonProps!$A$2:$AA$10001,MATCH(1,($A13=[2]SalmonProps!$A$2:$A$10001)*(3=[2]SalmonProps!$C$2:$C$10001)*(3=[2]SalmonProps!$D$2:$D$10001)*("A1" = [2]SalmonProps!$B$2:$B$10001)*($AP13 = [2]SalmonProps!$F$2:$F$10001) *($AR13 = [2]SalmonProps!$G$2:$G$10001),0), 15))</f>
        <v>0.46560000000000001</v>
      </c>
      <c r="AE13" s="166">
        <v>6.3899999999999998E-2</v>
      </c>
      <c r="AF13" s="166">
        <v>6.3200000000000006E-2</v>
      </c>
      <c r="AG13" s="167">
        <v>0.23569999999999999</v>
      </c>
      <c r="AH13" s="173" t="str" cm="1">
        <f t="array" ref="AH13">IF(ISBLANK($AQ13), "", INDEX([2]SalmonProps!$A$2:$AA$10001,MATCH(1,($A13=[2]SalmonProps!$A$2:$A$10001)*($AP13 = [2]SalmonProps!$F$2:$F$10001) *($AR13 = [2]SalmonProps!$G$2:$G$10001),0), 24))</f>
        <v>NA</v>
      </c>
      <c r="AI13" s="183" t="str" cm="1">
        <f t="array" ref="AI13">IF(ISBLANK($AQ13), "", INDEX([2]SalmonProps!$A$2:$AA$10001,MATCH(1,($A13=[2]SalmonProps!$A$2:$A$10001)*($AP13 = [2]SalmonProps!$F$2:$F$10001) *($AR13 = [2]SalmonProps!$G$2:$G$10001),0), 25))</f>
        <v>NA</v>
      </c>
      <c r="AJ13" s="174" cm="1">
        <f t="array" ref="AJ13">IF(ISBLANK($AQ13), "", INDEX([2]SalmonProps!$A$2:$AA$10001,MATCH(1,($A13=[2]SalmonProps!$A$2:$A$10001)*($AP13 = [2]SalmonProps!$F$2:$F$10001) *($AR13 = [2]SalmonProps!$G$2:$G$10001),0), 20))</f>
        <v>61.4</v>
      </c>
      <c r="AK13" s="183" cm="1">
        <f t="array" ref="AK13">IF(ISBLANK($AQ13), "", INDEX([2]SalmonProps!$A$2:$AA$10001,MATCH(1,($A13=[2]SalmonProps!$A$2:$A$10001)*($AP13 = [2]SalmonProps!$F$2:$F$10001) *($AR13 = [2]SalmonProps!$G$2:$G$10001),0), 21))</f>
        <v>5</v>
      </c>
      <c r="AL13" s="174" cm="1">
        <f t="array" ref="AL13">IF(ISBLANK($AQ13), "", INDEX([2]SalmonProps!$A$2:$AA$10001,MATCH(1,($A13=[2]SalmonProps!$A$2:$A$10001)*($AP13 = [2]SalmonProps!$F$2:$F$10001) *($AR13 = [2]SalmonProps!$G$2:$G$10001),0), 22))</f>
        <v>75.099999999999994</v>
      </c>
      <c r="AM13" s="183" cm="1">
        <f t="array" ref="AM13">IF(ISBLANK($AQ13), "", INDEX([2]SalmonProps!$A$2:$AA$10001,MATCH(1,($A13=[2]SalmonProps!$A$2:$A$10001)*($AP13 = [2]SalmonProps!$F$2:$F$10001) *($AR13 = [2]SalmonProps!$G$2:$G$10001),0), 23))</f>
        <v>7.6</v>
      </c>
      <c r="AN13" s="174" t="str" cm="1">
        <f t="array" ref="AN13">IF(ISBLANK($AQ13), "", INDEX([2]SalmonProps!$A$2:$AA$10001,MATCH(1,($A13=[2]SalmonProps!$A$2:$A$10001)*($AP13 = [2]SalmonProps!$F$2:$F$10001) *($AR13 = [2]SalmonProps!$G$2:$G$10001),0), 26))</f>
        <v>NA</v>
      </c>
      <c r="AO13" s="175" t="str" cm="1">
        <f t="array" ref="AO13">IF(ISBLANK($AQ13), "", INDEX([2]SalmonProps!$A$2:$AA$10001,MATCH(1,($A13=[2]SalmonProps!$A$2:$A$10001)*($AP13 = [2]SalmonProps!$F$2:$F$10001) *($AR13 = [2]SalmonProps!$G$2:$G$10001),0), 27))</f>
        <v>NA</v>
      </c>
      <c r="AP13" s="112">
        <v>3</v>
      </c>
      <c r="AQ13" s="112" t="s">
        <v>133</v>
      </c>
      <c r="AR13" s="112" t="str">
        <f t="shared" si="0"/>
        <v>Unweighted</v>
      </c>
    </row>
    <row r="14" spans="1:47" x14ac:dyDescent="0.3">
      <c r="A14" s="20">
        <f>'[1]Passage Estimates'!$A14</f>
        <v>45116</v>
      </c>
      <c r="B14" s="164" cm="1">
        <f t="array" ref="B14">IF(ISBLANK($AQ14), "", INDEX([2]SalmonProps!$A$2:$AA$10001,MATCH(1,($A14=[2]SalmonProps!$A$2:$A$10001)*(1=[2]SalmonProps!$C$2:$C$10001)*(1=[2]SalmonProps!$D$2:$D$10001)*("A1" = [2]SalmonProps!$B$2:$B$10001)*($AP14 = [2]SalmonProps!$F$2:$F$10001) *($AR14 = [2]SalmonProps!$G$2:$G$10001),0), 17))</f>
        <v>0</v>
      </c>
      <c r="C14" s="165" cm="1">
        <f t="array" ref="C14">IF(ISBLANK($AQ14), "", INDEX([2]SalmonProps!$A$2:$AA$10001,MATCH(1,($A14=[2]SalmonProps!$A$2:$A$10001)*(1=[2]SalmonProps!$C$2:$C$10001)*(2=[2]SalmonProps!$D$2:$D$10001)*("A1" = [2]SalmonProps!$B$2:$B$10001)*($AP14 = [2]SalmonProps!$F$2:$F$10001) *($AR14 = [2]SalmonProps!$G$2:$G$10001),0), 17))</f>
        <v>0</v>
      </c>
      <c r="D14" s="165" cm="1">
        <f t="array" ref="D14">IF(ISBLANK($AQ14), "", INDEX([2]SalmonProps!$A$2:$AA$10001,MATCH(1,($A14=[2]SalmonProps!$A$2:$A$10001)*(1=[2]SalmonProps!$C$2:$C$10001)*("1&amp;2"=[2]SalmonProps!$D$2:$D$10001)*("A1" = [2]SalmonProps!$B$2:$B$10001)*($AP14 = [2]SalmonProps!$F$2:$F$10001) *($AR14 = [2]SalmonProps!$G$2:$G$10001),0), 17))</f>
        <v>0</v>
      </c>
      <c r="E14" s="181" cm="1">
        <f t="array" ref="E14">IF(ISBLANK($AQ14), "", INDEX([2]SalmonProps!$A$2:$AA$10001,MATCH(1,($A14=[2]SalmonProps!$A$2:$A$10001)*(2=[2]SalmonProps!$C$2:$C$10001)*(3=[2]SalmonProps!$D$2:$D$10001)*("A1" = [2]SalmonProps!$B$2:$B$10001)*($AP14 = [2]SalmonProps!$F$2:$F$10001) *($AR14 = [2]SalmonProps!$G$2:$G$10001),0), 17))</f>
        <v>0.1075</v>
      </c>
      <c r="F14" s="180" cm="1">
        <f t="array" ref="F14">IF(ISBLANK($AQ14), "", INDEX([2]SalmonProps!$A$2:$AA$10001,MATCH(1,($A14=[2]SalmonProps!$A$2:$A$10001)*(3=[2]SalmonProps!$C$2:$C$10001)*(3=[2]SalmonProps!$D$2:$D$10001)*("A1" = [2]SalmonProps!$B$2:$B$10001)*($AP14 = [2]SalmonProps!$F$2:$F$10001) *($AR14 = [2]SalmonProps!$G$2:$G$10001),0), 17))</f>
        <v>0.35949999999999999</v>
      </c>
      <c r="G14" s="166">
        <v>0</v>
      </c>
      <c r="H14" s="166">
        <v>3.3300000000000003E-2</v>
      </c>
      <c r="I14" s="167">
        <v>6.9400000000000003E-2</v>
      </c>
      <c r="J14" s="164" t="str" cm="1">
        <f t="array" ref="J14">IF(ISBLANK($AQ14), "", INDEX([2]SalmonProps!$A$2:$AA$10001,MATCH(1,($A14=[2]SalmonProps!$A$2:$A$10001)*(1=[2]SalmonProps!$C$2:$C$10001)*(1=[2]SalmonProps!$D$2:$D$10001)*("A1" = [2]SalmonProps!$B$2:$B$10001)*($AP14 = [2]SalmonProps!$F$2:$F$10001) *($AR14 = [2]SalmonProps!$G$2:$G$10001),0), 19))</f>
        <v>NA</v>
      </c>
      <c r="K14" s="165" t="str" cm="1">
        <f t="array" ref="K14">IF(ISBLANK($AQ14), "", INDEX([2]SalmonProps!$A$2:$AA$10001,MATCH(1,($A14=[2]SalmonProps!$A$2:$A$10001)*(1=[2]SalmonProps!$C$2:$C$10001)*(2=[2]SalmonProps!$D$2:$D$10001)*("A1" = [2]SalmonProps!$B$2:$B$10001)*($AP14 = [2]SalmonProps!$F$2:$F$10001) *($AR14 = [2]SalmonProps!$G$2:$G$10001),0), 19))</f>
        <v>NA</v>
      </c>
      <c r="L14" s="165" t="str" cm="1">
        <f t="array" ref="L14">IF(ISBLANK($AQ14), "", INDEX([2]SalmonProps!$A$2:$AA$10001,MATCH(1,($A14=[2]SalmonProps!$A$2:$A$10001)*(1=[2]SalmonProps!$C$2:$C$10001)*("1&amp;2"=[2]SalmonProps!$D$2:$D$10001)*("A1" = [2]SalmonProps!$B$2:$B$10001)*($AP14 = [2]SalmonProps!$F$2:$F$10001) *($AR14 = [2]SalmonProps!$G$2:$G$10001),0), 19))</f>
        <v>NA</v>
      </c>
      <c r="M14" s="165" t="str" cm="1">
        <f t="array" ref="M14">IF(ISBLANK($AQ14), "", INDEX([2]SalmonProps!$A$2:$AA$10001,MATCH(1,($A14=[2]SalmonProps!$A$2:$A$10001)*(2=[2]SalmonProps!$C$2:$C$10001)*(3=[2]SalmonProps!$D$2:$D$10001)*("A1" = [2]SalmonProps!$B$2:$B$10001)*($AP14 = [2]SalmonProps!$F$2:$F$10001) *($AR14 = [2]SalmonProps!$G$2:$G$10001),0), 19))</f>
        <v>NA</v>
      </c>
      <c r="N14" s="181" t="str" cm="1">
        <f t="array" ref="N14">IF(ISBLANK($AQ14), "", INDEX([2]SalmonProps!$A$2:$AA$10001,MATCH(1,($A14=[2]SalmonProps!$A$2:$A$10001)*(3=[2]SalmonProps!$C$2:$C$10001)*(3=[2]SalmonProps!$D$2:$D$10001)*("A1" = [2]SalmonProps!$B$2:$B$10001)*($AP14 = [2]SalmonProps!$F$2:$F$10001) *($AR14 = [2]SalmonProps!$G$2:$G$10001),0), 19))</f>
        <v>NA</v>
      </c>
      <c r="O14" s="165" t="str" cm="1">
        <f t="array" ref="O14">IF(ISBLANK($AQ14), "", INDEX([2]SalmonProps!$A$2:$AA$10001,MATCH(1,($A14=[2]SalmonProps!$A$2:$A$10001)*(1=[2]SalmonProps!$C$2:$C$10001)*(1=[2]SalmonProps!$D$2:$D$10001)*("A2" = [2]SalmonProps!$B$2:$B$10001)*($AP14 = [2]SalmonProps!$F$2:$F$10001) *($AR14 = [2]SalmonProps!$G$2:$G$10001),0), 19))</f>
        <v>NA</v>
      </c>
      <c r="P14" s="165" t="str" cm="1">
        <f t="array" ref="P14">IF(ISBLANK($AQ14), "", INDEX([2]SalmonProps!$A$2:$AA$10001,MATCH(1,($A14=[2]SalmonProps!$A$2:$A$10001)*(2=[2]SalmonProps!$C$2:$C$10001)*(1=[2]SalmonProps!$D$2:$D$10001)*("A2" = [2]SalmonProps!$B$2:$B$10001)*($AP14 = [2]SalmonProps!$F$2:$F$10001) *($AR14 = [2]SalmonProps!$G$2:$G$10001),0), 19))</f>
        <v>NA</v>
      </c>
      <c r="Q14" s="168" t="str" cm="1">
        <f t="array" ref="Q14">IF(ISBLANK($AQ14), "", INDEX([2]SalmonProps!$A$2:$AA$10001,MATCH(1,($A14=[2]SalmonProps!$A$2:$A$10001)*(3=[2]SalmonProps!$C$2:$C$10001)*(1=[2]SalmonProps!$D$2:$D$10001)*("A2" = [2]SalmonProps!$B$2:$B$10001)*($AP14 = [2]SalmonProps!$F$2:$F$10001) *($AR14 = [2]SalmonProps!$G$2:$G$10001),0), 19))</f>
        <v>NA</v>
      </c>
      <c r="R14" s="164" t="str" cm="1">
        <f t="array" ref="R14">IF(ISBLANK($AQ14), "", INDEX([2]SalmonProps!$A$2:$AA$10001,MATCH(1,($A14=[2]SalmonProps!$A$2:$A$10001)*(1=[2]SalmonProps!$C$2:$C$10001)*(1=[2]SalmonProps!$D$2:$D$10001)*("A1" = [2]SalmonProps!$B$2:$B$10001)*($AP14 = [2]SalmonProps!$F$2:$F$10001) *($AR14 = [2]SalmonProps!$G$2:$G$10001),0), 18))</f>
        <v>NA</v>
      </c>
      <c r="S14" s="165" t="str" cm="1">
        <f t="array" ref="S14">IF(ISBLANK($AQ14), "", INDEX([2]SalmonProps!$A$2:$AA$10001,MATCH(1,($A14=[2]SalmonProps!$A$2:$A$10001)*(1=[2]SalmonProps!$C$2:$C$10001)*(2=[2]SalmonProps!$D$2:$D$10001)*("A1" = [2]SalmonProps!$B$2:$B$10001)*($AP14 = [2]SalmonProps!$F$2:$F$10001) *($AR14 = [2]SalmonProps!$G$2:$G$10001),0), 18))</f>
        <v>NA</v>
      </c>
      <c r="T14" s="165" t="str" cm="1">
        <f t="array" ref="T14">IF(ISBLANK($AQ14), "", INDEX([2]SalmonProps!$A$2:$AA$10001,MATCH(1,($A14=[2]SalmonProps!$A$2:$A$10001)*(1=[2]SalmonProps!$C$2:$C$10001)*("1&amp;2"=[2]SalmonProps!$D$2:$D$10001)*("A1" = [2]SalmonProps!$B$2:$B$10001)*($AP14 = [2]SalmonProps!$F$2:$F$10001) *($AR14 = [2]SalmonProps!$G$2:$G$10001),0), 18))</f>
        <v>NA</v>
      </c>
      <c r="U14" s="165" t="str" cm="1">
        <f t="array" ref="U14">IF(ISBLANK($AQ14), "", INDEX([2]SalmonProps!$A$2:$AA$10001,MATCH(1,($A14=[2]SalmonProps!$A$2:$A$10001)*(2=[2]SalmonProps!$C$2:$C$10001)*(3=[2]SalmonProps!$D$2:$D$10001)*("A1" = [2]SalmonProps!$B$2:$B$10001)*($AP14 = [2]SalmonProps!$F$2:$F$10001) *($AR14 = [2]SalmonProps!$G$2:$G$10001),0), 18))</f>
        <v>NA</v>
      </c>
      <c r="V14" s="181" t="str" cm="1">
        <f t="array" ref="V14">IF(ISBLANK($AQ14), "", INDEX([2]SalmonProps!$A$2:$AA$10001,MATCH(1,($A14=[2]SalmonProps!$A$2:$A$10001)*(3=[2]SalmonProps!$C$2:$C$10001)*(3=[2]SalmonProps!$D$2:$D$10001)*("A1" = [2]SalmonProps!$B$2:$B$10001)*($AP14 = [2]SalmonProps!$F$2:$F$10001) *($AR14 = [2]SalmonProps!$G$2:$G$10001),0), 18))</f>
        <v>NA</v>
      </c>
      <c r="W14" s="180" t="str" cm="1">
        <f t="array" ref="W14">IF(ISBLANK($AQ14), "", INDEX([2]SalmonProps!$A$2:$AA$10001,MATCH(1,($A14=[2]SalmonProps!$A$2:$A$10001)*(1=[2]SalmonProps!$C$2:$C$10001)*(1=[2]SalmonProps!$D$2:$D$10001)*("A2" = [2]SalmonProps!$B$2:$B$10001)*($AP14 = [2]SalmonProps!$F$2:$F$10001) *($AR14 = [2]SalmonProps!$G$2:$G$10001),0), 18))</f>
        <v>NA</v>
      </c>
      <c r="X14" s="165" t="str" cm="1">
        <f t="array" ref="X14">IF(ISBLANK($AQ14), "", INDEX([2]SalmonProps!$A$2:$AA$10001,MATCH(1,($A14=[2]SalmonProps!$A$2:$A$10001)*(2=[2]SalmonProps!$C$2:$C$10001)*(1=[2]SalmonProps!$D$2:$D$10001)*("A2" = [2]SalmonProps!$B$2:$B$10001)*($AP14 = [2]SalmonProps!$F$2:$F$10001) *($AR14 = [2]SalmonProps!$G$2:$G$10001),0), 18))</f>
        <v>NA</v>
      </c>
      <c r="Y14" s="168" t="str" cm="1">
        <f t="array" ref="Y14">IF(ISBLANK($AQ14), "", INDEX([2]SalmonProps!$A$2:$AA$10001,MATCH(1,($A14=[2]SalmonProps!$A$2:$A$10001)*(3=[2]SalmonProps!$C$2:$C$10001)*(1=[2]SalmonProps!$D$2:$D$10001)*("A2" = [2]SalmonProps!$B$2:$B$10001)*($AP14 = [2]SalmonProps!$F$2:$F$10001) *($AR14 = [2]SalmonProps!$G$2:$G$10001),0), 18))</f>
        <v>NA</v>
      </c>
      <c r="Z14" s="164" cm="1">
        <f t="array" ref="Z14">IF(ISBLANK($AQ14), "", INDEX([2]SalmonProps!$A$2:$AA$10001,MATCH(1,($A14=[2]SalmonProps!$A$2:$A$10001)*(1=[2]SalmonProps!$C$2:$C$10001)*(1=[2]SalmonProps!$D$2:$D$10001)*("A1" = [2]SalmonProps!$B$2:$B$10001)*($AP14 = [2]SalmonProps!$F$2:$F$10001) *($AR14 = [2]SalmonProps!$G$2:$G$10001),0), 15))</f>
        <v>7.7999999999999996E-3</v>
      </c>
      <c r="AA14" s="165" cm="1">
        <f t="array" ref="AA14">IF(ISBLANK($AQ14), "", INDEX([2]SalmonProps!$A$2:$AA$10001,MATCH(1,($A14=[2]SalmonProps!$A$2:$A$10001)*(1=[2]SalmonProps!$C$2:$C$10001)*(2=[2]SalmonProps!$D$2:$D$10001)*("A1" = [2]SalmonProps!$B$2:$B$10001)*($AP14 = [2]SalmonProps!$F$2:$F$10001) *($AR14 = [2]SalmonProps!$G$2:$G$10001),0), 15))</f>
        <v>1.8499999999999999E-2</v>
      </c>
      <c r="AB14" s="165" cm="1">
        <f t="array" ref="AB14">IF(ISBLANK($AQ14), "", INDEX([2]SalmonProps!$A$2:$AA$10001,MATCH(1,($A14=[2]SalmonProps!$A$2:$A$10001)*(1=[2]SalmonProps!$C$2:$C$10001)*("1&amp;2"=[2]SalmonProps!$D$2:$D$10001)*("A1" = [2]SalmonProps!$B$2:$B$10001)*($AP14 = [2]SalmonProps!$F$2:$F$10001) *($AR14 = [2]SalmonProps!$G$2:$G$10001),0), 15))</f>
        <v>1.4999999999999999E-2</v>
      </c>
      <c r="AC14" s="165" cm="1">
        <f t="array" ref="AC14">IF(ISBLANK($AQ14), "", INDEX([2]SalmonProps!$A$2:$AA$10001,MATCH(1,($A14=[2]SalmonProps!$A$2:$A$10001)*(2=[2]SalmonProps!$C$2:$C$10001)*(3=[2]SalmonProps!$D$2:$D$10001)*("A1" = [2]SalmonProps!$B$2:$B$10001)*($AP14 = [2]SalmonProps!$F$2:$F$10001) *($AR14 = [2]SalmonProps!$G$2:$G$10001),0), 15))</f>
        <v>0.21279999999999999</v>
      </c>
      <c r="AD14" s="181" cm="1">
        <f t="array" ref="AD14">IF(ISBLANK($AQ14), "", INDEX([2]SalmonProps!$A$2:$AA$10001,MATCH(1,($A14=[2]SalmonProps!$A$2:$A$10001)*(3=[2]SalmonProps!$C$2:$C$10001)*(3=[2]SalmonProps!$D$2:$D$10001)*("A1" = [2]SalmonProps!$B$2:$B$10001)*($AP14 = [2]SalmonProps!$F$2:$F$10001) *($AR14 = [2]SalmonProps!$G$2:$G$10001),0), 15))</f>
        <v>0.35949999999999999</v>
      </c>
      <c r="AE14" s="166">
        <v>6.3899999999999998E-2</v>
      </c>
      <c r="AF14" s="166">
        <v>6.3200000000000006E-2</v>
      </c>
      <c r="AG14" s="167">
        <v>0.23569999999999999</v>
      </c>
      <c r="AH14" s="173" t="str" cm="1">
        <f t="array" ref="AH14">IF(ISBLANK($AQ14), "", INDEX([2]SalmonProps!$A$2:$AA$10001,MATCH(1,($A14=[2]SalmonProps!$A$2:$A$10001)*($AP14 = [2]SalmonProps!$F$2:$F$10001) *($AR14 = [2]SalmonProps!$G$2:$G$10001),0), 24))</f>
        <v>NA</v>
      </c>
      <c r="AI14" s="183" t="str" cm="1">
        <f t="array" ref="AI14">IF(ISBLANK($AQ14), "", INDEX([2]SalmonProps!$A$2:$AA$10001,MATCH(1,($A14=[2]SalmonProps!$A$2:$A$10001)*($AP14 = [2]SalmonProps!$F$2:$F$10001) *($AR14 = [2]SalmonProps!$G$2:$G$10001),0), 25))</f>
        <v>NA</v>
      </c>
      <c r="AJ14" s="174" cm="1">
        <f t="array" ref="AJ14">IF(ISBLANK($AQ14), "", INDEX([2]SalmonProps!$A$2:$AA$10001,MATCH(1,($A14=[2]SalmonProps!$A$2:$A$10001)*($AP14 = [2]SalmonProps!$F$2:$F$10001) *($AR14 = [2]SalmonProps!$G$2:$G$10001),0), 20))</f>
        <v>61.4</v>
      </c>
      <c r="AK14" s="183" cm="1">
        <f t="array" ref="AK14">IF(ISBLANK($AQ14), "", INDEX([2]SalmonProps!$A$2:$AA$10001,MATCH(1,($A14=[2]SalmonProps!$A$2:$A$10001)*($AP14 = [2]SalmonProps!$F$2:$F$10001) *($AR14 = [2]SalmonProps!$G$2:$G$10001),0), 21))</f>
        <v>5</v>
      </c>
      <c r="AL14" s="174" cm="1">
        <f t="array" ref="AL14">IF(ISBLANK($AQ14), "", INDEX([2]SalmonProps!$A$2:$AA$10001,MATCH(1,($A14=[2]SalmonProps!$A$2:$A$10001)*($AP14 = [2]SalmonProps!$F$2:$F$10001) *($AR14 = [2]SalmonProps!$G$2:$G$10001),0), 22))</f>
        <v>75.099999999999994</v>
      </c>
      <c r="AM14" s="183" cm="1">
        <f t="array" ref="AM14">IF(ISBLANK($AQ14), "", INDEX([2]SalmonProps!$A$2:$AA$10001,MATCH(1,($A14=[2]SalmonProps!$A$2:$A$10001)*($AP14 = [2]SalmonProps!$F$2:$F$10001) *($AR14 = [2]SalmonProps!$G$2:$G$10001),0), 23))</f>
        <v>7.6</v>
      </c>
      <c r="AN14" s="174" t="str" cm="1">
        <f t="array" ref="AN14">IF(ISBLANK($AQ14), "", INDEX([2]SalmonProps!$A$2:$AA$10001,MATCH(1,($A14=[2]SalmonProps!$A$2:$A$10001)*($AP14 = [2]SalmonProps!$F$2:$F$10001) *($AR14 = [2]SalmonProps!$G$2:$G$10001),0), 26))</f>
        <v>NA</v>
      </c>
      <c r="AO14" s="175" t="str" cm="1">
        <f t="array" ref="AO14">IF(ISBLANK($AQ14), "", INDEX([2]SalmonProps!$A$2:$AA$10001,MATCH(1,($A14=[2]SalmonProps!$A$2:$A$10001)*($AP14 = [2]SalmonProps!$F$2:$F$10001) *($AR14 = [2]SalmonProps!$G$2:$G$10001),0), 27))</f>
        <v>NA</v>
      </c>
      <c r="AP14" s="112">
        <v>3</v>
      </c>
      <c r="AQ14" s="112" t="s">
        <v>133</v>
      </c>
      <c r="AR14" s="112" t="str">
        <f t="shared" si="0"/>
        <v>Unweighted</v>
      </c>
    </row>
    <row r="15" spans="1:47" x14ac:dyDescent="0.3">
      <c r="A15" s="20">
        <f>'[1]Passage Estimates'!$A15</f>
        <v>45117</v>
      </c>
      <c r="B15" s="164" cm="1">
        <f t="array" ref="B15">IF(ISBLANK($AQ15), "", INDEX([2]SalmonProps!$A$2:$AA$10001,MATCH(1,($A15=[2]SalmonProps!$A$2:$A$10001)*(1=[2]SalmonProps!$C$2:$C$10001)*(1=[2]SalmonProps!$D$2:$D$10001)*("A1" = [2]SalmonProps!$B$2:$B$10001)*($AP15 = [2]SalmonProps!$F$2:$F$10001) *($AR15 = [2]SalmonProps!$G$2:$G$10001),0), 17))</f>
        <v>0</v>
      </c>
      <c r="C15" s="165" cm="1">
        <f t="array" ref="C15">IF(ISBLANK($AQ15), "", INDEX([2]SalmonProps!$A$2:$AA$10001,MATCH(1,($A15=[2]SalmonProps!$A$2:$A$10001)*(1=[2]SalmonProps!$C$2:$C$10001)*(2=[2]SalmonProps!$D$2:$D$10001)*("A1" = [2]SalmonProps!$B$2:$B$10001)*($AP15 = [2]SalmonProps!$F$2:$F$10001) *($AR15 = [2]SalmonProps!$G$2:$G$10001),0), 17))</f>
        <v>0</v>
      </c>
      <c r="D15" s="165" cm="1">
        <f t="array" ref="D15">IF(ISBLANK($AQ15), "", INDEX([2]SalmonProps!$A$2:$AA$10001,MATCH(1,($A15=[2]SalmonProps!$A$2:$A$10001)*(1=[2]SalmonProps!$C$2:$C$10001)*("1&amp;2"=[2]SalmonProps!$D$2:$D$10001)*("A1" = [2]SalmonProps!$B$2:$B$10001)*($AP15 = [2]SalmonProps!$F$2:$F$10001) *($AR15 = [2]SalmonProps!$G$2:$G$10001),0), 17))</f>
        <v>0</v>
      </c>
      <c r="E15" s="181" cm="1">
        <f t="array" ref="E15">IF(ISBLANK($AQ15), "", INDEX([2]SalmonProps!$A$2:$AA$10001,MATCH(1,($A15=[2]SalmonProps!$A$2:$A$10001)*(2=[2]SalmonProps!$C$2:$C$10001)*(3=[2]SalmonProps!$D$2:$D$10001)*("A1" = [2]SalmonProps!$B$2:$B$10001)*($AP15 = [2]SalmonProps!$F$2:$F$10001) *($AR15 = [2]SalmonProps!$G$2:$G$10001),0), 17))</f>
        <v>0.1075</v>
      </c>
      <c r="F15" s="180" cm="1">
        <f t="array" ref="F15">IF(ISBLANK($AQ15), "", INDEX([2]SalmonProps!$A$2:$AA$10001,MATCH(1,($A15=[2]SalmonProps!$A$2:$A$10001)*(3=[2]SalmonProps!$C$2:$C$10001)*(3=[2]SalmonProps!$D$2:$D$10001)*("A1" = [2]SalmonProps!$B$2:$B$10001)*($AP15 = [2]SalmonProps!$F$2:$F$10001) *($AR15 = [2]SalmonProps!$G$2:$G$10001),0), 17))</f>
        <v>0.35949999999999999</v>
      </c>
      <c r="G15" s="166">
        <v>0</v>
      </c>
      <c r="H15" s="166">
        <v>3.3300000000000003E-2</v>
      </c>
      <c r="I15" s="167">
        <v>6.9400000000000003E-2</v>
      </c>
      <c r="J15" s="164" t="str" cm="1">
        <f t="array" ref="J15">IF(ISBLANK($AQ15), "", INDEX([2]SalmonProps!$A$2:$AA$10001,MATCH(1,($A15=[2]SalmonProps!$A$2:$A$10001)*(1=[2]SalmonProps!$C$2:$C$10001)*(1=[2]SalmonProps!$D$2:$D$10001)*("A1" = [2]SalmonProps!$B$2:$B$10001)*($AP15 = [2]SalmonProps!$F$2:$F$10001) *($AR15 = [2]SalmonProps!$G$2:$G$10001),0), 19))</f>
        <v>NA</v>
      </c>
      <c r="K15" s="165" t="str" cm="1">
        <f t="array" ref="K15">IF(ISBLANK($AQ15), "", INDEX([2]SalmonProps!$A$2:$AA$10001,MATCH(1,($A15=[2]SalmonProps!$A$2:$A$10001)*(1=[2]SalmonProps!$C$2:$C$10001)*(2=[2]SalmonProps!$D$2:$D$10001)*("A1" = [2]SalmonProps!$B$2:$B$10001)*($AP15 = [2]SalmonProps!$F$2:$F$10001) *($AR15 = [2]SalmonProps!$G$2:$G$10001),0), 19))</f>
        <v>NA</v>
      </c>
      <c r="L15" s="165" t="str" cm="1">
        <f t="array" ref="L15">IF(ISBLANK($AQ15), "", INDEX([2]SalmonProps!$A$2:$AA$10001,MATCH(1,($A15=[2]SalmonProps!$A$2:$A$10001)*(1=[2]SalmonProps!$C$2:$C$10001)*("1&amp;2"=[2]SalmonProps!$D$2:$D$10001)*("A1" = [2]SalmonProps!$B$2:$B$10001)*($AP15 = [2]SalmonProps!$F$2:$F$10001) *($AR15 = [2]SalmonProps!$G$2:$G$10001),0), 19))</f>
        <v>NA</v>
      </c>
      <c r="M15" s="165" t="str" cm="1">
        <f t="array" ref="M15">IF(ISBLANK($AQ15), "", INDEX([2]SalmonProps!$A$2:$AA$10001,MATCH(1,($A15=[2]SalmonProps!$A$2:$A$10001)*(2=[2]SalmonProps!$C$2:$C$10001)*(3=[2]SalmonProps!$D$2:$D$10001)*("A1" = [2]SalmonProps!$B$2:$B$10001)*($AP15 = [2]SalmonProps!$F$2:$F$10001) *($AR15 = [2]SalmonProps!$G$2:$G$10001),0), 19))</f>
        <v>NA</v>
      </c>
      <c r="N15" s="181" t="str" cm="1">
        <f t="array" ref="N15">IF(ISBLANK($AQ15), "", INDEX([2]SalmonProps!$A$2:$AA$10001,MATCH(1,($A15=[2]SalmonProps!$A$2:$A$10001)*(3=[2]SalmonProps!$C$2:$C$10001)*(3=[2]SalmonProps!$D$2:$D$10001)*("A1" = [2]SalmonProps!$B$2:$B$10001)*($AP15 = [2]SalmonProps!$F$2:$F$10001) *($AR15 = [2]SalmonProps!$G$2:$G$10001),0), 19))</f>
        <v>NA</v>
      </c>
      <c r="O15" s="165" t="str" cm="1">
        <f t="array" ref="O15">IF(ISBLANK($AQ15), "", INDEX([2]SalmonProps!$A$2:$AA$10001,MATCH(1,($A15=[2]SalmonProps!$A$2:$A$10001)*(1=[2]SalmonProps!$C$2:$C$10001)*(1=[2]SalmonProps!$D$2:$D$10001)*("A2" = [2]SalmonProps!$B$2:$B$10001)*($AP15 = [2]SalmonProps!$F$2:$F$10001) *($AR15 = [2]SalmonProps!$G$2:$G$10001),0), 19))</f>
        <v>NA</v>
      </c>
      <c r="P15" s="165" t="str" cm="1">
        <f t="array" ref="P15">IF(ISBLANK($AQ15), "", INDEX([2]SalmonProps!$A$2:$AA$10001,MATCH(1,($A15=[2]SalmonProps!$A$2:$A$10001)*(2=[2]SalmonProps!$C$2:$C$10001)*(1=[2]SalmonProps!$D$2:$D$10001)*("A2" = [2]SalmonProps!$B$2:$B$10001)*($AP15 = [2]SalmonProps!$F$2:$F$10001) *($AR15 = [2]SalmonProps!$G$2:$G$10001),0), 19))</f>
        <v>NA</v>
      </c>
      <c r="Q15" s="168" t="str" cm="1">
        <f t="array" ref="Q15">IF(ISBLANK($AQ15), "", INDEX([2]SalmonProps!$A$2:$AA$10001,MATCH(1,($A15=[2]SalmonProps!$A$2:$A$10001)*(3=[2]SalmonProps!$C$2:$C$10001)*(1=[2]SalmonProps!$D$2:$D$10001)*("A2" = [2]SalmonProps!$B$2:$B$10001)*($AP15 = [2]SalmonProps!$F$2:$F$10001) *($AR15 = [2]SalmonProps!$G$2:$G$10001),0), 19))</f>
        <v>NA</v>
      </c>
      <c r="R15" s="164" t="str" cm="1">
        <f t="array" ref="R15">IF(ISBLANK($AQ15), "", INDEX([2]SalmonProps!$A$2:$AA$10001,MATCH(1,($A15=[2]SalmonProps!$A$2:$A$10001)*(1=[2]SalmonProps!$C$2:$C$10001)*(1=[2]SalmonProps!$D$2:$D$10001)*("A1" = [2]SalmonProps!$B$2:$B$10001)*($AP15 = [2]SalmonProps!$F$2:$F$10001) *($AR15 = [2]SalmonProps!$G$2:$G$10001),0), 18))</f>
        <v>NA</v>
      </c>
      <c r="S15" s="165" t="str" cm="1">
        <f t="array" ref="S15">IF(ISBLANK($AQ15), "", INDEX([2]SalmonProps!$A$2:$AA$10001,MATCH(1,($A15=[2]SalmonProps!$A$2:$A$10001)*(1=[2]SalmonProps!$C$2:$C$10001)*(2=[2]SalmonProps!$D$2:$D$10001)*("A1" = [2]SalmonProps!$B$2:$B$10001)*($AP15 = [2]SalmonProps!$F$2:$F$10001) *($AR15 = [2]SalmonProps!$G$2:$G$10001),0), 18))</f>
        <v>NA</v>
      </c>
      <c r="T15" s="165" t="str" cm="1">
        <f t="array" ref="T15">IF(ISBLANK($AQ15), "", INDEX([2]SalmonProps!$A$2:$AA$10001,MATCH(1,($A15=[2]SalmonProps!$A$2:$A$10001)*(1=[2]SalmonProps!$C$2:$C$10001)*("1&amp;2"=[2]SalmonProps!$D$2:$D$10001)*("A1" = [2]SalmonProps!$B$2:$B$10001)*($AP15 = [2]SalmonProps!$F$2:$F$10001) *($AR15 = [2]SalmonProps!$G$2:$G$10001),0), 18))</f>
        <v>NA</v>
      </c>
      <c r="U15" s="165" t="str" cm="1">
        <f t="array" ref="U15">IF(ISBLANK($AQ15), "", INDEX([2]SalmonProps!$A$2:$AA$10001,MATCH(1,($A15=[2]SalmonProps!$A$2:$A$10001)*(2=[2]SalmonProps!$C$2:$C$10001)*(3=[2]SalmonProps!$D$2:$D$10001)*("A1" = [2]SalmonProps!$B$2:$B$10001)*($AP15 = [2]SalmonProps!$F$2:$F$10001) *($AR15 = [2]SalmonProps!$G$2:$G$10001),0), 18))</f>
        <v>NA</v>
      </c>
      <c r="V15" s="181" t="str" cm="1">
        <f t="array" ref="V15">IF(ISBLANK($AQ15), "", INDEX([2]SalmonProps!$A$2:$AA$10001,MATCH(1,($A15=[2]SalmonProps!$A$2:$A$10001)*(3=[2]SalmonProps!$C$2:$C$10001)*(3=[2]SalmonProps!$D$2:$D$10001)*("A1" = [2]SalmonProps!$B$2:$B$10001)*($AP15 = [2]SalmonProps!$F$2:$F$10001) *($AR15 = [2]SalmonProps!$G$2:$G$10001),0), 18))</f>
        <v>NA</v>
      </c>
      <c r="W15" s="180" t="str" cm="1">
        <f t="array" ref="W15">IF(ISBLANK($AQ15), "", INDEX([2]SalmonProps!$A$2:$AA$10001,MATCH(1,($A15=[2]SalmonProps!$A$2:$A$10001)*(1=[2]SalmonProps!$C$2:$C$10001)*(1=[2]SalmonProps!$D$2:$D$10001)*("A2" = [2]SalmonProps!$B$2:$B$10001)*($AP15 = [2]SalmonProps!$F$2:$F$10001) *($AR15 = [2]SalmonProps!$G$2:$G$10001),0), 18))</f>
        <v>NA</v>
      </c>
      <c r="X15" s="165" t="str" cm="1">
        <f t="array" ref="X15">IF(ISBLANK($AQ15), "", INDEX([2]SalmonProps!$A$2:$AA$10001,MATCH(1,($A15=[2]SalmonProps!$A$2:$A$10001)*(2=[2]SalmonProps!$C$2:$C$10001)*(1=[2]SalmonProps!$D$2:$D$10001)*("A2" = [2]SalmonProps!$B$2:$B$10001)*($AP15 = [2]SalmonProps!$F$2:$F$10001) *($AR15 = [2]SalmonProps!$G$2:$G$10001),0), 18))</f>
        <v>NA</v>
      </c>
      <c r="Y15" s="168" t="str" cm="1">
        <f t="array" ref="Y15">IF(ISBLANK($AQ15), "", INDEX([2]SalmonProps!$A$2:$AA$10001,MATCH(1,($A15=[2]SalmonProps!$A$2:$A$10001)*(3=[2]SalmonProps!$C$2:$C$10001)*(1=[2]SalmonProps!$D$2:$D$10001)*("A2" = [2]SalmonProps!$B$2:$B$10001)*($AP15 = [2]SalmonProps!$F$2:$F$10001) *($AR15 = [2]SalmonProps!$G$2:$G$10001),0), 18))</f>
        <v>NA</v>
      </c>
      <c r="Z15" s="164" cm="1">
        <f t="array" ref="Z15">IF(ISBLANK($AQ15), "", INDEX([2]SalmonProps!$A$2:$AA$10001,MATCH(1,($A15=[2]SalmonProps!$A$2:$A$10001)*(1=[2]SalmonProps!$C$2:$C$10001)*(1=[2]SalmonProps!$D$2:$D$10001)*("A1" = [2]SalmonProps!$B$2:$B$10001)*($AP15 = [2]SalmonProps!$F$2:$F$10001) *($AR15 = [2]SalmonProps!$G$2:$G$10001),0), 15))</f>
        <v>7.7999999999999996E-3</v>
      </c>
      <c r="AA15" s="165" cm="1">
        <f t="array" ref="AA15">IF(ISBLANK($AQ15), "", INDEX([2]SalmonProps!$A$2:$AA$10001,MATCH(1,($A15=[2]SalmonProps!$A$2:$A$10001)*(1=[2]SalmonProps!$C$2:$C$10001)*(2=[2]SalmonProps!$D$2:$D$10001)*("A1" = [2]SalmonProps!$B$2:$B$10001)*($AP15 = [2]SalmonProps!$F$2:$F$10001) *($AR15 = [2]SalmonProps!$G$2:$G$10001),0), 15))</f>
        <v>1.8499999999999999E-2</v>
      </c>
      <c r="AB15" s="165" cm="1">
        <f t="array" ref="AB15">IF(ISBLANK($AQ15), "", INDEX([2]SalmonProps!$A$2:$AA$10001,MATCH(1,($A15=[2]SalmonProps!$A$2:$A$10001)*(1=[2]SalmonProps!$C$2:$C$10001)*("1&amp;2"=[2]SalmonProps!$D$2:$D$10001)*("A1" = [2]SalmonProps!$B$2:$B$10001)*($AP15 = [2]SalmonProps!$F$2:$F$10001) *($AR15 = [2]SalmonProps!$G$2:$G$10001),0), 15))</f>
        <v>1.4999999999999999E-2</v>
      </c>
      <c r="AC15" s="165" cm="1">
        <f t="array" ref="AC15">IF(ISBLANK($AQ15), "", INDEX([2]SalmonProps!$A$2:$AA$10001,MATCH(1,($A15=[2]SalmonProps!$A$2:$A$10001)*(2=[2]SalmonProps!$C$2:$C$10001)*(3=[2]SalmonProps!$D$2:$D$10001)*("A1" = [2]SalmonProps!$B$2:$B$10001)*($AP15 = [2]SalmonProps!$F$2:$F$10001) *($AR15 = [2]SalmonProps!$G$2:$G$10001),0), 15))</f>
        <v>0.21279999999999999</v>
      </c>
      <c r="AD15" s="181" cm="1">
        <f t="array" ref="AD15">IF(ISBLANK($AQ15), "", INDEX([2]SalmonProps!$A$2:$AA$10001,MATCH(1,($A15=[2]SalmonProps!$A$2:$A$10001)*(3=[2]SalmonProps!$C$2:$C$10001)*(3=[2]SalmonProps!$D$2:$D$10001)*("A1" = [2]SalmonProps!$B$2:$B$10001)*($AP15 = [2]SalmonProps!$F$2:$F$10001) *($AR15 = [2]SalmonProps!$G$2:$G$10001),0), 15))</f>
        <v>0.35949999999999999</v>
      </c>
      <c r="AE15" s="166">
        <v>6.3899999999999998E-2</v>
      </c>
      <c r="AF15" s="166">
        <v>6.3200000000000006E-2</v>
      </c>
      <c r="AG15" s="167">
        <v>0.23569999999999999</v>
      </c>
      <c r="AH15" s="173" t="str" cm="1">
        <f t="array" ref="AH15">IF(ISBLANK($AQ15), "", INDEX([2]SalmonProps!$A$2:$AA$10001,MATCH(1,($A15=[2]SalmonProps!$A$2:$A$10001)*($AP15 = [2]SalmonProps!$F$2:$F$10001) *($AR15 = [2]SalmonProps!$G$2:$G$10001),0), 24))</f>
        <v>NA</v>
      </c>
      <c r="AI15" s="183" t="str" cm="1">
        <f t="array" ref="AI15">IF(ISBLANK($AQ15), "", INDEX([2]SalmonProps!$A$2:$AA$10001,MATCH(1,($A15=[2]SalmonProps!$A$2:$A$10001)*($AP15 = [2]SalmonProps!$F$2:$F$10001) *($AR15 = [2]SalmonProps!$G$2:$G$10001),0), 25))</f>
        <v>NA</v>
      </c>
      <c r="AJ15" s="174" cm="1">
        <f t="array" ref="AJ15">IF(ISBLANK($AQ15), "", INDEX([2]SalmonProps!$A$2:$AA$10001,MATCH(1,($A15=[2]SalmonProps!$A$2:$A$10001)*($AP15 = [2]SalmonProps!$F$2:$F$10001) *($AR15 = [2]SalmonProps!$G$2:$G$10001),0), 20))</f>
        <v>61.4</v>
      </c>
      <c r="AK15" s="183" cm="1">
        <f t="array" ref="AK15">IF(ISBLANK($AQ15), "", INDEX([2]SalmonProps!$A$2:$AA$10001,MATCH(1,($A15=[2]SalmonProps!$A$2:$A$10001)*($AP15 = [2]SalmonProps!$F$2:$F$10001) *($AR15 = [2]SalmonProps!$G$2:$G$10001),0), 21))</f>
        <v>5</v>
      </c>
      <c r="AL15" s="174" cm="1">
        <f t="array" ref="AL15">IF(ISBLANK($AQ15), "", INDEX([2]SalmonProps!$A$2:$AA$10001,MATCH(1,($A15=[2]SalmonProps!$A$2:$A$10001)*($AP15 = [2]SalmonProps!$F$2:$F$10001) *($AR15 = [2]SalmonProps!$G$2:$G$10001),0), 22))</f>
        <v>75.099999999999994</v>
      </c>
      <c r="AM15" s="183" cm="1">
        <f t="array" ref="AM15">IF(ISBLANK($AQ15), "", INDEX([2]SalmonProps!$A$2:$AA$10001,MATCH(1,($A15=[2]SalmonProps!$A$2:$A$10001)*($AP15 = [2]SalmonProps!$F$2:$F$10001) *($AR15 = [2]SalmonProps!$G$2:$G$10001),0), 23))</f>
        <v>7.6</v>
      </c>
      <c r="AN15" s="174" t="str" cm="1">
        <f t="array" ref="AN15">IF(ISBLANK($AQ15), "", INDEX([2]SalmonProps!$A$2:$AA$10001,MATCH(1,($A15=[2]SalmonProps!$A$2:$A$10001)*($AP15 = [2]SalmonProps!$F$2:$F$10001) *($AR15 = [2]SalmonProps!$G$2:$G$10001),0), 26))</f>
        <v>NA</v>
      </c>
      <c r="AO15" s="175" t="str" cm="1">
        <f t="array" ref="AO15">IF(ISBLANK($AQ15), "", INDEX([2]SalmonProps!$A$2:$AA$10001,MATCH(1,($A15=[2]SalmonProps!$A$2:$A$10001)*($AP15 = [2]SalmonProps!$F$2:$F$10001) *($AR15 = [2]SalmonProps!$G$2:$G$10001),0), 27))</f>
        <v>NA</v>
      </c>
      <c r="AP15" s="112">
        <v>3</v>
      </c>
      <c r="AQ15" s="112" t="s">
        <v>133</v>
      </c>
      <c r="AR15" s="112" t="str">
        <f t="shared" si="0"/>
        <v>Unweighted</v>
      </c>
    </row>
    <row r="16" spans="1:47" x14ac:dyDescent="0.3">
      <c r="A16" s="20">
        <f>'[1]Passage Estimates'!$A16</f>
        <v>45118</v>
      </c>
      <c r="B16" s="164" cm="1">
        <f t="array" ref="B16">IF(ISBLANK($AQ16), "", INDEX([2]SalmonProps!$A$2:$AA$10001,MATCH(1,($A16=[2]SalmonProps!$A$2:$A$10001)*(1=[2]SalmonProps!$C$2:$C$10001)*(1=[2]SalmonProps!$D$2:$D$10001)*("A1" = [2]SalmonProps!$B$2:$B$10001)*($AP16 = [2]SalmonProps!$F$2:$F$10001) *($AR16 = [2]SalmonProps!$G$2:$G$10001),0), 17))</f>
        <v>0</v>
      </c>
      <c r="C16" s="165" cm="1">
        <f t="array" ref="C16">IF(ISBLANK($AQ16), "", INDEX([2]SalmonProps!$A$2:$AA$10001,MATCH(1,($A16=[2]SalmonProps!$A$2:$A$10001)*(1=[2]SalmonProps!$C$2:$C$10001)*(2=[2]SalmonProps!$D$2:$D$10001)*("A1" = [2]SalmonProps!$B$2:$B$10001)*($AP16 = [2]SalmonProps!$F$2:$F$10001) *($AR16 = [2]SalmonProps!$G$2:$G$10001),0), 17))</f>
        <v>0</v>
      </c>
      <c r="D16" s="165" cm="1">
        <f t="array" ref="D16">IF(ISBLANK($AQ16), "", INDEX([2]SalmonProps!$A$2:$AA$10001,MATCH(1,($A16=[2]SalmonProps!$A$2:$A$10001)*(1=[2]SalmonProps!$C$2:$C$10001)*("1&amp;2"=[2]SalmonProps!$D$2:$D$10001)*("A1" = [2]SalmonProps!$B$2:$B$10001)*($AP16 = [2]SalmonProps!$F$2:$F$10001) *($AR16 = [2]SalmonProps!$G$2:$G$10001),0), 17))</f>
        <v>0</v>
      </c>
      <c r="E16" s="181" cm="1">
        <f t="array" ref="E16">IF(ISBLANK($AQ16), "", INDEX([2]SalmonProps!$A$2:$AA$10001,MATCH(1,($A16=[2]SalmonProps!$A$2:$A$10001)*(2=[2]SalmonProps!$C$2:$C$10001)*(3=[2]SalmonProps!$D$2:$D$10001)*("A1" = [2]SalmonProps!$B$2:$B$10001)*($AP16 = [2]SalmonProps!$F$2:$F$10001) *($AR16 = [2]SalmonProps!$G$2:$G$10001),0), 17))</f>
        <v>6.7400000000000002E-2</v>
      </c>
      <c r="F16" s="180" cm="1">
        <f t="array" ref="F16">IF(ISBLANK($AQ16), "", INDEX([2]SalmonProps!$A$2:$AA$10001,MATCH(1,($A16=[2]SalmonProps!$A$2:$A$10001)*(3=[2]SalmonProps!$C$2:$C$10001)*(3=[2]SalmonProps!$D$2:$D$10001)*("A1" = [2]SalmonProps!$B$2:$B$10001)*($AP16 = [2]SalmonProps!$F$2:$F$10001) *($AR16 = [2]SalmonProps!$G$2:$G$10001),0), 17))</f>
        <v>0.2944</v>
      </c>
      <c r="G16" s="166" cm="1">
        <f t="array" ref="G16">IF(ISBLANK($AQ16), "", INDEX([2]SalmonProps!$A$2:$AA$10001,MATCH(1,($A16=[2]SalmonProps!$A$2:$A$10001)*(1=[2]SalmonProps!$C$2:$C$10001)*(1=[2]SalmonProps!$D$2:$D$10001)*("A2" = [2]SalmonProps!$B$2:$B$10001)*($AP16 = [2]SalmonProps!$F$2:$F$10001) *($AR16 = [2]SalmonProps!$G$2:$G$10001),0), 17))</f>
        <v>0</v>
      </c>
      <c r="H16" s="166" cm="1">
        <f t="array" ref="H16">IF(ISBLANK($AQ16), "", INDEX([2]SalmonProps!$A$2:$AA$10001,MATCH(1,($A16=[2]SalmonProps!$A$2:$A$10001)*(2=[2]SalmonProps!$C$2:$C$10001)*(1=[2]SalmonProps!$D$2:$D$10001)*("A2" = [2]SalmonProps!$B$2:$B$10001)*($AP16 = [2]SalmonProps!$F$2:$F$10001) *($AR16 = [2]SalmonProps!$G$2:$G$10001),0), 17))</f>
        <v>3.3300000000000003E-2</v>
      </c>
      <c r="I16" s="167" cm="1">
        <f t="array" ref="I16">IF(ISBLANK($AQ16), "", INDEX([2]SalmonProps!$A$2:$AA$10001,MATCH(1,($A16=[2]SalmonProps!$A$2:$A$10001)*(3=[2]SalmonProps!$C$2:$C$10001)*(1=[2]SalmonProps!$D$2:$D$10001)*("A2" = [2]SalmonProps!$B$2:$B$10001)*($AP16 = [2]SalmonProps!$F$2:$F$10001) *($AR16 = [2]SalmonProps!$G$2:$G$10001),0), 17))</f>
        <v>6.9400000000000003E-2</v>
      </c>
      <c r="J16" s="164" t="str" cm="1">
        <f t="array" ref="J16">IF(ISBLANK($AQ16), "", INDEX([2]SalmonProps!$A$2:$AA$10001,MATCH(1,($A16=[2]SalmonProps!$A$2:$A$10001)*(1=[2]SalmonProps!$C$2:$C$10001)*(1=[2]SalmonProps!$D$2:$D$10001)*("A1" = [2]SalmonProps!$B$2:$B$10001)*($AP16 = [2]SalmonProps!$F$2:$F$10001) *($AR16 = [2]SalmonProps!$G$2:$G$10001),0), 19))</f>
        <v>NA</v>
      </c>
      <c r="K16" s="165" t="str" cm="1">
        <f t="array" ref="K16">IF(ISBLANK($AQ16), "", INDEX([2]SalmonProps!$A$2:$AA$10001,MATCH(1,($A16=[2]SalmonProps!$A$2:$A$10001)*(1=[2]SalmonProps!$C$2:$C$10001)*(2=[2]SalmonProps!$D$2:$D$10001)*("A1" = [2]SalmonProps!$B$2:$B$10001)*($AP16 = [2]SalmonProps!$F$2:$F$10001) *($AR16 = [2]SalmonProps!$G$2:$G$10001),0), 19))</f>
        <v>NA</v>
      </c>
      <c r="L16" s="165" t="str" cm="1">
        <f t="array" ref="L16">IF(ISBLANK($AQ16), "", INDEX([2]SalmonProps!$A$2:$AA$10001,MATCH(1,($A16=[2]SalmonProps!$A$2:$A$10001)*(1=[2]SalmonProps!$C$2:$C$10001)*("1&amp;2"=[2]SalmonProps!$D$2:$D$10001)*("A1" = [2]SalmonProps!$B$2:$B$10001)*($AP16 = [2]SalmonProps!$F$2:$F$10001) *($AR16 = [2]SalmonProps!$G$2:$G$10001),0), 19))</f>
        <v>NA</v>
      </c>
      <c r="M16" s="165" t="str" cm="1">
        <f t="array" ref="M16">IF(ISBLANK($AQ16), "", INDEX([2]SalmonProps!$A$2:$AA$10001,MATCH(1,($A16=[2]SalmonProps!$A$2:$A$10001)*(2=[2]SalmonProps!$C$2:$C$10001)*(3=[2]SalmonProps!$D$2:$D$10001)*("A1" = [2]SalmonProps!$B$2:$B$10001)*($AP16 = [2]SalmonProps!$F$2:$F$10001) *($AR16 = [2]SalmonProps!$G$2:$G$10001),0), 19))</f>
        <v>NA</v>
      </c>
      <c r="N16" s="181" t="str" cm="1">
        <f t="array" ref="N16">IF(ISBLANK($AQ16), "", INDEX([2]SalmonProps!$A$2:$AA$10001,MATCH(1,($A16=[2]SalmonProps!$A$2:$A$10001)*(3=[2]SalmonProps!$C$2:$C$10001)*(3=[2]SalmonProps!$D$2:$D$10001)*("A1" = [2]SalmonProps!$B$2:$B$10001)*($AP16 = [2]SalmonProps!$F$2:$F$10001) *($AR16 = [2]SalmonProps!$G$2:$G$10001),0), 19))</f>
        <v>NA</v>
      </c>
      <c r="O16" s="165" t="str" cm="1">
        <f t="array" ref="O16">IF(ISBLANK($AQ16), "", INDEX([2]SalmonProps!$A$2:$AA$10001,MATCH(1,($A16=[2]SalmonProps!$A$2:$A$10001)*(1=[2]SalmonProps!$C$2:$C$10001)*(1=[2]SalmonProps!$D$2:$D$10001)*("A2" = [2]SalmonProps!$B$2:$B$10001)*($AP16 = [2]SalmonProps!$F$2:$F$10001) *($AR16 = [2]SalmonProps!$G$2:$G$10001),0), 19))</f>
        <v>NA</v>
      </c>
      <c r="P16" s="165" t="str" cm="1">
        <f t="array" ref="P16">IF(ISBLANK($AQ16), "", INDEX([2]SalmonProps!$A$2:$AA$10001,MATCH(1,($A16=[2]SalmonProps!$A$2:$A$10001)*(2=[2]SalmonProps!$C$2:$C$10001)*(1=[2]SalmonProps!$D$2:$D$10001)*("A2" = [2]SalmonProps!$B$2:$B$10001)*($AP16 = [2]SalmonProps!$F$2:$F$10001) *($AR16 = [2]SalmonProps!$G$2:$G$10001),0), 19))</f>
        <v>NA</v>
      </c>
      <c r="Q16" s="168" t="str" cm="1">
        <f t="array" ref="Q16">IF(ISBLANK($AQ16), "", INDEX([2]SalmonProps!$A$2:$AA$10001,MATCH(1,($A16=[2]SalmonProps!$A$2:$A$10001)*(3=[2]SalmonProps!$C$2:$C$10001)*(1=[2]SalmonProps!$D$2:$D$10001)*("A2" = [2]SalmonProps!$B$2:$B$10001)*($AP16 = [2]SalmonProps!$F$2:$F$10001) *($AR16 = [2]SalmonProps!$G$2:$G$10001),0), 19))</f>
        <v>NA</v>
      </c>
      <c r="R16" s="164" t="str" cm="1">
        <f t="array" ref="R16">IF(ISBLANK($AQ16), "", INDEX([2]SalmonProps!$A$2:$AA$10001,MATCH(1,($A16=[2]SalmonProps!$A$2:$A$10001)*(1=[2]SalmonProps!$C$2:$C$10001)*(1=[2]SalmonProps!$D$2:$D$10001)*("A1" = [2]SalmonProps!$B$2:$B$10001)*($AP16 = [2]SalmonProps!$F$2:$F$10001) *($AR16 = [2]SalmonProps!$G$2:$G$10001),0), 18))</f>
        <v>NA</v>
      </c>
      <c r="S16" s="165" t="str" cm="1">
        <f t="array" ref="S16">IF(ISBLANK($AQ16), "", INDEX([2]SalmonProps!$A$2:$AA$10001,MATCH(1,($A16=[2]SalmonProps!$A$2:$A$10001)*(1=[2]SalmonProps!$C$2:$C$10001)*(2=[2]SalmonProps!$D$2:$D$10001)*("A1" = [2]SalmonProps!$B$2:$B$10001)*($AP16 = [2]SalmonProps!$F$2:$F$10001) *($AR16 = [2]SalmonProps!$G$2:$G$10001),0), 18))</f>
        <v>NA</v>
      </c>
      <c r="T16" s="165" t="str" cm="1">
        <f t="array" ref="T16">IF(ISBLANK($AQ16), "", INDEX([2]SalmonProps!$A$2:$AA$10001,MATCH(1,($A16=[2]SalmonProps!$A$2:$A$10001)*(1=[2]SalmonProps!$C$2:$C$10001)*("1&amp;2"=[2]SalmonProps!$D$2:$D$10001)*("A1" = [2]SalmonProps!$B$2:$B$10001)*($AP16 = [2]SalmonProps!$F$2:$F$10001) *($AR16 = [2]SalmonProps!$G$2:$G$10001),0), 18))</f>
        <v>NA</v>
      </c>
      <c r="U16" s="165" t="str" cm="1">
        <f t="array" ref="U16">IF(ISBLANK($AQ16), "", INDEX([2]SalmonProps!$A$2:$AA$10001,MATCH(1,($A16=[2]SalmonProps!$A$2:$A$10001)*(2=[2]SalmonProps!$C$2:$C$10001)*(3=[2]SalmonProps!$D$2:$D$10001)*("A1" = [2]SalmonProps!$B$2:$B$10001)*($AP16 = [2]SalmonProps!$F$2:$F$10001) *($AR16 = [2]SalmonProps!$G$2:$G$10001),0), 18))</f>
        <v>NA</v>
      </c>
      <c r="V16" s="181" t="str" cm="1">
        <f t="array" ref="V16">IF(ISBLANK($AQ16), "", INDEX([2]SalmonProps!$A$2:$AA$10001,MATCH(1,($A16=[2]SalmonProps!$A$2:$A$10001)*(3=[2]SalmonProps!$C$2:$C$10001)*(3=[2]SalmonProps!$D$2:$D$10001)*("A1" = [2]SalmonProps!$B$2:$B$10001)*($AP16 = [2]SalmonProps!$F$2:$F$10001) *($AR16 = [2]SalmonProps!$G$2:$G$10001),0), 18))</f>
        <v>NA</v>
      </c>
      <c r="W16" s="180" t="str" cm="1">
        <f t="array" ref="W16">IF(ISBLANK($AQ16), "", INDEX([2]SalmonProps!$A$2:$AA$10001,MATCH(1,($A16=[2]SalmonProps!$A$2:$A$10001)*(1=[2]SalmonProps!$C$2:$C$10001)*(1=[2]SalmonProps!$D$2:$D$10001)*("A2" = [2]SalmonProps!$B$2:$B$10001)*($AP16 = [2]SalmonProps!$F$2:$F$10001) *($AR16 = [2]SalmonProps!$G$2:$G$10001),0), 18))</f>
        <v>NA</v>
      </c>
      <c r="X16" s="165" t="str" cm="1">
        <f t="array" ref="X16">IF(ISBLANK($AQ16), "", INDEX([2]SalmonProps!$A$2:$AA$10001,MATCH(1,($A16=[2]SalmonProps!$A$2:$A$10001)*(2=[2]SalmonProps!$C$2:$C$10001)*(1=[2]SalmonProps!$D$2:$D$10001)*("A2" = [2]SalmonProps!$B$2:$B$10001)*($AP16 = [2]SalmonProps!$F$2:$F$10001) *($AR16 = [2]SalmonProps!$G$2:$G$10001),0), 18))</f>
        <v>NA</v>
      </c>
      <c r="Y16" s="168" t="str" cm="1">
        <f t="array" ref="Y16">IF(ISBLANK($AQ16), "", INDEX([2]SalmonProps!$A$2:$AA$10001,MATCH(1,($A16=[2]SalmonProps!$A$2:$A$10001)*(3=[2]SalmonProps!$C$2:$C$10001)*(1=[2]SalmonProps!$D$2:$D$10001)*("A2" = [2]SalmonProps!$B$2:$B$10001)*($AP16 = [2]SalmonProps!$F$2:$F$10001) *($AR16 = [2]SalmonProps!$G$2:$G$10001),0), 18))</f>
        <v>NA</v>
      </c>
      <c r="Z16" s="164" cm="1">
        <f t="array" ref="Z16">IF(ISBLANK($AQ16), "", INDEX([2]SalmonProps!$A$2:$AA$10001,MATCH(1,($A16=[2]SalmonProps!$A$2:$A$10001)*(1=[2]SalmonProps!$C$2:$C$10001)*(1=[2]SalmonProps!$D$2:$D$10001)*("A1" = [2]SalmonProps!$B$2:$B$10001)*($AP16 = [2]SalmonProps!$F$2:$F$10001) *($AR16 = [2]SalmonProps!$G$2:$G$10001),0), 15))</f>
        <v>5.0500000000000003E-2</v>
      </c>
      <c r="AA16" s="165" cm="1">
        <f t="array" ref="AA16">IF(ISBLANK($AQ16), "", INDEX([2]SalmonProps!$A$2:$AA$10001,MATCH(1,($A16=[2]SalmonProps!$A$2:$A$10001)*(1=[2]SalmonProps!$C$2:$C$10001)*(2=[2]SalmonProps!$D$2:$D$10001)*("A1" = [2]SalmonProps!$B$2:$B$10001)*($AP16 = [2]SalmonProps!$F$2:$F$10001) *($AR16 = [2]SalmonProps!$G$2:$G$10001),0), 15))</f>
        <v>2.52E-2</v>
      </c>
      <c r="AB16" s="165" cm="1">
        <f t="array" ref="AB16">IF(ISBLANK($AQ16), "", INDEX([2]SalmonProps!$A$2:$AA$10001,MATCH(1,($A16=[2]SalmonProps!$A$2:$A$10001)*(1=[2]SalmonProps!$C$2:$C$10001)*("1&amp;2"=[2]SalmonProps!$D$2:$D$10001)*("A1" = [2]SalmonProps!$B$2:$B$10001)*($AP16 = [2]SalmonProps!$F$2:$F$10001) *($AR16 = [2]SalmonProps!$G$2:$G$10001),0), 15))</f>
        <v>3.7699999999999997E-2</v>
      </c>
      <c r="AC16" s="165" cm="1">
        <f t="array" ref="AC16">IF(ISBLANK($AQ16), "", INDEX([2]SalmonProps!$A$2:$AA$10001,MATCH(1,($A16=[2]SalmonProps!$A$2:$A$10001)*(2=[2]SalmonProps!$C$2:$C$10001)*(3=[2]SalmonProps!$D$2:$D$10001)*("A1" = [2]SalmonProps!$B$2:$B$10001)*($AP16 = [2]SalmonProps!$F$2:$F$10001) *($AR16 = [2]SalmonProps!$G$2:$G$10001),0), 15))</f>
        <v>0.18809999999999999</v>
      </c>
      <c r="AD16" s="181" cm="1">
        <f t="array" ref="AD16">IF(ISBLANK($AQ16), "", INDEX([2]SalmonProps!$A$2:$AA$10001,MATCH(1,($A16=[2]SalmonProps!$A$2:$A$10001)*(3=[2]SalmonProps!$C$2:$C$10001)*(3=[2]SalmonProps!$D$2:$D$10001)*("A1" = [2]SalmonProps!$B$2:$B$10001)*($AP16 = [2]SalmonProps!$F$2:$F$10001) *($AR16 = [2]SalmonProps!$G$2:$G$10001),0), 15))</f>
        <v>0.48089999999999999</v>
      </c>
      <c r="AE16" s="166" cm="1">
        <f t="array" ref="AE16">IF(ISBLANK($AQ16), "", INDEX([2]SalmonProps!$A$2:$AA$10001,MATCH(1,($A16=[2]SalmonProps!$A$2:$A$10001)*(1=[2]SalmonProps!$C$2:$C$10001)*(1=[2]SalmonProps!$D$2:$D$10001)*("A2" = [2]SalmonProps!$B$2:$B$10001)*($AP16 = [2]SalmonProps!$F$2:$F$10001) *($AR16 = [2]SalmonProps!$G$2:$G$10001),0), 15))</f>
        <v>6.3899999999999998E-2</v>
      </c>
      <c r="AF16" s="166" cm="1">
        <f t="array" ref="AF16">IF(ISBLANK($AQ16), "", INDEX([2]SalmonProps!$A$2:$AA$10001,MATCH(1,($A16=[2]SalmonProps!$A$2:$A$10001)*(2=[2]SalmonProps!$C$2:$C$10001)*(1=[2]SalmonProps!$D$2:$D$10001)*("A2" = [2]SalmonProps!$B$2:$B$10001)*($AP16 = [2]SalmonProps!$F$2:$F$10001) *($AR16 = [2]SalmonProps!$G$2:$G$10001),0), 15))</f>
        <v>6.3200000000000006E-2</v>
      </c>
      <c r="AG16" s="167" cm="1">
        <f t="array" ref="AG16">IF(ISBLANK($AQ16), "", INDEX([2]SalmonProps!$A$2:$AA$10001,MATCH(1,($A16=[2]SalmonProps!$A$2:$A$10001)*(3=[2]SalmonProps!$C$2:$C$10001)*(1=[2]SalmonProps!$D$2:$D$10001)*("A2" = [2]SalmonProps!$B$2:$B$10001)*($AP16 = [2]SalmonProps!$F$2:$F$10001) *($AR16 = [2]SalmonProps!$G$2:$G$10001),0), 15))</f>
        <v>0.23569999999999999</v>
      </c>
      <c r="AH16" s="173" t="str" cm="1">
        <f t="array" ref="AH16">IF(ISBLANK($AQ16), "", INDEX([2]SalmonProps!$A$2:$AA$10001,MATCH(1,($A16=[2]SalmonProps!$A$2:$A$10001)*($AP16 = [2]SalmonProps!$F$2:$F$10001) *($AR16 = [2]SalmonProps!$G$2:$G$10001),0), 24))</f>
        <v>NA</v>
      </c>
      <c r="AI16" s="183" t="str" cm="1">
        <f t="array" ref="AI16">IF(ISBLANK($AQ16), "", INDEX([2]SalmonProps!$A$2:$AA$10001,MATCH(1,($A16=[2]SalmonProps!$A$2:$A$10001)*($AP16 = [2]SalmonProps!$F$2:$F$10001) *($AR16 = [2]SalmonProps!$G$2:$G$10001),0), 25))</f>
        <v>NA</v>
      </c>
      <c r="AJ16" s="174" cm="1">
        <f t="array" ref="AJ16">IF(ISBLANK($AQ16), "", INDEX([2]SalmonProps!$A$2:$AA$10001,MATCH(1,($A16=[2]SalmonProps!$A$2:$A$10001)*($AP16 = [2]SalmonProps!$F$2:$F$10001) *($AR16 = [2]SalmonProps!$G$2:$G$10001),0), 20))</f>
        <v>61.4</v>
      </c>
      <c r="AK16" s="183" cm="1">
        <f t="array" ref="AK16">IF(ISBLANK($AQ16), "", INDEX([2]SalmonProps!$A$2:$AA$10001,MATCH(1,($A16=[2]SalmonProps!$A$2:$A$10001)*($AP16 = [2]SalmonProps!$F$2:$F$10001) *($AR16 = [2]SalmonProps!$G$2:$G$10001),0), 21))</f>
        <v>5</v>
      </c>
      <c r="AL16" s="174" cm="1">
        <f t="array" ref="AL16">IF(ISBLANK($AQ16), "", INDEX([2]SalmonProps!$A$2:$AA$10001,MATCH(1,($A16=[2]SalmonProps!$A$2:$A$10001)*($AP16 = [2]SalmonProps!$F$2:$F$10001) *($AR16 = [2]SalmonProps!$G$2:$G$10001),0), 22))</f>
        <v>75.099999999999994</v>
      </c>
      <c r="AM16" s="183" cm="1">
        <f t="array" ref="AM16">IF(ISBLANK($AQ16), "", INDEX([2]SalmonProps!$A$2:$AA$10001,MATCH(1,($A16=[2]SalmonProps!$A$2:$A$10001)*($AP16 = [2]SalmonProps!$F$2:$F$10001) *($AR16 = [2]SalmonProps!$G$2:$G$10001),0), 23))</f>
        <v>7.6</v>
      </c>
      <c r="AN16" s="174" t="str" cm="1">
        <f t="array" ref="AN16">IF(ISBLANK($AQ16), "", INDEX([2]SalmonProps!$A$2:$AA$10001,MATCH(1,($A16=[2]SalmonProps!$A$2:$A$10001)*($AP16 = [2]SalmonProps!$F$2:$F$10001) *($AR16 = [2]SalmonProps!$G$2:$G$10001),0), 26))</f>
        <v>NA</v>
      </c>
      <c r="AO16" s="175" t="str" cm="1">
        <f t="array" ref="AO16">IF(ISBLANK($AQ16), "", INDEX([2]SalmonProps!$A$2:$AA$10001,MATCH(1,($A16=[2]SalmonProps!$A$2:$A$10001)*($AP16 = [2]SalmonProps!$F$2:$F$10001) *($AR16 = [2]SalmonProps!$G$2:$G$10001),0), 27))</f>
        <v>NA</v>
      </c>
      <c r="AP16" s="112">
        <v>3</v>
      </c>
      <c r="AQ16" s="112" t="s">
        <v>133</v>
      </c>
      <c r="AR16" s="112" t="str">
        <f t="shared" si="0"/>
        <v>Unweighted</v>
      </c>
    </row>
    <row r="17" spans="1:44" x14ac:dyDescent="0.3">
      <c r="A17" s="20">
        <f>'[1]Passage Estimates'!$A17</f>
        <v>45119</v>
      </c>
      <c r="B17" s="164" cm="1">
        <f t="array" ref="B17">IF(ISBLANK($AQ17), "", INDEX([2]SalmonProps!$A$2:$AA$10001,MATCH(1,($A17=[2]SalmonProps!$A$2:$A$10001)*(1=[2]SalmonProps!$C$2:$C$10001)*(1=[2]SalmonProps!$D$2:$D$10001)*("A1" = [2]SalmonProps!$B$2:$B$10001)*($AP17 = [2]SalmonProps!$F$2:$F$10001) *($AR17 = [2]SalmonProps!$G$2:$G$10001),0), 17))</f>
        <v>7.9000000000000008E-3</v>
      </c>
      <c r="C17" s="165" cm="1">
        <f t="array" ref="C17">IF(ISBLANK($AQ17), "", INDEX([2]SalmonProps!$A$2:$AA$10001,MATCH(1,($A17=[2]SalmonProps!$A$2:$A$10001)*(1=[2]SalmonProps!$C$2:$C$10001)*(2=[2]SalmonProps!$D$2:$D$10001)*("A1" = [2]SalmonProps!$B$2:$B$10001)*($AP17 = [2]SalmonProps!$F$2:$F$10001) *($AR17 = [2]SalmonProps!$G$2:$G$10001),0), 17))</f>
        <v>0</v>
      </c>
      <c r="D17" s="165" cm="1">
        <f t="array" ref="D17">IF(ISBLANK($AQ17), "", INDEX([2]SalmonProps!$A$2:$AA$10001,MATCH(1,($A17=[2]SalmonProps!$A$2:$A$10001)*(1=[2]SalmonProps!$C$2:$C$10001)*("1&amp;2"=[2]SalmonProps!$D$2:$D$10001)*("A1" = [2]SalmonProps!$B$2:$B$10001)*($AP17 = [2]SalmonProps!$F$2:$F$10001) *($AR17 = [2]SalmonProps!$G$2:$G$10001),0), 17))</f>
        <v>8.9999999999999998E-4</v>
      </c>
      <c r="E17" s="181" cm="1">
        <f t="array" ref="E17">IF(ISBLANK($AQ17), "", INDEX([2]SalmonProps!$A$2:$AA$10001,MATCH(1,($A17=[2]SalmonProps!$A$2:$A$10001)*(2=[2]SalmonProps!$C$2:$C$10001)*(3=[2]SalmonProps!$D$2:$D$10001)*("A1" = [2]SalmonProps!$B$2:$B$10001)*($AP17 = [2]SalmonProps!$F$2:$F$10001) *($AR17 = [2]SalmonProps!$G$2:$G$10001),0), 17))</f>
        <v>0.12280000000000001</v>
      </c>
      <c r="F17" s="180" cm="1">
        <f t="array" ref="F17">IF(ISBLANK($AQ17), "", INDEX([2]SalmonProps!$A$2:$AA$10001,MATCH(1,($A17=[2]SalmonProps!$A$2:$A$10001)*(3=[2]SalmonProps!$C$2:$C$10001)*(3=[2]SalmonProps!$D$2:$D$10001)*("A1" = [2]SalmonProps!$B$2:$B$10001)*($AP17 = [2]SalmonProps!$F$2:$F$10001) *($AR17 = [2]SalmonProps!$G$2:$G$10001),0), 17))</f>
        <v>0.50429999999999997</v>
      </c>
      <c r="G17" s="166" cm="1">
        <f t="array" ref="G17">IF(ISBLANK($AQ17), "", INDEX([2]SalmonProps!$A$2:$AA$10001,MATCH(1,($A17=[2]SalmonProps!$A$2:$A$10001)*(1=[2]SalmonProps!$C$2:$C$10001)*(1=[2]SalmonProps!$D$2:$D$10001)*("A2" = [2]SalmonProps!$B$2:$B$10001)*($AP17 = [2]SalmonProps!$F$2:$F$10001) *($AR17 = [2]SalmonProps!$G$2:$G$10001),0), 17))</f>
        <v>0</v>
      </c>
      <c r="H17" s="166" cm="1">
        <f t="array" ref="H17">IF(ISBLANK($AQ17), "", INDEX([2]SalmonProps!$A$2:$AA$10001,MATCH(1,($A17=[2]SalmonProps!$A$2:$A$10001)*(2=[2]SalmonProps!$C$2:$C$10001)*(1=[2]SalmonProps!$D$2:$D$10001)*("A2" = [2]SalmonProps!$B$2:$B$10001)*($AP17 = [2]SalmonProps!$F$2:$F$10001) *($AR17 = [2]SalmonProps!$G$2:$G$10001),0), 17))</f>
        <v>0.01</v>
      </c>
      <c r="I17" s="167" cm="1">
        <f t="array" ref="I17">IF(ISBLANK($AQ17), "", INDEX([2]SalmonProps!$A$2:$AA$10001,MATCH(1,($A17=[2]SalmonProps!$A$2:$A$10001)*(3=[2]SalmonProps!$C$2:$C$10001)*(1=[2]SalmonProps!$D$2:$D$10001)*("A2" = [2]SalmonProps!$B$2:$B$10001)*($AP17 = [2]SalmonProps!$F$2:$F$10001) *($AR17 = [2]SalmonProps!$G$2:$G$10001),0), 17))</f>
        <v>3.5299999999999998E-2</v>
      </c>
      <c r="J17" s="164" t="str" cm="1">
        <f t="array" ref="J17">IF(ISBLANK($AQ17), "", INDEX([2]SalmonProps!$A$2:$AA$10001,MATCH(1,($A17=[2]SalmonProps!$A$2:$A$10001)*(1=[2]SalmonProps!$C$2:$C$10001)*(1=[2]SalmonProps!$D$2:$D$10001)*("A1" = [2]SalmonProps!$B$2:$B$10001)*($AP17 = [2]SalmonProps!$F$2:$F$10001) *($AR17 = [2]SalmonProps!$G$2:$G$10001),0), 19))</f>
        <v>NA</v>
      </c>
      <c r="K17" s="165" t="str" cm="1">
        <f t="array" ref="K17">IF(ISBLANK($AQ17), "", INDEX([2]SalmonProps!$A$2:$AA$10001,MATCH(1,($A17=[2]SalmonProps!$A$2:$A$10001)*(1=[2]SalmonProps!$C$2:$C$10001)*(2=[2]SalmonProps!$D$2:$D$10001)*("A1" = [2]SalmonProps!$B$2:$B$10001)*($AP17 = [2]SalmonProps!$F$2:$F$10001) *($AR17 = [2]SalmonProps!$G$2:$G$10001),0), 19))</f>
        <v>NA</v>
      </c>
      <c r="L17" s="165" t="str" cm="1">
        <f t="array" ref="L17">IF(ISBLANK($AQ17), "", INDEX([2]SalmonProps!$A$2:$AA$10001,MATCH(1,($A17=[2]SalmonProps!$A$2:$A$10001)*(1=[2]SalmonProps!$C$2:$C$10001)*("1&amp;2"=[2]SalmonProps!$D$2:$D$10001)*("A1" = [2]SalmonProps!$B$2:$B$10001)*($AP17 = [2]SalmonProps!$F$2:$F$10001) *($AR17 = [2]SalmonProps!$G$2:$G$10001),0), 19))</f>
        <v>NA</v>
      </c>
      <c r="M17" s="165" t="str" cm="1">
        <f t="array" ref="M17">IF(ISBLANK($AQ17), "", INDEX([2]SalmonProps!$A$2:$AA$10001,MATCH(1,($A17=[2]SalmonProps!$A$2:$A$10001)*(2=[2]SalmonProps!$C$2:$C$10001)*(3=[2]SalmonProps!$D$2:$D$10001)*("A1" = [2]SalmonProps!$B$2:$B$10001)*($AP17 = [2]SalmonProps!$F$2:$F$10001) *($AR17 = [2]SalmonProps!$G$2:$G$10001),0), 19))</f>
        <v>NA</v>
      </c>
      <c r="N17" s="181" t="str" cm="1">
        <f t="array" ref="N17">IF(ISBLANK($AQ17), "", INDEX([2]SalmonProps!$A$2:$AA$10001,MATCH(1,($A17=[2]SalmonProps!$A$2:$A$10001)*(3=[2]SalmonProps!$C$2:$C$10001)*(3=[2]SalmonProps!$D$2:$D$10001)*("A1" = [2]SalmonProps!$B$2:$B$10001)*($AP17 = [2]SalmonProps!$F$2:$F$10001) *($AR17 = [2]SalmonProps!$G$2:$G$10001),0), 19))</f>
        <v>NA</v>
      </c>
      <c r="O17" s="165" t="str" cm="1">
        <f t="array" ref="O17">IF(ISBLANK($AQ17), "", INDEX([2]SalmonProps!$A$2:$AA$10001,MATCH(1,($A17=[2]SalmonProps!$A$2:$A$10001)*(1=[2]SalmonProps!$C$2:$C$10001)*(1=[2]SalmonProps!$D$2:$D$10001)*("A2" = [2]SalmonProps!$B$2:$B$10001)*($AP17 = [2]SalmonProps!$F$2:$F$10001) *($AR17 = [2]SalmonProps!$G$2:$G$10001),0), 19))</f>
        <v>NA</v>
      </c>
      <c r="P17" s="165" t="str" cm="1">
        <f t="array" ref="P17">IF(ISBLANK($AQ17), "", INDEX([2]SalmonProps!$A$2:$AA$10001,MATCH(1,($A17=[2]SalmonProps!$A$2:$A$10001)*(2=[2]SalmonProps!$C$2:$C$10001)*(1=[2]SalmonProps!$D$2:$D$10001)*("A2" = [2]SalmonProps!$B$2:$B$10001)*($AP17 = [2]SalmonProps!$F$2:$F$10001) *($AR17 = [2]SalmonProps!$G$2:$G$10001),0), 19))</f>
        <v>NA</v>
      </c>
      <c r="Q17" s="168" t="str" cm="1">
        <f t="array" ref="Q17">IF(ISBLANK($AQ17), "", INDEX([2]SalmonProps!$A$2:$AA$10001,MATCH(1,($A17=[2]SalmonProps!$A$2:$A$10001)*(3=[2]SalmonProps!$C$2:$C$10001)*(1=[2]SalmonProps!$D$2:$D$10001)*("A2" = [2]SalmonProps!$B$2:$B$10001)*($AP17 = [2]SalmonProps!$F$2:$F$10001) *($AR17 = [2]SalmonProps!$G$2:$G$10001),0), 19))</f>
        <v>NA</v>
      </c>
      <c r="R17" s="164" t="str" cm="1">
        <f t="array" ref="R17">IF(ISBLANK($AQ17), "", INDEX([2]SalmonProps!$A$2:$AA$10001,MATCH(1,($A17=[2]SalmonProps!$A$2:$A$10001)*(1=[2]SalmonProps!$C$2:$C$10001)*(1=[2]SalmonProps!$D$2:$D$10001)*("A1" = [2]SalmonProps!$B$2:$B$10001)*($AP17 = [2]SalmonProps!$F$2:$F$10001) *($AR17 = [2]SalmonProps!$G$2:$G$10001),0), 18))</f>
        <v>NA</v>
      </c>
      <c r="S17" s="165" t="str" cm="1">
        <f t="array" ref="S17">IF(ISBLANK($AQ17), "", INDEX([2]SalmonProps!$A$2:$AA$10001,MATCH(1,($A17=[2]SalmonProps!$A$2:$A$10001)*(1=[2]SalmonProps!$C$2:$C$10001)*(2=[2]SalmonProps!$D$2:$D$10001)*("A1" = [2]SalmonProps!$B$2:$B$10001)*($AP17 = [2]SalmonProps!$F$2:$F$10001) *($AR17 = [2]SalmonProps!$G$2:$G$10001),0), 18))</f>
        <v>NA</v>
      </c>
      <c r="T17" s="165" t="str" cm="1">
        <f t="array" ref="T17">IF(ISBLANK($AQ17), "", INDEX([2]SalmonProps!$A$2:$AA$10001,MATCH(1,($A17=[2]SalmonProps!$A$2:$A$10001)*(1=[2]SalmonProps!$C$2:$C$10001)*("1&amp;2"=[2]SalmonProps!$D$2:$D$10001)*("A1" = [2]SalmonProps!$B$2:$B$10001)*($AP17 = [2]SalmonProps!$F$2:$F$10001) *($AR17 = [2]SalmonProps!$G$2:$G$10001),0), 18))</f>
        <v>NA</v>
      </c>
      <c r="U17" s="165" t="str" cm="1">
        <f t="array" ref="U17">IF(ISBLANK($AQ17), "", INDEX([2]SalmonProps!$A$2:$AA$10001,MATCH(1,($A17=[2]SalmonProps!$A$2:$A$10001)*(2=[2]SalmonProps!$C$2:$C$10001)*(3=[2]SalmonProps!$D$2:$D$10001)*("A1" = [2]SalmonProps!$B$2:$B$10001)*($AP17 = [2]SalmonProps!$F$2:$F$10001) *($AR17 = [2]SalmonProps!$G$2:$G$10001),0), 18))</f>
        <v>NA</v>
      </c>
      <c r="V17" s="181" t="str" cm="1">
        <f t="array" ref="V17">IF(ISBLANK($AQ17), "", INDEX([2]SalmonProps!$A$2:$AA$10001,MATCH(1,($A17=[2]SalmonProps!$A$2:$A$10001)*(3=[2]SalmonProps!$C$2:$C$10001)*(3=[2]SalmonProps!$D$2:$D$10001)*("A1" = [2]SalmonProps!$B$2:$B$10001)*($AP17 = [2]SalmonProps!$F$2:$F$10001) *($AR17 = [2]SalmonProps!$G$2:$G$10001),0), 18))</f>
        <v>NA</v>
      </c>
      <c r="W17" s="180" t="str" cm="1">
        <f t="array" ref="W17">IF(ISBLANK($AQ17), "", INDEX([2]SalmonProps!$A$2:$AA$10001,MATCH(1,($A17=[2]SalmonProps!$A$2:$A$10001)*(1=[2]SalmonProps!$C$2:$C$10001)*(1=[2]SalmonProps!$D$2:$D$10001)*("A2" = [2]SalmonProps!$B$2:$B$10001)*($AP17 = [2]SalmonProps!$F$2:$F$10001) *($AR17 = [2]SalmonProps!$G$2:$G$10001),0), 18))</f>
        <v>NA</v>
      </c>
      <c r="X17" s="165" t="str" cm="1">
        <f t="array" ref="X17">IF(ISBLANK($AQ17), "", INDEX([2]SalmonProps!$A$2:$AA$10001,MATCH(1,($A17=[2]SalmonProps!$A$2:$A$10001)*(2=[2]SalmonProps!$C$2:$C$10001)*(1=[2]SalmonProps!$D$2:$D$10001)*("A2" = [2]SalmonProps!$B$2:$B$10001)*($AP17 = [2]SalmonProps!$F$2:$F$10001) *($AR17 = [2]SalmonProps!$G$2:$G$10001),0), 18))</f>
        <v>NA</v>
      </c>
      <c r="Y17" s="168" t="str" cm="1">
        <f t="array" ref="Y17">IF(ISBLANK($AQ17), "", INDEX([2]SalmonProps!$A$2:$AA$10001,MATCH(1,($A17=[2]SalmonProps!$A$2:$A$10001)*(3=[2]SalmonProps!$C$2:$C$10001)*(1=[2]SalmonProps!$D$2:$D$10001)*("A2" = [2]SalmonProps!$B$2:$B$10001)*($AP17 = [2]SalmonProps!$F$2:$F$10001) *($AR17 = [2]SalmonProps!$G$2:$G$10001),0), 18))</f>
        <v>NA</v>
      </c>
      <c r="Z17" s="164" cm="1">
        <f t="array" ref="Z17">IF(ISBLANK($AQ17), "", INDEX([2]SalmonProps!$A$2:$AA$10001,MATCH(1,($A17=[2]SalmonProps!$A$2:$A$10001)*(1=[2]SalmonProps!$C$2:$C$10001)*(1=[2]SalmonProps!$D$2:$D$10001)*("A1" = [2]SalmonProps!$B$2:$B$10001)*($AP17 = [2]SalmonProps!$F$2:$F$10001) *($AR17 = [2]SalmonProps!$G$2:$G$10001),0), 15))</f>
        <v>3.2800000000000003E-2</v>
      </c>
      <c r="AA17" s="165" cm="1">
        <f t="array" ref="AA17">IF(ISBLANK($AQ17), "", INDEX([2]SalmonProps!$A$2:$AA$10001,MATCH(1,($A17=[2]SalmonProps!$A$2:$A$10001)*(1=[2]SalmonProps!$C$2:$C$10001)*(2=[2]SalmonProps!$D$2:$D$10001)*("A1" = [2]SalmonProps!$B$2:$B$10001)*($AP17 = [2]SalmonProps!$F$2:$F$10001) *($AR17 = [2]SalmonProps!$G$2:$G$10001),0), 15))</f>
        <v>6.8599999999999994E-2</v>
      </c>
      <c r="AB17" s="165" cm="1">
        <f t="array" ref="AB17">IF(ISBLANK($AQ17), "", INDEX([2]SalmonProps!$A$2:$AA$10001,MATCH(1,($A17=[2]SalmonProps!$A$2:$A$10001)*(1=[2]SalmonProps!$C$2:$C$10001)*("1&amp;2"=[2]SalmonProps!$D$2:$D$10001)*("A1" = [2]SalmonProps!$B$2:$B$10001)*($AP17 = [2]SalmonProps!$F$2:$F$10001) *($AR17 = [2]SalmonProps!$G$2:$G$10001),0), 15))</f>
        <v>3.8899999999999997E-2</v>
      </c>
      <c r="AC17" s="165" cm="1">
        <f t="array" ref="AC17">IF(ISBLANK($AQ17), "", INDEX([2]SalmonProps!$A$2:$AA$10001,MATCH(1,($A17=[2]SalmonProps!$A$2:$A$10001)*(2=[2]SalmonProps!$C$2:$C$10001)*(3=[2]SalmonProps!$D$2:$D$10001)*("A1" = [2]SalmonProps!$B$2:$B$10001)*($AP17 = [2]SalmonProps!$F$2:$F$10001) *($AR17 = [2]SalmonProps!$G$2:$G$10001),0), 15))</f>
        <v>0.2989</v>
      </c>
      <c r="AD17" s="181" cm="1">
        <f t="array" ref="AD17">IF(ISBLANK($AQ17), "", INDEX([2]SalmonProps!$A$2:$AA$10001,MATCH(1,($A17=[2]SalmonProps!$A$2:$A$10001)*(3=[2]SalmonProps!$C$2:$C$10001)*(3=[2]SalmonProps!$D$2:$D$10001)*("A1" = [2]SalmonProps!$B$2:$B$10001)*($AP17 = [2]SalmonProps!$F$2:$F$10001) *($AR17 = [2]SalmonProps!$G$2:$G$10001),0), 15))</f>
        <v>0.62380000000000002</v>
      </c>
      <c r="AE17" s="166" cm="1">
        <f t="array" ref="AE17">IF(ISBLANK($AQ17), "", INDEX([2]SalmonProps!$A$2:$AA$10001,MATCH(1,($A17=[2]SalmonProps!$A$2:$A$10001)*(1=[2]SalmonProps!$C$2:$C$10001)*(1=[2]SalmonProps!$D$2:$D$10001)*("A2" = [2]SalmonProps!$B$2:$B$10001)*($AP17 = [2]SalmonProps!$F$2:$F$10001) *($AR17 = [2]SalmonProps!$G$2:$G$10001),0), 15))</f>
        <v>7.1800000000000003E-2</v>
      </c>
      <c r="AF17" s="166" cm="1">
        <f t="array" ref="AF17">IF(ISBLANK($AQ17), "", INDEX([2]SalmonProps!$A$2:$AA$10001,MATCH(1,($A17=[2]SalmonProps!$A$2:$A$10001)*(2=[2]SalmonProps!$C$2:$C$10001)*(1=[2]SalmonProps!$D$2:$D$10001)*("A2" = [2]SalmonProps!$B$2:$B$10001)*($AP17 = [2]SalmonProps!$F$2:$F$10001) *($AR17 = [2]SalmonProps!$G$2:$G$10001),0), 15))</f>
        <v>4.7100000000000003E-2</v>
      </c>
      <c r="AG17" s="167" cm="1">
        <f t="array" ref="AG17">IF(ISBLANK($AQ17), "", INDEX([2]SalmonProps!$A$2:$AA$10001,MATCH(1,($A17=[2]SalmonProps!$A$2:$A$10001)*(3=[2]SalmonProps!$C$2:$C$10001)*(1=[2]SalmonProps!$D$2:$D$10001)*("A2" = [2]SalmonProps!$B$2:$B$10001)*($AP17 = [2]SalmonProps!$F$2:$F$10001) *($AR17 = [2]SalmonProps!$G$2:$G$10001),0), 15))</f>
        <v>0.13619999999999999</v>
      </c>
      <c r="AH17" s="173" t="str" cm="1">
        <f t="array" ref="AH17">IF(ISBLANK($AQ17), "", INDEX([2]SalmonProps!$A$2:$AA$10001,MATCH(1,($A17=[2]SalmonProps!$A$2:$A$10001)*($AP17 = [2]SalmonProps!$F$2:$F$10001) *($AR17 = [2]SalmonProps!$G$2:$G$10001),0), 24))</f>
        <v>NA</v>
      </c>
      <c r="AI17" s="183" t="str" cm="1">
        <f t="array" ref="AI17">IF(ISBLANK($AQ17), "", INDEX([2]SalmonProps!$A$2:$AA$10001,MATCH(1,($A17=[2]SalmonProps!$A$2:$A$10001)*($AP17 = [2]SalmonProps!$F$2:$F$10001) *($AR17 = [2]SalmonProps!$G$2:$G$10001),0), 25))</f>
        <v>NA</v>
      </c>
      <c r="AJ17" s="174" cm="1">
        <f t="array" ref="AJ17">IF(ISBLANK($AQ17), "", INDEX([2]SalmonProps!$A$2:$AA$10001,MATCH(1,($A17=[2]SalmonProps!$A$2:$A$10001)*($AP17 = [2]SalmonProps!$F$2:$F$10001) *($AR17 = [2]SalmonProps!$G$2:$G$10001),0), 20))</f>
        <v>61.4</v>
      </c>
      <c r="AK17" s="183" cm="1">
        <f t="array" ref="AK17">IF(ISBLANK($AQ17), "", INDEX([2]SalmonProps!$A$2:$AA$10001,MATCH(1,($A17=[2]SalmonProps!$A$2:$A$10001)*($AP17 = [2]SalmonProps!$F$2:$F$10001) *($AR17 = [2]SalmonProps!$G$2:$G$10001),0), 21))</f>
        <v>5</v>
      </c>
      <c r="AL17" s="174" cm="1">
        <f t="array" ref="AL17">IF(ISBLANK($AQ17), "", INDEX([2]SalmonProps!$A$2:$AA$10001,MATCH(1,($A17=[2]SalmonProps!$A$2:$A$10001)*($AP17 = [2]SalmonProps!$F$2:$F$10001) *($AR17 = [2]SalmonProps!$G$2:$G$10001),0), 22))</f>
        <v>75.099999999999994</v>
      </c>
      <c r="AM17" s="183" cm="1">
        <f t="array" ref="AM17">IF(ISBLANK($AQ17), "", INDEX([2]SalmonProps!$A$2:$AA$10001,MATCH(1,($A17=[2]SalmonProps!$A$2:$A$10001)*($AP17 = [2]SalmonProps!$F$2:$F$10001) *($AR17 = [2]SalmonProps!$G$2:$G$10001),0), 23))</f>
        <v>7.6</v>
      </c>
      <c r="AN17" s="174" t="str" cm="1">
        <f t="array" ref="AN17">IF(ISBLANK($AQ17), "", INDEX([2]SalmonProps!$A$2:$AA$10001,MATCH(1,($A17=[2]SalmonProps!$A$2:$A$10001)*($AP17 = [2]SalmonProps!$F$2:$F$10001) *($AR17 = [2]SalmonProps!$G$2:$G$10001),0), 26))</f>
        <v>NA</v>
      </c>
      <c r="AO17" s="175" t="str" cm="1">
        <f t="array" ref="AO17">IF(ISBLANK($AQ17), "", INDEX([2]SalmonProps!$A$2:$AA$10001,MATCH(1,($A17=[2]SalmonProps!$A$2:$A$10001)*($AP17 = [2]SalmonProps!$F$2:$F$10001) *($AR17 = [2]SalmonProps!$G$2:$G$10001),0), 27))</f>
        <v>NA</v>
      </c>
      <c r="AP17" s="112">
        <v>3</v>
      </c>
      <c r="AQ17" s="112" t="s">
        <v>133</v>
      </c>
      <c r="AR17" s="112" t="str">
        <f t="shared" si="0"/>
        <v>Unweighted</v>
      </c>
    </row>
    <row r="18" spans="1:44" x14ac:dyDescent="0.3">
      <c r="A18" s="20">
        <f>'[1]Passage Estimates'!$A18</f>
        <v>45120</v>
      </c>
      <c r="B18" s="164" cm="1">
        <f t="array" ref="B18">IF(ISBLANK($AQ18), "", INDEX([2]SalmonProps!$A$2:$AA$10001,MATCH(1,($A18=[2]SalmonProps!$A$2:$A$10001)*(1=[2]SalmonProps!$C$2:$C$10001)*(1=[2]SalmonProps!$D$2:$D$10001)*("A1" = [2]SalmonProps!$B$2:$B$10001)*($AP18 = [2]SalmonProps!$F$2:$F$10001) *($AR18 = [2]SalmonProps!$G$2:$G$10001),0), 17))</f>
        <v>4.8999999999999998E-3</v>
      </c>
      <c r="C18" s="165" cm="1">
        <f t="array" ref="C18">IF(ISBLANK($AQ18), "", INDEX([2]SalmonProps!$A$2:$AA$10001,MATCH(1,($A18=[2]SalmonProps!$A$2:$A$10001)*(1=[2]SalmonProps!$C$2:$C$10001)*(2=[2]SalmonProps!$D$2:$D$10001)*("A1" = [2]SalmonProps!$B$2:$B$10001)*($AP18 = [2]SalmonProps!$F$2:$F$10001) *($AR18 = [2]SalmonProps!$G$2:$G$10001),0), 17))</f>
        <v>0</v>
      </c>
      <c r="D18" s="165" cm="1">
        <f t="array" ref="D18">IF(ISBLANK($AQ18), "", INDEX([2]SalmonProps!$A$2:$AA$10001,MATCH(1,($A18=[2]SalmonProps!$A$2:$A$10001)*(1=[2]SalmonProps!$C$2:$C$10001)*("1&amp;2"=[2]SalmonProps!$D$2:$D$10001)*("A1" = [2]SalmonProps!$B$2:$B$10001)*($AP18 = [2]SalmonProps!$F$2:$F$10001) *($AR18 = [2]SalmonProps!$G$2:$G$10001),0), 17))</f>
        <v>0</v>
      </c>
      <c r="E18" s="181" cm="1">
        <f t="array" ref="E18">IF(ISBLANK($AQ18), "", INDEX([2]SalmonProps!$A$2:$AA$10001,MATCH(1,($A18=[2]SalmonProps!$A$2:$A$10001)*(2=[2]SalmonProps!$C$2:$C$10001)*(3=[2]SalmonProps!$D$2:$D$10001)*("A1" = [2]SalmonProps!$B$2:$B$10001)*($AP18 = [2]SalmonProps!$F$2:$F$10001) *($AR18 = [2]SalmonProps!$G$2:$G$10001),0), 17))</f>
        <v>0.13539999999999999</v>
      </c>
      <c r="F18" s="180" cm="1">
        <f t="array" ref="F18">IF(ISBLANK($AQ18), "", INDEX([2]SalmonProps!$A$2:$AA$10001,MATCH(1,($A18=[2]SalmonProps!$A$2:$A$10001)*(3=[2]SalmonProps!$C$2:$C$10001)*(3=[2]SalmonProps!$D$2:$D$10001)*("A1" = [2]SalmonProps!$B$2:$B$10001)*($AP18 = [2]SalmonProps!$F$2:$F$10001) *($AR18 = [2]SalmonProps!$G$2:$G$10001),0), 17))</f>
        <v>0.46239999999999998</v>
      </c>
      <c r="G18" s="166" cm="1">
        <f t="array" ref="G18">IF(ISBLANK($AQ18), "", INDEX([2]SalmonProps!$A$2:$AA$10001,MATCH(1,($A18=[2]SalmonProps!$A$2:$A$10001)*(1=[2]SalmonProps!$C$2:$C$10001)*(1=[2]SalmonProps!$D$2:$D$10001)*("A2" = [2]SalmonProps!$B$2:$B$10001)*($AP18 = [2]SalmonProps!$F$2:$F$10001) *($AR18 = [2]SalmonProps!$G$2:$G$10001),0), 17))</f>
        <v>0</v>
      </c>
      <c r="H18" s="166" cm="1">
        <f t="array" ref="H18">IF(ISBLANK($AQ18), "", INDEX([2]SalmonProps!$A$2:$AA$10001,MATCH(1,($A18=[2]SalmonProps!$A$2:$A$10001)*(2=[2]SalmonProps!$C$2:$C$10001)*(1=[2]SalmonProps!$D$2:$D$10001)*("A2" = [2]SalmonProps!$B$2:$B$10001)*($AP18 = [2]SalmonProps!$F$2:$F$10001) *($AR18 = [2]SalmonProps!$G$2:$G$10001),0), 17))</f>
        <v>0.01</v>
      </c>
      <c r="I18" s="167" cm="1">
        <f t="array" ref="I18">IF(ISBLANK($AQ18), "", INDEX([2]SalmonProps!$A$2:$AA$10001,MATCH(1,($A18=[2]SalmonProps!$A$2:$A$10001)*(3=[2]SalmonProps!$C$2:$C$10001)*(1=[2]SalmonProps!$D$2:$D$10001)*("A2" = [2]SalmonProps!$B$2:$B$10001)*($AP18 = [2]SalmonProps!$F$2:$F$10001) *($AR18 = [2]SalmonProps!$G$2:$G$10001),0), 17))</f>
        <v>3.5299999999999998E-2</v>
      </c>
      <c r="J18" s="164" t="str" cm="1">
        <f t="array" ref="J18">IF(ISBLANK($AQ18), "", INDEX([2]SalmonProps!$A$2:$AA$10001,MATCH(1,($A18=[2]SalmonProps!$A$2:$A$10001)*(1=[2]SalmonProps!$C$2:$C$10001)*(1=[2]SalmonProps!$D$2:$D$10001)*("A1" = [2]SalmonProps!$B$2:$B$10001)*($AP18 = [2]SalmonProps!$F$2:$F$10001) *($AR18 = [2]SalmonProps!$G$2:$G$10001),0), 19))</f>
        <v>NA</v>
      </c>
      <c r="K18" s="165" t="str" cm="1">
        <f t="array" ref="K18">IF(ISBLANK($AQ18), "", INDEX([2]SalmonProps!$A$2:$AA$10001,MATCH(1,($A18=[2]SalmonProps!$A$2:$A$10001)*(1=[2]SalmonProps!$C$2:$C$10001)*(2=[2]SalmonProps!$D$2:$D$10001)*("A1" = [2]SalmonProps!$B$2:$B$10001)*($AP18 = [2]SalmonProps!$F$2:$F$10001) *($AR18 = [2]SalmonProps!$G$2:$G$10001),0), 19))</f>
        <v>NA</v>
      </c>
      <c r="L18" s="165" t="str" cm="1">
        <f t="array" ref="L18">IF(ISBLANK($AQ18), "", INDEX([2]SalmonProps!$A$2:$AA$10001,MATCH(1,($A18=[2]SalmonProps!$A$2:$A$10001)*(1=[2]SalmonProps!$C$2:$C$10001)*("1&amp;2"=[2]SalmonProps!$D$2:$D$10001)*("A1" = [2]SalmonProps!$B$2:$B$10001)*($AP18 = [2]SalmonProps!$F$2:$F$10001) *($AR18 = [2]SalmonProps!$G$2:$G$10001),0), 19))</f>
        <v>NA</v>
      </c>
      <c r="M18" s="165" t="str" cm="1">
        <f t="array" ref="M18">IF(ISBLANK($AQ18), "", INDEX([2]SalmonProps!$A$2:$AA$10001,MATCH(1,($A18=[2]SalmonProps!$A$2:$A$10001)*(2=[2]SalmonProps!$C$2:$C$10001)*(3=[2]SalmonProps!$D$2:$D$10001)*("A1" = [2]SalmonProps!$B$2:$B$10001)*($AP18 = [2]SalmonProps!$F$2:$F$10001) *($AR18 = [2]SalmonProps!$G$2:$G$10001),0), 19))</f>
        <v>NA</v>
      </c>
      <c r="N18" s="181" t="str" cm="1">
        <f t="array" ref="N18">IF(ISBLANK($AQ18), "", INDEX([2]SalmonProps!$A$2:$AA$10001,MATCH(1,($A18=[2]SalmonProps!$A$2:$A$10001)*(3=[2]SalmonProps!$C$2:$C$10001)*(3=[2]SalmonProps!$D$2:$D$10001)*("A1" = [2]SalmonProps!$B$2:$B$10001)*($AP18 = [2]SalmonProps!$F$2:$F$10001) *($AR18 = [2]SalmonProps!$G$2:$G$10001),0), 19))</f>
        <v>NA</v>
      </c>
      <c r="O18" s="165" t="str" cm="1">
        <f t="array" ref="O18">IF(ISBLANK($AQ18), "", INDEX([2]SalmonProps!$A$2:$AA$10001,MATCH(1,($A18=[2]SalmonProps!$A$2:$A$10001)*(1=[2]SalmonProps!$C$2:$C$10001)*(1=[2]SalmonProps!$D$2:$D$10001)*("A2" = [2]SalmonProps!$B$2:$B$10001)*($AP18 = [2]SalmonProps!$F$2:$F$10001) *($AR18 = [2]SalmonProps!$G$2:$G$10001),0), 19))</f>
        <v>NA</v>
      </c>
      <c r="P18" s="165" t="str" cm="1">
        <f t="array" ref="P18">IF(ISBLANK($AQ18), "", INDEX([2]SalmonProps!$A$2:$AA$10001,MATCH(1,($A18=[2]SalmonProps!$A$2:$A$10001)*(2=[2]SalmonProps!$C$2:$C$10001)*(1=[2]SalmonProps!$D$2:$D$10001)*("A2" = [2]SalmonProps!$B$2:$B$10001)*($AP18 = [2]SalmonProps!$F$2:$F$10001) *($AR18 = [2]SalmonProps!$G$2:$G$10001),0), 19))</f>
        <v>NA</v>
      </c>
      <c r="Q18" s="168" t="str" cm="1">
        <f t="array" ref="Q18">IF(ISBLANK($AQ18), "", INDEX([2]SalmonProps!$A$2:$AA$10001,MATCH(1,($A18=[2]SalmonProps!$A$2:$A$10001)*(3=[2]SalmonProps!$C$2:$C$10001)*(1=[2]SalmonProps!$D$2:$D$10001)*("A2" = [2]SalmonProps!$B$2:$B$10001)*($AP18 = [2]SalmonProps!$F$2:$F$10001) *($AR18 = [2]SalmonProps!$G$2:$G$10001),0), 19))</f>
        <v>NA</v>
      </c>
      <c r="R18" s="164" t="str" cm="1">
        <f t="array" ref="R18">IF(ISBLANK($AQ18), "", INDEX([2]SalmonProps!$A$2:$AA$10001,MATCH(1,($A18=[2]SalmonProps!$A$2:$A$10001)*(1=[2]SalmonProps!$C$2:$C$10001)*(1=[2]SalmonProps!$D$2:$D$10001)*("A1" = [2]SalmonProps!$B$2:$B$10001)*($AP18 = [2]SalmonProps!$F$2:$F$10001) *($AR18 = [2]SalmonProps!$G$2:$G$10001),0), 18))</f>
        <v>NA</v>
      </c>
      <c r="S18" s="165" t="str" cm="1">
        <f t="array" ref="S18">IF(ISBLANK($AQ18), "", INDEX([2]SalmonProps!$A$2:$AA$10001,MATCH(1,($A18=[2]SalmonProps!$A$2:$A$10001)*(1=[2]SalmonProps!$C$2:$C$10001)*(2=[2]SalmonProps!$D$2:$D$10001)*("A1" = [2]SalmonProps!$B$2:$B$10001)*($AP18 = [2]SalmonProps!$F$2:$F$10001) *($AR18 = [2]SalmonProps!$G$2:$G$10001),0), 18))</f>
        <v>NA</v>
      </c>
      <c r="T18" s="165" t="str" cm="1">
        <f t="array" ref="T18">IF(ISBLANK($AQ18), "", INDEX([2]SalmonProps!$A$2:$AA$10001,MATCH(1,($A18=[2]SalmonProps!$A$2:$A$10001)*(1=[2]SalmonProps!$C$2:$C$10001)*("1&amp;2"=[2]SalmonProps!$D$2:$D$10001)*("A1" = [2]SalmonProps!$B$2:$B$10001)*($AP18 = [2]SalmonProps!$F$2:$F$10001) *($AR18 = [2]SalmonProps!$G$2:$G$10001),0), 18))</f>
        <v>NA</v>
      </c>
      <c r="U18" s="165" t="str" cm="1">
        <f t="array" ref="U18">IF(ISBLANK($AQ18), "", INDEX([2]SalmonProps!$A$2:$AA$10001,MATCH(1,($A18=[2]SalmonProps!$A$2:$A$10001)*(2=[2]SalmonProps!$C$2:$C$10001)*(3=[2]SalmonProps!$D$2:$D$10001)*("A1" = [2]SalmonProps!$B$2:$B$10001)*($AP18 = [2]SalmonProps!$F$2:$F$10001) *($AR18 = [2]SalmonProps!$G$2:$G$10001),0), 18))</f>
        <v>NA</v>
      </c>
      <c r="V18" s="181" t="str" cm="1">
        <f t="array" ref="V18">IF(ISBLANK($AQ18), "", INDEX([2]SalmonProps!$A$2:$AA$10001,MATCH(1,($A18=[2]SalmonProps!$A$2:$A$10001)*(3=[2]SalmonProps!$C$2:$C$10001)*(3=[2]SalmonProps!$D$2:$D$10001)*("A1" = [2]SalmonProps!$B$2:$B$10001)*($AP18 = [2]SalmonProps!$F$2:$F$10001) *($AR18 = [2]SalmonProps!$G$2:$G$10001),0), 18))</f>
        <v>NA</v>
      </c>
      <c r="W18" s="180" t="str" cm="1">
        <f t="array" ref="W18">IF(ISBLANK($AQ18), "", INDEX([2]SalmonProps!$A$2:$AA$10001,MATCH(1,($A18=[2]SalmonProps!$A$2:$A$10001)*(1=[2]SalmonProps!$C$2:$C$10001)*(1=[2]SalmonProps!$D$2:$D$10001)*("A2" = [2]SalmonProps!$B$2:$B$10001)*($AP18 = [2]SalmonProps!$F$2:$F$10001) *($AR18 = [2]SalmonProps!$G$2:$G$10001),0), 18))</f>
        <v>NA</v>
      </c>
      <c r="X18" s="165" t="str" cm="1">
        <f t="array" ref="X18">IF(ISBLANK($AQ18), "", INDEX([2]SalmonProps!$A$2:$AA$10001,MATCH(1,($A18=[2]SalmonProps!$A$2:$A$10001)*(2=[2]SalmonProps!$C$2:$C$10001)*(1=[2]SalmonProps!$D$2:$D$10001)*("A2" = [2]SalmonProps!$B$2:$B$10001)*($AP18 = [2]SalmonProps!$F$2:$F$10001) *($AR18 = [2]SalmonProps!$G$2:$G$10001),0), 18))</f>
        <v>NA</v>
      </c>
      <c r="Y18" s="168" t="str" cm="1">
        <f t="array" ref="Y18">IF(ISBLANK($AQ18), "", INDEX([2]SalmonProps!$A$2:$AA$10001,MATCH(1,($A18=[2]SalmonProps!$A$2:$A$10001)*(3=[2]SalmonProps!$C$2:$C$10001)*(1=[2]SalmonProps!$D$2:$D$10001)*("A2" = [2]SalmonProps!$B$2:$B$10001)*($AP18 = [2]SalmonProps!$F$2:$F$10001) *($AR18 = [2]SalmonProps!$G$2:$G$10001),0), 18))</f>
        <v>NA</v>
      </c>
      <c r="Z18" s="164" cm="1">
        <f t="array" ref="Z18">IF(ISBLANK($AQ18), "", INDEX([2]SalmonProps!$A$2:$AA$10001,MATCH(1,($A18=[2]SalmonProps!$A$2:$A$10001)*(1=[2]SalmonProps!$C$2:$C$10001)*(1=[2]SalmonProps!$D$2:$D$10001)*("A1" = [2]SalmonProps!$B$2:$B$10001)*($AP18 = [2]SalmonProps!$F$2:$F$10001) *($AR18 = [2]SalmonProps!$G$2:$G$10001),0), 15))</f>
        <v>2.87E-2</v>
      </c>
      <c r="AA18" s="165" cm="1">
        <f t="array" ref="AA18">IF(ISBLANK($AQ18), "", INDEX([2]SalmonProps!$A$2:$AA$10001,MATCH(1,($A18=[2]SalmonProps!$A$2:$A$10001)*(1=[2]SalmonProps!$C$2:$C$10001)*(2=[2]SalmonProps!$D$2:$D$10001)*("A1" = [2]SalmonProps!$B$2:$B$10001)*($AP18 = [2]SalmonProps!$F$2:$F$10001) *($AR18 = [2]SalmonProps!$G$2:$G$10001),0), 15))</f>
        <v>0.1004</v>
      </c>
      <c r="AB18" s="165" cm="1">
        <f t="array" ref="AB18">IF(ISBLANK($AQ18), "", INDEX([2]SalmonProps!$A$2:$AA$10001,MATCH(1,($A18=[2]SalmonProps!$A$2:$A$10001)*(1=[2]SalmonProps!$C$2:$C$10001)*("1&amp;2"=[2]SalmonProps!$D$2:$D$10001)*("A1" = [2]SalmonProps!$B$2:$B$10001)*($AP18 = [2]SalmonProps!$F$2:$F$10001) *($AR18 = [2]SalmonProps!$G$2:$G$10001),0), 15))</f>
        <v>7.51E-2</v>
      </c>
      <c r="AC18" s="165" cm="1">
        <f t="array" ref="AC18">IF(ISBLANK($AQ18), "", INDEX([2]SalmonProps!$A$2:$AA$10001,MATCH(1,($A18=[2]SalmonProps!$A$2:$A$10001)*(2=[2]SalmonProps!$C$2:$C$10001)*(3=[2]SalmonProps!$D$2:$D$10001)*("A1" = [2]SalmonProps!$B$2:$B$10001)*($AP18 = [2]SalmonProps!$F$2:$F$10001) *($AR18 = [2]SalmonProps!$G$2:$G$10001),0), 15))</f>
        <v>0.28110000000000002</v>
      </c>
      <c r="AD18" s="181" cm="1">
        <f t="array" ref="AD18">IF(ISBLANK($AQ18), "", INDEX([2]SalmonProps!$A$2:$AA$10001,MATCH(1,($A18=[2]SalmonProps!$A$2:$A$10001)*(3=[2]SalmonProps!$C$2:$C$10001)*(3=[2]SalmonProps!$D$2:$D$10001)*("A1" = [2]SalmonProps!$B$2:$B$10001)*($AP18 = [2]SalmonProps!$F$2:$F$10001) *($AR18 = [2]SalmonProps!$G$2:$G$10001),0), 15))</f>
        <v>0.64429999999999998</v>
      </c>
      <c r="AE18" s="166" cm="1">
        <f t="array" ref="AE18">IF(ISBLANK($AQ18), "", INDEX([2]SalmonProps!$A$2:$AA$10001,MATCH(1,($A18=[2]SalmonProps!$A$2:$A$10001)*(1=[2]SalmonProps!$C$2:$C$10001)*(1=[2]SalmonProps!$D$2:$D$10001)*("A2" = [2]SalmonProps!$B$2:$B$10001)*($AP18 = [2]SalmonProps!$F$2:$F$10001) *($AR18 = [2]SalmonProps!$G$2:$G$10001),0), 15))</f>
        <v>7.1800000000000003E-2</v>
      </c>
      <c r="AF18" s="166" cm="1">
        <f t="array" ref="AF18">IF(ISBLANK($AQ18), "", INDEX([2]SalmonProps!$A$2:$AA$10001,MATCH(1,($A18=[2]SalmonProps!$A$2:$A$10001)*(2=[2]SalmonProps!$C$2:$C$10001)*(1=[2]SalmonProps!$D$2:$D$10001)*("A2" = [2]SalmonProps!$B$2:$B$10001)*($AP18 = [2]SalmonProps!$F$2:$F$10001) *($AR18 = [2]SalmonProps!$G$2:$G$10001),0), 15))</f>
        <v>4.7100000000000003E-2</v>
      </c>
      <c r="AG18" s="167" cm="1">
        <f t="array" ref="AG18">IF(ISBLANK($AQ18), "", INDEX([2]SalmonProps!$A$2:$AA$10001,MATCH(1,($A18=[2]SalmonProps!$A$2:$A$10001)*(3=[2]SalmonProps!$C$2:$C$10001)*(1=[2]SalmonProps!$D$2:$D$10001)*("A2" = [2]SalmonProps!$B$2:$B$10001)*($AP18 = [2]SalmonProps!$F$2:$F$10001) *($AR18 = [2]SalmonProps!$G$2:$G$10001),0), 15))</f>
        <v>0.13619999999999999</v>
      </c>
      <c r="AH18" s="173" t="str" cm="1">
        <f t="array" ref="AH18">IF(ISBLANK($AQ19), "", INDEX([2]SalmonProps!$A$2:$AA$10001,MATCH(1,($A18=[2]SalmonProps!$A$2:$A$10001)*($AP18 = [2]SalmonProps!$F$2:$F$10001) *($AR18 = [2]SalmonProps!$G$2:$G$10001),0), 24))</f>
        <v>NA</v>
      </c>
      <c r="AI18" s="183" t="str" cm="1">
        <f t="array" ref="AI18">IF(ISBLANK($AQ19), "", INDEX([2]SalmonProps!$A$2:$AA$10001,MATCH(1,($A18=[2]SalmonProps!$A$2:$A$10001)*($AP18 = [2]SalmonProps!$F$2:$F$10001) *($AR18 = [2]SalmonProps!$G$2:$G$10001),0), 25))</f>
        <v>NA</v>
      </c>
      <c r="AJ18" s="174" cm="1">
        <f t="array" ref="AJ18">IF(ISBLANK($AQ18), "", INDEX([2]SalmonProps!$A$2:$AA$10001,MATCH(1,($A18=[2]SalmonProps!$A$2:$A$10001)*($AP18 = [2]SalmonProps!$F$2:$F$10001) *($AR18 = [2]SalmonProps!$G$2:$G$10001),0), 20))</f>
        <v>61.4</v>
      </c>
      <c r="AK18" s="183" cm="1">
        <f t="array" ref="AK18">IF(ISBLANK($AQ18), "", INDEX([2]SalmonProps!$A$2:$AA$10001,MATCH(1,($A18=[2]SalmonProps!$A$2:$A$10001)*($AP18 = [2]SalmonProps!$F$2:$F$10001) *($AR18 = [2]SalmonProps!$G$2:$G$10001),0), 21))</f>
        <v>5</v>
      </c>
      <c r="AL18" s="174" cm="1">
        <f t="array" ref="AL18">IF(ISBLANK($AQ18), "", INDEX([2]SalmonProps!$A$2:$AA$10001,MATCH(1,($A18=[2]SalmonProps!$A$2:$A$10001)*($AP18 = [2]SalmonProps!$F$2:$F$10001) *($AR18 = [2]SalmonProps!$G$2:$G$10001),0), 22))</f>
        <v>75.099999999999994</v>
      </c>
      <c r="AM18" s="183" cm="1">
        <f t="array" ref="AM18">IF(ISBLANK($AQ18), "", INDEX([2]SalmonProps!$A$2:$AA$10001,MATCH(1,($A18=[2]SalmonProps!$A$2:$A$10001)*($AP18 = [2]SalmonProps!$F$2:$F$10001) *($AR18 = [2]SalmonProps!$G$2:$G$10001),0), 23))</f>
        <v>7.6</v>
      </c>
      <c r="AN18" s="174" t="str" cm="1">
        <f t="array" ref="AN18">IF(ISBLANK($AQ18), "", INDEX([2]SalmonProps!$A$2:$AA$10001,MATCH(1,($A18=[2]SalmonProps!$A$2:$A$10001)*($AP18 = [2]SalmonProps!$F$2:$F$10001) *($AR18 = [2]SalmonProps!$G$2:$G$10001),0), 26))</f>
        <v>NA</v>
      </c>
      <c r="AO18" s="175" t="str" cm="1">
        <f t="array" ref="AO18">IF(ISBLANK($AQ18), "", INDEX([2]SalmonProps!$A$2:$AA$10001,MATCH(1,($A18=[2]SalmonProps!$A$2:$A$10001)*($AP18 = [2]SalmonProps!$F$2:$F$10001) *($AR18 = [2]SalmonProps!$G$2:$G$10001),0), 27))</f>
        <v>NA</v>
      </c>
      <c r="AP18" s="112">
        <v>3</v>
      </c>
      <c r="AQ18" s="112" t="s">
        <v>133</v>
      </c>
      <c r="AR18" s="112" t="str">
        <f t="shared" si="0"/>
        <v>Unweighted</v>
      </c>
    </row>
    <row r="19" spans="1:44" x14ac:dyDescent="0.3">
      <c r="A19" s="20">
        <f>'[1]Passage Estimates'!$A19</f>
        <v>45121</v>
      </c>
      <c r="B19" s="164" cm="1">
        <f t="array" ref="B19">IF(ISBLANK($AQ19), "", INDEX([2]SalmonProps!$A$2:$AA$10001,MATCH(1,($A19=[2]SalmonProps!$A$2:$A$10001)*(1=[2]SalmonProps!$C$2:$C$10001)*(1=[2]SalmonProps!$D$2:$D$10001)*("A1" = [2]SalmonProps!$B$2:$B$10001)*($AP19 = [2]SalmonProps!$F$2:$F$10001) *($AR19 = [2]SalmonProps!$G$2:$G$10001),0), 17))</f>
        <v>0</v>
      </c>
      <c r="C19" s="165" cm="1">
        <f t="array" ref="C19">IF(ISBLANK($AQ19), "", INDEX([2]SalmonProps!$A$2:$AA$10001,MATCH(1,($A19=[2]SalmonProps!$A$2:$A$10001)*(1=[2]SalmonProps!$C$2:$C$10001)*(2=[2]SalmonProps!$D$2:$D$10001)*("A1" = [2]SalmonProps!$B$2:$B$10001)*($AP19 = [2]SalmonProps!$F$2:$F$10001) *($AR19 = [2]SalmonProps!$G$2:$G$10001),0), 17))</f>
        <v>0</v>
      </c>
      <c r="D19" s="165" cm="1">
        <f t="array" ref="D19">IF(ISBLANK($AQ19), "", INDEX([2]SalmonProps!$A$2:$AA$10001,MATCH(1,($A19=[2]SalmonProps!$A$2:$A$10001)*(1=[2]SalmonProps!$C$2:$C$10001)*("1&amp;2"=[2]SalmonProps!$D$2:$D$10001)*("A1" = [2]SalmonProps!$B$2:$B$10001)*($AP19 = [2]SalmonProps!$F$2:$F$10001) *($AR19 = [2]SalmonProps!$G$2:$G$10001),0), 17))</f>
        <v>0</v>
      </c>
      <c r="E19" s="181" cm="1">
        <f t="array" ref="E19">IF(ISBLANK($AQ19), "", INDEX([2]SalmonProps!$A$2:$AA$10001,MATCH(1,($A19=[2]SalmonProps!$A$2:$A$10001)*(2=[2]SalmonProps!$C$2:$C$10001)*(3=[2]SalmonProps!$D$2:$D$10001)*("A1" = [2]SalmonProps!$B$2:$B$10001)*($AP19 = [2]SalmonProps!$F$2:$F$10001) *($AR19 = [2]SalmonProps!$G$2:$G$10001),0), 17))</f>
        <v>0.1012</v>
      </c>
      <c r="F19" s="165" cm="1">
        <f t="array" ref="F19">IF(ISBLANK($AQ19), "", INDEX([2]SalmonProps!$A$2:$AA$10001,MATCH(1,($A19=[2]SalmonProps!$A$2:$A$10001)*(3=[2]SalmonProps!$C$2:$C$10001)*(3=[2]SalmonProps!$D$2:$D$10001)*("A1" = [2]SalmonProps!$B$2:$B$10001)*($AP19 = [2]SalmonProps!$F$2:$F$10001) *($AR19 = [2]SalmonProps!$G$2:$G$10001),0), 17))</f>
        <v>0.24829999999999999</v>
      </c>
      <c r="G19" s="165" cm="1">
        <f t="array" ref="G19">IF(ISBLANK($AQ19), "", INDEX([2]SalmonProps!$A$2:$AA$10001,MATCH(1,($A19=[2]SalmonProps!$A$2:$A$10001)*(1=[2]SalmonProps!$C$2:$C$10001)*(1=[2]SalmonProps!$D$2:$D$10001)*("A2" = [2]SalmonProps!$B$2:$B$10001)*($AP19 = [2]SalmonProps!$F$2:$F$10001) *($AR19 = [2]SalmonProps!$G$2:$G$10001),0), 17))</f>
        <v>0</v>
      </c>
      <c r="H19" s="166" cm="1">
        <f t="array" ref="H19">IF(ISBLANK($AQ19), "", INDEX([2]SalmonProps!$A$2:$AA$10001,MATCH(1,($A19=[2]SalmonProps!$A$2:$A$10001)*(2=[2]SalmonProps!$C$2:$C$10001)*(1=[2]SalmonProps!$D$2:$D$10001)*("A2" = [2]SalmonProps!$B$2:$B$10001)*($AP19 = [2]SalmonProps!$F$2:$F$10001) *($AR19 = [2]SalmonProps!$G$2:$G$10001),0), 17))</f>
        <v>3.0499999999999999E-2</v>
      </c>
      <c r="I19" s="167" cm="1">
        <f t="array" ref="I19">IF(ISBLANK($AQ19), "", INDEX([2]SalmonProps!$A$2:$AA$10001,MATCH(1,($A19=[2]SalmonProps!$A$2:$A$10001)*(3=[2]SalmonProps!$C$2:$C$10001)*(1=[2]SalmonProps!$D$2:$D$10001)*("A2" = [2]SalmonProps!$B$2:$B$10001)*($AP19 = [2]SalmonProps!$F$2:$F$10001) *($AR19 = [2]SalmonProps!$G$2:$G$10001),0), 17))</f>
        <v>0.20780000000000001</v>
      </c>
      <c r="J19" s="164" t="str" cm="1">
        <f t="array" ref="J19">IF(ISBLANK($AQ19), "", INDEX([2]SalmonProps!$A$2:$AA$10001,MATCH(1,($A19=[2]SalmonProps!$A$2:$A$10001)*(1=[2]SalmonProps!$C$2:$C$10001)*(1=[2]SalmonProps!$D$2:$D$10001)*("A1" = [2]SalmonProps!$B$2:$B$10001)*($AP19 = [2]SalmonProps!$F$2:$F$10001) *($AR19 = [2]SalmonProps!$G$2:$G$10001),0), 19))</f>
        <v>NA</v>
      </c>
      <c r="K19" s="165" t="str" cm="1">
        <f t="array" ref="K19">IF(ISBLANK($AQ19), "", INDEX([2]SalmonProps!$A$2:$AA$10001,MATCH(1,($A19=[2]SalmonProps!$A$2:$A$10001)*(1=[2]SalmonProps!$C$2:$C$10001)*(2=[2]SalmonProps!$D$2:$D$10001)*("A1" = [2]SalmonProps!$B$2:$B$10001)*($AP19 = [2]SalmonProps!$F$2:$F$10001) *($AR19 = [2]SalmonProps!$G$2:$G$10001),0), 19))</f>
        <v>NA</v>
      </c>
      <c r="L19" s="165" t="str" cm="1">
        <f t="array" ref="L19">IF(ISBLANK($AQ19), "", INDEX([2]SalmonProps!$A$2:$AA$10001,MATCH(1,($A19=[2]SalmonProps!$A$2:$A$10001)*(1=[2]SalmonProps!$C$2:$C$10001)*("1&amp;2"=[2]SalmonProps!$D$2:$D$10001)*("A1" = [2]SalmonProps!$B$2:$B$10001)*($AP19 = [2]SalmonProps!$F$2:$F$10001) *($AR19 = [2]SalmonProps!$G$2:$G$10001),0), 19))</f>
        <v>NA</v>
      </c>
      <c r="M19" s="165" t="str" cm="1">
        <f t="array" ref="M19">IF(ISBLANK($AQ19), "", INDEX([2]SalmonProps!$A$2:$AA$10001,MATCH(1,($A19=[2]SalmonProps!$A$2:$A$10001)*(2=[2]SalmonProps!$C$2:$C$10001)*(3=[2]SalmonProps!$D$2:$D$10001)*("A1" = [2]SalmonProps!$B$2:$B$10001)*($AP19 = [2]SalmonProps!$F$2:$F$10001) *($AR19 = [2]SalmonProps!$G$2:$G$10001),0), 19))</f>
        <v>NA</v>
      </c>
      <c r="N19" s="181" t="str" cm="1">
        <f t="array" ref="N19">IF(ISBLANK($AQ19), "", INDEX([2]SalmonProps!$A$2:$AA$10001,MATCH(1,($A19=[2]SalmonProps!$A$2:$A$10001)*(3=[2]SalmonProps!$C$2:$C$10001)*(3=[2]SalmonProps!$D$2:$D$10001)*("A1" = [2]SalmonProps!$B$2:$B$10001)*($AP19 = [2]SalmonProps!$F$2:$F$10001) *($AR19 = [2]SalmonProps!$G$2:$G$10001),0), 19))</f>
        <v>NA</v>
      </c>
      <c r="O19" s="165" t="str" cm="1">
        <f t="array" ref="O19">IF(ISBLANK($AQ19), "", INDEX([2]SalmonProps!$A$2:$AA$10001,MATCH(1,($A19=[2]SalmonProps!$A$2:$A$10001)*(1=[2]SalmonProps!$C$2:$C$10001)*(1=[2]SalmonProps!$D$2:$D$10001)*("A2" = [2]SalmonProps!$B$2:$B$10001)*($AP19 = [2]SalmonProps!$F$2:$F$10001) *($AR19 = [2]SalmonProps!$G$2:$G$10001),0), 19))</f>
        <v>NA</v>
      </c>
      <c r="P19" s="165" t="str" cm="1">
        <f t="array" ref="P19">IF(ISBLANK($AQ19), "", INDEX([2]SalmonProps!$A$2:$AA$10001,MATCH(1,($A19=[2]SalmonProps!$A$2:$A$10001)*(2=[2]SalmonProps!$C$2:$C$10001)*(1=[2]SalmonProps!$D$2:$D$10001)*("A2" = [2]SalmonProps!$B$2:$B$10001)*($AP19 = [2]SalmonProps!$F$2:$F$10001) *($AR19 = [2]SalmonProps!$G$2:$G$10001),0), 19))</f>
        <v>NA</v>
      </c>
      <c r="Q19" s="168" t="str" cm="1">
        <f t="array" ref="Q19">IF(ISBLANK($AQ19), "", INDEX([2]SalmonProps!$A$2:$AA$10001,MATCH(1,($A19=[2]SalmonProps!$A$2:$A$10001)*(3=[2]SalmonProps!$C$2:$C$10001)*(1=[2]SalmonProps!$D$2:$D$10001)*("A2" = [2]SalmonProps!$B$2:$B$10001)*($AP19 = [2]SalmonProps!$F$2:$F$10001) *($AR19 = [2]SalmonProps!$G$2:$G$10001),0), 19))</f>
        <v>NA</v>
      </c>
      <c r="R19" s="164" t="str" cm="1">
        <f t="array" ref="R19">IF(ISBLANK($AQ19), "", INDEX([2]SalmonProps!$A$2:$AA$10001,MATCH(1,($A19=[2]SalmonProps!$A$2:$A$10001)*(1=[2]SalmonProps!$C$2:$C$10001)*(1=[2]SalmonProps!$D$2:$D$10001)*("A1" = [2]SalmonProps!$B$2:$B$10001)*($AP19 = [2]SalmonProps!$F$2:$F$10001) *($AR19 = [2]SalmonProps!$G$2:$G$10001),0), 18))</f>
        <v>NA</v>
      </c>
      <c r="S19" s="165" t="str" cm="1">
        <f t="array" ref="S19">IF(ISBLANK($AQ19), "", INDEX([2]SalmonProps!$A$2:$AA$10001,MATCH(1,($A19=[2]SalmonProps!$A$2:$A$10001)*(1=[2]SalmonProps!$C$2:$C$10001)*(2=[2]SalmonProps!$D$2:$D$10001)*("A1" = [2]SalmonProps!$B$2:$B$10001)*($AP19 = [2]SalmonProps!$F$2:$F$10001) *($AR19 = [2]SalmonProps!$G$2:$G$10001),0), 18))</f>
        <v>NA</v>
      </c>
      <c r="T19" s="165" t="str" cm="1">
        <f t="array" ref="T19">IF(ISBLANK($AQ19), "", INDEX([2]SalmonProps!$A$2:$AA$10001,MATCH(1,($A19=[2]SalmonProps!$A$2:$A$10001)*(1=[2]SalmonProps!$C$2:$C$10001)*("1&amp;2"=[2]SalmonProps!$D$2:$D$10001)*("A1" = [2]SalmonProps!$B$2:$B$10001)*($AP19 = [2]SalmonProps!$F$2:$F$10001) *($AR19 = [2]SalmonProps!$G$2:$G$10001),0), 18))</f>
        <v>NA</v>
      </c>
      <c r="U19" s="165" t="str" cm="1">
        <f t="array" ref="U19">IF(ISBLANK($AQ19), "", INDEX([2]SalmonProps!$A$2:$AA$10001,MATCH(1,($A19=[2]SalmonProps!$A$2:$A$10001)*(2=[2]SalmonProps!$C$2:$C$10001)*(3=[2]SalmonProps!$D$2:$D$10001)*("A1" = [2]SalmonProps!$B$2:$B$10001)*($AP19 = [2]SalmonProps!$F$2:$F$10001) *($AR19 = [2]SalmonProps!$G$2:$G$10001),0), 18))</f>
        <v>NA</v>
      </c>
      <c r="V19" s="181" t="str" cm="1">
        <f t="array" ref="V19">IF(ISBLANK($AQ19), "", INDEX([2]SalmonProps!$A$2:$AA$10001,MATCH(1,($A19=[2]SalmonProps!$A$2:$A$10001)*(3=[2]SalmonProps!$C$2:$C$10001)*(3=[2]SalmonProps!$D$2:$D$10001)*("A1" = [2]SalmonProps!$B$2:$B$10001)*($AP19 = [2]SalmonProps!$F$2:$F$10001) *($AR19 = [2]SalmonProps!$G$2:$G$10001),0), 18))</f>
        <v>NA</v>
      </c>
      <c r="W19" s="180" t="str" cm="1">
        <f t="array" ref="W19">IF(ISBLANK($AQ19), "", INDEX([2]SalmonProps!$A$2:$AA$10001,MATCH(1,($A19=[2]SalmonProps!$A$2:$A$10001)*(1=[2]SalmonProps!$C$2:$C$10001)*(1=[2]SalmonProps!$D$2:$D$10001)*("A2" = [2]SalmonProps!$B$2:$B$10001)*($AP19 = [2]SalmonProps!$F$2:$F$10001) *($AR19 = [2]SalmonProps!$G$2:$G$10001),0), 18))</f>
        <v>NA</v>
      </c>
      <c r="X19" s="165" t="str" cm="1">
        <f t="array" ref="X19">IF(ISBLANK($AQ19), "", INDEX([2]SalmonProps!$A$2:$AA$10001,MATCH(1,($A19=[2]SalmonProps!$A$2:$A$10001)*(2=[2]SalmonProps!$C$2:$C$10001)*(1=[2]SalmonProps!$D$2:$D$10001)*("A2" = [2]SalmonProps!$B$2:$B$10001)*($AP19 = [2]SalmonProps!$F$2:$F$10001) *($AR19 = [2]SalmonProps!$G$2:$G$10001),0), 18))</f>
        <v>NA</v>
      </c>
      <c r="Y19" s="168" t="str" cm="1">
        <f t="array" ref="Y19">IF(ISBLANK($AQ19), "", INDEX([2]SalmonProps!$A$2:$AA$10001,MATCH(1,($A19=[2]SalmonProps!$A$2:$A$10001)*(3=[2]SalmonProps!$C$2:$C$10001)*(1=[2]SalmonProps!$D$2:$D$10001)*("A2" = [2]SalmonProps!$B$2:$B$10001)*($AP19 = [2]SalmonProps!$F$2:$F$10001) *($AR19 = [2]SalmonProps!$G$2:$G$10001),0), 18))</f>
        <v>NA</v>
      </c>
      <c r="Z19" s="164" cm="1">
        <f t="array" ref="Z19">IF(ISBLANK($AQ19), "", INDEX([2]SalmonProps!$A$2:$AA$10001,MATCH(1,($A19=[2]SalmonProps!$A$2:$A$10001)*(1=[2]SalmonProps!$C$2:$C$10001)*(1=[2]SalmonProps!$D$2:$D$10001)*("A1" = [2]SalmonProps!$B$2:$B$10001)*($AP19 = [2]SalmonProps!$F$2:$F$10001) *($AR19 = [2]SalmonProps!$G$2:$G$10001),0), 15))</f>
        <v>5.3900000000000003E-2</v>
      </c>
      <c r="AA19" s="165" cm="1">
        <f t="array" ref="AA19">IF(ISBLANK($AQ19), "", INDEX([2]SalmonProps!$A$2:$AA$10001,MATCH(1,($A19=[2]SalmonProps!$A$2:$A$10001)*(1=[2]SalmonProps!$C$2:$C$10001)*(2=[2]SalmonProps!$D$2:$D$10001)*("A1" = [2]SalmonProps!$B$2:$B$10001)*($AP19 = [2]SalmonProps!$F$2:$F$10001) *($AR19 = [2]SalmonProps!$G$2:$G$10001),0), 15))</f>
        <v>5.2699999999999997E-2</v>
      </c>
      <c r="AB19" s="165" cm="1">
        <f t="array" ref="AB19">IF(ISBLANK($AQ19), "", INDEX([2]SalmonProps!$A$2:$AA$10001,MATCH(1,($A19=[2]SalmonProps!$A$2:$A$10001)*(1=[2]SalmonProps!$C$2:$C$10001)*("1&amp;2"=[2]SalmonProps!$D$2:$D$10001)*("A1" = [2]SalmonProps!$B$2:$B$10001)*($AP19 = [2]SalmonProps!$F$2:$F$10001) *($AR19 = [2]SalmonProps!$G$2:$G$10001),0), 15))</f>
        <v>5.3199999999999997E-2</v>
      </c>
      <c r="AC19" s="165" cm="1">
        <f t="array" ref="AC19">IF(ISBLANK($AQ19), "", INDEX([2]SalmonProps!$A$2:$AA$10001,MATCH(1,($A19=[2]SalmonProps!$A$2:$A$10001)*(2=[2]SalmonProps!$C$2:$C$10001)*(3=[2]SalmonProps!$D$2:$D$10001)*("A1" = [2]SalmonProps!$B$2:$B$10001)*($AP19 = [2]SalmonProps!$F$2:$F$10001) *($AR19 = [2]SalmonProps!$G$2:$G$10001),0), 15))</f>
        <v>0.37159999999999999</v>
      </c>
      <c r="AD19" s="181" cm="1">
        <f t="array" ref="AD19">IF(ISBLANK($AQ19), "", INDEX([2]SalmonProps!$A$2:$AA$10001,MATCH(1,($A19=[2]SalmonProps!$A$2:$A$10001)*(3=[2]SalmonProps!$C$2:$C$10001)*(3=[2]SalmonProps!$D$2:$D$10001)*("A1" = [2]SalmonProps!$B$2:$B$10001)*($AP19 = [2]SalmonProps!$F$2:$F$10001) *($AR19 = [2]SalmonProps!$G$2:$G$10001),0), 15))</f>
        <v>0.54259999999999997</v>
      </c>
      <c r="AE19" s="166" cm="1">
        <f t="array" ref="AE19">IF(ISBLANK($AQ19), "", INDEX([2]SalmonProps!$A$2:$AA$10001,MATCH(1,($A19=[2]SalmonProps!$A$2:$A$10001)*(1=[2]SalmonProps!$C$2:$C$10001)*(1=[2]SalmonProps!$D$2:$D$10001)*("A2" = [2]SalmonProps!$B$2:$B$10001)*($AP19 = [2]SalmonProps!$F$2:$F$10001) *($AR19 = [2]SalmonProps!$G$2:$G$10001),0), 15))</f>
        <v>1.7000000000000001E-2</v>
      </c>
      <c r="AF19" s="166" cm="1">
        <f t="array" ref="AF19">IF(ISBLANK($AQ19), "", INDEX([2]SalmonProps!$A$2:$AA$10001,MATCH(1,($A19=[2]SalmonProps!$A$2:$A$10001)*(2=[2]SalmonProps!$C$2:$C$10001)*(1=[2]SalmonProps!$D$2:$D$10001)*("A2" = [2]SalmonProps!$B$2:$B$10001)*($AP19 = [2]SalmonProps!$F$2:$F$10001) *($AR19 = [2]SalmonProps!$G$2:$G$10001),0), 15))</f>
        <v>7.9200000000000007E-2</v>
      </c>
      <c r="AG19" s="167" cm="1">
        <f t="array" ref="AG19">IF(ISBLANK($AQ19), "", INDEX([2]SalmonProps!$A$2:$AA$10001,MATCH(1,($A19=[2]SalmonProps!$A$2:$A$10001)*(3=[2]SalmonProps!$C$2:$C$10001)*(1=[2]SalmonProps!$D$2:$D$10001)*("A2" = [2]SalmonProps!$B$2:$B$10001)*($AP19 = [2]SalmonProps!$F$2:$F$10001) *($AR19 = [2]SalmonProps!$G$2:$G$10001),0), 15))</f>
        <v>0.44800000000000001</v>
      </c>
      <c r="AH19" s="173" t="str" cm="1">
        <f t="array" ref="AH19">IF(ISBLANK($AQ20), "", INDEX([2]SalmonProps!$A$2:$AA$10001,MATCH(1,($A19=[2]SalmonProps!$A$2:$A$10001)*($AP19 = [2]SalmonProps!$F$2:$F$10001) *($AR19 = [2]SalmonProps!$G$2:$G$10001),0), 24))</f>
        <v>NA</v>
      </c>
      <c r="AI19" s="183" t="str" cm="1">
        <f t="array" ref="AI19">IF(ISBLANK($AQ20), "", INDEX([2]SalmonProps!$A$2:$AA$10001,MATCH(1,($A19=[2]SalmonProps!$A$2:$A$10001)*($AP19 = [2]SalmonProps!$F$2:$F$10001) *($AR19 = [2]SalmonProps!$G$2:$G$10001),0), 25))</f>
        <v>NA</v>
      </c>
      <c r="AJ19" s="174" cm="1">
        <f t="array" ref="AJ19">IF(ISBLANK($AQ19), "", INDEX([2]SalmonProps!$A$2:$AA$10001,MATCH(1,($A19=[2]SalmonProps!$A$2:$A$10001)*($AP19 = [2]SalmonProps!$F$2:$F$10001) *($AR19 = [2]SalmonProps!$G$2:$G$10001),0), 20))</f>
        <v>59.2</v>
      </c>
      <c r="AK19" s="183" cm="1">
        <f t="array" ref="AK19">IF(ISBLANK($AQ19), "", INDEX([2]SalmonProps!$A$2:$AA$10001,MATCH(1,($A19=[2]SalmonProps!$A$2:$A$10001)*($AP19 = [2]SalmonProps!$F$2:$F$10001) *($AR19 = [2]SalmonProps!$G$2:$G$10001),0), 21))</f>
        <v>4.8</v>
      </c>
      <c r="AL19" s="174" cm="1">
        <f t="array" ref="AL19">IF(ISBLANK($AQ19), "", INDEX([2]SalmonProps!$A$2:$AA$10001,MATCH(1,($A19=[2]SalmonProps!$A$2:$A$10001)*($AP19 = [2]SalmonProps!$F$2:$F$10001) *($AR19 = [2]SalmonProps!$G$2:$G$10001),0), 22))</f>
        <v>75.099999999999994</v>
      </c>
      <c r="AM19" s="183" cm="1">
        <f t="array" ref="AM19">IF(ISBLANK($AQ19), "", INDEX([2]SalmonProps!$A$2:$AA$10001,MATCH(1,($A19=[2]SalmonProps!$A$2:$A$10001)*($AP19 = [2]SalmonProps!$F$2:$F$10001) *($AR19 = [2]SalmonProps!$G$2:$G$10001),0), 23))</f>
        <v>7.6</v>
      </c>
      <c r="AN19" s="174" t="str" cm="1">
        <f t="array" ref="AN19">IF(ISBLANK($AQ19), "", INDEX([2]SalmonProps!$A$2:$AA$10001,MATCH(1,($A19=[2]SalmonProps!$A$2:$A$10001)*($AP19 = [2]SalmonProps!$F$2:$F$10001) *($AR19 = [2]SalmonProps!$G$2:$G$10001),0), 26))</f>
        <v>NA</v>
      </c>
      <c r="AO19" s="175" t="str" cm="1">
        <f t="array" ref="AO19">IF(ISBLANK($AQ19), "", INDEX([2]SalmonProps!$A$2:$AA$10001,MATCH(1,($A19=[2]SalmonProps!$A$2:$A$10001)*($AP19 = [2]SalmonProps!$F$2:$F$10001) *($AR19 = [2]SalmonProps!$G$2:$G$10001),0), 27))</f>
        <v>NA</v>
      </c>
      <c r="AP19" s="112">
        <v>3</v>
      </c>
      <c r="AQ19" s="112" t="s">
        <v>133</v>
      </c>
      <c r="AR19" s="112" t="str">
        <f t="shared" si="0"/>
        <v>Unweighted</v>
      </c>
    </row>
    <row r="20" spans="1:44" x14ac:dyDescent="0.3">
      <c r="A20" s="20">
        <f>'[1]Passage Estimates'!$A20</f>
        <v>45122</v>
      </c>
      <c r="B20" s="164" cm="1">
        <f t="array" ref="B20">IF(ISBLANK($AQ20), "", INDEX([2]SalmonProps!$A$2:$AA$10001,MATCH(1,($A20=[2]SalmonProps!$A$2:$A$10001)*(1=[2]SalmonProps!$C$2:$C$10001)*(1=[2]SalmonProps!$D$2:$D$10001)*("A1" = [2]SalmonProps!$B$2:$B$10001)*($AP20 = [2]SalmonProps!$F$2:$F$10001) *($AR20 = [2]SalmonProps!$G$2:$G$10001),0), 17))</f>
        <v>3.1E-2</v>
      </c>
      <c r="C20" s="165" cm="1">
        <f t="array" ref="C20">IF(ISBLANK($AQ20), "", INDEX([2]SalmonProps!$A$2:$AA$10001,MATCH(1,($A20=[2]SalmonProps!$A$2:$A$10001)*(1=[2]SalmonProps!$C$2:$C$10001)*(2=[2]SalmonProps!$D$2:$D$10001)*("A1" = [2]SalmonProps!$B$2:$B$10001)*($AP20 = [2]SalmonProps!$F$2:$F$10001) *($AR20 = [2]SalmonProps!$G$2:$G$10001),0), 17))</f>
        <v>6.3E-3</v>
      </c>
      <c r="D20" s="165" cm="1">
        <f t="array" ref="D20">IF(ISBLANK($AQ20), "", INDEX([2]SalmonProps!$A$2:$AA$10001,MATCH(1,($A20=[2]SalmonProps!$A$2:$A$10001)*(1=[2]SalmonProps!$C$2:$C$10001)*("1&amp;2"=[2]SalmonProps!$D$2:$D$10001)*("A1" = [2]SalmonProps!$B$2:$B$10001)*($AP20 = [2]SalmonProps!$F$2:$F$10001) *($AR20 = [2]SalmonProps!$G$2:$G$10001),0), 17))</f>
        <v>1.52E-2</v>
      </c>
      <c r="E20" s="181" cm="1">
        <f t="array" ref="E20">IF(ISBLANK($AQ20), "", INDEX([2]SalmonProps!$A$2:$AA$10001,MATCH(1,($A20=[2]SalmonProps!$A$2:$A$10001)*(2=[2]SalmonProps!$C$2:$C$10001)*(3=[2]SalmonProps!$D$2:$D$10001)*("A1" = [2]SalmonProps!$B$2:$B$10001)*($AP20 = [2]SalmonProps!$F$2:$F$10001) *($AR20 = [2]SalmonProps!$G$2:$G$10001),0), 17))</f>
        <v>0.1875</v>
      </c>
      <c r="F20" s="165" cm="1">
        <f t="array" ref="F20">IF(ISBLANK($AQ20), "", INDEX([2]SalmonProps!$A$2:$AA$10001,MATCH(1,($A20=[2]SalmonProps!$A$2:$A$10001)*(3=[2]SalmonProps!$C$2:$C$10001)*(3=[2]SalmonProps!$D$2:$D$10001)*("A1" = [2]SalmonProps!$B$2:$B$10001)*($AP20 = [2]SalmonProps!$F$2:$F$10001) *($AR20 = [2]SalmonProps!$G$2:$G$10001),0), 17))</f>
        <v>0.45569999999999999</v>
      </c>
      <c r="G20" s="165" cm="1">
        <f t="array" ref="G20">IF(ISBLANK($AQ20), "", INDEX([2]SalmonProps!$A$2:$AA$10001,MATCH(1,($A20=[2]SalmonProps!$A$2:$A$10001)*(1=[2]SalmonProps!$C$2:$C$10001)*(1=[2]SalmonProps!$D$2:$D$10001)*("A2" = [2]SalmonProps!$B$2:$B$10001)*($AP20 = [2]SalmonProps!$F$2:$F$10001) *($AR20 = [2]SalmonProps!$G$2:$G$10001),0), 17))</f>
        <v>0</v>
      </c>
      <c r="H20" s="166" cm="1">
        <f t="array" ref="H20">IF(ISBLANK($AQ20), "", INDEX([2]SalmonProps!$A$2:$AA$10001,MATCH(1,($A20=[2]SalmonProps!$A$2:$A$10001)*(2=[2]SalmonProps!$C$2:$C$10001)*(1=[2]SalmonProps!$D$2:$D$10001)*("A2" = [2]SalmonProps!$B$2:$B$10001)*($AP20 = [2]SalmonProps!$F$2:$F$10001) *($AR20 = [2]SalmonProps!$G$2:$G$10001),0), 17))</f>
        <v>3.0499999999999999E-2</v>
      </c>
      <c r="I20" s="167" cm="1">
        <f t="array" ref="I20">IF(ISBLANK($AQ20), "", INDEX([2]SalmonProps!$A$2:$AA$10001,MATCH(1,($A20=[2]SalmonProps!$A$2:$A$10001)*(3=[2]SalmonProps!$C$2:$C$10001)*(1=[2]SalmonProps!$D$2:$D$10001)*("A2" = [2]SalmonProps!$B$2:$B$10001)*($AP20 = [2]SalmonProps!$F$2:$F$10001) *($AR20 = [2]SalmonProps!$G$2:$G$10001),0), 17))</f>
        <v>0.20780000000000001</v>
      </c>
      <c r="J20" s="164" t="str" cm="1">
        <f t="array" ref="J20">IF(ISBLANK($AQ20), "", INDEX([2]SalmonProps!$A$2:$AA$10001,MATCH(1,($A20=[2]SalmonProps!$A$2:$A$10001)*(1=[2]SalmonProps!$C$2:$C$10001)*(1=[2]SalmonProps!$D$2:$D$10001)*("A1" = [2]SalmonProps!$B$2:$B$10001)*($AP20 = [2]SalmonProps!$F$2:$F$10001) *($AR20 = [2]SalmonProps!$G$2:$G$10001),0), 19))</f>
        <v>NA</v>
      </c>
      <c r="K20" s="165" t="str" cm="1">
        <f t="array" ref="K20">IF(ISBLANK($AQ20), "", INDEX([2]SalmonProps!$A$2:$AA$10001,MATCH(1,($A20=[2]SalmonProps!$A$2:$A$10001)*(1=[2]SalmonProps!$C$2:$C$10001)*(2=[2]SalmonProps!$D$2:$D$10001)*("A1" = [2]SalmonProps!$B$2:$B$10001)*($AP20 = [2]SalmonProps!$F$2:$F$10001) *($AR20 = [2]SalmonProps!$G$2:$G$10001),0), 19))</f>
        <v>NA</v>
      </c>
      <c r="L20" s="165" t="str" cm="1">
        <f t="array" ref="L20">IF(ISBLANK($AQ20), "", INDEX([2]SalmonProps!$A$2:$AA$10001,MATCH(1,($A20=[2]SalmonProps!$A$2:$A$10001)*(1=[2]SalmonProps!$C$2:$C$10001)*("1&amp;2"=[2]SalmonProps!$D$2:$D$10001)*("A1" = [2]SalmonProps!$B$2:$B$10001)*($AP20 = [2]SalmonProps!$F$2:$F$10001) *($AR20 = [2]SalmonProps!$G$2:$G$10001),0), 19))</f>
        <v>NA</v>
      </c>
      <c r="M20" s="165" t="str" cm="1">
        <f t="array" ref="M20">IF(ISBLANK($AQ20), "", INDEX([2]SalmonProps!$A$2:$AA$10001,MATCH(1,($A20=[2]SalmonProps!$A$2:$A$10001)*(2=[2]SalmonProps!$C$2:$C$10001)*(3=[2]SalmonProps!$D$2:$D$10001)*("A1" = [2]SalmonProps!$B$2:$B$10001)*($AP20 = [2]SalmonProps!$F$2:$F$10001) *($AR20 = [2]SalmonProps!$G$2:$G$10001),0), 19))</f>
        <v>NA</v>
      </c>
      <c r="N20" s="181" t="str" cm="1">
        <f t="array" ref="N20">IF(ISBLANK($AQ20), "", INDEX([2]SalmonProps!$A$2:$AA$10001,MATCH(1,($A20=[2]SalmonProps!$A$2:$A$10001)*(3=[2]SalmonProps!$C$2:$C$10001)*(3=[2]SalmonProps!$D$2:$D$10001)*("A1" = [2]SalmonProps!$B$2:$B$10001)*($AP20 = [2]SalmonProps!$F$2:$F$10001) *($AR20 = [2]SalmonProps!$G$2:$G$10001),0), 19))</f>
        <v>NA</v>
      </c>
      <c r="O20" s="165" t="str" cm="1">
        <f t="array" ref="O20">IF(ISBLANK($AQ20), "", INDEX([2]SalmonProps!$A$2:$AA$10001,MATCH(1,($A20=[2]SalmonProps!$A$2:$A$10001)*(1=[2]SalmonProps!$C$2:$C$10001)*(1=[2]SalmonProps!$D$2:$D$10001)*("A2" = [2]SalmonProps!$B$2:$B$10001)*($AP20 = [2]SalmonProps!$F$2:$F$10001) *($AR20 = [2]SalmonProps!$G$2:$G$10001),0), 19))</f>
        <v>NA</v>
      </c>
      <c r="P20" s="165" t="str" cm="1">
        <f t="array" ref="P20">IF(ISBLANK($AQ20), "", INDEX([2]SalmonProps!$A$2:$AA$10001,MATCH(1,($A20=[2]SalmonProps!$A$2:$A$10001)*(2=[2]SalmonProps!$C$2:$C$10001)*(1=[2]SalmonProps!$D$2:$D$10001)*("A2" = [2]SalmonProps!$B$2:$B$10001)*($AP20 = [2]SalmonProps!$F$2:$F$10001) *($AR20 = [2]SalmonProps!$G$2:$G$10001),0), 19))</f>
        <v>NA</v>
      </c>
      <c r="Q20" s="168" t="str" cm="1">
        <f t="array" ref="Q20">IF(ISBLANK($AQ20), "", INDEX([2]SalmonProps!$A$2:$AA$10001,MATCH(1,($A20=[2]SalmonProps!$A$2:$A$10001)*(3=[2]SalmonProps!$C$2:$C$10001)*(1=[2]SalmonProps!$D$2:$D$10001)*("A2" = [2]SalmonProps!$B$2:$B$10001)*($AP20 = [2]SalmonProps!$F$2:$F$10001) *($AR20 = [2]SalmonProps!$G$2:$G$10001),0), 19))</f>
        <v>NA</v>
      </c>
      <c r="R20" s="164" t="str" cm="1">
        <f t="array" ref="R20">IF(ISBLANK($AQ20), "", INDEX([2]SalmonProps!$A$2:$AA$10001,MATCH(1,($A20=[2]SalmonProps!$A$2:$A$10001)*(1=[2]SalmonProps!$C$2:$C$10001)*(1=[2]SalmonProps!$D$2:$D$10001)*("A1" = [2]SalmonProps!$B$2:$B$10001)*($AP20 = [2]SalmonProps!$F$2:$F$10001) *($AR20 = [2]SalmonProps!$G$2:$G$10001),0), 18))</f>
        <v>NA</v>
      </c>
      <c r="S20" s="165" t="str" cm="1">
        <f t="array" ref="S20">IF(ISBLANK($AQ20), "", INDEX([2]SalmonProps!$A$2:$AA$10001,MATCH(1,($A20=[2]SalmonProps!$A$2:$A$10001)*(1=[2]SalmonProps!$C$2:$C$10001)*(2=[2]SalmonProps!$D$2:$D$10001)*("A1" = [2]SalmonProps!$B$2:$B$10001)*($AP20 = [2]SalmonProps!$F$2:$F$10001) *($AR20 = [2]SalmonProps!$G$2:$G$10001),0), 18))</f>
        <v>NA</v>
      </c>
      <c r="T20" s="165" t="str" cm="1">
        <f t="array" ref="T20">IF(ISBLANK($AQ20), "", INDEX([2]SalmonProps!$A$2:$AA$10001,MATCH(1,($A20=[2]SalmonProps!$A$2:$A$10001)*(1=[2]SalmonProps!$C$2:$C$10001)*("1&amp;2"=[2]SalmonProps!$D$2:$D$10001)*("A1" = [2]SalmonProps!$B$2:$B$10001)*($AP20 = [2]SalmonProps!$F$2:$F$10001) *($AR20 = [2]SalmonProps!$G$2:$G$10001),0), 18))</f>
        <v>NA</v>
      </c>
      <c r="U20" s="165" t="str" cm="1">
        <f t="array" ref="U20">IF(ISBLANK($AQ20), "", INDEX([2]SalmonProps!$A$2:$AA$10001,MATCH(1,($A20=[2]SalmonProps!$A$2:$A$10001)*(2=[2]SalmonProps!$C$2:$C$10001)*(3=[2]SalmonProps!$D$2:$D$10001)*("A1" = [2]SalmonProps!$B$2:$B$10001)*($AP20 = [2]SalmonProps!$F$2:$F$10001) *($AR20 = [2]SalmonProps!$G$2:$G$10001),0), 18))</f>
        <v>NA</v>
      </c>
      <c r="V20" s="181" t="str" cm="1">
        <f t="array" ref="V20">IF(ISBLANK($AQ20), "", INDEX([2]SalmonProps!$A$2:$AA$10001,MATCH(1,($A20=[2]SalmonProps!$A$2:$A$10001)*(3=[2]SalmonProps!$C$2:$C$10001)*(3=[2]SalmonProps!$D$2:$D$10001)*("A1" = [2]SalmonProps!$B$2:$B$10001)*($AP20 = [2]SalmonProps!$F$2:$F$10001) *($AR20 = [2]SalmonProps!$G$2:$G$10001),0), 18))</f>
        <v>NA</v>
      </c>
      <c r="W20" s="180" t="str" cm="1">
        <f t="array" ref="W20">IF(ISBLANK($AQ20), "", INDEX([2]SalmonProps!$A$2:$AA$10001,MATCH(1,($A20=[2]SalmonProps!$A$2:$A$10001)*(1=[2]SalmonProps!$C$2:$C$10001)*(1=[2]SalmonProps!$D$2:$D$10001)*("A2" = [2]SalmonProps!$B$2:$B$10001)*($AP20 = [2]SalmonProps!$F$2:$F$10001) *($AR20 = [2]SalmonProps!$G$2:$G$10001),0), 18))</f>
        <v>NA</v>
      </c>
      <c r="X20" s="165" t="str" cm="1">
        <f t="array" ref="X20">IF(ISBLANK($AQ20), "", INDEX([2]SalmonProps!$A$2:$AA$10001,MATCH(1,($A20=[2]SalmonProps!$A$2:$A$10001)*(2=[2]SalmonProps!$C$2:$C$10001)*(1=[2]SalmonProps!$D$2:$D$10001)*("A2" = [2]SalmonProps!$B$2:$B$10001)*($AP20 = [2]SalmonProps!$F$2:$F$10001) *($AR20 = [2]SalmonProps!$G$2:$G$10001),0), 18))</f>
        <v>NA</v>
      </c>
      <c r="Y20" s="168" t="str" cm="1">
        <f t="array" ref="Y20">IF(ISBLANK($AQ20), "", INDEX([2]SalmonProps!$A$2:$AA$10001,MATCH(1,($A20=[2]SalmonProps!$A$2:$A$10001)*(3=[2]SalmonProps!$C$2:$C$10001)*(1=[2]SalmonProps!$D$2:$D$10001)*("A2" = [2]SalmonProps!$B$2:$B$10001)*($AP20 = [2]SalmonProps!$F$2:$F$10001) *($AR20 = [2]SalmonProps!$G$2:$G$10001),0), 18))</f>
        <v>NA</v>
      </c>
      <c r="Z20" s="164" cm="1">
        <f t="array" ref="Z20">IF(ISBLANK($AQ20), "", INDEX([2]SalmonProps!$A$2:$AA$10001,MATCH(1,($A20=[2]SalmonProps!$A$2:$A$10001)*(1=[2]SalmonProps!$C$2:$C$10001)*(1=[2]SalmonProps!$D$2:$D$10001)*("A1" = [2]SalmonProps!$B$2:$B$10001)*($AP20 = [2]SalmonProps!$F$2:$F$10001) *($AR20 = [2]SalmonProps!$G$2:$G$10001),0), 15))</f>
        <v>3.2899999999999999E-2</v>
      </c>
      <c r="AA20" s="165" cm="1">
        <f t="array" ref="AA20">IF(ISBLANK($AQ20), "", INDEX([2]SalmonProps!$A$2:$AA$10001,MATCH(1,($A20=[2]SalmonProps!$A$2:$A$10001)*(1=[2]SalmonProps!$C$2:$C$10001)*(2=[2]SalmonProps!$D$2:$D$10001)*("A1" = [2]SalmonProps!$B$2:$B$10001)*($AP20 = [2]SalmonProps!$F$2:$F$10001) *($AR20 = [2]SalmonProps!$G$2:$G$10001),0), 15))</f>
        <v>6.1199999999999997E-2</v>
      </c>
      <c r="AB20" s="165" cm="1">
        <f t="array" ref="AB20">IF(ISBLANK($AQ20), "", INDEX([2]SalmonProps!$A$2:$AA$10001,MATCH(1,($A20=[2]SalmonProps!$A$2:$A$10001)*(1=[2]SalmonProps!$C$2:$C$10001)*("1&amp;2"=[2]SalmonProps!$D$2:$D$10001)*("A1" = [2]SalmonProps!$B$2:$B$10001)*($AP20 = [2]SalmonProps!$F$2:$F$10001) *($AR20 = [2]SalmonProps!$G$2:$G$10001),0), 15))</f>
        <v>5.1900000000000002E-2</v>
      </c>
      <c r="AC20" s="165" cm="1">
        <f t="array" ref="AC20">IF(ISBLANK($AQ20), "", INDEX([2]SalmonProps!$A$2:$AA$10001,MATCH(1,($A20=[2]SalmonProps!$A$2:$A$10001)*(2=[2]SalmonProps!$C$2:$C$10001)*(3=[2]SalmonProps!$D$2:$D$10001)*("A1" = [2]SalmonProps!$B$2:$B$10001)*($AP20 = [2]SalmonProps!$F$2:$F$10001) *($AR20 = [2]SalmonProps!$G$2:$G$10001),0), 15))</f>
        <v>0.28510000000000002</v>
      </c>
      <c r="AD20" s="181" cm="1">
        <f t="array" ref="AD20">IF(ISBLANK($AQ20), "", INDEX([2]SalmonProps!$A$2:$AA$10001,MATCH(1,($A20=[2]SalmonProps!$A$2:$A$10001)*(3=[2]SalmonProps!$C$2:$C$10001)*(3=[2]SalmonProps!$D$2:$D$10001)*("A1" = [2]SalmonProps!$B$2:$B$10001)*($AP20 = [2]SalmonProps!$F$2:$F$10001) *($AR20 = [2]SalmonProps!$G$2:$G$10001),0), 15))</f>
        <v>0.97140000000000004</v>
      </c>
      <c r="AE20" s="166" cm="1">
        <f t="array" ref="AE20">IF(ISBLANK($AQ20), "", INDEX([2]SalmonProps!$A$2:$AA$10001,MATCH(1,($A20=[2]SalmonProps!$A$2:$A$10001)*(1=[2]SalmonProps!$C$2:$C$10001)*(1=[2]SalmonProps!$D$2:$D$10001)*("A2" = [2]SalmonProps!$B$2:$B$10001)*($AP20 = [2]SalmonProps!$F$2:$F$10001) *($AR20 = [2]SalmonProps!$G$2:$G$10001),0), 15))</f>
        <v>1.7000000000000001E-2</v>
      </c>
      <c r="AF20" s="166" cm="1">
        <f t="array" ref="AF20">IF(ISBLANK($AQ20), "", INDEX([2]SalmonProps!$A$2:$AA$10001,MATCH(1,($A20=[2]SalmonProps!$A$2:$A$10001)*(2=[2]SalmonProps!$C$2:$C$10001)*(1=[2]SalmonProps!$D$2:$D$10001)*("A2" = [2]SalmonProps!$B$2:$B$10001)*($AP20 = [2]SalmonProps!$F$2:$F$10001) *($AR20 = [2]SalmonProps!$G$2:$G$10001),0), 15))</f>
        <v>7.9200000000000007E-2</v>
      </c>
      <c r="AG20" s="167" cm="1">
        <f t="array" ref="AG20">IF(ISBLANK($AQ20), "", INDEX([2]SalmonProps!$A$2:$AA$10001,MATCH(1,($A20=[2]SalmonProps!$A$2:$A$10001)*(3=[2]SalmonProps!$C$2:$C$10001)*(1=[2]SalmonProps!$D$2:$D$10001)*("A2" = [2]SalmonProps!$B$2:$B$10001)*($AP20 = [2]SalmonProps!$F$2:$F$10001) *($AR20 = [2]SalmonProps!$G$2:$G$10001),0), 15))</f>
        <v>0.44800000000000001</v>
      </c>
      <c r="AH20" s="173" t="str" cm="1">
        <f t="array" ref="AH20">IF(ISBLANK($AQ20), "", INDEX([2]SalmonProps!$A$2:$AA$10001,MATCH(1,($A20=[2]SalmonProps!$A$2:$A$10001)*($AP20 = [2]SalmonProps!$F$2:$F$10001) *($AR20 = [2]SalmonProps!$G$2:$G$10001),0), 24))</f>
        <v>NA</v>
      </c>
      <c r="AI20" s="183" t="str" cm="1">
        <f t="array" ref="AI20">IF(ISBLANK($AQ20), "", INDEX([2]SalmonProps!$A$2:$AA$10001,MATCH(1,($A20=[2]SalmonProps!$A$2:$A$10001)*($AP20 = [2]SalmonProps!$F$2:$F$10001) *($AR20 = [2]SalmonProps!$G$2:$G$10001),0), 25))</f>
        <v>NA</v>
      </c>
      <c r="AJ20" s="174" cm="1">
        <f t="array" ref="AJ20">IF(ISBLANK($AQ20), "", INDEX([2]SalmonProps!$A$2:$AA$10001,MATCH(1,($A20=[2]SalmonProps!$A$2:$A$10001)*($AP20 = [2]SalmonProps!$F$2:$F$10001) *($AR20 = [2]SalmonProps!$G$2:$G$10001),0), 20))</f>
        <v>59.2</v>
      </c>
      <c r="AK20" s="183" cm="1">
        <f t="array" ref="AK20">IF(ISBLANK($AQ20), "", INDEX([2]SalmonProps!$A$2:$AA$10001,MATCH(1,($A20=[2]SalmonProps!$A$2:$A$10001)*($AP20 = [2]SalmonProps!$F$2:$F$10001) *($AR20 = [2]SalmonProps!$G$2:$G$10001),0), 21))</f>
        <v>4.8</v>
      </c>
      <c r="AL20" s="174" cm="1">
        <f t="array" ref="AL20">IF(ISBLANK($AQ20), "", INDEX([2]SalmonProps!$A$2:$AA$10001,MATCH(1,($A20=[2]SalmonProps!$A$2:$A$10001)*($AP20 = [2]SalmonProps!$F$2:$F$10001) *($AR20 = [2]SalmonProps!$G$2:$G$10001),0), 22))</f>
        <v>72.8</v>
      </c>
      <c r="AM20" s="183" cm="1">
        <f t="array" ref="AM20">IF(ISBLANK($AQ20), "", INDEX([2]SalmonProps!$A$2:$AA$10001,MATCH(1,($A20=[2]SalmonProps!$A$2:$A$10001)*($AP20 = [2]SalmonProps!$F$2:$F$10001) *($AR20 = [2]SalmonProps!$G$2:$G$10001),0), 23))</f>
        <v>7.4</v>
      </c>
      <c r="AN20" s="174" t="str" cm="1">
        <f t="array" ref="AN20">IF(ISBLANK($AQ20), "", INDEX([2]SalmonProps!$A$2:$AA$10001,MATCH(1,($A20=[2]SalmonProps!$A$2:$A$10001)*($AP20 = [2]SalmonProps!$F$2:$F$10001) *($AR20 = [2]SalmonProps!$G$2:$G$10001),0), 26))</f>
        <v>NA</v>
      </c>
      <c r="AO20" s="175" t="str" cm="1">
        <f t="array" ref="AO20">IF(ISBLANK($AQ20), "", INDEX([2]SalmonProps!$A$2:$AA$10001,MATCH(1,($A20=[2]SalmonProps!$A$2:$A$10001)*($AP20 = [2]SalmonProps!$F$2:$F$10001) *($AR20 = [2]SalmonProps!$G$2:$G$10001),0), 27))</f>
        <v>NA</v>
      </c>
      <c r="AP20" s="112">
        <v>3</v>
      </c>
      <c r="AQ20" s="112" t="s">
        <v>133</v>
      </c>
      <c r="AR20" s="112" t="str">
        <f t="shared" ref="AR20:AR73" si="1">INDEX($AT$2:$AU$5, MATCH(AQ20,$AT$2:$AT$5, 0), 2)</f>
        <v>Unweighted</v>
      </c>
    </row>
    <row r="21" spans="1:44" x14ac:dyDescent="0.3">
      <c r="A21" s="20">
        <f>'[1]Passage Estimates'!$A21</f>
        <v>45123</v>
      </c>
      <c r="B21" s="164" cm="1">
        <f t="array" ref="B21">IF(ISBLANK($AQ21), "", INDEX([2]SalmonProps!$A$2:$AA$10001,MATCH(1,($A21=[2]SalmonProps!$A$2:$A$10001)*(1=[2]SalmonProps!$C$2:$C$10001)*(1=[2]SalmonProps!$D$2:$D$10001)*("A1" = [2]SalmonProps!$B$2:$B$10001)*($AP21 = [2]SalmonProps!$F$2:$F$10001) *($AR21 = [2]SalmonProps!$G$2:$G$10001),0), 17))</f>
        <v>7.7999999999999996E-3</v>
      </c>
      <c r="C21" s="165" cm="1">
        <f t="array" ref="C21">IF(ISBLANK($AQ21), "", INDEX([2]SalmonProps!$A$2:$AA$10001,MATCH(1,($A21=[2]SalmonProps!$A$2:$A$10001)*(1=[2]SalmonProps!$C$2:$C$10001)*(2=[2]SalmonProps!$D$2:$D$10001)*("A1" = [2]SalmonProps!$B$2:$B$10001)*($AP21 = [2]SalmonProps!$F$2:$F$10001) *($AR21 = [2]SalmonProps!$G$2:$G$10001),0), 17))</f>
        <v>0</v>
      </c>
      <c r="D21" s="165" cm="1">
        <f t="array" ref="D21">IF(ISBLANK($AQ21), "", INDEX([2]SalmonProps!$A$2:$AA$10001,MATCH(1,($A21=[2]SalmonProps!$A$2:$A$10001)*(1=[2]SalmonProps!$C$2:$C$10001)*("1&amp;2"=[2]SalmonProps!$D$2:$D$10001)*("A1" = [2]SalmonProps!$B$2:$B$10001)*($AP21 = [2]SalmonProps!$F$2:$F$10001) *($AR21 = [2]SalmonProps!$G$2:$G$10001),0), 17))</f>
        <v>2.8E-3</v>
      </c>
      <c r="E21" s="181" cm="1">
        <f t="array" ref="E21">IF(ISBLANK($AQ21), "", INDEX([2]SalmonProps!$A$2:$AA$10001,MATCH(1,($A21=[2]SalmonProps!$A$2:$A$10001)*(2=[2]SalmonProps!$C$2:$C$10001)*(3=[2]SalmonProps!$D$2:$D$10001)*("A1" = [2]SalmonProps!$B$2:$B$10001)*($AP21 = [2]SalmonProps!$F$2:$F$10001) *($AR21 = [2]SalmonProps!$G$2:$G$10001),0), 17))</f>
        <v>9.1800000000000007E-2</v>
      </c>
      <c r="F21" s="165" cm="1">
        <f t="array" ref="F21">IF(ISBLANK($AQ21), "", INDEX([2]SalmonProps!$A$2:$AA$10001,MATCH(1,($A21=[2]SalmonProps!$A$2:$A$10001)*(3=[2]SalmonProps!$C$2:$C$10001)*(3=[2]SalmonProps!$D$2:$D$10001)*("A1" = [2]SalmonProps!$B$2:$B$10001)*($AP21 = [2]SalmonProps!$F$2:$F$10001) *($AR21 = [2]SalmonProps!$G$2:$G$10001),0), 17))</f>
        <v>0.32990000000000003</v>
      </c>
      <c r="G21" s="165" cm="1">
        <f t="array" ref="G21">IF(ISBLANK($AQ21), "", INDEX([2]SalmonProps!$A$2:$AA$10001,MATCH(1,($A21=[2]SalmonProps!$A$2:$A$10001)*(1=[2]SalmonProps!$C$2:$C$10001)*(1=[2]SalmonProps!$D$2:$D$10001)*("A2" = [2]SalmonProps!$B$2:$B$10001)*($AP21 = [2]SalmonProps!$F$2:$F$10001) *($AR21 = [2]SalmonProps!$G$2:$G$10001),0), 17))</f>
        <v>0</v>
      </c>
      <c r="H21" s="166" cm="1">
        <f t="array" ref="H21">IF(ISBLANK($AQ21), "", INDEX([2]SalmonProps!$A$2:$AA$10001,MATCH(1,($A21=[2]SalmonProps!$A$2:$A$10001)*(2=[2]SalmonProps!$C$2:$C$10001)*(1=[2]SalmonProps!$D$2:$D$10001)*("A2" = [2]SalmonProps!$B$2:$B$10001)*($AP21 = [2]SalmonProps!$F$2:$F$10001) *($AR21 = [2]SalmonProps!$G$2:$G$10001),0), 17))</f>
        <v>1.9E-2</v>
      </c>
      <c r="I21" s="167" cm="1">
        <f t="array" ref="I21">IF(ISBLANK($AQ21), "", INDEX([2]SalmonProps!$A$2:$AA$10001,MATCH(1,($A21=[2]SalmonProps!$A$2:$A$10001)*(3=[2]SalmonProps!$C$2:$C$10001)*(1=[2]SalmonProps!$D$2:$D$10001)*("A2" = [2]SalmonProps!$B$2:$B$10001)*($AP21 = [2]SalmonProps!$F$2:$F$10001) *($AR21 = [2]SalmonProps!$G$2:$G$10001),0), 17))</f>
        <v>7.1400000000000005E-2</v>
      </c>
      <c r="J21" s="164" t="str" cm="1">
        <f t="array" ref="J21">IF(ISBLANK($AQ21), "", INDEX([2]SalmonProps!$A$2:$AA$10001,MATCH(1,($A21=[2]SalmonProps!$A$2:$A$10001)*(1=[2]SalmonProps!$C$2:$C$10001)*(1=[2]SalmonProps!$D$2:$D$10001)*("A1" = [2]SalmonProps!$B$2:$B$10001)*($AP21 = [2]SalmonProps!$F$2:$F$10001) *($AR21 = [2]SalmonProps!$G$2:$G$10001),0), 19))</f>
        <v>NA</v>
      </c>
      <c r="K21" s="165" t="str" cm="1">
        <f t="array" ref="K21">IF(ISBLANK($AQ21), "", INDEX([2]SalmonProps!$A$2:$AA$10001,MATCH(1,($A21=[2]SalmonProps!$A$2:$A$10001)*(1=[2]SalmonProps!$C$2:$C$10001)*(2=[2]SalmonProps!$D$2:$D$10001)*("A1" = [2]SalmonProps!$B$2:$B$10001)*($AP21 = [2]SalmonProps!$F$2:$F$10001) *($AR21 = [2]SalmonProps!$G$2:$G$10001),0), 19))</f>
        <v>NA</v>
      </c>
      <c r="L21" s="165" t="str" cm="1">
        <f t="array" ref="L21">IF(ISBLANK($AQ21), "", INDEX([2]SalmonProps!$A$2:$AA$10001,MATCH(1,($A21=[2]SalmonProps!$A$2:$A$10001)*(1=[2]SalmonProps!$C$2:$C$10001)*("1&amp;2"=[2]SalmonProps!$D$2:$D$10001)*("A1" = [2]SalmonProps!$B$2:$B$10001)*($AP21 = [2]SalmonProps!$F$2:$F$10001) *($AR21 = [2]SalmonProps!$G$2:$G$10001),0), 19))</f>
        <v>NA</v>
      </c>
      <c r="M21" s="165" t="str" cm="1">
        <f t="array" ref="M21">IF(ISBLANK($AQ21), "", INDEX([2]SalmonProps!$A$2:$AA$10001,MATCH(1,($A21=[2]SalmonProps!$A$2:$A$10001)*(2=[2]SalmonProps!$C$2:$C$10001)*(3=[2]SalmonProps!$D$2:$D$10001)*("A1" = [2]SalmonProps!$B$2:$B$10001)*($AP21 = [2]SalmonProps!$F$2:$F$10001) *($AR21 = [2]SalmonProps!$G$2:$G$10001),0), 19))</f>
        <v>NA</v>
      </c>
      <c r="N21" s="181" t="str" cm="1">
        <f t="array" ref="N21">IF(ISBLANK($AQ21), "", INDEX([2]SalmonProps!$A$2:$AA$10001,MATCH(1,($A21=[2]SalmonProps!$A$2:$A$10001)*(3=[2]SalmonProps!$C$2:$C$10001)*(3=[2]SalmonProps!$D$2:$D$10001)*("A1" = [2]SalmonProps!$B$2:$B$10001)*($AP21 = [2]SalmonProps!$F$2:$F$10001) *($AR21 = [2]SalmonProps!$G$2:$G$10001),0), 19))</f>
        <v>NA</v>
      </c>
      <c r="O21" s="165" t="str" cm="1">
        <f t="array" ref="O21">IF(ISBLANK($AQ21), "", INDEX([2]SalmonProps!$A$2:$AA$10001,MATCH(1,($A21=[2]SalmonProps!$A$2:$A$10001)*(1=[2]SalmonProps!$C$2:$C$10001)*(1=[2]SalmonProps!$D$2:$D$10001)*("A2" = [2]SalmonProps!$B$2:$B$10001)*($AP21 = [2]SalmonProps!$F$2:$F$10001) *($AR21 = [2]SalmonProps!$G$2:$G$10001),0), 19))</f>
        <v>NA</v>
      </c>
      <c r="P21" s="165" t="str" cm="1">
        <f t="array" ref="P21">IF(ISBLANK($AQ21), "", INDEX([2]SalmonProps!$A$2:$AA$10001,MATCH(1,($A21=[2]SalmonProps!$A$2:$A$10001)*(2=[2]SalmonProps!$C$2:$C$10001)*(1=[2]SalmonProps!$D$2:$D$10001)*("A2" = [2]SalmonProps!$B$2:$B$10001)*($AP21 = [2]SalmonProps!$F$2:$F$10001) *($AR21 = [2]SalmonProps!$G$2:$G$10001),0), 19))</f>
        <v>NA</v>
      </c>
      <c r="Q21" s="168" t="str" cm="1">
        <f t="array" ref="Q21">IF(ISBLANK($AQ21), "", INDEX([2]SalmonProps!$A$2:$AA$10001,MATCH(1,($A21=[2]SalmonProps!$A$2:$A$10001)*(3=[2]SalmonProps!$C$2:$C$10001)*(1=[2]SalmonProps!$D$2:$D$10001)*("A2" = [2]SalmonProps!$B$2:$B$10001)*($AP21 = [2]SalmonProps!$F$2:$F$10001) *($AR21 = [2]SalmonProps!$G$2:$G$10001),0), 19))</f>
        <v>NA</v>
      </c>
      <c r="R21" s="164" t="str" cm="1">
        <f t="array" ref="R21">IF(ISBLANK($AQ21), "", INDEX([2]SalmonProps!$A$2:$AA$10001,MATCH(1,($A21=[2]SalmonProps!$A$2:$A$10001)*(1=[2]SalmonProps!$C$2:$C$10001)*(1=[2]SalmonProps!$D$2:$D$10001)*("A1" = [2]SalmonProps!$B$2:$B$10001)*($AP21 = [2]SalmonProps!$F$2:$F$10001) *($AR21 = [2]SalmonProps!$G$2:$G$10001),0), 18))</f>
        <v>NA</v>
      </c>
      <c r="S21" s="165" t="str" cm="1">
        <f t="array" ref="S21">IF(ISBLANK($AQ21), "", INDEX([2]SalmonProps!$A$2:$AA$10001,MATCH(1,($A21=[2]SalmonProps!$A$2:$A$10001)*(1=[2]SalmonProps!$C$2:$C$10001)*(2=[2]SalmonProps!$D$2:$D$10001)*("A1" = [2]SalmonProps!$B$2:$B$10001)*($AP21 = [2]SalmonProps!$F$2:$F$10001) *($AR21 = [2]SalmonProps!$G$2:$G$10001),0), 18))</f>
        <v>NA</v>
      </c>
      <c r="T21" s="165" t="str" cm="1">
        <f t="array" ref="T21">IF(ISBLANK($AQ21), "", INDEX([2]SalmonProps!$A$2:$AA$10001,MATCH(1,($A21=[2]SalmonProps!$A$2:$A$10001)*(1=[2]SalmonProps!$C$2:$C$10001)*("1&amp;2"=[2]SalmonProps!$D$2:$D$10001)*("A1" = [2]SalmonProps!$B$2:$B$10001)*($AP21 = [2]SalmonProps!$F$2:$F$10001) *($AR21 = [2]SalmonProps!$G$2:$G$10001),0), 18))</f>
        <v>NA</v>
      </c>
      <c r="U21" s="165" t="str" cm="1">
        <f t="array" ref="U21">IF(ISBLANK($AQ21), "", INDEX([2]SalmonProps!$A$2:$AA$10001,MATCH(1,($A21=[2]SalmonProps!$A$2:$A$10001)*(2=[2]SalmonProps!$C$2:$C$10001)*(3=[2]SalmonProps!$D$2:$D$10001)*("A1" = [2]SalmonProps!$B$2:$B$10001)*($AP21 = [2]SalmonProps!$F$2:$F$10001) *($AR21 = [2]SalmonProps!$G$2:$G$10001),0), 18))</f>
        <v>NA</v>
      </c>
      <c r="V21" s="181" t="str" cm="1">
        <f t="array" ref="V21">IF(ISBLANK($AQ21), "", INDEX([2]SalmonProps!$A$2:$AA$10001,MATCH(1,($A21=[2]SalmonProps!$A$2:$A$10001)*(3=[2]SalmonProps!$C$2:$C$10001)*(3=[2]SalmonProps!$D$2:$D$10001)*("A1" = [2]SalmonProps!$B$2:$B$10001)*($AP21 = [2]SalmonProps!$F$2:$F$10001) *($AR21 = [2]SalmonProps!$G$2:$G$10001),0), 18))</f>
        <v>NA</v>
      </c>
      <c r="W21" s="180" t="str" cm="1">
        <f t="array" ref="W21">IF(ISBLANK($AQ21), "", INDEX([2]SalmonProps!$A$2:$AA$10001,MATCH(1,($A21=[2]SalmonProps!$A$2:$A$10001)*(1=[2]SalmonProps!$C$2:$C$10001)*(1=[2]SalmonProps!$D$2:$D$10001)*("A2" = [2]SalmonProps!$B$2:$B$10001)*($AP21 = [2]SalmonProps!$F$2:$F$10001) *($AR21 = [2]SalmonProps!$G$2:$G$10001),0), 18))</f>
        <v>NA</v>
      </c>
      <c r="X21" s="165" t="str" cm="1">
        <f t="array" ref="X21">IF(ISBLANK($AQ21), "", INDEX([2]SalmonProps!$A$2:$AA$10001,MATCH(1,($A21=[2]SalmonProps!$A$2:$A$10001)*(2=[2]SalmonProps!$C$2:$C$10001)*(1=[2]SalmonProps!$D$2:$D$10001)*("A2" = [2]SalmonProps!$B$2:$B$10001)*($AP21 = [2]SalmonProps!$F$2:$F$10001) *($AR21 = [2]SalmonProps!$G$2:$G$10001),0), 18))</f>
        <v>NA</v>
      </c>
      <c r="Y21" s="168" t="str" cm="1">
        <f t="array" ref="Y21">IF(ISBLANK($AQ21), "", INDEX([2]SalmonProps!$A$2:$AA$10001,MATCH(1,($A21=[2]SalmonProps!$A$2:$A$10001)*(3=[2]SalmonProps!$C$2:$C$10001)*(1=[2]SalmonProps!$D$2:$D$10001)*("A2" = [2]SalmonProps!$B$2:$B$10001)*($AP21 = [2]SalmonProps!$F$2:$F$10001) *($AR21 = [2]SalmonProps!$G$2:$G$10001),0), 18))</f>
        <v>NA</v>
      </c>
      <c r="Z21" s="164" cm="1">
        <f t="array" ref="Z21">IF(ISBLANK($AQ21), "", INDEX([2]SalmonProps!$A$2:$AA$10001,MATCH(1,($A21=[2]SalmonProps!$A$2:$A$10001)*(1=[2]SalmonProps!$C$2:$C$10001)*(1=[2]SalmonProps!$D$2:$D$10001)*("A1" = [2]SalmonProps!$B$2:$B$10001)*($AP21 = [2]SalmonProps!$F$2:$F$10001) *($AR21 = [2]SalmonProps!$G$2:$G$10001),0), 15))</f>
        <v>6.9599999999999995E-2</v>
      </c>
      <c r="AA21" s="165" cm="1">
        <f t="array" ref="AA21">IF(ISBLANK($AQ21), "", INDEX([2]SalmonProps!$A$2:$AA$10001,MATCH(1,($A21=[2]SalmonProps!$A$2:$A$10001)*(1=[2]SalmonProps!$C$2:$C$10001)*(2=[2]SalmonProps!$D$2:$D$10001)*("A1" = [2]SalmonProps!$B$2:$B$10001)*($AP21 = [2]SalmonProps!$F$2:$F$10001) *($AR21 = [2]SalmonProps!$G$2:$G$10001),0), 15))</f>
        <v>4.4699999999999997E-2</v>
      </c>
      <c r="AB21" s="165" cm="1">
        <f t="array" ref="AB21">IF(ISBLANK($AQ21), "", INDEX([2]SalmonProps!$A$2:$AA$10001,MATCH(1,($A21=[2]SalmonProps!$A$2:$A$10001)*(1=[2]SalmonProps!$C$2:$C$10001)*("1&amp;2"=[2]SalmonProps!$D$2:$D$10001)*("A1" = [2]SalmonProps!$B$2:$B$10001)*($AP21 = [2]SalmonProps!$F$2:$F$10001) *($AR21 = [2]SalmonProps!$G$2:$G$10001),0), 15))</f>
        <v>4.6600000000000003E-2</v>
      </c>
      <c r="AC21" s="165" cm="1">
        <f t="array" ref="AC21">IF(ISBLANK($AQ21), "", INDEX([2]SalmonProps!$A$2:$AA$10001,MATCH(1,($A21=[2]SalmonProps!$A$2:$A$10001)*(2=[2]SalmonProps!$C$2:$C$10001)*(3=[2]SalmonProps!$D$2:$D$10001)*("A1" = [2]SalmonProps!$B$2:$B$10001)*($AP21 = [2]SalmonProps!$F$2:$F$10001) *($AR21 = [2]SalmonProps!$G$2:$G$10001),0), 15))</f>
        <v>0.23019999999999999</v>
      </c>
      <c r="AD21" s="181" cm="1">
        <f t="array" ref="AD21">IF(ISBLANK($AQ21), "", INDEX([2]SalmonProps!$A$2:$AA$10001,MATCH(1,($A21=[2]SalmonProps!$A$2:$A$10001)*(3=[2]SalmonProps!$C$2:$C$10001)*(3=[2]SalmonProps!$D$2:$D$10001)*("A1" = [2]SalmonProps!$B$2:$B$10001)*($AP21 = [2]SalmonProps!$F$2:$F$10001) *($AR21 = [2]SalmonProps!$G$2:$G$10001),0), 15))</f>
        <v>0.67749999999999999</v>
      </c>
      <c r="AE21" s="166" cm="1">
        <f t="array" ref="AE21">IF(ISBLANK($AQ21), "", INDEX([2]SalmonProps!$A$2:$AA$10001,MATCH(1,($A21=[2]SalmonProps!$A$2:$A$10001)*(1=[2]SalmonProps!$C$2:$C$10001)*(1=[2]SalmonProps!$D$2:$D$10001)*("A2" = [2]SalmonProps!$B$2:$B$10001)*($AP21 = [2]SalmonProps!$F$2:$F$10001) *($AR21 = [2]SalmonProps!$G$2:$G$10001),0), 15))</f>
        <v>2.4500000000000001E-2</v>
      </c>
      <c r="AF21" s="166" cm="1">
        <f t="array" ref="AF21">IF(ISBLANK($AQ21), "", INDEX([2]SalmonProps!$A$2:$AA$10001,MATCH(1,($A21=[2]SalmonProps!$A$2:$A$10001)*(2=[2]SalmonProps!$C$2:$C$10001)*(1=[2]SalmonProps!$D$2:$D$10001)*("A2" = [2]SalmonProps!$B$2:$B$10001)*($AP21 = [2]SalmonProps!$F$2:$F$10001) *($AR21 = [2]SalmonProps!$G$2:$G$10001),0), 15))</f>
        <v>0.13880000000000001</v>
      </c>
      <c r="AG21" s="167" cm="1">
        <f t="array" ref="AG21">IF(ISBLANK($AQ21), "", INDEX([2]SalmonProps!$A$2:$AA$10001,MATCH(1,($A21=[2]SalmonProps!$A$2:$A$10001)*(3=[2]SalmonProps!$C$2:$C$10001)*(1=[2]SalmonProps!$D$2:$D$10001)*("A2" = [2]SalmonProps!$B$2:$B$10001)*($AP21 = [2]SalmonProps!$F$2:$F$10001) *($AR21 = [2]SalmonProps!$G$2:$G$10001),0), 15))</f>
        <v>0.16520000000000001</v>
      </c>
      <c r="AH21" s="173" t="str" cm="1">
        <f t="array" ref="AH21">IF(ISBLANK($AQ21), "", INDEX([2]SalmonProps!$A$2:$AA$10001,MATCH(1,($A21=[2]SalmonProps!$A$2:$A$10001)*($AP21 = [2]SalmonProps!$F$2:$F$10001) *($AR21 = [2]SalmonProps!$G$2:$G$10001),0), 24))</f>
        <v>NA</v>
      </c>
      <c r="AI21" s="183" t="str" cm="1">
        <f t="array" ref="AI21">IF(ISBLANK($AQ21), "", INDEX([2]SalmonProps!$A$2:$AA$10001,MATCH(1,($A21=[2]SalmonProps!$A$2:$A$10001)*($AP21 = [2]SalmonProps!$F$2:$F$10001) *($AR21 = [2]SalmonProps!$G$2:$G$10001),0), 25))</f>
        <v>NA</v>
      </c>
      <c r="AJ21" s="174" cm="1">
        <f t="array" ref="AJ21">IF(ISBLANK($AQ21), "", INDEX([2]SalmonProps!$A$2:$AA$10001,MATCH(1,($A21=[2]SalmonProps!$A$2:$A$10001)*($AP21 = [2]SalmonProps!$F$2:$F$10001) *($AR21 = [2]SalmonProps!$G$2:$G$10001),0), 20))</f>
        <v>59.2</v>
      </c>
      <c r="AK21" s="183" cm="1">
        <f t="array" ref="AK21">IF(ISBLANK($AQ21), "", INDEX([2]SalmonProps!$A$2:$AA$10001,MATCH(1,($A21=[2]SalmonProps!$A$2:$A$10001)*($AP21 = [2]SalmonProps!$F$2:$F$10001) *($AR21 = [2]SalmonProps!$G$2:$G$10001),0), 21))</f>
        <v>4.8</v>
      </c>
      <c r="AL21" s="174" cm="1">
        <f t="array" ref="AL21">IF(ISBLANK($AQ21), "", INDEX([2]SalmonProps!$A$2:$AA$10001,MATCH(1,($A21=[2]SalmonProps!$A$2:$A$10001)*($AP21 = [2]SalmonProps!$F$2:$F$10001) *($AR21 = [2]SalmonProps!$G$2:$G$10001),0), 22))</f>
        <v>72.8</v>
      </c>
      <c r="AM21" s="183" cm="1">
        <f t="array" ref="AM21">IF(ISBLANK($AQ21), "", INDEX([2]SalmonProps!$A$2:$AA$10001,MATCH(1,($A21=[2]SalmonProps!$A$2:$A$10001)*($AP21 = [2]SalmonProps!$F$2:$F$10001) *($AR21 = [2]SalmonProps!$G$2:$G$10001),0), 23))</f>
        <v>7.4</v>
      </c>
      <c r="AN21" s="174" t="str" cm="1">
        <f t="array" ref="AN21">IF(ISBLANK($AQ21), "", INDEX([2]SalmonProps!$A$2:$AA$10001,MATCH(1,($A21=[2]SalmonProps!$A$2:$A$10001)*($AP21 = [2]SalmonProps!$F$2:$F$10001) *($AR21 = [2]SalmonProps!$G$2:$G$10001),0), 26))</f>
        <v>NA</v>
      </c>
      <c r="AO21" s="175" t="str" cm="1">
        <f t="array" ref="AO21">IF(ISBLANK($AQ21), "", INDEX([2]SalmonProps!$A$2:$AA$10001,MATCH(1,($A21=[2]SalmonProps!$A$2:$A$10001)*($AP21 = [2]SalmonProps!$F$2:$F$10001) *($AR21 = [2]SalmonProps!$G$2:$G$10001),0), 27))</f>
        <v>NA</v>
      </c>
      <c r="AP21" s="112">
        <v>3</v>
      </c>
      <c r="AQ21" s="112" t="s">
        <v>133</v>
      </c>
      <c r="AR21" s="112" t="str">
        <f t="shared" si="1"/>
        <v>Unweighted</v>
      </c>
    </row>
    <row r="22" spans="1:44" x14ac:dyDescent="0.3">
      <c r="A22" s="20">
        <f>'[1]Passage Estimates'!$A22</f>
        <v>45124</v>
      </c>
      <c r="B22" s="164" cm="1">
        <f t="array" ref="B22">IF(ISBLANK($AQ22), "", INDEX([2]SalmonProps!$A$2:$AA$10001,MATCH(1,($A22=[2]SalmonProps!$A$2:$A$10001)*(1=[2]SalmonProps!$C$2:$C$10001)*(1=[2]SalmonProps!$D$2:$D$10001)*("A1" = [2]SalmonProps!$B$2:$B$10001)*($AP22 = [2]SalmonProps!$F$2:$F$10001) *($AR22 = [2]SalmonProps!$G$2:$G$10001),0), 17))</f>
        <v>8.6E-3</v>
      </c>
      <c r="C22" s="165" cm="1">
        <f t="array" ref="C22">IF(ISBLANK($AQ22), "", INDEX([2]SalmonProps!$A$2:$AA$10001,MATCH(1,($A22=[2]SalmonProps!$A$2:$A$10001)*(1=[2]SalmonProps!$C$2:$C$10001)*(2=[2]SalmonProps!$D$2:$D$10001)*("A1" = [2]SalmonProps!$B$2:$B$10001)*($AP22 = [2]SalmonProps!$F$2:$F$10001) *($AR22 = [2]SalmonProps!$G$2:$G$10001),0), 17))</f>
        <v>0</v>
      </c>
      <c r="D22" s="165" cm="1">
        <f t="array" ref="D22">IF(ISBLANK($AQ22), "", INDEX([2]SalmonProps!$A$2:$AA$10001,MATCH(1,($A22=[2]SalmonProps!$A$2:$A$10001)*(1=[2]SalmonProps!$C$2:$C$10001)*("1&amp;2"=[2]SalmonProps!$D$2:$D$10001)*("A1" = [2]SalmonProps!$B$2:$B$10001)*($AP22 = [2]SalmonProps!$F$2:$F$10001) *($AR22 = [2]SalmonProps!$G$2:$G$10001),0), 17))</f>
        <v>3.5999999999999999E-3</v>
      </c>
      <c r="E22" s="181" cm="1">
        <f t="array" ref="E22">IF(ISBLANK($AQ22), "", INDEX([2]SalmonProps!$A$2:$AA$10001,MATCH(1,($A22=[2]SalmonProps!$A$2:$A$10001)*(2=[2]SalmonProps!$C$2:$C$10001)*(3=[2]SalmonProps!$D$2:$D$10001)*("A1" = [2]SalmonProps!$B$2:$B$10001)*($AP22 = [2]SalmonProps!$F$2:$F$10001) *($AR22 = [2]SalmonProps!$G$2:$G$10001),0), 17))</f>
        <v>0.22639999999999999</v>
      </c>
      <c r="F22" s="165" cm="1">
        <f t="array" ref="F22">IF(ISBLANK($AQ22), "", INDEX([2]SalmonProps!$A$2:$AA$10001,MATCH(1,($A22=[2]SalmonProps!$A$2:$A$10001)*(3=[2]SalmonProps!$C$2:$C$10001)*(3=[2]SalmonProps!$D$2:$D$10001)*("A1" = [2]SalmonProps!$B$2:$B$10001)*($AP22 = [2]SalmonProps!$F$2:$F$10001) *($AR22 = [2]SalmonProps!$G$2:$G$10001),0), 17))</f>
        <v>0.53690000000000004</v>
      </c>
      <c r="G22" s="165" cm="1">
        <f t="array" ref="G22">IF(ISBLANK($AQ22), "", INDEX([2]SalmonProps!$A$2:$AA$10001,MATCH(1,($A22=[2]SalmonProps!$A$2:$A$10001)*(1=[2]SalmonProps!$C$2:$C$10001)*(1=[2]SalmonProps!$D$2:$D$10001)*("A2" = [2]SalmonProps!$B$2:$B$10001)*($AP22 = [2]SalmonProps!$F$2:$F$10001) *($AR22 = [2]SalmonProps!$G$2:$G$10001),0), 17))</f>
        <v>0</v>
      </c>
      <c r="H22" s="166" cm="1">
        <f t="array" ref="H22">IF(ISBLANK($AQ22), "", INDEX([2]SalmonProps!$A$2:$AA$10001,MATCH(1,($A22=[2]SalmonProps!$A$2:$A$10001)*(2=[2]SalmonProps!$C$2:$C$10001)*(1=[2]SalmonProps!$D$2:$D$10001)*("A2" = [2]SalmonProps!$B$2:$B$10001)*($AP22 = [2]SalmonProps!$F$2:$F$10001) *($AR22 = [2]SalmonProps!$G$2:$G$10001),0), 17))</f>
        <v>1.9E-2</v>
      </c>
      <c r="I22" s="167" cm="1">
        <f t="array" ref="I22">IF(ISBLANK($AQ22), "", INDEX([2]SalmonProps!$A$2:$AA$10001,MATCH(1,($A22=[2]SalmonProps!$A$2:$A$10001)*(3=[2]SalmonProps!$C$2:$C$10001)*(1=[2]SalmonProps!$D$2:$D$10001)*("A2" = [2]SalmonProps!$B$2:$B$10001)*($AP22 = [2]SalmonProps!$F$2:$F$10001) *($AR22 = [2]SalmonProps!$G$2:$G$10001),0), 17))</f>
        <v>7.1400000000000005E-2</v>
      </c>
      <c r="J22" s="164" t="str" cm="1">
        <f t="array" ref="J22">IF(ISBLANK($AQ22), "", INDEX([2]SalmonProps!$A$2:$AA$10001,MATCH(1,($A22=[2]SalmonProps!$A$2:$A$10001)*(1=[2]SalmonProps!$C$2:$C$10001)*(1=[2]SalmonProps!$D$2:$D$10001)*("A1" = [2]SalmonProps!$B$2:$B$10001)*($AP22 = [2]SalmonProps!$F$2:$F$10001) *($AR22 = [2]SalmonProps!$G$2:$G$10001),0), 19))</f>
        <v>NA</v>
      </c>
      <c r="K22" s="165" t="str" cm="1">
        <f t="array" ref="K22">IF(ISBLANK($AQ22), "", INDEX([2]SalmonProps!$A$2:$AA$10001,MATCH(1,($A22=[2]SalmonProps!$A$2:$A$10001)*(1=[2]SalmonProps!$C$2:$C$10001)*(2=[2]SalmonProps!$D$2:$D$10001)*("A1" = [2]SalmonProps!$B$2:$B$10001)*($AP22 = [2]SalmonProps!$F$2:$F$10001) *($AR22 = [2]SalmonProps!$G$2:$G$10001),0), 19))</f>
        <v>NA</v>
      </c>
      <c r="L22" s="165" t="str" cm="1">
        <f t="array" ref="L22">IF(ISBLANK($AQ22), "", INDEX([2]SalmonProps!$A$2:$AA$10001,MATCH(1,($A22=[2]SalmonProps!$A$2:$A$10001)*(1=[2]SalmonProps!$C$2:$C$10001)*("1&amp;2"=[2]SalmonProps!$D$2:$D$10001)*("A1" = [2]SalmonProps!$B$2:$B$10001)*($AP22 = [2]SalmonProps!$F$2:$F$10001) *($AR22 = [2]SalmonProps!$G$2:$G$10001),0), 19))</f>
        <v>NA</v>
      </c>
      <c r="M22" s="165" t="str" cm="1">
        <f t="array" ref="M22">IF(ISBLANK($AQ22), "", INDEX([2]SalmonProps!$A$2:$AA$10001,MATCH(1,($A22=[2]SalmonProps!$A$2:$A$10001)*(2=[2]SalmonProps!$C$2:$C$10001)*(3=[2]SalmonProps!$D$2:$D$10001)*("A1" = [2]SalmonProps!$B$2:$B$10001)*($AP22 = [2]SalmonProps!$F$2:$F$10001) *($AR22 = [2]SalmonProps!$G$2:$G$10001),0), 19))</f>
        <v>NA</v>
      </c>
      <c r="N22" s="181" t="str" cm="1">
        <f t="array" ref="N22">IF(ISBLANK($AQ22), "", INDEX([2]SalmonProps!$A$2:$AA$10001,MATCH(1,($A22=[2]SalmonProps!$A$2:$A$10001)*(3=[2]SalmonProps!$C$2:$C$10001)*(3=[2]SalmonProps!$D$2:$D$10001)*("A1" = [2]SalmonProps!$B$2:$B$10001)*($AP22 = [2]SalmonProps!$F$2:$F$10001) *($AR22 = [2]SalmonProps!$G$2:$G$10001),0), 19))</f>
        <v>NA</v>
      </c>
      <c r="O22" s="165" t="str" cm="1">
        <f t="array" ref="O22">IF(ISBLANK($AQ22), "", INDEX([2]SalmonProps!$A$2:$AA$10001,MATCH(1,($A22=[2]SalmonProps!$A$2:$A$10001)*(1=[2]SalmonProps!$C$2:$C$10001)*(1=[2]SalmonProps!$D$2:$D$10001)*("A2" = [2]SalmonProps!$B$2:$B$10001)*($AP22 = [2]SalmonProps!$F$2:$F$10001) *($AR22 = [2]SalmonProps!$G$2:$G$10001),0), 19))</f>
        <v>NA</v>
      </c>
      <c r="P22" s="165" t="str" cm="1">
        <f t="array" ref="P22">IF(ISBLANK($AQ22), "", INDEX([2]SalmonProps!$A$2:$AA$10001,MATCH(1,($A22=[2]SalmonProps!$A$2:$A$10001)*(2=[2]SalmonProps!$C$2:$C$10001)*(1=[2]SalmonProps!$D$2:$D$10001)*("A2" = [2]SalmonProps!$B$2:$B$10001)*($AP22 = [2]SalmonProps!$F$2:$F$10001) *($AR22 = [2]SalmonProps!$G$2:$G$10001),0), 19))</f>
        <v>NA</v>
      </c>
      <c r="Q22" s="168" t="str" cm="1">
        <f t="array" ref="Q22">IF(ISBLANK($AQ22), "", INDEX([2]SalmonProps!$A$2:$AA$10001,MATCH(1,($A22=[2]SalmonProps!$A$2:$A$10001)*(3=[2]SalmonProps!$C$2:$C$10001)*(1=[2]SalmonProps!$D$2:$D$10001)*("A2" = [2]SalmonProps!$B$2:$B$10001)*($AP22 = [2]SalmonProps!$F$2:$F$10001) *($AR22 = [2]SalmonProps!$G$2:$G$10001),0), 19))</f>
        <v>NA</v>
      </c>
      <c r="R22" s="164" t="str" cm="1">
        <f t="array" ref="R22">IF(ISBLANK($AQ22), "", INDEX([2]SalmonProps!$A$2:$AA$10001,MATCH(1,($A22=[2]SalmonProps!$A$2:$A$10001)*(1=[2]SalmonProps!$C$2:$C$10001)*(1=[2]SalmonProps!$D$2:$D$10001)*("A1" = [2]SalmonProps!$B$2:$B$10001)*($AP22 = [2]SalmonProps!$F$2:$F$10001) *($AR22 = [2]SalmonProps!$G$2:$G$10001),0), 18))</f>
        <v>NA</v>
      </c>
      <c r="S22" s="165" t="str" cm="1">
        <f t="array" ref="S22">IF(ISBLANK($AQ22), "", INDEX([2]SalmonProps!$A$2:$AA$10001,MATCH(1,($A22=[2]SalmonProps!$A$2:$A$10001)*(1=[2]SalmonProps!$C$2:$C$10001)*(2=[2]SalmonProps!$D$2:$D$10001)*("A1" = [2]SalmonProps!$B$2:$B$10001)*($AP22 = [2]SalmonProps!$F$2:$F$10001) *($AR22 = [2]SalmonProps!$G$2:$G$10001),0), 18))</f>
        <v>NA</v>
      </c>
      <c r="T22" s="165" t="str" cm="1">
        <f t="array" ref="T22">IF(ISBLANK($AQ22), "", INDEX([2]SalmonProps!$A$2:$AA$10001,MATCH(1,($A22=[2]SalmonProps!$A$2:$A$10001)*(1=[2]SalmonProps!$C$2:$C$10001)*("1&amp;2"=[2]SalmonProps!$D$2:$D$10001)*("A1" = [2]SalmonProps!$B$2:$B$10001)*($AP22 = [2]SalmonProps!$F$2:$F$10001) *($AR22 = [2]SalmonProps!$G$2:$G$10001),0), 18))</f>
        <v>NA</v>
      </c>
      <c r="U22" s="165" t="str" cm="1">
        <f t="array" ref="U22">IF(ISBLANK($AQ22), "", INDEX([2]SalmonProps!$A$2:$AA$10001,MATCH(1,($A22=[2]SalmonProps!$A$2:$A$10001)*(2=[2]SalmonProps!$C$2:$C$10001)*(3=[2]SalmonProps!$D$2:$D$10001)*("A1" = [2]SalmonProps!$B$2:$B$10001)*($AP22 = [2]SalmonProps!$F$2:$F$10001) *($AR22 = [2]SalmonProps!$G$2:$G$10001),0), 18))</f>
        <v>NA</v>
      </c>
      <c r="V22" s="181" t="str" cm="1">
        <f t="array" ref="V22">IF(ISBLANK($AQ22), "", INDEX([2]SalmonProps!$A$2:$AA$10001,MATCH(1,($A22=[2]SalmonProps!$A$2:$A$10001)*(3=[2]SalmonProps!$C$2:$C$10001)*(3=[2]SalmonProps!$D$2:$D$10001)*("A1" = [2]SalmonProps!$B$2:$B$10001)*($AP22 = [2]SalmonProps!$F$2:$F$10001) *($AR22 = [2]SalmonProps!$G$2:$G$10001),0), 18))</f>
        <v>NA</v>
      </c>
      <c r="W22" s="180" t="str" cm="1">
        <f t="array" ref="W22">IF(ISBLANK($AQ22), "", INDEX([2]SalmonProps!$A$2:$AA$10001,MATCH(1,($A22=[2]SalmonProps!$A$2:$A$10001)*(1=[2]SalmonProps!$C$2:$C$10001)*(1=[2]SalmonProps!$D$2:$D$10001)*("A2" = [2]SalmonProps!$B$2:$B$10001)*($AP22 = [2]SalmonProps!$F$2:$F$10001) *($AR22 = [2]SalmonProps!$G$2:$G$10001),0), 18))</f>
        <v>NA</v>
      </c>
      <c r="X22" s="165" t="str" cm="1">
        <f t="array" ref="X22">IF(ISBLANK($AQ22), "", INDEX([2]SalmonProps!$A$2:$AA$10001,MATCH(1,($A22=[2]SalmonProps!$A$2:$A$10001)*(2=[2]SalmonProps!$C$2:$C$10001)*(1=[2]SalmonProps!$D$2:$D$10001)*("A2" = [2]SalmonProps!$B$2:$B$10001)*($AP22 = [2]SalmonProps!$F$2:$F$10001) *($AR22 = [2]SalmonProps!$G$2:$G$10001),0), 18))</f>
        <v>NA</v>
      </c>
      <c r="Y22" s="168" t="str" cm="1">
        <f t="array" ref="Y22">IF(ISBLANK($AQ22), "", INDEX([2]SalmonProps!$A$2:$AA$10001,MATCH(1,($A22=[2]SalmonProps!$A$2:$A$10001)*(3=[2]SalmonProps!$C$2:$C$10001)*(1=[2]SalmonProps!$D$2:$D$10001)*("A2" = [2]SalmonProps!$B$2:$B$10001)*($AP22 = [2]SalmonProps!$F$2:$F$10001) *($AR22 = [2]SalmonProps!$G$2:$G$10001),0), 18))</f>
        <v>NA</v>
      </c>
      <c r="Z22" s="164" cm="1">
        <f t="array" ref="Z22">IF(ISBLANK($AQ22), "", INDEX([2]SalmonProps!$A$2:$AA$10001,MATCH(1,($A22=[2]SalmonProps!$A$2:$A$10001)*(1=[2]SalmonProps!$C$2:$C$10001)*(1=[2]SalmonProps!$D$2:$D$10001)*("A1" = [2]SalmonProps!$B$2:$B$10001)*($AP22 = [2]SalmonProps!$F$2:$F$10001) *($AR22 = [2]SalmonProps!$G$2:$G$10001),0), 15))</f>
        <v>2.64E-2</v>
      </c>
      <c r="AA22" s="165" cm="1">
        <f t="array" ref="AA22">IF(ISBLANK($AQ22), "", INDEX([2]SalmonProps!$A$2:$AA$10001,MATCH(1,($A22=[2]SalmonProps!$A$2:$A$10001)*(1=[2]SalmonProps!$C$2:$C$10001)*(2=[2]SalmonProps!$D$2:$D$10001)*("A1" = [2]SalmonProps!$B$2:$B$10001)*($AP22 = [2]SalmonProps!$F$2:$F$10001) *($AR22 = [2]SalmonProps!$G$2:$G$10001),0), 15))</f>
        <v>9.74E-2</v>
      </c>
      <c r="AB22" s="165" cm="1">
        <f t="array" ref="AB22">IF(ISBLANK($AQ22), "", INDEX([2]SalmonProps!$A$2:$AA$10001,MATCH(1,($A22=[2]SalmonProps!$A$2:$A$10001)*(1=[2]SalmonProps!$C$2:$C$10001)*("1&amp;2"=[2]SalmonProps!$D$2:$D$10001)*("A1" = [2]SalmonProps!$B$2:$B$10001)*($AP22 = [2]SalmonProps!$F$2:$F$10001) *($AR22 = [2]SalmonProps!$G$2:$G$10001),0), 15))</f>
        <v>4.8000000000000001E-2</v>
      </c>
      <c r="AC22" s="165" cm="1">
        <f t="array" ref="AC22">IF(ISBLANK($AQ22), "", INDEX([2]SalmonProps!$A$2:$AA$10001,MATCH(1,($A22=[2]SalmonProps!$A$2:$A$10001)*(2=[2]SalmonProps!$C$2:$C$10001)*(3=[2]SalmonProps!$D$2:$D$10001)*("A1" = [2]SalmonProps!$B$2:$B$10001)*($AP22 = [2]SalmonProps!$F$2:$F$10001) *($AR22 = [2]SalmonProps!$G$2:$G$10001),0), 15))</f>
        <v>0.43049999999999999</v>
      </c>
      <c r="AD22" s="181" cm="1">
        <f t="array" ref="AD22">IF(ISBLANK($AQ22), "", INDEX([2]SalmonProps!$A$2:$AA$10001,MATCH(1,($A22=[2]SalmonProps!$A$2:$A$10001)*(3=[2]SalmonProps!$C$2:$C$10001)*(3=[2]SalmonProps!$D$2:$D$10001)*("A1" = [2]SalmonProps!$B$2:$B$10001)*($AP22 = [2]SalmonProps!$F$2:$F$10001) *($AR22 = [2]SalmonProps!$G$2:$G$10001),0), 15))</f>
        <v>0.66959999999999997</v>
      </c>
      <c r="AE22" s="166" cm="1">
        <f t="array" ref="AE22">IF(ISBLANK($AQ22), "", INDEX([2]SalmonProps!$A$2:$AA$10001,MATCH(1,($A22=[2]SalmonProps!$A$2:$A$10001)*(1=[2]SalmonProps!$C$2:$C$10001)*(1=[2]SalmonProps!$D$2:$D$10001)*("A2" = [2]SalmonProps!$B$2:$B$10001)*($AP22 = [2]SalmonProps!$F$2:$F$10001) *($AR22 = [2]SalmonProps!$G$2:$G$10001),0), 15))</f>
        <v>2.4500000000000001E-2</v>
      </c>
      <c r="AF22" s="166" cm="1">
        <f t="array" ref="AF22">IF(ISBLANK($AQ22), "", INDEX([2]SalmonProps!$A$2:$AA$10001,MATCH(1,($A22=[2]SalmonProps!$A$2:$A$10001)*(2=[2]SalmonProps!$C$2:$C$10001)*(1=[2]SalmonProps!$D$2:$D$10001)*("A2" = [2]SalmonProps!$B$2:$B$10001)*($AP22 = [2]SalmonProps!$F$2:$F$10001) *($AR22 = [2]SalmonProps!$G$2:$G$10001),0), 15))</f>
        <v>0.13880000000000001</v>
      </c>
      <c r="AG22" s="167" cm="1">
        <f t="array" ref="AG22">IF(ISBLANK($AQ22), "", INDEX([2]SalmonProps!$A$2:$AA$10001,MATCH(1,($A22=[2]SalmonProps!$A$2:$A$10001)*(3=[2]SalmonProps!$C$2:$C$10001)*(1=[2]SalmonProps!$D$2:$D$10001)*("A2" = [2]SalmonProps!$B$2:$B$10001)*($AP22 = [2]SalmonProps!$F$2:$F$10001) *($AR22 = [2]SalmonProps!$G$2:$G$10001),0), 15))</f>
        <v>0.16520000000000001</v>
      </c>
      <c r="AH22" s="173" t="str" cm="1">
        <f t="array" ref="AH22">IF(ISBLANK($AQ22), "", INDEX([2]SalmonProps!$A$2:$AA$10001,MATCH(1,($A22=[2]SalmonProps!$A$2:$A$10001)*($AP22 = [2]SalmonProps!$F$2:$F$10001) *($AR22 = [2]SalmonProps!$G$2:$G$10001),0), 24))</f>
        <v>NA</v>
      </c>
      <c r="AI22" s="183" t="str" cm="1">
        <f t="array" ref="AI22">IF(ISBLANK($AQ22), "", INDEX([2]SalmonProps!$A$2:$AA$10001,MATCH(1,($A22=[2]SalmonProps!$A$2:$A$10001)*($AP22 = [2]SalmonProps!$F$2:$F$10001) *($AR22 = [2]SalmonProps!$G$2:$G$10001),0), 25))</f>
        <v>NA</v>
      </c>
      <c r="AJ22" s="174" cm="1">
        <f t="array" ref="AJ22">IF(ISBLANK($AQ22), "", INDEX([2]SalmonProps!$A$2:$AA$10001,MATCH(1,($A22=[2]SalmonProps!$A$2:$A$10001)*($AP22 = [2]SalmonProps!$F$2:$F$10001) *($AR22 = [2]SalmonProps!$G$2:$G$10001),0), 20))</f>
        <v>59.5</v>
      </c>
      <c r="AK22" s="183" cm="1">
        <f t="array" ref="AK22">IF(ISBLANK($AQ22), "", INDEX([2]SalmonProps!$A$2:$AA$10001,MATCH(1,($A22=[2]SalmonProps!$A$2:$A$10001)*($AP22 = [2]SalmonProps!$F$2:$F$10001) *($AR22 = [2]SalmonProps!$G$2:$G$10001),0), 21))</f>
        <v>4.8</v>
      </c>
      <c r="AL22" s="174" cm="1">
        <f t="array" ref="AL22">IF(ISBLANK($AQ22), "", INDEX([2]SalmonProps!$A$2:$AA$10001,MATCH(1,($A22=[2]SalmonProps!$A$2:$A$10001)*($AP22 = [2]SalmonProps!$F$2:$F$10001) *($AR22 = [2]SalmonProps!$G$2:$G$10001),0), 22))</f>
        <v>73.900000000000006</v>
      </c>
      <c r="AM22" s="183" cm="1">
        <f t="array" ref="AM22">IF(ISBLANK($AQ22), "", INDEX([2]SalmonProps!$A$2:$AA$10001,MATCH(1,($A22=[2]SalmonProps!$A$2:$A$10001)*($AP22 = [2]SalmonProps!$F$2:$F$10001) *($AR22 = [2]SalmonProps!$G$2:$G$10001),0), 23))</f>
        <v>7.5</v>
      </c>
      <c r="AN22" s="174" t="str" cm="1">
        <f t="array" ref="AN22">IF(ISBLANK($AQ22), "", INDEX([2]SalmonProps!$A$2:$AA$10001,MATCH(1,($A22=[2]SalmonProps!$A$2:$A$10001)*($AP22 = [2]SalmonProps!$F$2:$F$10001) *($AR22 = [2]SalmonProps!$G$2:$G$10001),0), 26))</f>
        <v>NA</v>
      </c>
      <c r="AO22" s="175" t="str" cm="1">
        <f t="array" ref="AO22">IF(ISBLANK($AQ22), "", INDEX([2]SalmonProps!$A$2:$AA$10001,MATCH(1,($A22=[2]SalmonProps!$A$2:$A$10001)*($AP22 = [2]SalmonProps!$F$2:$F$10001) *($AR22 = [2]SalmonProps!$G$2:$G$10001),0), 27))</f>
        <v>NA</v>
      </c>
      <c r="AP22" s="112">
        <v>3</v>
      </c>
      <c r="AQ22" s="112" t="s">
        <v>133</v>
      </c>
      <c r="AR22" s="112" t="str">
        <f t="shared" si="1"/>
        <v>Unweighted</v>
      </c>
    </row>
    <row r="23" spans="1:44" x14ac:dyDescent="0.3">
      <c r="A23" s="20">
        <f>'[1]Passage Estimates'!$A23</f>
        <v>45125</v>
      </c>
      <c r="B23" s="164" cm="1">
        <f t="array" ref="B23">IF(ISBLANK($AQ23), "", INDEX([2]SalmonProps!$A$2:$AA$10001,MATCH(1,($A23=[2]SalmonProps!$A$2:$A$10001)*(1=[2]SalmonProps!$C$2:$C$10001)*(1=[2]SalmonProps!$D$2:$D$10001)*("A1" = [2]SalmonProps!$B$2:$B$10001)*($AP23 = [2]SalmonProps!$F$2:$F$10001) *($AR23 = [2]SalmonProps!$G$2:$G$10001),0), 17))</f>
        <v>2.1499999999999998E-2</v>
      </c>
      <c r="C23" s="165" cm="1">
        <f t="array" ref="C23">IF(ISBLANK($AQ23), "", INDEX([2]SalmonProps!$A$2:$AA$10001,MATCH(1,($A23=[2]SalmonProps!$A$2:$A$10001)*(1=[2]SalmonProps!$C$2:$C$10001)*(2=[2]SalmonProps!$D$2:$D$10001)*("A1" = [2]SalmonProps!$B$2:$B$10001)*($AP23 = [2]SalmonProps!$F$2:$F$10001) *($AR23 = [2]SalmonProps!$G$2:$G$10001),0), 17))</f>
        <v>0</v>
      </c>
      <c r="D23" s="165" cm="1">
        <f t="array" ref="D23">IF(ISBLANK($AQ23), "", INDEX([2]SalmonProps!$A$2:$AA$10001,MATCH(1,($A23=[2]SalmonProps!$A$2:$A$10001)*(1=[2]SalmonProps!$C$2:$C$10001)*("1&amp;2"=[2]SalmonProps!$D$2:$D$10001)*("A1" = [2]SalmonProps!$B$2:$B$10001)*($AP23 = [2]SalmonProps!$F$2:$F$10001) *($AR23 = [2]SalmonProps!$G$2:$G$10001),0), 17))</f>
        <v>9.2999999999999992E-3</v>
      </c>
      <c r="E23" s="181" cm="1">
        <f t="array" ref="E23">IF(ISBLANK($AQ23), "", INDEX([2]SalmonProps!$A$2:$AA$10001,MATCH(1,($A23=[2]SalmonProps!$A$2:$A$10001)*(2=[2]SalmonProps!$C$2:$C$10001)*(3=[2]SalmonProps!$D$2:$D$10001)*("A1" = [2]SalmonProps!$B$2:$B$10001)*($AP23 = [2]SalmonProps!$F$2:$F$10001) *($AR23 = [2]SalmonProps!$G$2:$G$10001),0), 17))</f>
        <v>5.9900000000000002E-2</v>
      </c>
      <c r="F23" s="165" cm="1">
        <f t="array" ref="F23">IF(ISBLANK($AQ23), "", INDEX([2]SalmonProps!$A$2:$AA$10001,MATCH(1,($A23=[2]SalmonProps!$A$2:$A$10001)*(3=[2]SalmonProps!$C$2:$C$10001)*(3=[2]SalmonProps!$D$2:$D$10001)*("A1" = [2]SalmonProps!$B$2:$B$10001)*($AP23 = [2]SalmonProps!$F$2:$F$10001) *($AR23 = [2]SalmonProps!$G$2:$G$10001),0), 17))</f>
        <v>0.2828</v>
      </c>
      <c r="G23" s="165" cm="1">
        <f t="array" ref="G23">IF(ISBLANK($AQ23), "", INDEX([2]SalmonProps!$A$2:$AA$10001,MATCH(1,($A23=[2]SalmonProps!$A$2:$A$10001)*(1=[2]SalmonProps!$C$2:$C$10001)*(1=[2]SalmonProps!$D$2:$D$10001)*("A2" = [2]SalmonProps!$B$2:$B$10001)*($AP23 = [2]SalmonProps!$F$2:$F$10001) *($AR23 = [2]SalmonProps!$G$2:$G$10001),0), 17))</f>
        <v>0</v>
      </c>
      <c r="H23" s="166" cm="1">
        <f t="array" ref="H23">IF(ISBLANK($AQ23), "", INDEX([2]SalmonProps!$A$2:$AA$10001,MATCH(1,($A23=[2]SalmonProps!$A$2:$A$10001)*(2=[2]SalmonProps!$C$2:$C$10001)*(1=[2]SalmonProps!$D$2:$D$10001)*("A2" = [2]SalmonProps!$B$2:$B$10001)*($AP23 = [2]SalmonProps!$F$2:$F$10001) *($AR23 = [2]SalmonProps!$G$2:$G$10001),0), 17))</f>
        <v>7.9299999999999995E-2</v>
      </c>
      <c r="I23" s="167" cm="1">
        <f t="array" ref="I23">IF(ISBLANK($AQ23), "", INDEX([2]SalmonProps!$A$2:$AA$10001,MATCH(1,($A23=[2]SalmonProps!$A$2:$A$10001)*(3=[2]SalmonProps!$C$2:$C$10001)*(1=[2]SalmonProps!$D$2:$D$10001)*("A2" = [2]SalmonProps!$B$2:$B$10001)*($AP23 = [2]SalmonProps!$F$2:$F$10001) *($AR23 = [2]SalmonProps!$G$2:$G$10001),0), 17))</f>
        <v>0.21190000000000001</v>
      </c>
      <c r="J23" s="164" t="str" cm="1">
        <f t="array" ref="J23">IF(ISBLANK($AQ23), "", INDEX([2]SalmonProps!$A$2:$AA$10001,MATCH(1,($A23=[2]SalmonProps!$A$2:$A$10001)*(1=[2]SalmonProps!$C$2:$C$10001)*(1=[2]SalmonProps!$D$2:$D$10001)*("A1" = [2]SalmonProps!$B$2:$B$10001)*($AP23 = [2]SalmonProps!$F$2:$F$10001) *($AR23 = [2]SalmonProps!$G$2:$G$10001),0), 19))</f>
        <v>NA</v>
      </c>
      <c r="K23" s="165" t="str" cm="1">
        <f t="array" ref="K23">IF(ISBLANK($AQ23), "", INDEX([2]SalmonProps!$A$2:$AA$10001,MATCH(1,($A23=[2]SalmonProps!$A$2:$A$10001)*(1=[2]SalmonProps!$C$2:$C$10001)*(2=[2]SalmonProps!$D$2:$D$10001)*("A1" = [2]SalmonProps!$B$2:$B$10001)*($AP23 = [2]SalmonProps!$F$2:$F$10001) *($AR23 = [2]SalmonProps!$G$2:$G$10001),0), 19))</f>
        <v>NA</v>
      </c>
      <c r="L23" s="165" t="str" cm="1">
        <f t="array" ref="L23">IF(ISBLANK($AQ23), "", INDEX([2]SalmonProps!$A$2:$AA$10001,MATCH(1,($A23=[2]SalmonProps!$A$2:$A$10001)*(1=[2]SalmonProps!$C$2:$C$10001)*("1&amp;2"=[2]SalmonProps!$D$2:$D$10001)*("A1" = [2]SalmonProps!$B$2:$B$10001)*($AP23 = [2]SalmonProps!$F$2:$F$10001) *($AR23 = [2]SalmonProps!$G$2:$G$10001),0), 19))</f>
        <v>NA</v>
      </c>
      <c r="M23" s="165" t="str" cm="1">
        <f t="array" ref="M23">IF(ISBLANK($AQ23), "", INDEX([2]SalmonProps!$A$2:$AA$10001,MATCH(1,($A23=[2]SalmonProps!$A$2:$A$10001)*(2=[2]SalmonProps!$C$2:$C$10001)*(3=[2]SalmonProps!$D$2:$D$10001)*("A1" = [2]SalmonProps!$B$2:$B$10001)*($AP23 = [2]SalmonProps!$F$2:$F$10001) *($AR23 = [2]SalmonProps!$G$2:$G$10001),0), 19))</f>
        <v>NA</v>
      </c>
      <c r="N23" s="181" t="str" cm="1">
        <f t="array" ref="N23">IF(ISBLANK($AQ23), "", INDEX([2]SalmonProps!$A$2:$AA$10001,MATCH(1,($A23=[2]SalmonProps!$A$2:$A$10001)*(3=[2]SalmonProps!$C$2:$C$10001)*(3=[2]SalmonProps!$D$2:$D$10001)*("A1" = [2]SalmonProps!$B$2:$B$10001)*($AP23 = [2]SalmonProps!$F$2:$F$10001) *($AR23 = [2]SalmonProps!$G$2:$G$10001),0), 19))</f>
        <v>NA</v>
      </c>
      <c r="O23" s="165" t="str" cm="1">
        <f t="array" ref="O23">IF(ISBLANK($AQ23), "", INDEX([2]SalmonProps!$A$2:$AA$10001,MATCH(1,($A23=[2]SalmonProps!$A$2:$A$10001)*(1=[2]SalmonProps!$C$2:$C$10001)*(1=[2]SalmonProps!$D$2:$D$10001)*("A2" = [2]SalmonProps!$B$2:$B$10001)*($AP23 = [2]SalmonProps!$F$2:$F$10001) *($AR23 = [2]SalmonProps!$G$2:$G$10001),0), 19))</f>
        <v>NA</v>
      </c>
      <c r="P23" s="165" t="str" cm="1">
        <f t="array" ref="P23">IF(ISBLANK($AQ23), "", INDEX([2]SalmonProps!$A$2:$AA$10001,MATCH(1,($A23=[2]SalmonProps!$A$2:$A$10001)*(2=[2]SalmonProps!$C$2:$C$10001)*(1=[2]SalmonProps!$D$2:$D$10001)*("A2" = [2]SalmonProps!$B$2:$B$10001)*($AP23 = [2]SalmonProps!$F$2:$F$10001) *($AR23 = [2]SalmonProps!$G$2:$G$10001),0), 19))</f>
        <v>NA</v>
      </c>
      <c r="Q23" s="168" t="str" cm="1">
        <f t="array" ref="Q23">IF(ISBLANK($AQ23), "", INDEX([2]SalmonProps!$A$2:$AA$10001,MATCH(1,($A23=[2]SalmonProps!$A$2:$A$10001)*(3=[2]SalmonProps!$C$2:$C$10001)*(1=[2]SalmonProps!$D$2:$D$10001)*("A2" = [2]SalmonProps!$B$2:$B$10001)*($AP23 = [2]SalmonProps!$F$2:$F$10001) *($AR23 = [2]SalmonProps!$G$2:$G$10001),0), 19))</f>
        <v>NA</v>
      </c>
      <c r="R23" s="164" t="str" cm="1">
        <f t="array" ref="R23">IF(ISBLANK($AQ23), "", INDEX([2]SalmonProps!$A$2:$AA$10001,MATCH(1,($A23=[2]SalmonProps!$A$2:$A$10001)*(1=[2]SalmonProps!$C$2:$C$10001)*(1=[2]SalmonProps!$D$2:$D$10001)*("A1" = [2]SalmonProps!$B$2:$B$10001)*($AP23 = [2]SalmonProps!$F$2:$F$10001) *($AR23 = [2]SalmonProps!$G$2:$G$10001),0), 18))</f>
        <v>NA</v>
      </c>
      <c r="S23" s="165" t="str" cm="1">
        <f t="array" ref="S23">IF(ISBLANK($AQ23), "", INDEX([2]SalmonProps!$A$2:$AA$10001,MATCH(1,($A23=[2]SalmonProps!$A$2:$A$10001)*(1=[2]SalmonProps!$C$2:$C$10001)*(2=[2]SalmonProps!$D$2:$D$10001)*("A1" = [2]SalmonProps!$B$2:$B$10001)*($AP23 = [2]SalmonProps!$F$2:$F$10001) *($AR23 = [2]SalmonProps!$G$2:$G$10001),0), 18))</f>
        <v>NA</v>
      </c>
      <c r="T23" s="165" t="str" cm="1">
        <f t="array" ref="T23">IF(ISBLANK($AQ23), "", INDEX([2]SalmonProps!$A$2:$AA$10001,MATCH(1,($A23=[2]SalmonProps!$A$2:$A$10001)*(1=[2]SalmonProps!$C$2:$C$10001)*("1&amp;2"=[2]SalmonProps!$D$2:$D$10001)*("A1" = [2]SalmonProps!$B$2:$B$10001)*($AP23 = [2]SalmonProps!$F$2:$F$10001) *($AR23 = [2]SalmonProps!$G$2:$G$10001),0), 18))</f>
        <v>NA</v>
      </c>
      <c r="U23" s="165" t="str" cm="1">
        <f t="array" ref="U23">IF(ISBLANK($AQ23), "", INDEX([2]SalmonProps!$A$2:$AA$10001,MATCH(1,($A23=[2]SalmonProps!$A$2:$A$10001)*(2=[2]SalmonProps!$C$2:$C$10001)*(3=[2]SalmonProps!$D$2:$D$10001)*("A1" = [2]SalmonProps!$B$2:$B$10001)*($AP23 = [2]SalmonProps!$F$2:$F$10001) *($AR23 = [2]SalmonProps!$G$2:$G$10001),0), 18))</f>
        <v>NA</v>
      </c>
      <c r="V23" s="181" t="str" cm="1">
        <f t="array" ref="V23">IF(ISBLANK($AQ23), "", INDEX([2]SalmonProps!$A$2:$AA$10001,MATCH(1,($A23=[2]SalmonProps!$A$2:$A$10001)*(3=[2]SalmonProps!$C$2:$C$10001)*(3=[2]SalmonProps!$D$2:$D$10001)*("A1" = [2]SalmonProps!$B$2:$B$10001)*($AP23 = [2]SalmonProps!$F$2:$F$10001) *($AR23 = [2]SalmonProps!$G$2:$G$10001),0), 18))</f>
        <v>NA</v>
      </c>
      <c r="W23" s="180" t="str" cm="1">
        <f t="array" ref="W23">IF(ISBLANK($AQ23), "", INDEX([2]SalmonProps!$A$2:$AA$10001,MATCH(1,($A23=[2]SalmonProps!$A$2:$A$10001)*(1=[2]SalmonProps!$C$2:$C$10001)*(1=[2]SalmonProps!$D$2:$D$10001)*("A2" = [2]SalmonProps!$B$2:$B$10001)*($AP23 = [2]SalmonProps!$F$2:$F$10001) *($AR23 = [2]SalmonProps!$G$2:$G$10001),0), 18))</f>
        <v>NA</v>
      </c>
      <c r="X23" s="165" t="str" cm="1">
        <f t="array" ref="X23">IF(ISBLANK($AQ23), "", INDEX([2]SalmonProps!$A$2:$AA$10001,MATCH(1,($A23=[2]SalmonProps!$A$2:$A$10001)*(2=[2]SalmonProps!$C$2:$C$10001)*(1=[2]SalmonProps!$D$2:$D$10001)*("A2" = [2]SalmonProps!$B$2:$B$10001)*($AP23 = [2]SalmonProps!$F$2:$F$10001) *($AR23 = [2]SalmonProps!$G$2:$G$10001),0), 18))</f>
        <v>NA</v>
      </c>
      <c r="Y23" s="168" t="str" cm="1">
        <f t="array" ref="Y23">IF(ISBLANK($AQ23), "", INDEX([2]SalmonProps!$A$2:$AA$10001,MATCH(1,($A23=[2]SalmonProps!$A$2:$A$10001)*(3=[2]SalmonProps!$C$2:$C$10001)*(1=[2]SalmonProps!$D$2:$D$10001)*("A2" = [2]SalmonProps!$B$2:$B$10001)*($AP23 = [2]SalmonProps!$F$2:$F$10001) *($AR23 = [2]SalmonProps!$G$2:$G$10001),0), 18))</f>
        <v>NA</v>
      </c>
      <c r="Z23" s="164" cm="1">
        <f t="array" ref="Z23">IF(ISBLANK($AQ23), "", INDEX([2]SalmonProps!$A$2:$AA$10001,MATCH(1,($A23=[2]SalmonProps!$A$2:$A$10001)*(1=[2]SalmonProps!$C$2:$C$10001)*(1=[2]SalmonProps!$D$2:$D$10001)*("A1" = [2]SalmonProps!$B$2:$B$10001)*($AP23 = [2]SalmonProps!$F$2:$F$10001) *($AR23 = [2]SalmonProps!$G$2:$G$10001),0), 15))</f>
        <v>6.3500000000000001E-2</v>
      </c>
      <c r="AA23" s="165" cm="1">
        <f t="array" ref="AA23">IF(ISBLANK($AQ23), "", INDEX([2]SalmonProps!$A$2:$AA$10001,MATCH(1,($A23=[2]SalmonProps!$A$2:$A$10001)*(1=[2]SalmonProps!$C$2:$C$10001)*(2=[2]SalmonProps!$D$2:$D$10001)*("A1" = [2]SalmonProps!$B$2:$B$10001)*($AP23 = [2]SalmonProps!$F$2:$F$10001) *($AR23 = [2]SalmonProps!$G$2:$G$10001),0), 15))</f>
        <v>5.9799999999999999E-2</v>
      </c>
      <c r="AB23" s="165" cm="1">
        <f t="array" ref="AB23">IF(ISBLANK($AQ23), "", INDEX([2]SalmonProps!$A$2:$AA$10001,MATCH(1,($A23=[2]SalmonProps!$A$2:$A$10001)*(1=[2]SalmonProps!$C$2:$C$10001)*("1&amp;2"=[2]SalmonProps!$D$2:$D$10001)*("A1" = [2]SalmonProps!$B$2:$B$10001)*($AP23 = [2]SalmonProps!$F$2:$F$10001) *($AR23 = [2]SalmonProps!$G$2:$G$10001),0), 15))</f>
        <v>5.9400000000000001E-2</v>
      </c>
      <c r="AC23" s="165" cm="1">
        <f t="array" ref="AC23">IF(ISBLANK($AQ23), "", INDEX([2]SalmonProps!$A$2:$AA$10001,MATCH(1,($A23=[2]SalmonProps!$A$2:$A$10001)*(2=[2]SalmonProps!$C$2:$C$10001)*(3=[2]SalmonProps!$D$2:$D$10001)*("A1" = [2]SalmonProps!$B$2:$B$10001)*($AP23 = [2]SalmonProps!$F$2:$F$10001) *($AR23 = [2]SalmonProps!$G$2:$G$10001),0), 15))</f>
        <v>0.30680000000000002</v>
      </c>
      <c r="AD23" s="181" cm="1">
        <f t="array" ref="AD23">IF(ISBLANK($AQ23), "", INDEX([2]SalmonProps!$A$2:$AA$10001,MATCH(1,($A23=[2]SalmonProps!$A$2:$A$10001)*(3=[2]SalmonProps!$C$2:$C$10001)*(3=[2]SalmonProps!$D$2:$D$10001)*("A1" = [2]SalmonProps!$B$2:$B$10001)*($AP23 = [2]SalmonProps!$F$2:$F$10001) *($AR23 = [2]SalmonProps!$G$2:$G$10001),0), 15))</f>
        <v>0.68469999999999998</v>
      </c>
      <c r="AE23" s="166" cm="1">
        <f t="array" ref="AE23">IF(ISBLANK($AQ23), "", INDEX([2]SalmonProps!$A$2:$AA$10001,MATCH(1,($A23=[2]SalmonProps!$A$2:$A$10001)*(1=[2]SalmonProps!$C$2:$C$10001)*(1=[2]SalmonProps!$D$2:$D$10001)*("A2" = [2]SalmonProps!$B$2:$B$10001)*($AP23 = [2]SalmonProps!$F$2:$F$10001) *($AR23 = [2]SalmonProps!$G$2:$G$10001),0), 15))</f>
        <v>4.2500000000000003E-2</v>
      </c>
      <c r="AF23" s="166" cm="1">
        <f t="array" ref="AF23">IF(ISBLANK($AQ23), "", INDEX([2]SalmonProps!$A$2:$AA$10001,MATCH(1,($A23=[2]SalmonProps!$A$2:$A$10001)*(2=[2]SalmonProps!$C$2:$C$10001)*(1=[2]SalmonProps!$D$2:$D$10001)*("A2" = [2]SalmonProps!$B$2:$B$10001)*($AP23 = [2]SalmonProps!$F$2:$F$10001) *($AR23 = [2]SalmonProps!$G$2:$G$10001),0), 15))</f>
        <v>0.12959999999999999</v>
      </c>
      <c r="AG23" s="167" cm="1">
        <f t="array" ref="AG23">IF(ISBLANK($AQ23), "", INDEX([2]SalmonProps!$A$2:$AA$10001,MATCH(1,($A23=[2]SalmonProps!$A$2:$A$10001)*(3=[2]SalmonProps!$C$2:$C$10001)*(1=[2]SalmonProps!$D$2:$D$10001)*("A2" = [2]SalmonProps!$B$2:$B$10001)*($AP23 = [2]SalmonProps!$F$2:$F$10001) *($AR23 = [2]SalmonProps!$G$2:$G$10001),0), 15))</f>
        <v>0.39279999999999998</v>
      </c>
      <c r="AH23" s="173" t="str" cm="1">
        <f t="array" ref="AH23">IF(ISBLANK($AQ23), "", INDEX([2]SalmonProps!$A$2:$AA$10001,MATCH(1,($A23=[2]SalmonProps!$A$2:$A$10001)*($AP23 = [2]SalmonProps!$F$2:$F$10001) *($AR23 = [2]SalmonProps!$G$2:$G$10001),0), 24))</f>
        <v>NA</v>
      </c>
      <c r="AI23" s="183" t="str" cm="1">
        <f t="array" ref="AI23">IF(ISBLANK($AQ23), "", INDEX([2]SalmonProps!$A$2:$AA$10001,MATCH(1,($A23=[2]SalmonProps!$A$2:$A$10001)*($AP23 = [2]SalmonProps!$F$2:$F$10001) *($AR23 = [2]SalmonProps!$G$2:$G$10001),0), 25))</f>
        <v>NA</v>
      </c>
      <c r="AJ23" s="174" cm="1">
        <f t="array" ref="AJ23">IF(ISBLANK($AQ23), "", INDEX([2]SalmonProps!$A$2:$AA$10001,MATCH(1,($A23=[2]SalmonProps!$A$2:$A$10001)*($AP23 = [2]SalmonProps!$F$2:$F$10001) *($AR23 = [2]SalmonProps!$G$2:$G$10001),0), 20))</f>
        <v>59.2</v>
      </c>
      <c r="AK23" s="183" cm="1">
        <f t="array" ref="AK23">IF(ISBLANK($AQ23), "", INDEX([2]SalmonProps!$A$2:$AA$10001,MATCH(1,($A23=[2]SalmonProps!$A$2:$A$10001)*($AP23 = [2]SalmonProps!$F$2:$F$10001) *($AR23 = [2]SalmonProps!$G$2:$G$10001),0), 21))</f>
        <v>4.8</v>
      </c>
      <c r="AL23" s="174" cm="1">
        <f t="array" ref="AL23">IF(ISBLANK($AQ23), "", INDEX([2]SalmonProps!$A$2:$AA$10001,MATCH(1,($A23=[2]SalmonProps!$A$2:$A$10001)*($AP23 = [2]SalmonProps!$F$2:$F$10001) *($AR23 = [2]SalmonProps!$G$2:$G$10001),0), 22))</f>
        <v>75.099999999999994</v>
      </c>
      <c r="AM23" s="183" cm="1">
        <f t="array" ref="AM23">IF(ISBLANK($AQ23), "", INDEX([2]SalmonProps!$A$2:$AA$10001,MATCH(1,($A23=[2]SalmonProps!$A$2:$A$10001)*($AP23 = [2]SalmonProps!$F$2:$F$10001) *($AR23 = [2]SalmonProps!$G$2:$G$10001),0), 23))</f>
        <v>7.6</v>
      </c>
      <c r="AN23" s="174" t="str" cm="1">
        <f t="array" ref="AN23">IF(ISBLANK($AQ23), "", INDEX([2]SalmonProps!$A$2:$AA$10001,MATCH(1,($A23=[2]SalmonProps!$A$2:$A$10001)*($AP23 = [2]SalmonProps!$F$2:$F$10001) *($AR23 = [2]SalmonProps!$G$2:$G$10001),0), 26))</f>
        <v>NA</v>
      </c>
      <c r="AO23" s="175" t="str" cm="1">
        <f t="array" ref="AO23">IF(ISBLANK($AQ23), "", INDEX([2]SalmonProps!$A$2:$AA$10001,MATCH(1,($A23=[2]SalmonProps!$A$2:$A$10001)*($AP23 = [2]SalmonProps!$F$2:$F$10001) *($AR23 = [2]SalmonProps!$G$2:$G$10001),0), 27))</f>
        <v>NA</v>
      </c>
      <c r="AP23" s="112">
        <v>3</v>
      </c>
      <c r="AQ23" s="112" t="s">
        <v>133</v>
      </c>
      <c r="AR23" s="112" t="str">
        <f t="shared" si="1"/>
        <v>Unweighted</v>
      </c>
    </row>
    <row r="24" spans="1:44" x14ac:dyDescent="0.3">
      <c r="A24" s="20">
        <f>'[1]Passage Estimates'!$A24</f>
        <v>45126</v>
      </c>
      <c r="B24" s="164" cm="1">
        <f t="array" ref="B24">IF(ISBLANK($AQ24), "", INDEX([2]SalmonProps!$A$2:$AA$10001,MATCH(1,($A24=[2]SalmonProps!$A$2:$A$10001)*(1=[2]SalmonProps!$C$2:$C$10001)*(1=[2]SalmonProps!$D$2:$D$10001)*("A1" = [2]SalmonProps!$B$2:$B$10001)*($AP24 = [2]SalmonProps!$F$2:$F$10001) *($AR24 = [2]SalmonProps!$G$2:$G$10001),0), 17))</f>
        <v>1.9400000000000001E-2</v>
      </c>
      <c r="C24" s="165" cm="1">
        <f t="array" ref="C24">IF(ISBLANK($AQ24), "", INDEX([2]SalmonProps!$A$2:$AA$10001,MATCH(1,($A24=[2]SalmonProps!$A$2:$A$10001)*(1=[2]SalmonProps!$C$2:$C$10001)*(2=[2]SalmonProps!$D$2:$D$10001)*("A1" = [2]SalmonProps!$B$2:$B$10001)*($AP24 = [2]SalmonProps!$F$2:$F$10001) *($AR24 = [2]SalmonProps!$G$2:$G$10001),0), 17))</f>
        <v>0</v>
      </c>
      <c r="D24" s="165" cm="1">
        <f t="array" ref="D24">IF(ISBLANK($AQ24), "", INDEX([2]SalmonProps!$A$2:$AA$10001,MATCH(1,($A24=[2]SalmonProps!$A$2:$A$10001)*(1=[2]SalmonProps!$C$2:$C$10001)*("1&amp;2"=[2]SalmonProps!$D$2:$D$10001)*("A1" = [2]SalmonProps!$B$2:$B$10001)*($AP24 = [2]SalmonProps!$F$2:$F$10001) *($AR24 = [2]SalmonProps!$G$2:$G$10001),0), 17))</f>
        <v>7.9000000000000008E-3</v>
      </c>
      <c r="E24" s="181" cm="1">
        <f t="array" ref="E24">IF(ISBLANK($AQ24), "", INDEX([2]SalmonProps!$A$2:$AA$10001,MATCH(1,($A24=[2]SalmonProps!$A$2:$A$10001)*(2=[2]SalmonProps!$C$2:$C$10001)*(3=[2]SalmonProps!$D$2:$D$10001)*("A1" = [2]SalmonProps!$B$2:$B$10001)*($AP24 = [2]SalmonProps!$F$2:$F$10001) *($AR24 = [2]SalmonProps!$G$2:$G$10001),0), 17))</f>
        <v>7.1999999999999998E-3</v>
      </c>
      <c r="F24" s="165" cm="1">
        <f t="array" ref="F24">IF(ISBLANK($AQ24), "", INDEX([2]SalmonProps!$A$2:$AA$10001,MATCH(1,($A24=[2]SalmonProps!$A$2:$A$10001)*(3=[2]SalmonProps!$C$2:$C$10001)*(3=[2]SalmonProps!$D$2:$D$10001)*("A1" = [2]SalmonProps!$B$2:$B$10001)*($AP24 = [2]SalmonProps!$F$2:$F$10001) *($AR24 = [2]SalmonProps!$G$2:$G$10001),0), 17))</f>
        <v>0.30599999999999999</v>
      </c>
      <c r="G24" s="165" cm="1">
        <f t="array" ref="G24">IF(ISBLANK($AQ24), "", INDEX([2]SalmonProps!$A$2:$AA$10001,MATCH(1,($A24=[2]SalmonProps!$A$2:$A$10001)*(1=[2]SalmonProps!$C$2:$C$10001)*(1=[2]SalmonProps!$D$2:$D$10001)*("A2" = [2]SalmonProps!$B$2:$B$10001)*($AP24 = [2]SalmonProps!$F$2:$F$10001) *($AR24 = [2]SalmonProps!$G$2:$G$10001),0), 17))</f>
        <v>0</v>
      </c>
      <c r="H24" s="166" cm="1">
        <f t="array" ref="H24">IF(ISBLANK($AQ24), "", INDEX([2]SalmonProps!$A$2:$AA$10001,MATCH(1,($A24=[2]SalmonProps!$A$2:$A$10001)*(2=[2]SalmonProps!$C$2:$C$10001)*(1=[2]SalmonProps!$D$2:$D$10001)*("A2" = [2]SalmonProps!$B$2:$B$10001)*($AP24 = [2]SalmonProps!$F$2:$F$10001) *($AR24 = [2]SalmonProps!$G$2:$G$10001),0), 17))</f>
        <v>7.9299999999999995E-2</v>
      </c>
      <c r="I24" s="167" cm="1">
        <f t="array" ref="I24">IF(ISBLANK($AQ24), "", INDEX([2]SalmonProps!$A$2:$AA$10001,MATCH(1,($A24=[2]SalmonProps!$A$2:$A$10001)*(3=[2]SalmonProps!$C$2:$C$10001)*(1=[2]SalmonProps!$D$2:$D$10001)*("A2" = [2]SalmonProps!$B$2:$B$10001)*($AP24 = [2]SalmonProps!$F$2:$F$10001) *($AR24 = [2]SalmonProps!$G$2:$G$10001),0), 17))</f>
        <v>0.21190000000000001</v>
      </c>
      <c r="J24" s="164" t="str" cm="1">
        <f t="array" ref="J24">IF(ISBLANK($AQ24), "", INDEX([2]SalmonProps!$A$2:$AA$10001,MATCH(1,($A24=[2]SalmonProps!$A$2:$A$10001)*(1=[2]SalmonProps!$C$2:$C$10001)*(1=[2]SalmonProps!$D$2:$D$10001)*("A1" = [2]SalmonProps!$B$2:$B$10001)*($AP24 = [2]SalmonProps!$F$2:$F$10001) *($AR24 = [2]SalmonProps!$G$2:$G$10001),0), 19))</f>
        <v>NA</v>
      </c>
      <c r="K24" s="165" t="str" cm="1">
        <f t="array" ref="K24">IF(ISBLANK($AQ24), "", INDEX([2]SalmonProps!$A$2:$AA$10001,MATCH(1,($A24=[2]SalmonProps!$A$2:$A$10001)*(1=[2]SalmonProps!$C$2:$C$10001)*(2=[2]SalmonProps!$D$2:$D$10001)*("A1" = [2]SalmonProps!$B$2:$B$10001)*($AP24 = [2]SalmonProps!$F$2:$F$10001) *($AR24 = [2]SalmonProps!$G$2:$G$10001),0), 19))</f>
        <v>NA</v>
      </c>
      <c r="L24" s="165" t="str" cm="1">
        <f t="array" ref="L24">IF(ISBLANK($AQ24), "", INDEX([2]SalmonProps!$A$2:$AA$10001,MATCH(1,($A24=[2]SalmonProps!$A$2:$A$10001)*(1=[2]SalmonProps!$C$2:$C$10001)*("1&amp;2"=[2]SalmonProps!$D$2:$D$10001)*("A1" = [2]SalmonProps!$B$2:$B$10001)*($AP24 = [2]SalmonProps!$F$2:$F$10001) *($AR24 = [2]SalmonProps!$G$2:$G$10001),0), 19))</f>
        <v>NA</v>
      </c>
      <c r="M24" s="165" t="str" cm="1">
        <f t="array" ref="M24">IF(ISBLANK($AQ24), "", INDEX([2]SalmonProps!$A$2:$AA$10001,MATCH(1,($A24=[2]SalmonProps!$A$2:$A$10001)*(2=[2]SalmonProps!$C$2:$C$10001)*(3=[2]SalmonProps!$D$2:$D$10001)*("A1" = [2]SalmonProps!$B$2:$B$10001)*($AP24 = [2]SalmonProps!$F$2:$F$10001) *($AR24 = [2]SalmonProps!$G$2:$G$10001),0), 19))</f>
        <v>NA</v>
      </c>
      <c r="N24" s="181" t="str" cm="1">
        <f t="array" ref="N24">IF(ISBLANK($AQ24), "", INDEX([2]SalmonProps!$A$2:$AA$10001,MATCH(1,($A24=[2]SalmonProps!$A$2:$A$10001)*(3=[2]SalmonProps!$C$2:$C$10001)*(3=[2]SalmonProps!$D$2:$D$10001)*("A1" = [2]SalmonProps!$B$2:$B$10001)*($AP24 = [2]SalmonProps!$F$2:$F$10001) *($AR24 = [2]SalmonProps!$G$2:$G$10001),0), 19))</f>
        <v>NA</v>
      </c>
      <c r="O24" s="165" t="str" cm="1">
        <f t="array" ref="O24">IF(ISBLANK($AQ24), "", INDEX([2]SalmonProps!$A$2:$AA$10001,MATCH(1,($A24=[2]SalmonProps!$A$2:$A$10001)*(1=[2]SalmonProps!$C$2:$C$10001)*(1=[2]SalmonProps!$D$2:$D$10001)*("A2" = [2]SalmonProps!$B$2:$B$10001)*($AP24 = [2]SalmonProps!$F$2:$F$10001) *($AR24 = [2]SalmonProps!$G$2:$G$10001),0), 19))</f>
        <v>NA</v>
      </c>
      <c r="P24" s="165" t="str" cm="1">
        <f t="array" ref="P24">IF(ISBLANK($AQ24), "", INDEX([2]SalmonProps!$A$2:$AA$10001,MATCH(1,($A24=[2]SalmonProps!$A$2:$A$10001)*(2=[2]SalmonProps!$C$2:$C$10001)*(1=[2]SalmonProps!$D$2:$D$10001)*("A2" = [2]SalmonProps!$B$2:$B$10001)*($AP24 = [2]SalmonProps!$F$2:$F$10001) *($AR24 = [2]SalmonProps!$G$2:$G$10001),0), 19))</f>
        <v>NA</v>
      </c>
      <c r="Q24" s="168" t="str" cm="1">
        <f t="array" ref="Q24">IF(ISBLANK($AQ24), "", INDEX([2]SalmonProps!$A$2:$AA$10001,MATCH(1,($A24=[2]SalmonProps!$A$2:$A$10001)*(3=[2]SalmonProps!$C$2:$C$10001)*(1=[2]SalmonProps!$D$2:$D$10001)*("A2" = [2]SalmonProps!$B$2:$B$10001)*($AP24 = [2]SalmonProps!$F$2:$F$10001) *($AR24 = [2]SalmonProps!$G$2:$G$10001),0), 19))</f>
        <v>NA</v>
      </c>
      <c r="R24" s="164" t="str" cm="1">
        <f t="array" ref="R24">IF(ISBLANK($AQ24), "", INDEX([2]SalmonProps!$A$2:$AA$10001,MATCH(1,($A24=[2]SalmonProps!$A$2:$A$10001)*(1=[2]SalmonProps!$C$2:$C$10001)*(1=[2]SalmonProps!$D$2:$D$10001)*("A1" = [2]SalmonProps!$B$2:$B$10001)*($AP24 = [2]SalmonProps!$F$2:$F$10001) *($AR24 = [2]SalmonProps!$G$2:$G$10001),0), 18))</f>
        <v>NA</v>
      </c>
      <c r="S24" s="165" t="str" cm="1">
        <f t="array" ref="S24">IF(ISBLANK($AQ24), "", INDEX([2]SalmonProps!$A$2:$AA$10001,MATCH(1,($A24=[2]SalmonProps!$A$2:$A$10001)*(1=[2]SalmonProps!$C$2:$C$10001)*(2=[2]SalmonProps!$D$2:$D$10001)*("A1" = [2]SalmonProps!$B$2:$B$10001)*($AP24 = [2]SalmonProps!$F$2:$F$10001) *($AR24 = [2]SalmonProps!$G$2:$G$10001),0), 18))</f>
        <v>NA</v>
      </c>
      <c r="T24" s="165" t="str" cm="1">
        <f t="array" ref="T24">IF(ISBLANK($AQ24), "", INDEX([2]SalmonProps!$A$2:$AA$10001,MATCH(1,($A24=[2]SalmonProps!$A$2:$A$10001)*(1=[2]SalmonProps!$C$2:$C$10001)*("1&amp;2"=[2]SalmonProps!$D$2:$D$10001)*("A1" = [2]SalmonProps!$B$2:$B$10001)*($AP24 = [2]SalmonProps!$F$2:$F$10001) *($AR24 = [2]SalmonProps!$G$2:$G$10001),0), 18))</f>
        <v>NA</v>
      </c>
      <c r="U24" s="165" t="str" cm="1">
        <f t="array" ref="U24">IF(ISBLANK($AQ24), "", INDEX([2]SalmonProps!$A$2:$AA$10001,MATCH(1,($A24=[2]SalmonProps!$A$2:$A$10001)*(2=[2]SalmonProps!$C$2:$C$10001)*(3=[2]SalmonProps!$D$2:$D$10001)*("A1" = [2]SalmonProps!$B$2:$B$10001)*($AP24 = [2]SalmonProps!$F$2:$F$10001) *($AR24 = [2]SalmonProps!$G$2:$G$10001),0), 18))</f>
        <v>NA</v>
      </c>
      <c r="V24" s="181" t="str" cm="1">
        <f t="array" ref="V24">IF(ISBLANK($AQ24), "", INDEX([2]SalmonProps!$A$2:$AA$10001,MATCH(1,($A24=[2]SalmonProps!$A$2:$A$10001)*(3=[2]SalmonProps!$C$2:$C$10001)*(3=[2]SalmonProps!$D$2:$D$10001)*("A1" = [2]SalmonProps!$B$2:$B$10001)*($AP24 = [2]SalmonProps!$F$2:$F$10001) *($AR24 = [2]SalmonProps!$G$2:$G$10001),0), 18))</f>
        <v>NA</v>
      </c>
      <c r="W24" s="180" t="str" cm="1">
        <f t="array" ref="W24">IF(ISBLANK($AQ24), "", INDEX([2]SalmonProps!$A$2:$AA$10001,MATCH(1,($A24=[2]SalmonProps!$A$2:$A$10001)*(1=[2]SalmonProps!$C$2:$C$10001)*(1=[2]SalmonProps!$D$2:$D$10001)*("A2" = [2]SalmonProps!$B$2:$B$10001)*($AP24 = [2]SalmonProps!$F$2:$F$10001) *($AR24 = [2]SalmonProps!$G$2:$G$10001),0), 18))</f>
        <v>NA</v>
      </c>
      <c r="X24" s="165" t="str" cm="1">
        <f t="array" ref="X24">IF(ISBLANK($AQ24), "", INDEX([2]SalmonProps!$A$2:$AA$10001,MATCH(1,($A24=[2]SalmonProps!$A$2:$A$10001)*(2=[2]SalmonProps!$C$2:$C$10001)*(1=[2]SalmonProps!$D$2:$D$10001)*("A2" = [2]SalmonProps!$B$2:$B$10001)*($AP24 = [2]SalmonProps!$F$2:$F$10001) *($AR24 = [2]SalmonProps!$G$2:$G$10001),0), 18))</f>
        <v>NA</v>
      </c>
      <c r="Y24" s="168" t="str" cm="1">
        <f t="array" ref="Y24">IF(ISBLANK($AQ24), "", INDEX([2]SalmonProps!$A$2:$AA$10001,MATCH(1,($A24=[2]SalmonProps!$A$2:$A$10001)*(3=[2]SalmonProps!$C$2:$C$10001)*(1=[2]SalmonProps!$D$2:$D$10001)*("A2" = [2]SalmonProps!$B$2:$B$10001)*($AP24 = [2]SalmonProps!$F$2:$F$10001) *($AR24 = [2]SalmonProps!$G$2:$G$10001),0), 18))</f>
        <v>NA</v>
      </c>
      <c r="Z24" s="164" cm="1">
        <f t="array" ref="Z24">IF(ISBLANK($AQ24), "", INDEX([2]SalmonProps!$A$2:$AA$10001,MATCH(1,($A24=[2]SalmonProps!$A$2:$A$10001)*(1=[2]SalmonProps!$C$2:$C$10001)*(1=[2]SalmonProps!$D$2:$D$10001)*("A1" = [2]SalmonProps!$B$2:$B$10001)*($AP24 = [2]SalmonProps!$F$2:$F$10001) *($AR24 = [2]SalmonProps!$G$2:$G$10001),0), 15))</f>
        <v>3.7900000000000003E-2</v>
      </c>
      <c r="AA24" s="165" cm="1">
        <f t="array" ref="AA24">IF(ISBLANK($AQ24), "", INDEX([2]SalmonProps!$A$2:$AA$10001,MATCH(1,($A24=[2]SalmonProps!$A$2:$A$10001)*(1=[2]SalmonProps!$C$2:$C$10001)*(2=[2]SalmonProps!$D$2:$D$10001)*("A1" = [2]SalmonProps!$B$2:$B$10001)*($AP24 = [2]SalmonProps!$F$2:$F$10001) *($AR24 = [2]SalmonProps!$G$2:$G$10001),0), 15))</f>
        <v>2.53E-2</v>
      </c>
      <c r="AB24" s="165" cm="1">
        <f t="array" ref="AB24">IF(ISBLANK($AQ24), "", INDEX([2]SalmonProps!$A$2:$AA$10001,MATCH(1,($A24=[2]SalmonProps!$A$2:$A$10001)*(1=[2]SalmonProps!$C$2:$C$10001)*("1&amp;2"=[2]SalmonProps!$D$2:$D$10001)*("A1" = [2]SalmonProps!$B$2:$B$10001)*($AP24 = [2]SalmonProps!$F$2:$F$10001) *($AR24 = [2]SalmonProps!$G$2:$G$10001),0), 15))</f>
        <v>2.2800000000000001E-2</v>
      </c>
      <c r="AC24" s="165" cm="1">
        <f t="array" ref="AC24">IF(ISBLANK($AQ24), "", INDEX([2]SalmonProps!$A$2:$AA$10001,MATCH(1,($A24=[2]SalmonProps!$A$2:$A$10001)*(2=[2]SalmonProps!$C$2:$C$10001)*(3=[2]SalmonProps!$D$2:$D$10001)*("A1" = [2]SalmonProps!$B$2:$B$10001)*($AP24 = [2]SalmonProps!$F$2:$F$10001) *($AR24 = [2]SalmonProps!$G$2:$G$10001),0), 15))</f>
        <v>0.13170000000000001</v>
      </c>
      <c r="AD24" s="181" cm="1">
        <f t="array" ref="AD24">IF(ISBLANK($AQ24), "", INDEX([2]SalmonProps!$A$2:$AA$10001,MATCH(1,($A24=[2]SalmonProps!$A$2:$A$10001)*(3=[2]SalmonProps!$C$2:$C$10001)*(3=[2]SalmonProps!$D$2:$D$10001)*("A1" = [2]SalmonProps!$B$2:$B$10001)*($AP24 = [2]SalmonProps!$F$2:$F$10001) *($AR24 = [2]SalmonProps!$G$2:$G$10001),0), 15))</f>
        <v>0.65769999999999995</v>
      </c>
      <c r="AE24" s="166" cm="1">
        <f t="array" ref="AE24">IF(ISBLANK($AQ24), "", INDEX([2]SalmonProps!$A$2:$AA$10001,MATCH(1,($A24=[2]SalmonProps!$A$2:$A$10001)*(1=[2]SalmonProps!$C$2:$C$10001)*(1=[2]SalmonProps!$D$2:$D$10001)*("A2" = [2]SalmonProps!$B$2:$B$10001)*($AP24 = [2]SalmonProps!$F$2:$F$10001) *($AR24 = [2]SalmonProps!$G$2:$G$10001),0), 15))</f>
        <v>4.2500000000000003E-2</v>
      </c>
      <c r="AF24" s="166" cm="1">
        <f t="array" ref="AF24">IF(ISBLANK($AQ24), "", INDEX([2]SalmonProps!$A$2:$AA$10001,MATCH(1,($A24=[2]SalmonProps!$A$2:$A$10001)*(2=[2]SalmonProps!$C$2:$C$10001)*(1=[2]SalmonProps!$D$2:$D$10001)*("A2" = [2]SalmonProps!$B$2:$B$10001)*($AP24 = [2]SalmonProps!$F$2:$F$10001) *($AR24 = [2]SalmonProps!$G$2:$G$10001),0), 15))</f>
        <v>0.12959999999999999</v>
      </c>
      <c r="AG24" s="167" cm="1">
        <f t="array" ref="AG24">IF(ISBLANK($AQ24), "", INDEX([2]SalmonProps!$A$2:$AA$10001,MATCH(1,($A24=[2]SalmonProps!$A$2:$A$10001)*(3=[2]SalmonProps!$C$2:$C$10001)*(1=[2]SalmonProps!$D$2:$D$10001)*("A2" = [2]SalmonProps!$B$2:$B$10001)*($AP24 = [2]SalmonProps!$F$2:$F$10001) *($AR24 = [2]SalmonProps!$G$2:$G$10001),0), 15))</f>
        <v>0.39279999999999998</v>
      </c>
      <c r="AH24" s="173" t="str" cm="1">
        <f t="array" ref="AH24">IF(ISBLANK($AQ24), "", INDEX([2]SalmonProps!$A$2:$AA$10001,MATCH(1,($A24=[2]SalmonProps!$A$2:$A$10001)*($AP24 = [2]SalmonProps!$F$2:$F$10001) *($AR24 = [2]SalmonProps!$G$2:$G$10001),0), 24))</f>
        <v>NA</v>
      </c>
      <c r="AI24" s="183" t="str" cm="1">
        <f t="array" ref="AI24">IF(ISBLANK($AQ24), "", INDEX([2]SalmonProps!$A$2:$AA$10001,MATCH(1,($A24=[2]SalmonProps!$A$2:$A$10001)*($AP24 = [2]SalmonProps!$F$2:$F$10001) *($AR24 = [2]SalmonProps!$G$2:$G$10001),0), 25))</f>
        <v>NA</v>
      </c>
      <c r="AJ24" s="174" cm="1">
        <f t="array" ref="AJ24">IF(ISBLANK($AQ24), "", INDEX([2]SalmonProps!$A$2:$AA$10001,MATCH(1,($A24=[2]SalmonProps!$A$2:$A$10001)*($AP24 = [2]SalmonProps!$F$2:$F$10001) *($AR24 = [2]SalmonProps!$G$2:$G$10001),0), 20))</f>
        <v>59.5</v>
      </c>
      <c r="AK24" s="183" cm="1">
        <f t="array" ref="AK24">IF(ISBLANK($AQ24), "", INDEX([2]SalmonProps!$A$2:$AA$10001,MATCH(1,($A24=[2]SalmonProps!$A$2:$A$10001)*($AP24 = [2]SalmonProps!$F$2:$F$10001) *($AR24 = [2]SalmonProps!$G$2:$G$10001),0), 21))</f>
        <v>4.8</v>
      </c>
      <c r="AL24" s="174" cm="1">
        <f t="array" ref="AL24">IF(ISBLANK($AQ24), "", INDEX([2]SalmonProps!$A$2:$AA$10001,MATCH(1,($A24=[2]SalmonProps!$A$2:$A$10001)*($AP24 = [2]SalmonProps!$F$2:$F$10001) *($AR24 = [2]SalmonProps!$G$2:$G$10001),0), 22))</f>
        <v>74.8</v>
      </c>
      <c r="AM24" s="183" cm="1">
        <f t="array" ref="AM24">IF(ISBLANK($AQ24), "", INDEX([2]SalmonProps!$A$2:$AA$10001,MATCH(1,($A24=[2]SalmonProps!$A$2:$A$10001)*($AP24 = [2]SalmonProps!$F$2:$F$10001) *($AR24 = [2]SalmonProps!$G$2:$G$10001),0), 23))</f>
        <v>7.6</v>
      </c>
      <c r="AN24" s="174" t="str" cm="1">
        <f t="array" ref="AN24">IF(ISBLANK($AQ24), "", INDEX([2]SalmonProps!$A$2:$AA$10001,MATCH(1,($A24=[2]SalmonProps!$A$2:$A$10001)*($AP24 = [2]SalmonProps!$F$2:$F$10001) *($AR24 = [2]SalmonProps!$G$2:$G$10001),0), 26))</f>
        <v>NA</v>
      </c>
      <c r="AO24" s="175" t="str" cm="1">
        <f t="array" ref="AO24">IF(ISBLANK($AQ24), "", INDEX([2]SalmonProps!$A$2:$AA$10001,MATCH(1,($A24=[2]SalmonProps!$A$2:$A$10001)*($AP24 = [2]SalmonProps!$F$2:$F$10001) *($AR24 = [2]SalmonProps!$G$2:$G$10001),0), 27))</f>
        <v>NA</v>
      </c>
      <c r="AP24" s="112">
        <v>3</v>
      </c>
      <c r="AQ24" s="112" t="s">
        <v>133</v>
      </c>
      <c r="AR24" s="112" t="str">
        <f t="shared" si="1"/>
        <v>Unweighted</v>
      </c>
    </row>
    <row r="25" spans="1:44" x14ac:dyDescent="0.3">
      <c r="A25" s="20">
        <f>'[1]Passage Estimates'!$A25</f>
        <v>45127</v>
      </c>
      <c r="B25" s="164" cm="1">
        <f t="array" ref="B25">IF(ISBLANK($AQ25), "", INDEX([2]SalmonProps!$A$2:$AA$10001,MATCH(1,($A25=[2]SalmonProps!$A$2:$A$10001)*(1=[2]SalmonProps!$C$2:$C$10001)*(1=[2]SalmonProps!$D$2:$D$10001)*("A1" = [2]SalmonProps!$B$2:$B$10001)*($AP25 = [2]SalmonProps!$F$2:$F$10001) *($AR25 = [2]SalmonProps!$G$2:$G$10001),0), 17))</f>
        <v>0</v>
      </c>
      <c r="C25" s="165" cm="1">
        <f t="array" ref="C25">IF(ISBLANK($AQ25), "", INDEX([2]SalmonProps!$A$2:$AA$10001,MATCH(1,($A25=[2]SalmonProps!$A$2:$A$10001)*(1=[2]SalmonProps!$C$2:$C$10001)*(2=[2]SalmonProps!$D$2:$D$10001)*("A1" = [2]SalmonProps!$B$2:$B$10001)*($AP25 = [2]SalmonProps!$F$2:$F$10001) *($AR25 = [2]SalmonProps!$G$2:$G$10001),0), 17))</f>
        <v>3.8999999999999998E-3</v>
      </c>
      <c r="D25" s="165" cm="1">
        <f t="array" ref="D25">IF(ISBLANK($AQ25), "", INDEX([2]SalmonProps!$A$2:$AA$10001,MATCH(1,($A25=[2]SalmonProps!$A$2:$A$10001)*(1=[2]SalmonProps!$C$2:$C$10001)*("1&amp;2"=[2]SalmonProps!$D$2:$D$10001)*("A1" = [2]SalmonProps!$B$2:$B$10001)*($AP25 = [2]SalmonProps!$F$2:$F$10001) *($AR25 = [2]SalmonProps!$G$2:$G$10001),0), 17))</f>
        <v>2.7000000000000001E-3</v>
      </c>
      <c r="E25" s="181" cm="1">
        <f t="array" ref="E25">IF(ISBLANK($AQ25), "", INDEX([2]SalmonProps!$A$2:$AA$10001,MATCH(1,($A25=[2]SalmonProps!$A$2:$A$10001)*(2=[2]SalmonProps!$C$2:$C$10001)*(3=[2]SalmonProps!$D$2:$D$10001)*("A1" = [2]SalmonProps!$B$2:$B$10001)*($AP25 = [2]SalmonProps!$F$2:$F$10001) *($AR25 = [2]SalmonProps!$G$2:$G$10001),0), 17))</f>
        <v>5.33E-2</v>
      </c>
      <c r="F25" s="165" cm="1">
        <f t="array" ref="F25">IF(ISBLANK($AQ25), "", INDEX([2]SalmonProps!$A$2:$AA$10001,MATCH(1,($A25=[2]SalmonProps!$A$2:$A$10001)*(3=[2]SalmonProps!$C$2:$C$10001)*(3=[2]SalmonProps!$D$2:$D$10001)*("A1" = [2]SalmonProps!$B$2:$B$10001)*($AP25 = [2]SalmonProps!$F$2:$F$10001) *($AR25 = [2]SalmonProps!$G$2:$G$10001),0), 17))</f>
        <v>0.13900000000000001</v>
      </c>
      <c r="G25" s="165" cm="1">
        <f t="array" ref="G25">IF(ISBLANK($AQ25), "", INDEX([2]SalmonProps!$A$2:$AA$10001,MATCH(1,($A25=[2]SalmonProps!$A$2:$A$10001)*(1=[2]SalmonProps!$C$2:$C$10001)*(1=[2]SalmonProps!$D$2:$D$10001)*("A2" = [2]SalmonProps!$B$2:$B$10001)*($AP25 = [2]SalmonProps!$F$2:$F$10001) *($AR25 = [2]SalmonProps!$G$2:$G$10001),0), 17))</f>
        <v>0</v>
      </c>
      <c r="H25" s="166" cm="1">
        <f t="array" ref="H25">IF(ISBLANK($AQ25), "", INDEX([2]SalmonProps!$A$2:$AA$10001,MATCH(1,($A25=[2]SalmonProps!$A$2:$A$10001)*(2=[2]SalmonProps!$C$2:$C$10001)*(1=[2]SalmonProps!$D$2:$D$10001)*("A2" = [2]SalmonProps!$B$2:$B$10001)*($AP25 = [2]SalmonProps!$F$2:$F$10001) *($AR25 = [2]SalmonProps!$G$2:$G$10001),0), 17))</f>
        <v>5.8200000000000002E-2</v>
      </c>
      <c r="I25" s="167" cm="1">
        <f t="array" ref="I25">IF(ISBLANK($AQ25), "", INDEX([2]SalmonProps!$A$2:$AA$10001,MATCH(1,($A25=[2]SalmonProps!$A$2:$A$10001)*(3=[2]SalmonProps!$C$2:$C$10001)*(1=[2]SalmonProps!$D$2:$D$10001)*("A2" = [2]SalmonProps!$B$2:$B$10001)*($AP25 = [2]SalmonProps!$F$2:$F$10001) *($AR25 = [2]SalmonProps!$G$2:$G$10001),0), 17))</f>
        <v>8.8599999999999998E-2</v>
      </c>
      <c r="J25" s="164" t="str" cm="1">
        <f t="array" ref="J25">IF(ISBLANK($AQ25), "", INDEX([2]SalmonProps!$A$2:$AA$10001,MATCH(1,($A25=[2]SalmonProps!$A$2:$A$10001)*(1=[2]SalmonProps!$C$2:$C$10001)*(1=[2]SalmonProps!$D$2:$D$10001)*("A1" = [2]SalmonProps!$B$2:$B$10001)*($AP25 = [2]SalmonProps!$F$2:$F$10001) *($AR25 = [2]SalmonProps!$G$2:$G$10001),0), 19))</f>
        <v>NA</v>
      </c>
      <c r="K25" s="165" t="str" cm="1">
        <f t="array" ref="K25">IF(ISBLANK($AQ25), "", INDEX([2]SalmonProps!$A$2:$AA$10001,MATCH(1,($A25=[2]SalmonProps!$A$2:$A$10001)*(1=[2]SalmonProps!$C$2:$C$10001)*(2=[2]SalmonProps!$D$2:$D$10001)*("A1" = [2]SalmonProps!$B$2:$B$10001)*($AP25 = [2]SalmonProps!$F$2:$F$10001) *($AR25 = [2]SalmonProps!$G$2:$G$10001),0), 19))</f>
        <v>NA</v>
      </c>
      <c r="L25" s="165" t="str" cm="1">
        <f t="array" ref="L25">IF(ISBLANK($AQ25), "", INDEX([2]SalmonProps!$A$2:$AA$10001,MATCH(1,($A25=[2]SalmonProps!$A$2:$A$10001)*(1=[2]SalmonProps!$C$2:$C$10001)*("1&amp;2"=[2]SalmonProps!$D$2:$D$10001)*("A1" = [2]SalmonProps!$B$2:$B$10001)*($AP25 = [2]SalmonProps!$F$2:$F$10001) *($AR25 = [2]SalmonProps!$G$2:$G$10001),0), 19))</f>
        <v>NA</v>
      </c>
      <c r="M25" s="165" t="str" cm="1">
        <f t="array" ref="M25">IF(ISBLANK($AQ25), "", INDEX([2]SalmonProps!$A$2:$AA$10001,MATCH(1,($A25=[2]SalmonProps!$A$2:$A$10001)*(2=[2]SalmonProps!$C$2:$C$10001)*(3=[2]SalmonProps!$D$2:$D$10001)*("A1" = [2]SalmonProps!$B$2:$B$10001)*($AP25 = [2]SalmonProps!$F$2:$F$10001) *($AR25 = [2]SalmonProps!$G$2:$G$10001),0), 19))</f>
        <v>NA</v>
      </c>
      <c r="N25" s="181" t="str" cm="1">
        <f t="array" ref="N25">IF(ISBLANK($AQ25), "", INDEX([2]SalmonProps!$A$2:$AA$10001,MATCH(1,($A25=[2]SalmonProps!$A$2:$A$10001)*(3=[2]SalmonProps!$C$2:$C$10001)*(3=[2]SalmonProps!$D$2:$D$10001)*("A1" = [2]SalmonProps!$B$2:$B$10001)*($AP25 = [2]SalmonProps!$F$2:$F$10001) *($AR25 = [2]SalmonProps!$G$2:$G$10001),0), 19))</f>
        <v>NA</v>
      </c>
      <c r="O25" s="165" t="str" cm="1">
        <f t="array" ref="O25">IF(ISBLANK($AQ25), "", INDEX([2]SalmonProps!$A$2:$AA$10001,MATCH(1,($A25=[2]SalmonProps!$A$2:$A$10001)*(1=[2]SalmonProps!$C$2:$C$10001)*(1=[2]SalmonProps!$D$2:$D$10001)*("A2" = [2]SalmonProps!$B$2:$B$10001)*($AP25 = [2]SalmonProps!$F$2:$F$10001) *($AR25 = [2]SalmonProps!$G$2:$G$10001),0), 19))</f>
        <v>NA</v>
      </c>
      <c r="P25" s="165" t="str" cm="1">
        <f t="array" ref="P25">IF(ISBLANK($AQ25), "", INDEX([2]SalmonProps!$A$2:$AA$10001,MATCH(1,($A25=[2]SalmonProps!$A$2:$A$10001)*(2=[2]SalmonProps!$C$2:$C$10001)*(1=[2]SalmonProps!$D$2:$D$10001)*("A2" = [2]SalmonProps!$B$2:$B$10001)*($AP25 = [2]SalmonProps!$F$2:$F$10001) *($AR25 = [2]SalmonProps!$G$2:$G$10001),0), 19))</f>
        <v>NA</v>
      </c>
      <c r="Q25" s="168" t="str" cm="1">
        <f t="array" ref="Q25">IF(ISBLANK($AQ25), "", INDEX([2]SalmonProps!$A$2:$AA$10001,MATCH(1,($A25=[2]SalmonProps!$A$2:$A$10001)*(3=[2]SalmonProps!$C$2:$C$10001)*(1=[2]SalmonProps!$D$2:$D$10001)*("A2" = [2]SalmonProps!$B$2:$B$10001)*($AP25 = [2]SalmonProps!$F$2:$F$10001) *($AR25 = [2]SalmonProps!$G$2:$G$10001),0), 19))</f>
        <v>NA</v>
      </c>
      <c r="R25" s="164" t="str" cm="1">
        <f t="array" ref="R25">IF(ISBLANK($AQ25), "", INDEX([2]SalmonProps!$A$2:$AA$10001,MATCH(1,($A25=[2]SalmonProps!$A$2:$A$10001)*(1=[2]SalmonProps!$C$2:$C$10001)*(1=[2]SalmonProps!$D$2:$D$10001)*("A1" = [2]SalmonProps!$B$2:$B$10001)*($AP25 = [2]SalmonProps!$F$2:$F$10001) *($AR25 = [2]SalmonProps!$G$2:$G$10001),0), 18))</f>
        <v>NA</v>
      </c>
      <c r="S25" s="165" t="str" cm="1">
        <f t="array" ref="S25">IF(ISBLANK($AQ25), "", INDEX([2]SalmonProps!$A$2:$AA$10001,MATCH(1,($A25=[2]SalmonProps!$A$2:$A$10001)*(1=[2]SalmonProps!$C$2:$C$10001)*(2=[2]SalmonProps!$D$2:$D$10001)*("A1" = [2]SalmonProps!$B$2:$B$10001)*($AP25 = [2]SalmonProps!$F$2:$F$10001) *($AR25 = [2]SalmonProps!$G$2:$G$10001),0), 18))</f>
        <v>NA</v>
      </c>
      <c r="T25" s="165" t="str" cm="1">
        <f t="array" ref="T25">IF(ISBLANK($AQ25), "", INDEX([2]SalmonProps!$A$2:$AA$10001,MATCH(1,($A25=[2]SalmonProps!$A$2:$A$10001)*(1=[2]SalmonProps!$C$2:$C$10001)*("1&amp;2"=[2]SalmonProps!$D$2:$D$10001)*("A1" = [2]SalmonProps!$B$2:$B$10001)*($AP25 = [2]SalmonProps!$F$2:$F$10001) *($AR25 = [2]SalmonProps!$G$2:$G$10001),0), 18))</f>
        <v>NA</v>
      </c>
      <c r="U25" s="165" t="str" cm="1">
        <f t="array" ref="U25">IF(ISBLANK($AQ25), "", INDEX([2]SalmonProps!$A$2:$AA$10001,MATCH(1,($A25=[2]SalmonProps!$A$2:$A$10001)*(2=[2]SalmonProps!$C$2:$C$10001)*(3=[2]SalmonProps!$D$2:$D$10001)*("A1" = [2]SalmonProps!$B$2:$B$10001)*($AP25 = [2]SalmonProps!$F$2:$F$10001) *($AR25 = [2]SalmonProps!$G$2:$G$10001),0), 18))</f>
        <v>NA</v>
      </c>
      <c r="V25" s="181" t="str" cm="1">
        <f t="array" ref="V25">IF(ISBLANK($AQ25), "", INDEX([2]SalmonProps!$A$2:$AA$10001,MATCH(1,($A25=[2]SalmonProps!$A$2:$A$10001)*(3=[2]SalmonProps!$C$2:$C$10001)*(3=[2]SalmonProps!$D$2:$D$10001)*("A1" = [2]SalmonProps!$B$2:$B$10001)*($AP25 = [2]SalmonProps!$F$2:$F$10001) *($AR25 = [2]SalmonProps!$G$2:$G$10001),0), 18))</f>
        <v>NA</v>
      </c>
      <c r="W25" s="180" t="str" cm="1">
        <f t="array" ref="W25">IF(ISBLANK($AQ25), "", INDEX([2]SalmonProps!$A$2:$AA$10001,MATCH(1,($A25=[2]SalmonProps!$A$2:$A$10001)*(1=[2]SalmonProps!$C$2:$C$10001)*(1=[2]SalmonProps!$D$2:$D$10001)*("A2" = [2]SalmonProps!$B$2:$B$10001)*($AP25 = [2]SalmonProps!$F$2:$F$10001) *($AR25 = [2]SalmonProps!$G$2:$G$10001),0), 18))</f>
        <v>NA</v>
      </c>
      <c r="X25" s="165" t="str" cm="1">
        <f t="array" ref="X25">IF(ISBLANK($AQ25), "", INDEX([2]SalmonProps!$A$2:$AA$10001,MATCH(1,($A25=[2]SalmonProps!$A$2:$A$10001)*(2=[2]SalmonProps!$C$2:$C$10001)*(1=[2]SalmonProps!$D$2:$D$10001)*("A2" = [2]SalmonProps!$B$2:$B$10001)*($AP25 = [2]SalmonProps!$F$2:$F$10001) *($AR25 = [2]SalmonProps!$G$2:$G$10001),0), 18))</f>
        <v>NA</v>
      </c>
      <c r="Y25" s="168" t="str" cm="1">
        <f t="array" ref="Y25">IF(ISBLANK($AQ25), "", INDEX([2]SalmonProps!$A$2:$AA$10001,MATCH(1,($A25=[2]SalmonProps!$A$2:$A$10001)*(3=[2]SalmonProps!$C$2:$C$10001)*(1=[2]SalmonProps!$D$2:$D$10001)*("A2" = [2]SalmonProps!$B$2:$B$10001)*($AP25 = [2]SalmonProps!$F$2:$F$10001) *($AR25 = [2]SalmonProps!$G$2:$G$10001),0), 18))</f>
        <v>NA</v>
      </c>
      <c r="Z25" s="164" cm="1">
        <f t="array" ref="Z25">IF(ISBLANK($AQ25), "", INDEX([2]SalmonProps!$A$2:$AA$10001,MATCH(1,($A25=[2]SalmonProps!$A$2:$A$10001)*(1=[2]SalmonProps!$C$2:$C$10001)*(1=[2]SalmonProps!$D$2:$D$10001)*("A1" = [2]SalmonProps!$B$2:$B$10001)*($AP25 = [2]SalmonProps!$F$2:$F$10001) *($AR25 = [2]SalmonProps!$G$2:$G$10001),0), 15))</f>
        <v>9.4999999999999998E-3</v>
      </c>
      <c r="AA25" s="165" cm="1">
        <f t="array" ref="AA25">IF(ISBLANK($AQ25), "", INDEX([2]SalmonProps!$A$2:$AA$10001,MATCH(1,($A25=[2]SalmonProps!$A$2:$A$10001)*(1=[2]SalmonProps!$C$2:$C$10001)*(2=[2]SalmonProps!$D$2:$D$10001)*("A1" = [2]SalmonProps!$B$2:$B$10001)*($AP25 = [2]SalmonProps!$F$2:$F$10001) *($AR25 = [2]SalmonProps!$G$2:$G$10001),0), 15))</f>
        <v>7.2999999999999995E-2</v>
      </c>
      <c r="AB25" s="165" cm="1">
        <f t="array" ref="AB25">IF(ISBLANK($AQ25), "", INDEX([2]SalmonProps!$A$2:$AA$10001,MATCH(1,($A25=[2]SalmonProps!$A$2:$A$10001)*(1=[2]SalmonProps!$C$2:$C$10001)*("1&amp;2"=[2]SalmonProps!$D$2:$D$10001)*("A1" = [2]SalmonProps!$B$2:$B$10001)*($AP25 = [2]SalmonProps!$F$2:$F$10001) *($AR25 = [2]SalmonProps!$G$2:$G$10001),0), 15))</f>
        <v>3.5099999999999999E-2</v>
      </c>
      <c r="AC25" s="165" cm="1">
        <f t="array" ref="AC25">IF(ISBLANK($AQ25), "", INDEX([2]SalmonProps!$A$2:$AA$10001,MATCH(1,($A25=[2]SalmonProps!$A$2:$A$10001)*(2=[2]SalmonProps!$C$2:$C$10001)*(3=[2]SalmonProps!$D$2:$D$10001)*("A1" = [2]SalmonProps!$B$2:$B$10001)*($AP25 = [2]SalmonProps!$F$2:$F$10001) *($AR25 = [2]SalmonProps!$G$2:$G$10001),0), 15))</f>
        <v>0.25169999999999998</v>
      </c>
      <c r="AD25" s="181" cm="1">
        <f t="array" ref="AD25">IF(ISBLANK($AQ25), "", INDEX([2]SalmonProps!$A$2:$AA$10001,MATCH(1,($A25=[2]SalmonProps!$A$2:$A$10001)*(3=[2]SalmonProps!$C$2:$C$10001)*(3=[2]SalmonProps!$D$2:$D$10001)*("A1" = [2]SalmonProps!$B$2:$B$10001)*($AP25 = [2]SalmonProps!$F$2:$F$10001) *($AR25 = [2]SalmonProps!$G$2:$G$10001),0), 15))</f>
        <v>0.34160000000000001</v>
      </c>
      <c r="AE25" s="166" cm="1">
        <f t="array" ref="AE25">IF(ISBLANK($AQ25), "", INDEX([2]SalmonProps!$A$2:$AA$10001,MATCH(1,($A25=[2]SalmonProps!$A$2:$A$10001)*(1=[2]SalmonProps!$C$2:$C$10001)*(1=[2]SalmonProps!$D$2:$D$10001)*("A2" = [2]SalmonProps!$B$2:$B$10001)*($AP25 = [2]SalmonProps!$F$2:$F$10001) *($AR25 = [2]SalmonProps!$G$2:$G$10001),0), 15))</f>
        <v>1.6500000000000001E-2</v>
      </c>
      <c r="AF25" s="166" cm="1">
        <f t="array" ref="AF25">IF(ISBLANK($AQ25), "", INDEX([2]SalmonProps!$A$2:$AA$10001,MATCH(1,($A25=[2]SalmonProps!$A$2:$A$10001)*(2=[2]SalmonProps!$C$2:$C$10001)*(1=[2]SalmonProps!$D$2:$D$10001)*("A2" = [2]SalmonProps!$B$2:$B$10001)*($AP25 = [2]SalmonProps!$F$2:$F$10001) *($AR25 = [2]SalmonProps!$G$2:$G$10001),0), 15))</f>
        <v>8.4599999999999995E-2</v>
      </c>
      <c r="AG25" s="167" cm="1">
        <f t="array" ref="AG25">IF(ISBLANK($AQ25), "", INDEX([2]SalmonProps!$A$2:$AA$10001,MATCH(1,($A25=[2]SalmonProps!$A$2:$A$10001)*(3=[2]SalmonProps!$C$2:$C$10001)*(1=[2]SalmonProps!$D$2:$D$10001)*("A2" = [2]SalmonProps!$B$2:$B$10001)*($AP25 = [2]SalmonProps!$F$2:$F$10001) *($AR25 = [2]SalmonProps!$G$2:$G$10001),0), 15))</f>
        <v>0.1</v>
      </c>
      <c r="AH25" s="173" t="str" cm="1">
        <f t="array" ref="AH25">IF(ISBLANK($AQ25), "", INDEX([2]SalmonProps!$A$2:$AA$10001,MATCH(1,($A25=[2]SalmonProps!$A$2:$A$10001)*($AP25 = [2]SalmonProps!$F$2:$F$10001) *($AR25 = [2]SalmonProps!$G$2:$G$10001),0), 24))</f>
        <v>NA</v>
      </c>
      <c r="AI25" s="183" t="str" cm="1">
        <f t="array" ref="AI25">IF(ISBLANK($AQ25), "", INDEX([2]SalmonProps!$A$2:$AA$10001,MATCH(1,($A25=[2]SalmonProps!$A$2:$A$10001)*($AP25 = [2]SalmonProps!$F$2:$F$10001) *($AR25 = [2]SalmonProps!$G$2:$G$10001),0), 25))</f>
        <v>NA</v>
      </c>
      <c r="AJ25" s="174" cm="1">
        <f t="array" ref="AJ25">IF(ISBLANK($AQ25), "", INDEX([2]SalmonProps!$A$2:$AA$10001,MATCH(1,($A25=[2]SalmonProps!$A$2:$A$10001)*($AP25 = [2]SalmonProps!$F$2:$F$10001) *($AR25 = [2]SalmonProps!$G$2:$G$10001),0), 20))</f>
        <v>59.5</v>
      </c>
      <c r="AK25" s="183" cm="1">
        <f t="array" ref="AK25">IF(ISBLANK($AQ25), "", INDEX([2]SalmonProps!$A$2:$AA$10001,MATCH(1,($A25=[2]SalmonProps!$A$2:$A$10001)*($AP25 = [2]SalmonProps!$F$2:$F$10001) *($AR25 = [2]SalmonProps!$G$2:$G$10001),0), 21))</f>
        <v>4.8</v>
      </c>
      <c r="AL25" s="174" cm="1">
        <f t="array" ref="AL25">IF(ISBLANK($AQ25), "", INDEX([2]SalmonProps!$A$2:$AA$10001,MATCH(1,($A25=[2]SalmonProps!$A$2:$A$10001)*($AP25 = [2]SalmonProps!$F$2:$F$10001) *($AR25 = [2]SalmonProps!$G$2:$G$10001),0), 22))</f>
        <v>74.8</v>
      </c>
      <c r="AM25" s="183" cm="1">
        <f t="array" ref="AM25">IF(ISBLANK($AQ25), "", INDEX([2]SalmonProps!$A$2:$AA$10001,MATCH(1,($A25=[2]SalmonProps!$A$2:$A$10001)*($AP25 = [2]SalmonProps!$F$2:$F$10001) *($AR25 = [2]SalmonProps!$G$2:$G$10001),0), 23))</f>
        <v>7.6</v>
      </c>
      <c r="AN25" s="174" t="str" cm="1">
        <f t="array" ref="AN25">IF(ISBLANK($AQ25), "", INDEX([2]SalmonProps!$A$2:$AA$10001,MATCH(1,($A25=[2]SalmonProps!$A$2:$A$10001)*($AP25 = [2]SalmonProps!$F$2:$F$10001) *($AR25 = [2]SalmonProps!$G$2:$G$10001),0), 26))</f>
        <v>NA</v>
      </c>
      <c r="AO25" s="175" t="str" cm="1">
        <f t="array" ref="AO25">IF(ISBLANK($AQ25), "", INDEX([2]SalmonProps!$A$2:$AA$10001,MATCH(1,($A25=[2]SalmonProps!$A$2:$A$10001)*($AP25 = [2]SalmonProps!$F$2:$F$10001) *($AR25 = [2]SalmonProps!$G$2:$G$10001),0), 27))</f>
        <v>NA</v>
      </c>
      <c r="AP25" s="112">
        <v>3</v>
      </c>
      <c r="AQ25" s="112" t="s">
        <v>133</v>
      </c>
      <c r="AR25" s="112" t="str">
        <f t="shared" si="1"/>
        <v>Unweighted</v>
      </c>
    </row>
    <row r="26" spans="1:44" x14ac:dyDescent="0.3">
      <c r="A26" s="20">
        <f>'[1]Passage Estimates'!$A26</f>
        <v>45128</v>
      </c>
      <c r="B26" s="164" cm="1">
        <f t="array" ref="B26">IF(ISBLANK($AQ26), "", INDEX([2]SalmonProps!$A$2:$AA$10001,MATCH(1,($A26=[2]SalmonProps!$A$2:$A$10001)*(1=[2]SalmonProps!$C$2:$C$10001)*(1=[2]SalmonProps!$D$2:$D$10001)*("A1" = [2]SalmonProps!$B$2:$B$10001)*($AP26 = [2]SalmonProps!$F$2:$F$10001) *($AR26 = [2]SalmonProps!$G$2:$G$10001),0), 17))</f>
        <v>0</v>
      </c>
      <c r="C26" s="165" cm="1">
        <f t="array" ref="C26">IF(ISBLANK($AQ26), "", INDEX([2]SalmonProps!$A$2:$AA$10001,MATCH(1,($A26=[2]SalmonProps!$A$2:$A$10001)*(1=[2]SalmonProps!$C$2:$C$10001)*(2=[2]SalmonProps!$D$2:$D$10001)*("A1" = [2]SalmonProps!$B$2:$B$10001)*($AP26 = [2]SalmonProps!$F$2:$F$10001) *($AR26 = [2]SalmonProps!$G$2:$G$10001),0), 17))</f>
        <v>0</v>
      </c>
      <c r="D26" s="165" cm="1">
        <f t="array" ref="D26">IF(ISBLANK($AQ26), "", INDEX([2]SalmonProps!$A$2:$AA$10001,MATCH(1,($A26=[2]SalmonProps!$A$2:$A$10001)*(1=[2]SalmonProps!$C$2:$C$10001)*("1&amp;2"=[2]SalmonProps!$D$2:$D$10001)*("A1" = [2]SalmonProps!$B$2:$B$10001)*($AP26 = [2]SalmonProps!$F$2:$F$10001) *($AR26 = [2]SalmonProps!$G$2:$G$10001),0), 17))</f>
        <v>0</v>
      </c>
      <c r="E26" s="181" cm="1">
        <f t="array" ref="E26">IF(ISBLANK($AQ26), "", INDEX([2]SalmonProps!$A$2:$AA$10001,MATCH(1,($A26=[2]SalmonProps!$A$2:$A$10001)*(2=[2]SalmonProps!$C$2:$C$10001)*(3=[2]SalmonProps!$D$2:$D$10001)*("A1" = [2]SalmonProps!$B$2:$B$10001)*($AP26 = [2]SalmonProps!$F$2:$F$10001) *($AR26 = [2]SalmonProps!$G$2:$G$10001),0), 17))</f>
        <v>0.1009</v>
      </c>
      <c r="F26" s="165" cm="1">
        <f t="array" ref="F26">IF(ISBLANK($AQ26), "", INDEX([2]SalmonProps!$A$2:$AA$10001,MATCH(1,($A26=[2]SalmonProps!$A$2:$A$10001)*(3=[2]SalmonProps!$C$2:$C$10001)*(3=[2]SalmonProps!$D$2:$D$10001)*("A1" = [2]SalmonProps!$B$2:$B$10001)*($AP26 = [2]SalmonProps!$F$2:$F$10001) *($AR26 = [2]SalmonProps!$G$2:$G$10001),0), 17))</f>
        <v>0.4113</v>
      </c>
      <c r="G26" s="165" cm="1">
        <f t="array" ref="G26">IF(ISBLANK($AQ26), "", INDEX([2]SalmonProps!$A$2:$AA$10001,MATCH(1,($A26=[2]SalmonProps!$A$2:$A$10001)*(1=[2]SalmonProps!$C$2:$C$10001)*(1=[2]SalmonProps!$D$2:$D$10001)*("A2" = [2]SalmonProps!$B$2:$B$10001)*($AP26 = [2]SalmonProps!$F$2:$F$10001) *($AR26 = [2]SalmonProps!$G$2:$G$10001),0), 17))</f>
        <v>0</v>
      </c>
      <c r="H26" s="166" cm="1">
        <f t="array" ref="H26">IF(ISBLANK($AQ26), "", INDEX([2]SalmonProps!$A$2:$AA$10001,MATCH(1,($A26=[2]SalmonProps!$A$2:$A$10001)*(2=[2]SalmonProps!$C$2:$C$10001)*(1=[2]SalmonProps!$D$2:$D$10001)*("A2" = [2]SalmonProps!$B$2:$B$10001)*($AP26 = [2]SalmonProps!$F$2:$F$10001) *($AR26 = [2]SalmonProps!$G$2:$G$10001),0), 17))</f>
        <v>5.8200000000000002E-2</v>
      </c>
      <c r="I26" s="167" cm="1">
        <f t="array" ref="I26">IF(ISBLANK($AQ26), "", INDEX([2]SalmonProps!$A$2:$AA$10001,MATCH(1,($A26=[2]SalmonProps!$A$2:$A$10001)*(3=[2]SalmonProps!$C$2:$C$10001)*(1=[2]SalmonProps!$D$2:$D$10001)*("A2" = [2]SalmonProps!$B$2:$B$10001)*($AP26 = [2]SalmonProps!$F$2:$F$10001) *($AR26 = [2]SalmonProps!$G$2:$G$10001),0), 17))</f>
        <v>8.8599999999999998E-2</v>
      </c>
      <c r="J26" s="164" t="str" cm="1">
        <f t="array" ref="J26">IF(ISBLANK($AQ26), "", INDEX([2]SalmonProps!$A$2:$AA$10001,MATCH(1,($A26=[2]SalmonProps!$A$2:$A$10001)*(1=[2]SalmonProps!$C$2:$C$10001)*(1=[2]SalmonProps!$D$2:$D$10001)*("A1" = [2]SalmonProps!$B$2:$B$10001)*($AP26 = [2]SalmonProps!$F$2:$F$10001) *($AR26 = [2]SalmonProps!$G$2:$G$10001),0), 19))</f>
        <v>NA</v>
      </c>
      <c r="K26" s="165" t="str" cm="1">
        <f t="array" ref="K26">IF(ISBLANK($AQ26), "", INDEX([2]SalmonProps!$A$2:$AA$10001,MATCH(1,($A26=[2]SalmonProps!$A$2:$A$10001)*(1=[2]SalmonProps!$C$2:$C$10001)*(2=[2]SalmonProps!$D$2:$D$10001)*("A1" = [2]SalmonProps!$B$2:$B$10001)*($AP26 = [2]SalmonProps!$F$2:$F$10001) *($AR26 = [2]SalmonProps!$G$2:$G$10001),0), 19))</f>
        <v>NA</v>
      </c>
      <c r="L26" s="165" t="str" cm="1">
        <f t="array" ref="L26">IF(ISBLANK($AQ26), "", INDEX([2]SalmonProps!$A$2:$AA$10001,MATCH(1,($A26=[2]SalmonProps!$A$2:$A$10001)*(1=[2]SalmonProps!$C$2:$C$10001)*("1&amp;2"=[2]SalmonProps!$D$2:$D$10001)*("A1" = [2]SalmonProps!$B$2:$B$10001)*($AP26 = [2]SalmonProps!$F$2:$F$10001) *($AR26 = [2]SalmonProps!$G$2:$G$10001),0), 19))</f>
        <v>NA</v>
      </c>
      <c r="M26" s="165" t="str" cm="1">
        <f t="array" ref="M26">IF(ISBLANK($AQ26), "", INDEX([2]SalmonProps!$A$2:$AA$10001,MATCH(1,($A26=[2]SalmonProps!$A$2:$A$10001)*(2=[2]SalmonProps!$C$2:$C$10001)*(3=[2]SalmonProps!$D$2:$D$10001)*("A1" = [2]SalmonProps!$B$2:$B$10001)*($AP26 = [2]SalmonProps!$F$2:$F$10001) *($AR26 = [2]SalmonProps!$G$2:$G$10001),0), 19))</f>
        <v>NA</v>
      </c>
      <c r="N26" s="181" t="str" cm="1">
        <f t="array" ref="N26">IF(ISBLANK($AQ26), "", INDEX([2]SalmonProps!$A$2:$AA$10001,MATCH(1,($A26=[2]SalmonProps!$A$2:$A$10001)*(3=[2]SalmonProps!$C$2:$C$10001)*(3=[2]SalmonProps!$D$2:$D$10001)*("A1" = [2]SalmonProps!$B$2:$B$10001)*($AP26 = [2]SalmonProps!$F$2:$F$10001) *($AR26 = [2]SalmonProps!$G$2:$G$10001),0), 19))</f>
        <v>NA</v>
      </c>
      <c r="O26" s="165" t="str" cm="1">
        <f t="array" ref="O26">IF(ISBLANK($AQ26), "", INDEX([2]SalmonProps!$A$2:$AA$10001,MATCH(1,($A26=[2]SalmonProps!$A$2:$A$10001)*(1=[2]SalmonProps!$C$2:$C$10001)*(1=[2]SalmonProps!$D$2:$D$10001)*("A2" = [2]SalmonProps!$B$2:$B$10001)*($AP26 = [2]SalmonProps!$F$2:$F$10001) *($AR26 = [2]SalmonProps!$G$2:$G$10001),0), 19))</f>
        <v>NA</v>
      </c>
      <c r="P26" s="165" t="str" cm="1">
        <f t="array" ref="P26">IF(ISBLANK($AQ26), "", INDEX([2]SalmonProps!$A$2:$AA$10001,MATCH(1,($A26=[2]SalmonProps!$A$2:$A$10001)*(2=[2]SalmonProps!$C$2:$C$10001)*(1=[2]SalmonProps!$D$2:$D$10001)*("A2" = [2]SalmonProps!$B$2:$B$10001)*($AP26 = [2]SalmonProps!$F$2:$F$10001) *($AR26 = [2]SalmonProps!$G$2:$G$10001),0), 19))</f>
        <v>NA</v>
      </c>
      <c r="Q26" s="168" t="str" cm="1">
        <f t="array" ref="Q26">IF(ISBLANK($AQ26), "", INDEX([2]SalmonProps!$A$2:$AA$10001,MATCH(1,($A26=[2]SalmonProps!$A$2:$A$10001)*(3=[2]SalmonProps!$C$2:$C$10001)*(1=[2]SalmonProps!$D$2:$D$10001)*("A2" = [2]SalmonProps!$B$2:$B$10001)*($AP26 = [2]SalmonProps!$F$2:$F$10001) *($AR26 = [2]SalmonProps!$G$2:$G$10001),0), 19))</f>
        <v>NA</v>
      </c>
      <c r="R26" s="164" t="str" cm="1">
        <f t="array" ref="R26">IF(ISBLANK($AQ26), "", INDEX([2]SalmonProps!$A$2:$AA$10001,MATCH(1,($A26=[2]SalmonProps!$A$2:$A$10001)*(1=[2]SalmonProps!$C$2:$C$10001)*(1=[2]SalmonProps!$D$2:$D$10001)*("A1" = [2]SalmonProps!$B$2:$B$10001)*($AP26 = [2]SalmonProps!$F$2:$F$10001) *($AR26 = [2]SalmonProps!$G$2:$G$10001),0), 18))</f>
        <v>NA</v>
      </c>
      <c r="S26" s="165" t="str" cm="1">
        <f t="array" ref="S26">IF(ISBLANK($AQ26), "", INDEX([2]SalmonProps!$A$2:$AA$10001,MATCH(1,($A26=[2]SalmonProps!$A$2:$A$10001)*(1=[2]SalmonProps!$C$2:$C$10001)*(2=[2]SalmonProps!$D$2:$D$10001)*("A1" = [2]SalmonProps!$B$2:$B$10001)*($AP26 = [2]SalmonProps!$F$2:$F$10001) *($AR26 = [2]SalmonProps!$G$2:$G$10001),0), 18))</f>
        <v>NA</v>
      </c>
      <c r="T26" s="165" t="str" cm="1">
        <f t="array" ref="T26">IF(ISBLANK($AQ26), "", INDEX([2]SalmonProps!$A$2:$AA$10001,MATCH(1,($A26=[2]SalmonProps!$A$2:$A$10001)*(1=[2]SalmonProps!$C$2:$C$10001)*("1&amp;2"=[2]SalmonProps!$D$2:$D$10001)*("A1" = [2]SalmonProps!$B$2:$B$10001)*($AP26 = [2]SalmonProps!$F$2:$F$10001) *($AR26 = [2]SalmonProps!$G$2:$G$10001),0), 18))</f>
        <v>NA</v>
      </c>
      <c r="U26" s="165" t="str" cm="1">
        <f t="array" ref="U26">IF(ISBLANK($AQ26), "", INDEX([2]SalmonProps!$A$2:$AA$10001,MATCH(1,($A26=[2]SalmonProps!$A$2:$A$10001)*(2=[2]SalmonProps!$C$2:$C$10001)*(3=[2]SalmonProps!$D$2:$D$10001)*("A1" = [2]SalmonProps!$B$2:$B$10001)*($AP26 = [2]SalmonProps!$F$2:$F$10001) *($AR26 = [2]SalmonProps!$G$2:$G$10001),0), 18))</f>
        <v>NA</v>
      </c>
      <c r="V26" s="181" t="str" cm="1">
        <f t="array" ref="V26">IF(ISBLANK($AQ26), "", INDEX([2]SalmonProps!$A$2:$AA$10001,MATCH(1,($A26=[2]SalmonProps!$A$2:$A$10001)*(3=[2]SalmonProps!$C$2:$C$10001)*(3=[2]SalmonProps!$D$2:$D$10001)*("A1" = [2]SalmonProps!$B$2:$B$10001)*($AP26 = [2]SalmonProps!$F$2:$F$10001) *($AR26 = [2]SalmonProps!$G$2:$G$10001),0), 18))</f>
        <v>NA</v>
      </c>
      <c r="W26" s="180" t="str" cm="1">
        <f t="array" ref="W26">IF(ISBLANK($AQ26), "", INDEX([2]SalmonProps!$A$2:$AA$10001,MATCH(1,($A26=[2]SalmonProps!$A$2:$A$10001)*(1=[2]SalmonProps!$C$2:$C$10001)*(1=[2]SalmonProps!$D$2:$D$10001)*("A2" = [2]SalmonProps!$B$2:$B$10001)*($AP26 = [2]SalmonProps!$F$2:$F$10001) *($AR26 = [2]SalmonProps!$G$2:$G$10001),0), 18))</f>
        <v>NA</v>
      </c>
      <c r="X26" s="165" t="str" cm="1">
        <f t="array" ref="X26">IF(ISBLANK($AQ26), "", INDEX([2]SalmonProps!$A$2:$AA$10001,MATCH(1,($A26=[2]SalmonProps!$A$2:$A$10001)*(2=[2]SalmonProps!$C$2:$C$10001)*(1=[2]SalmonProps!$D$2:$D$10001)*("A2" = [2]SalmonProps!$B$2:$B$10001)*($AP26 = [2]SalmonProps!$F$2:$F$10001) *($AR26 = [2]SalmonProps!$G$2:$G$10001),0), 18))</f>
        <v>NA</v>
      </c>
      <c r="Y26" s="168" t="str" cm="1">
        <f t="array" ref="Y26">IF(ISBLANK($AQ26), "", INDEX([2]SalmonProps!$A$2:$AA$10001,MATCH(1,($A26=[2]SalmonProps!$A$2:$A$10001)*(3=[2]SalmonProps!$C$2:$C$10001)*(1=[2]SalmonProps!$D$2:$D$10001)*("A2" = [2]SalmonProps!$B$2:$B$10001)*($AP26 = [2]SalmonProps!$F$2:$F$10001) *($AR26 = [2]SalmonProps!$G$2:$G$10001),0), 18))</f>
        <v>NA</v>
      </c>
      <c r="Z26" s="164" cm="1">
        <f t="array" ref="Z26">IF(ISBLANK($AQ26), "", INDEX([2]SalmonProps!$A$2:$AA$10001,MATCH(1,($A26=[2]SalmonProps!$A$2:$A$10001)*(1=[2]SalmonProps!$C$2:$C$10001)*(1=[2]SalmonProps!$D$2:$D$10001)*("A1" = [2]SalmonProps!$B$2:$B$10001)*($AP26 = [2]SalmonProps!$F$2:$F$10001) *($AR26 = [2]SalmonProps!$G$2:$G$10001),0), 15))</f>
        <v>0.1089</v>
      </c>
      <c r="AA26" s="165" cm="1">
        <f t="array" ref="AA26">IF(ISBLANK($AQ26), "", INDEX([2]SalmonProps!$A$2:$AA$10001,MATCH(1,($A26=[2]SalmonProps!$A$2:$A$10001)*(1=[2]SalmonProps!$C$2:$C$10001)*(2=[2]SalmonProps!$D$2:$D$10001)*("A1" = [2]SalmonProps!$B$2:$B$10001)*($AP26 = [2]SalmonProps!$F$2:$F$10001) *($AR26 = [2]SalmonProps!$G$2:$G$10001),0), 15))</f>
        <v>5.8099999999999999E-2</v>
      </c>
      <c r="AB26" s="165" cm="1">
        <f t="array" ref="AB26">IF(ISBLANK($AQ26), "", INDEX([2]SalmonProps!$A$2:$AA$10001,MATCH(1,($A26=[2]SalmonProps!$A$2:$A$10001)*(1=[2]SalmonProps!$C$2:$C$10001)*("1&amp;2"=[2]SalmonProps!$D$2:$D$10001)*("A1" = [2]SalmonProps!$B$2:$B$10001)*($AP26 = [2]SalmonProps!$F$2:$F$10001) *($AR26 = [2]SalmonProps!$G$2:$G$10001),0), 15))</f>
        <v>7.3899999999999993E-2</v>
      </c>
      <c r="AC26" s="165" cm="1">
        <f t="array" ref="AC26">IF(ISBLANK($AQ26), "", INDEX([2]SalmonProps!$A$2:$AA$10001,MATCH(1,($A26=[2]SalmonProps!$A$2:$A$10001)*(2=[2]SalmonProps!$C$2:$C$10001)*(3=[2]SalmonProps!$D$2:$D$10001)*("A1" = [2]SalmonProps!$B$2:$B$10001)*($AP26 = [2]SalmonProps!$F$2:$F$10001) *($AR26 = [2]SalmonProps!$G$2:$G$10001),0), 15))</f>
        <v>0.40939999999999999</v>
      </c>
      <c r="AD26" s="181" cm="1">
        <f t="array" ref="AD26">IF(ISBLANK($AQ26), "", INDEX([2]SalmonProps!$A$2:$AA$10001,MATCH(1,($A26=[2]SalmonProps!$A$2:$A$10001)*(3=[2]SalmonProps!$C$2:$C$10001)*(3=[2]SalmonProps!$D$2:$D$10001)*("A1" = [2]SalmonProps!$B$2:$B$10001)*($AP26 = [2]SalmonProps!$F$2:$F$10001) *($AR26 = [2]SalmonProps!$G$2:$G$10001),0), 15))</f>
        <v>0.67749999999999999</v>
      </c>
      <c r="AE26" s="166" cm="1">
        <f t="array" ref="AE26">IF(ISBLANK($AQ26), "", INDEX([2]SalmonProps!$A$2:$AA$10001,MATCH(1,($A26=[2]SalmonProps!$A$2:$A$10001)*(1=[2]SalmonProps!$C$2:$C$10001)*(1=[2]SalmonProps!$D$2:$D$10001)*("A2" = [2]SalmonProps!$B$2:$B$10001)*($AP26 = [2]SalmonProps!$F$2:$F$10001) *($AR26 = [2]SalmonProps!$G$2:$G$10001),0), 15))</f>
        <v>1.6500000000000001E-2</v>
      </c>
      <c r="AF26" s="166" cm="1">
        <f t="array" ref="AF26">IF(ISBLANK($AQ26), "", INDEX([2]SalmonProps!$A$2:$AA$10001,MATCH(1,($A26=[2]SalmonProps!$A$2:$A$10001)*(2=[2]SalmonProps!$C$2:$C$10001)*(1=[2]SalmonProps!$D$2:$D$10001)*("A2" = [2]SalmonProps!$B$2:$B$10001)*($AP26 = [2]SalmonProps!$F$2:$F$10001) *($AR26 = [2]SalmonProps!$G$2:$G$10001),0), 15))</f>
        <v>8.4599999999999995E-2</v>
      </c>
      <c r="AG26" s="167" cm="1">
        <f t="array" ref="AG26">IF(ISBLANK($AQ26), "", INDEX([2]SalmonProps!$A$2:$AA$10001,MATCH(1,($A26=[2]SalmonProps!$A$2:$A$10001)*(3=[2]SalmonProps!$C$2:$C$10001)*(1=[2]SalmonProps!$D$2:$D$10001)*("A2" = [2]SalmonProps!$B$2:$B$10001)*($AP26 = [2]SalmonProps!$F$2:$F$10001) *($AR26 = [2]SalmonProps!$G$2:$G$10001),0), 15))</f>
        <v>0.1</v>
      </c>
      <c r="AH26" s="173" t="str" cm="1">
        <f t="array" ref="AH26">IF(ISBLANK($AQ26), "", INDEX([2]SalmonProps!$A$2:$AA$10001,MATCH(1,($A26=[2]SalmonProps!$A$2:$A$10001)*($AP26 = [2]SalmonProps!$F$2:$F$10001) *($AR26 = [2]SalmonProps!$G$2:$G$10001),0), 24))</f>
        <v>NA</v>
      </c>
      <c r="AI26" s="183" t="str" cm="1">
        <f t="array" ref="AI26">IF(ISBLANK($AQ26), "", INDEX([2]SalmonProps!$A$2:$AA$10001,MATCH(1,($A26=[2]SalmonProps!$A$2:$A$10001)*($AP26 = [2]SalmonProps!$F$2:$F$10001) *($AR26 = [2]SalmonProps!$G$2:$G$10001),0), 25))</f>
        <v>NA</v>
      </c>
      <c r="AJ26" s="174" cm="1">
        <f t="array" ref="AJ26">IF(ISBLANK($AQ26), "", INDEX([2]SalmonProps!$A$2:$AA$10001,MATCH(1,($A26=[2]SalmonProps!$A$2:$A$10001)*($AP26 = [2]SalmonProps!$F$2:$F$10001) *($AR26 = [2]SalmonProps!$G$2:$G$10001),0), 20))</f>
        <v>59.5</v>
      </c>
      <c r="AK26" s="183" cm="1">
        <f t="array" ref="AK26">IF(ISBLANK($AQ26), "", INDEX([2]SalmonProps!$A$2:$AA$10001,MATCH(1,($A26=[2]SalmonProps!$A$2:$A$10001)*($AP26 = [2]SalmonProps!$F$2:$F$10001) *($AR26 = [2]SalmonProps!$G$2:$G$10001),0), 21))</f>
        <v>4.8</v>
      </c>
      <c r="AL26" s="174" cm="1">
        <f t="array" ref="AL26">IF(ISBLANK($AQ26), "", INDEX([2]SalmonProps!$A$2:$AA$10001,MATCH(1,($A26=[2]SalmonProps!$A$2:$A$10001)*($AP26 = [2]SalmonProps!$F$2:$F$10001) *($AR26 = [2]SalmonProps!$G$2:$G$10001),0), 22))</f>
        <v>74.8</v>
      </c>
      <c r="AM26" s="183" cm="1">
        <f t="array" ref="AM26">IF(ISBLANK($AQ26), "", INDEX([2]SalmonProps!$A$2:$AA$10001,MATCH(1,($A26=[2]SalmonProps!$A$2:$A$10001)*($AP26 = [2]SalmonProps!$F$2:$F$10001) *($AR26 = [2]SalmonProps!$G$2:$G$10001),0), 23))</f>
        <v>7.6</v>
      </c>
      <c r="AN26" s="174" t="str" cm="1">
        <f t="array" ref="AN26">IF(ISBLANK($AQ26), "", INDEX([2]SalmonProps!$A$2:$AA$10001,MATCH(1,($A26=[2]SalmonProps!$A$2:$A$10001)*($AP26 = [2]SalmonProps!$F$2:$F$10001) *($AR26 = [2]SalmonProps!$G$2:$G$10001),0), 26))</f>
        <v>NA</v>
      </c>
      <c r="AO26" s="175" t="str" cm="1">
        <f t="array" ref="AO26">IF(ISBLANK($AQ26), "", INDEX([2]SalmonProps!$A$2:$AA$10001,MATCH(1,($A26=[2]SalmonProps!$A$2:$A$10001)*($AP26 = [2]SalmonProps!$F$2:$F$10001) *($AR26 = [2]SalmonProps!$G$2:$G$10001),0), 27))</f>
        <v>NA</v>
      </c>
      <c r="AP26" s="112">
        <v>3</v>
      </c>
      <c r="AQ26" s="112" t="s">
        <v>133</v>
      </c>
      <c r="AR26" s="112" t="str">
        <f t="shared" si="1"/>
        <v>Unweighted</v>
      </c>
    </row>
    <row r="27" spans="1:44" x14ac:dyDescent="0.3">
      <c r="A27" s="20">
        <f>'[1]Passage Estimates'!$A27</f>
        <v>45129</v>
      </c>
      <c r="B27" s="164" cm="1">
        <f t="array" ref="B27">IF(ISBLANK($AQ27), "", INDEX([2]SalmonProps!$A$2:$AA$10001,MATCH(1,($A27=[2]SalmonProps!$A$2:$A$10001)*(1=[2]SalmonProps!$C$2:$C$10001)*(1=[2]SalmonProps!$D$2:$D$10001)*("A1" = [2]SalmonProps!$B$2:$B$10001)*($AP27 = [2]SalmonProps!$F$2:$F$10001) *($AR27 = [2]SalmonProps!$G$2:$G$10001),0), 17))</f>
        <v>0</v>
      </c>
      <c r="C27" s="165" cm="1">
        <f t="array" ref="C27">IF(ISBLANK($AQ27), "", INDEX([2]SalmonProps!$A$2:$AA$10001,MATCH(1,($A27=[2]SalmonProps!$A$2:$A$10001)*(1=[2]SalmonProps!$C$2:$C$10001)*(2=[2]SalmonProps!$D$2:$D$10001)*("A1" = [2]SalmonProps!$B$2:$B$10001)*($AP27 = [2]SalmonProps!$F$2:$F$10001) *($AR27 = [2]SalmonProps!$G$2:$G$10001),0), 17))</f>
        <v>0</v>
      </c>
      <c r="D27" s="165" cm="1">
        <f t="array" ref="D27">IF(ISBLANK($AQ27), "", INDEX([2]SalmonProps!$A$2:$AA$10001,MATCH(1,($A27=[2]SalmonProps!$A$2:$A$10001)*(1=[2]SalmonProps!$C$2:$C$10001)*("1&amp;2"=[2]SalmonProps!$D$2:$D$10001)*("A1" = [2]SalmonProps!$B$2:$B$10001)*($AP27 = [2]SalmonProps!$F$2:$F$10001) *($AR27 = [2]SalmonProps!$G$2:$G$10001),0), 17))</f>
        <v>0</v>
      </c>
      <c r="E27" s="181" cm="1">
        <f t="array" ref="E27">IF(ISBLANK($AQ27), "", INDEX([2]SalmonProps!$A$2:$AA$10001,MATCH(1,($A27=[2]SalmonProps!$A$2:$A$10001)*(2=[2]SalmonProps!$C$2:$C$10001)*(3=[2]SalmonProps!$D$2:$D$10001)*("A1" = [2]SalmonProps!$B$2:$B$10001)*($AP27 = [2]SalmonProps!$F$2:$F$10001) *($AR27 = [2]SalmonProps!$G$2:$G$10001),0), 17))</f>
        <v>2.8799999999999999E-2</v>
      </c>
      <c r="F27" s="165" cm="1">
        <f t="array" ref="F27">IF(ISBLANK($AQ27), "", INDEX([2]SalmonProps!$A$2:$AA$10001,MATCH(1,($A27=[2]SalmonProps!$A$2:$A$10001)*(3=[2]SalmonProps!$C$2:$C$10001)*(3=[2]SalmonProps!$D$2:$D$10001)*("A1" = [2]SalmonProps!$B$2:$B$10001)*($AP27 = [2]SalmonProps!$F$2:$F$10001) *($AR27 = [2]SalmonProps!$G$2:$G$10001),0), 17))</f>
        <v>0.35360000000000003</v>
      </c>
      <c r="G27" s="165" cm="1">
        <f t="array" ref="G27">IF(ISBLANK($AQ27), "", INDEX([2]SalmonProps!$A$2:$AA$10001,MATCH(1,($A27=[2]SalmonProps!$A$2:$A$10001)*(1=[2]SalmonProps!$C$2:$C$10001)*(1=[2]SalmonProps!$D$2:$D$10001)*("A2" = [2]SalmonProps!$B$2:$B$10001)*($AP27 = [2]SalmonProps!$F$2:$F$10001) *($AR27 = [2]SalmonProps!$G$2:$G$10001),0), 17))</f>
        <v>0</v>
      </c>
      <c r="H27" s="166" cm="1">
        <f t="array" ref="H27">IF(ISBLANK($AQ27), "", INDEX([2]SalmonProps!$A$2:$AA$10001,MATCH(1,($A27=[2]SalmonProps!$A$2:$A$10001)*(2=[2]SalmonProps!$C$2:$C$10001)*(1=[2]SalmonProps!$D$2:$D$10001)*("A2" = [2]SalmonProps!$B$2:$B$10001)*($AP27 = [2]SalmonProps!$F$2:$F$10001) *($AR27 = [2]SalmonProps!$G$2:$G$10001),0), 17))</f>
        <v>0.10150000000000001</v>
      </c>
      <c r="I27" s="167" cm="1">
        <f t="array" ref="I27">IF(ISBLANK($AQ27), "", INDEX([2]SalmonProps!$A$2:$AA$10001,MATCH(1,($A27=[2]SalmonProps!$A$2:$A$10001)*(3=[2]SalmonProps!$C$2:$C$10001)*(1=[2]SalmonProps!$D$2:$D$10001)*("A2" = [2]SalmonProps!$B$2:$B$10001)*($AP27 = [2]SalmonProps!$F$2:$F$10001) *($AR27 = [2]SalmonProps!$G$2:$G$10001),0), 17))</f>
        <v>0.2298</v>
      </c>
      <c r="J27" s="164" t="str" cm="1">
        <f t="array" ref="J27">IF(ISBLANK($AQ27), "", INDEX([2]SalmonProps!$A$2:$AA$10001,MATCH(1,($A27=[2]SalmonProps!$A$2:$A$10001)*(1=[2]SalmonProps!$C$2:$C$10001)*(1=[2]SalmonProps!$D$2:$D$10001)*("A1" = [2]SalmonProps!$B$2:$B$10001)*($AP27 = [2]SalmonProps!$F$2:$F$10001) *($AR27 = [2]SalmonProps!$G$2:$G$10001),0), 19))</f>
        <v>NA</v>
      </c>
      <c r="K27" s="165" t="str" cm="1">
        <f t="array" ref="K27">IF(ISBLANK($AQ27), "", INDEX([2]SalmonProps!$A$2:$AA$10001,MATCH(1,($A27=[2]SalmonProps!$A$2:$A$10001)*(1=[2]SalmonProps!$C$2:$C$10001)*(2=[2]SalmonProps!$D$2:$D$10001)*("A1" = [2]SalmonProps!$B$2:$B$10001)*($AP27 = [2]SalmonProps!$F$2:$F$10001) *($AR27 = [2]SalmonProps!$G$2:$G$10001),0), 19))</f>
        <v>NA</v>
      </c>
      <c r="L27" s="165" t="str" cm="1">
        <f t="array" ref="L27">IF(ISBLANK($AQ27), "", INDEX([2]SalmonProps!$A$2:$AA$10001,MATCH(1,($A27=[2]SalmonProps!$A$2:$A$10001)*(1=[2]SalmonProps!$C$2:$C$10001)*("1&amp;2"=[2]SalmonProps!$D$2:$D$10001)*("A1" = [2]SalmonProps!$B$2:$B$10001)*($AP27 = [2]SalmonProps!$F$2:$F$10001) *($AR27 = [2]SalmonProps!$G$2:$G$10001),0), 19))</f>
        <v>NA</v>
      </c>
      <c r="M27" s="165" t="str" cm="1">
        <f t="array" ref="M27">IF(ISBLANK($AQ27), "", INDEX([2]SalmonProps!$A$2:$AA$10001,MATCH(1,($A27=[2]SalmonProps!$A$2:$A$10001)*(2=[2]SalmonProps!$C$2:$C$10001)*(3=[2]SalmonProps!$D$2:$D$10001)*("A1" = [2]SalmonProps!$B$2:$B$10001)*($AP27 = [2]SalmonProps!$F$2:$F$10001) *($AR27 = [2]SalmonProps!$G$2:$G$10001),0), 19))</f>
        <v>NA</v>
      </c>
      <c r="N27" s="181" t="str" cm="1">
        <f t="array" ref="N27">IF(ISBLANK($AQ27), "", INDEX([2]SalmonProps!$A$2:$AA$10001,MATCH(1,($A27=[2]SalmonProps!$A$2:$A$10001)*(3=[2]SalmonProps!$C$2:$C$10001)*(3=[2]SalmonProps!$D$2:$D$10001)*("A1" = [2]SalmonProps!$B$2:$B$10001)*($AP27 = [2]SalmonProps!$F$2:$F$10001) *($AR27 = [2]SalmonProps!$G$2:$G$10001),0), 19))</f>
        <v>NA</v>
      </c>
      <c r="O27" s="165" t="str" cm="1">
        <f t="array" ref="O27">IF(ISBLANK($AQ27), "", INDEX([2]SalmonProps!$A$2:$AA$10001,MATCH(1,($A27=[2]SalmonProps!$A$2:$A$10001)*(1=[2]SalmonProps!$C$2:$C$10001)*(1=[2]SalmonProps!$D$2:$D$10001)*("A2" = [2]SalmonProps!$B$2:$B$10001)*($AP27 = [2]SalmonProps!$F$2:$F$10001) *($AR27 = [2]SalmonProps!$G$2:$G$10001),0), 19))</f>
        <v>NA</v>
      </c>
      <c r="P27" s="165" t="str" cm="1">
        <f t="array" ref="P27">IF(ISBLANK($AQ27), "", INDEX([2]SalmonProps!$A$2:$AA$10001,MATCH(1,($A27=[2]SalmonProps!$A$2:$A$10001)*(2=[2]SalmonProps!$C$2:$C$10001)*(1=[2]SalmonProps!$D$2:$D$10001)*("A2" = [2]SalmonProps!$B$2:$B$10001)*($AP27 = [2]SalmonProps!$F$2:$F$10001) *($AR27 = [2]SalmonProps!$G$2:$G$10001),0), 19))</f>
        <v>NA</v>
      </c>
      <c r="Q27" s="168" t="str" cm="1">
        <f t="array" ref="Q27">IF(ISBLANK($AQ27), "", INDEX([2]SalmonProps!$A$2:$AA$10001,MATCH(1,($A27=[2]SalmonProps!$A$2:$A$10001)*(3=[2]SalmonProps!$C$2:$C$10001)*(1=[2]SalmonProps!$D$2:$D$10001)*("A2" = [2]SalmonProps!$B$2:$B$10001)*($AP27 = [2]SalmonProps!$F$2:$F$10001) *($AR27 = [2]SalmonProps!$G$2:$G$10001),0), 19))</f>
        <v>NA</v>
      </c>
      <c r="R27" s="164" t="str" cm="1">
        <f t="array" ref="R27">IF(ISBLANK($AQ27), "", INDEX([2]SalmonProps!$A$2:$AA$10001,MATCH(1,($A27=[2]SalmonProps!$A$2:$A$10001)*(1=[2]SalmonProps!$C$2:$C$10001)*(1=[2]SalmonProps!$D$2:$D$10001)*("A1" = [2]SalmonProps!$B$2:$B$10001)*($AP27 = [2]SalmonProps!$F$2:$F$10001) *($AR27 = [2]SalmonProps!$G$2:$G$10001),0), 18))</f>
        <v>NA</v>
      </c>
      <c r="S27" s="165" t="str" cm="1">
        <f t="array" ref="S27">IF(ISBLANK($AQ27), "", INDEX([2]SalmonProps!$A$2:$AA$10001,MATCH(1,($A27=[2]SalmonProps!$A$2:$A$10001)*(1=[2]SalmonProps!$C$2:$C$10001)*(2=[2]SalmonProps!$D$2:$D$10001)*("A1" = [2]SalmonProps!$B$2:$B$10001)*($AP27 = [2]SalmonProps!$F$2:$F$10001) *($AR27 = [2]SalmonProps!$G$2:$G$10001),0), 18))</f>
        <v>NA</v>
      </c>
      <c r="T27" s="165" t="str" cm="1">
        <f t="array" ref="T27">IF(ISBLANK($AQ27), "", INDEX([2]SalmonProps!$A$2:$AA$10001,MATCH(1,($A27=[2]SalmonProps!$A$2:$A$10001)*(1=[2]SalmonProps!$C$2:$C$10001)*("1&amp;2"=[2]SalmonProps!$D$2:$D$10001)*("A1" = [2]SalmonProps!$B$2:$B$10001)*($AP27 = [2]SalmonProps!$F$2:$F$10001) *($AR27 = [2]SalmonProps!$G$2:$G$10001),0), 18))</f>
        <v>NA</v>
      </c>
      <c r="U27" s="165" t="str" cm="1">
        <f t="array" ref="U27">IF(ISBLANK($AQ27), "", INDEX([2]SalmonProps!$A$2:$AA$10001,MATCH(1,($A27=[2]SalmonProps!$A$2:$A$10001)*(2=[2]SalmonProps!$C$2:$C$10001)*(3=[2]SalmonProps!$D$2:$D$10001)*("A1" = [2]SalmonProps!$B$2:$B$10001)*($AP27 = [2]SalmonProps!$F$2:$F$10001) *($AR27 = [2]SalmonProps!$G$2:$G$10001),0), 18))</f>
        <v>NA</v>
      </c>
      <c r="V27" s="181" t="str" cm="1">
        <f t="array" ref="V27">IF(ISBLANK($AQ27), "", INDEX([2]SalmonProps!$A$2:$AA$10001,MATCH(1,($A27=[2]SalmonProps!$A$2:$A$10001)*(3=[2]SalmonProps!$C$2:$C$10001)*(3=[2]SalmonProps!$D$2:$D$10001)*("A1" = [2]SalmonProps!$B$2:$B$10001)*($AP27 = [2]SalmonProps!$F$2:$F$10001) *($AR27 = [2]SalmonProps!$G$2:$G$10001),0), 18))</f>
        <v>NA</v>
      </c>
      <c r="W27" s="180" t="str" cm="1">
        <f t="array" ref="W27">IF(ISBLANK($AQ27), "", INDEX([2]SalmonProps!$A$2:$AA$10001,MATCH(1,($A27=[2]SalmonProps!$A$2:$A$10001)*(1=[2]SalmonProps!$C$2:$C$10001)*(1=[2]SalmonProps!$D$2:$D$10001)*("A2" = [2]SalmonProps!$B$2:$B$10001)*($AP27 = [2]SalmonProps!$F$2:$F$10001) *($AR27 = [2]SalmonProps!$G$2:$G$10001),0), 18))</f>
        <v>NA</v>
      </c>
      <c r="X27" s="165" t="str" cm="1">
        <f t="array" ref="X27">IF(ISBLANK($AQ27), "", INDEX([2]SalmonProps!$A$2:$AA$10001,MATCH(1,($A27=[2]SalmonProps!$A$2:$A$10001)*(2=[2]SalmonProps!$C$2:$C$10001)*(1=[2]SalmonProps!$D$2:$D$10001)*("A2" = [2]SalmonProps!$B$2:$B$10001)*($AP27 = [2]SalmonProps!$F$2:$F$10001) *($AR27 = [2]SalmonProps!$G$2:$G$10001),0), 18))</f>
        <v>NA</v>
      </c>
      <c r="Y27" s="168" t="str" cm="1">
        <f t="array" ref="Y27">IF(ISBLANK($AQ27), "", INDEX([2]SalmonProps!$A$2:$AA$10001,MATCH(1,($A27=[2]SalmonProps!$A$2:$A$10001)*(3=[2]SalmonProps!$C$2:$C$10001)*(1=[2]SalmonProps!$D$2:$D$10001)*("A2" = [2]SalmonProps!$B$2:$B$10001)*($AP27 = [2]SalmonProps!$F$2:$F$10001) *($AR27 = [2]SalmonProps!$G$2:$G$10001),0), 18))</f>
        <v>NA</v>
      </c>
      <c r="Z27" s="164" cm="1">
        <f t="array" ref="Z27">IF(ISBLANK($AQ27), "", INDEX([2]SalmonProps!$A$2:$AA$10001,MATCH(1,($A27=[2]SalmonProps!$A$2:$A$10001)*(1=[2]SalmonProps!$C$2:$C$10001)*(1=[2]SalmonProps!$D$2:$D$10001)*("A1" = [2]SalmonProps!$B$2:$B$10001)*($AP27 = [2]SalmonProps!$F$2:$F$10001) *($AR27 = [2]SalmonProps!$G$2:$G$10001),0), 15))</f>
        <v>9.7500000000000003E-2</v>
      </c>
      <c r="AA27" s="165" cm="1">
        <f t="array" ref="AA27">IF(ISBLANK($AQ27), "", INDEX([2]SalmonProps!$A$2:$AA$10001,MATCH(1,($A27=[2]SalmonProps!$A$2:$A$10001)*(1=[2]SalmonProps!$C$2:$C$10001)*(2=[2]SalmonProps!$D$2:$D$10001)*("A1" = [2]SalmonProps!$B$2:$B$10001)*($AP27 = [2]SalmonProps!$F$2:$F$10001) *($AR27 = [2]SalmonProps!$G$2:$G$10001),0), 15))</f>
        <v>0.105</v>
      </c>
      <c r="AB27" s="165" cm="1">
        <f t="array" ref="AB27">IF(ISBLANK($AQ27), "", INDEX([2]SalmonProps!$A$2:$AA$10001,MATCH(1,($A27=[2]SalmonProps!$A$2:$A$10001)*(1=[2]SalmonProps!$C$2:$C$10001)*("1&amp;2"=[2]SalmonProps!$D$2:$D$10001)*("A1" = [2]SalmonProps!$B$2:$B$10001)*($AP27 = [2]SalmonProps!$F$2:$F$10001) *($AR27 = [2]SalmonProps!$G$2:$G$10001),0), 15))</f>
        <v>0.1017</v>
      </c>
      <c r="AC27" s="165" cm="1">
        <f t="array" ref="AC27">IF(ISBLANK($AQ27), "", INDEX([2]SalmonProps!$A$2:$AA$10001,MATCH(1,($A27=[2]SalmonProps!$A$2:$A$10001)*(2=[2]SalmonProps!$C$2:$C$10001)*(3=[2]SalmonProps!$D$2:$D$10001)*("A1" = [2]SalmonProps!$B$2:$B$10001)*($AP27 = [2]SalmonProps!$F$2:$F$10001) *($AR27 = [2]SalmonProps!$G$2:$G$10001),0), 15))</f>
        <v>0.22770000000000001</v>
      </c>
      <c r="AD27" s="181" cm="1">
        <f t="array" ref="AD27">IF(ISBLANK($AQ27), "", INDEX([2]SalmonProps!$A$2:$AA$10001,MATCH(1,($A27=[2]SalmonProps!$A$2:$A$10001)*(3=[2]SalmonProps!$C$2:$C$10001)*(3=[2]SalmonProps!$D$2:$D$10001)*("A1" = [2]SalmonProps!$B$2:$B$10001)*($AP27 = [2]SalmonProps!$F$2:$F$10001) *($AR27 = [2]SalmonProps!$G$2:$G$10001),0), 15))</f>
        <v>0.5706</v>
      </c>
      <c r="AE27" s="166" cm="1">
        <f t="array" ref="AE27">IF(ISBLANK($AQ27), "", INDEX([2]SalmonProps!$A$2:$AA$10001,MATCH(1,($A27=[2]SalmonProps!$A$2:$A$10001)*(1=[2]SalmonProps!$C$2:$C$10001)*(1=[2]SalmonProps!$D$2:$D$10001)*("A2" = [2]SalmonProps!$B$2:$B$10001)*($AP27 = [2]SalmonProps!$F$2:$F$10001) *($AR27 = [2]SalmonProps!$G$2:$G$10001),0), 15))</f>
        <v>8.7599999999999997E-2</v>
      </c>
      <c r="AF27" s="166" cm="1">
        <f t="array" ref="AF27">IF(ISBLANK($AQ27), "", INDEX([2]SalmonProps!$A$2:$AA$10001,MATCH(1,($A27=[2]SalmonProps!$A$2:$A$10001)*(2=[2]SalmonProps!$C$2:$C$10001)*(1=[2]SalmonProps!$D$2:$D$10001)*("A2" = [2]SalmonProps!$B$2:$B$10001)*($AP27 = [2]SalmonProps!$F$2:$F$10001) *($AR27 = [2]SalmonProps!$G$2:$G$10001),0), 15))</f>
        <v>0.1416</v>
      </c>
      <c r="AG27" s="167" cm="1">
        <f t="array" ref="AG27">IF(ISBLANK($AQ27), "", INDEX([2]SalmonProps!$A$2:$AA$10001,MATCH(1,($A27=[2]SalmonProps!$A$2:$A$10001)*(3=[2]SalmonProps!$C$2:$C$10001)*(1=[2]SalmonProps!$D$2:$D$10001)*("A2" = [2]SalmonProps!$B$2:$B$10001)*($AP27 = [2]SalmonProps!$F$2:$F$10001) *($AR27 = [2]SalmonProps!$G$2:$G$10001),0), 15))</f>
        <v>0.40150000000000002</v>
      </c>
      <c r="AH27" s="173" t="str" cm="1">
        <f t="array" ref="AH27">IF(ISBLANK($AQ27), "", INDEX([2]SalmonProps!$A$2:$AA$10001,MATCH(1,($A27=[2]SalmonProps!$A$2:$A$10001)*($AP27 = [2]SalmonProps!$F$2:$F$10001) *($AR27 = [2]SalmonProps!$G$2:$G$10001),0), 24))</f>
        <v>NA</v>
      </c>
      <c r="AI27" s="183" t="str" cm="1">
        <f t="array" ref="AI27">IF(ISBLANK($AQ27), "", INDEX([2]SalmonProps!$A$2:$AA$10001,MATCH(1,($A27=[2]SalmonProps!$A$2:$A$10001)*($AP27 = [2]SalmonProps!$F$2:$F$10001) *($AR27 = [2]SalmonProps!$G$2:$G$10001),0), 25))</f>
        <v>NA</v>
      </c>
      <c r="AJ27" s="174" cm="1">
        <f t="array" ref="AJ27">IF(ISBLANK($AQ27), "", INDEX([2]SalmonProps!$A$2:$AA$10001,MATCH(1,($A27=[2]SalmonProps!$A$2:$A$10001)*($AP27 = [2]SalmonProps!$F$2:$F$10001) *($AR27 = [2]SalmonProps!$G$2:$G$10001),0), 20))</f>
        <v>59.5</v>
      </c>
      <c r="AK27" s="183" cm="1">
        <f t="array" ref="AK27">IF(ISBLANK($AQ27), "", INDEX([2]SalmonProps!$A$2:$AA$10001,MATCH(1,($A27=[2]SalmonProps!$A$2:$A$10001)*($AP27 = [2]SalmonProps!$F$2:$F$10001) *($AR27 = [2]SalmonProps!$G$2:$G$10001),0), 21))</f>
        <v>4.8</v>
      </c>
      <c r="AL27" s="174" cm="1">
        <f t="array" ref="AL27">IF(ISBLANK($AQ27), "", INDEX([2]SalmonProps!$A$2:$AA$10001,MATCH(1,($A27=[2]SalmonProps!$A$2:$A$10001)*($AP27 = [2]SalmonProps!$F$2:$F$10001) *($AR27 = [2]SalmonProps!$G$2:$G$10001),0), 22))</f>
        <v>74.8</v>
      </c>
      <c r="AM27" s="183" cm="1">
        <f t="array" ref="AM27">IF(ISBLANK($AQ27), "", INDEX([2]SalmonProps!$A$2:$AA$10001,MATCH(1,($A27=[2]SalmonProps!$A$2:$A$10001)*($AP27 = [2]SalmonProps!$F$2:$F$10001) *($AR27 = [2]SalmonProps!$G$2:$G$10001),0), 23))</f>
        <v>7.6</v>
      </c>
      <c r="AN27" s="174" t="str" cm="1">
        <f t="array" ref="AN27">IF(ISBLANK($AQ27), "", INDEX([2]SalmonProps!$A$2:$AA$10001,MATCH(1,($A27=[2]SalmonProps!$A$2:$A$10001)*($AP27 = [2]SalmonProps!$F$2:$F$10001) *($AR27 = [2]SalmonProps!$G$2:$G$10001),0), 26))</f>
        <v>NA</v>
      </c>
      <c r="AO27" s="175" t="str" cm="1">
        <f t="array" ref="AO27">IF(ISBLANK($AQ27), "", INDEX([2]SalmonProps!$A$2:$AA$10001,MATCH(1,($A27=[2]SalmonProps!$A$2:$A$10001)*($AP27 = [2]SalmonProps!$F$2:$F$10001) *($AR27 = [2]SalmonProps!$G$2:$G$10001),0), 27))</f>
        <v>NA</v>
      </c>
      <c r="AP27" s="112">
        <v>3</v>
      </c>
      <c r="AQ27" s="112" t="s">
        <v>133</v>
      </c>
      <c r="AR27" s="112" t="str">
        <f t="shared" si="1"/>
        <v>Unweighted</v>
      </c>
    </row>
    <row r="28" spans="1:44" x14ac:dyDescent="0.3">
      <c r="A28" s="20">
        <f>'[1]Passage Estimates'!$A28</f>
        <v>45130</v>
      </c>
      <c r="B28" s="164" cm="1">
        <f t="array" ref="B28">IF(ISBLANK($AQ28), "", INDEX([2]SalmonProps!$A$2:$AA$10001,MATCH(1,($A28=[2]SalmonProps!$A$2:$A$10001)*(1=[2]SalmonProps!$C$2:$C$10001)*(1=[2]SalmonProps!$D$2:$D$10001)*("A1" = [2]SalmonProps!$B$2:$B$10001)*($AP28 = [2]SalmonProps!$F$2:$F$10001) *($AR28 = [2]SalmonProps!$G$2:$G$10001),0), 17))</f>
        <v>0</v>
      </c>
      <c r="C28" s="165" cm="1">
        <f t="array" ref="C28">IF(ISBLANK($AQ28), "", INDEX([2]SalmonProps!$A$2:$AA$10001,MATCH(1,($A28=[2]SalmonProps!$A$2:$A$10001)*(1=[2]SalmonProps!$C$2:$C$10001)*(2=[2]SalmonProps!$D$2:$D$10001)*("A1" = [2]SalmonProps!$B$2:$B$10001)*($AP28 = [2]SalmonProps!$F$2:$F$10001) *($AR28 = [2]SalmonProps!$G$2:$G$10001),0), 17))</f>
        <v>0</v>
      </c>
      <c r="D28" s="165" cm="1">
        <f t="array" ref="D28">IF(ISBLANK($AQ28), "", INDEX([2]SalmonProps!$A$2:$AA$10001,MATCH(1,($A28=[2]SalmonProps!$A$2:$A$10001)*(1=[2]SalmonProps!$C$2:$C$10001)*("1&amp;2"=[2]SalmonProps!$D$2:$D$10001)*("A1" = [2]SalmonProps!$B$2:$B$10001)*($AP28 = [2]SalmonProps!$F$2:$F$10001) *($AR28 = [2]SalmonProps!$G$2:$G$10001),0), 17))</f>
        <v>0</v>
      </c>
      <c r="E28" s="181" cm="1">
        <f t="array" ref="E28">IF(ISBLANK($AQ28), "", INDEX([2]SalmonProps!$A$2:$AA$10001,MATCH(1,($A28=[2]SalmonProps!$A$2:$A$10001)*(2=[2]SalmonProps!$C$2:$C$10001)*(3=[2]SalmonProps!$D$2:$D$10001)*("A1" = [2]SalmonProps!$B$2:$B$10001)*($AP28 = [2]SalmonProps!$F$2:$F$10001) *($AR28 = [2]SalmonProps!$G$2:$G$10001),0), 17))</f>
        <v>0.16900000000000001</v>
      </c>
      <c r="F28" s="165" cm="1">
        <f t="array" ref="F28">IF(ISBLANK($AQ28), "", INDEX([2]SalmonProps!$A$2:$AA$10001,MATCH(1,($A28=[2]SalmonProps!$A$2:$A$10001)*(3=[2]SalmonProps!$C$2:$C$10001)*(3=[2]SalmonProps!$D$2:$D$10001)*("A1" = [2]SalmonProps!$B$2:$B$10001)*($AP28 = [2]SalmonProps!$F$2:$F$10001) *($AR28 = [2]SalmonProps!$G$2:$G$10001),0), 17))</f>
        <v>0.43659999999999999</v>
      </c>
      <c r="G28" s="165" cm="1">
        <f t="array" ref="G28">IF(ISBLANK($AQ28), "", INDEX([2]SalmonProps!$A$2:$AA$10001,MATCH(1,($A28=[2]SalmonProps!$A$2:$A$10001)*(1=[2]SalmonProps!$C$2:$C$10001)*(1=[2]SalmonProps!$D$2:$D$10001)*("A2" = [2]SalmonProps!$B$2:$B$10001)*($AP28 = [2]SalmonProps!$F$2:$F$10001) *($AR28 = [2]SalmonProps!$G$2:$G$10001),0), 17))</f>
        <v>0</v>
      </c>
      <c r="H28" s="166" cm="1">
        <f t="array" ref="H28">IF(ISBLANK($AQ28), "", INDEX([2]SalmonProps!$A$2:$AA$10001,MATCH(1,($A28=[2]SalmonProps!$A$2:$A$10001)*(2=[2]SalmonProps!$C$2:$C$10001)*(1=[2]SalmonProps!$D$2:$D$10001)*("A2" = [2]SalmonProps!$B$2:$B$10001)*($AP28 = [2]SalmonProps!$F$2:$F$10001) *($AR28 = [2]SalmonProps!$G$2:$G$10001),0), 17))</f>
        <v>0.10150000000000001</v>
      </c>
      <c r="I28" s="167" cm="1">
        <f t="array" ref="I28">IF(ISBLANK($AQ28), "", INDEX([2]SalmonProps!$A$2:$AA$10001,MATCH(1,($A28=[2]SalmonProps!$A$2:$A$10001)*(3=[2]SalmonProps!$C$2:$C$10001)*(1=[2]SalmonProps!$D$2:$D$10001)*("A2" = [2]SalmonProps!$B$2:$B$10001)*($AP28 = [2]SalmonProps!$F$2:$F$10001) *($AR28 = [2]SalmonProps!$G$2:$G$10001),0), 17))</f>
        <v>0.2298</v>
      </c>
      <c r="J28" s="164" t="str" cm="1">
        <f t="array" ref="J28">IF(ISBLANK($AQ28), "", INDEX([2]SalmonProps!$A$2:$AA$10001,MATCH(1,($A28=[2]SalmonProps!$A$2:$A$10001)*(1=[2]SalmonProps!$C$2:$C$10001)*(1=[2]SalmonProps!$D$2:$D$10001)*("A1" = [2]SalmonProps!$B$2:$B$10001)*($AP28 = [2]SalmonProps!$F$2:$F$10001) *($AR28 = [2]SalmonProps!$G$2:$G$10001),0), 19))</f>
        <v>NA</v>
      </c>
      <c r="K28" s="165" t="str" cm="1">
        <f t="array" ref="K28">IF(ISBLANK($AQ28), "", INDEX([2]SalmonProps!$A$2:$AA$10001,MATCH(1,($A28=[2]SalmonProps!$A$2:$A$10001)*(1=[2]SalmonProps!$C$2:$C$10001)*(2=[2]SalmonProps!$D$2:$D$10001)*("A1" = [2]SalmonProps!$B$2:$B$10001)*($AP28 = [2]SalmonProps!$F$2:$F$10001) *($AR28 = [2]SalmonProps!$G$2:$G$10001),0), 19))</f>
        <v>NA</v>
      </c>
      <c r="L28" s="165" t="str" cm="1">
        <f t="array" ref="L28">IF(ISBLANK($AQ28), "", INDEX([2]SalmonProps!$A$2:$AA$10001,MATCH(1,($A28=[2]SalmonProps!$A$2:$A$10001)*(1=[2]SalmonProps!$C$2:$C$10001)*("1&amp;2"=[2]SalmonProps!$D$2:$D$10001)*("A1" = [2]SalmonProps!$B$2:$B$10001)*($AP28 = [2]SalmonProps!$F$2:$F$10001) *($AR28 = [2]SalmonProps!$G$2:$G$10001),0), 19))</f>
        <v>NA</v>
      </c>
      <c r="M28" s="165" t="str" cm="1">
        <f t="array" ref="M28">IF(ISBLANK($AQ28), "", INDEX([2]SalmonProps!$A$2:$AA$10001,MATCH(1,($A28=[2]SalmonProps!$A$2:$A$10001)*(2=[2]SalmonProps!$C$2:$C$10001)*(3=[2]SalmonProps!$D$2:$D$10001)*("A1" = [2]SalmonProps!$B$2:$B$10001)*($AP28 = [2]SalmonProps!$F$2:$F$10001) *($AR28 = [2]SalmonProps!$G$2:$G$10001),0), 19))</f>
        <v>NA</v>
      </c>
      <c r="N28" s="181" t="str" cm="1">
        <f t="array" ref="N28">IF(ISBLANK($AQ28), "", INDEX([2]SalmonProps!$A$2:$AA$10001,MATCH(1,($A28=[2]SalmonProps!$A$2:$A$10001)*(3=[2]SalmonProps!$C$2:$C$10001)*(3=[2]SalmonProps!$D$2:$D$10001)*("A1" = [2]SalmonProps!$B$2:$B$10001)*($AP28 = [2]SalmonProps!$F$2:$F$10001) *($AR28 = [2]SalmonProps!$G$2:$G$10001),0), 19))</f>
        <v>NA</v>
      </c>
      <c r="O28" s="165" t="str" cm="1">
        <f t="array" ref="O28">IF(ISBLANK($AQ28), "", INDEX([2]SalmonProps!$A$2:$AA$10001,MATCH(1,($A28=[2]SalmonProps!$A$2:$A$10001)*(1=[2]SalmonProps!$C$2:$C$10001)*(1=[2]SalmonProps!$D$2:$D$10001)*("A2" = [2]SalmonProps!$B$2:$B$10001)*($AP28 = [2]SalmonProps!$F$2:$F$10001) *($AR28 = [2]SalmonProps!$G$2:$G$10001),0), 19))</f>
        <v>NA</v>
      </c>
      <c r="P28" s="165" t="str" cm="1">
        <f t="array" ref="P28">IF(ISBLANK($AQ28), "", INDEX([2]SalmonProps!$A$2:$AA$10001,MATCH(1,($A28=[2]SalmonProps!$A$2:$A$10001)*(2=[2]SalmonProps!$C$2:$C$10001)*(1=[2]SalmonProps!$D$2:$D$10001)*("A2" = [2]SalmonProps!$B$2:$B$10001)*($AP28 = [2]SalmonProps!$F$2:$F$10001) *($AR28 = [2]SalmonProps!$G$2:$G$10001),0), 19))</f>
        <v>NA</v>
      </c>
      <c r="Q28" s="168" t="str" cm="1">
        <f t="array" ref="Q28">IF(ISBLANK($AQ28), "", INDEX([2]SalmonProps!$A$2:$AA$10001,MATCH(1,($A28=[2]SalmonProps!$A$2:$A$10001)*(3=[2]SalmonProps!$C$2:$C$10001)*(1=[2]SalmonProps!$D$2:$D$10001)*("A2" = [2]SalmonProps!$B$2:$B$10001)*($AP28 = [2]SalmonProps!$F$2:$F$10001) *($AR28 = [2]SalmonProps!$G$2:$G$10001),0), 19))</f>
        <v>NA</v>
      </c>
      <c r="R28" s="164" t="str" cm="1">
        <f t="array" ref="R28">IF(ISBLANK($AQ28), "", INDEX([2]SalmonProps!$A$2:$AA$10001,MATCH(1,($A28=[2]SalmonProps!$A$2:$A$10001)*(1=[2]SalmonProps!$C$2:$C$10001)*(1=[2]SalmonProps!$D$2:$D$10001)*("A1" = [2]SalmonProps!$B$2:$B$10001)*($AP28 = [2]SalmonProps!$F$2:$F$10001) *($AR28 = [2]SalmonProps!$G$2:$G$10001),0), 18))</f>
        <v>NA</v>
      </c>
      <c r="S28" s="165" t="str" cm="1">
        <f t="array" ref="S28">IF(ISBLANK($AQ28), "", INDEX([2]SalmonProps!$A$2:$AA$10001,MATCH(1,($A28=[2]SalmonProps!$A$2:$A$10001)*(1=[2]SalmonProps!$C$2:$C$10001)*(2=[2]SalmonProps!$D$2:$D$10001)*("A1" = [2]SalmonProps!$B$2:$B$10001)*($AP28 = [2]SalmonProps!$F$2:$F$10001) *($AR28 = [2]SalmonProps!$G$2:$G$10001),0), 18))</f>
        <v>NA</v>
      </c>
      <c r="T28" s="165" t="str" cm="1">
        <f t="array" ref="T28">IF(ISBLANK($AQ28), "", INDEX([2]SalmonProps!$A$2:$AA$10001,MATCH(1,($A28=[2]SalmonProps!$A$2:$A$10001)*(1=[2]SalmonProps!$C$2:$C$10001)*("1&amp;2"=[2]SalmonProps!$D$2:$D$10001)*("A1" = [2]SalmonProps!$B$2:$B$10001)*($AP28 = [2]SalmonProps!$F$2:$F$10001) *($AR28 = [2]SalmonProps!$G$2:$G$10001),0), 18))</f>
        <v>NA</v>
      </c>
      <c r="U28" s="165" t="str" cm="1">
        <f t="array" ref="U28">IF(ISBLANK($AQ28), "", INDEX([2]SalmonProps!$A$2:$AA$10001,MATCH(1,($A28=[2]SalmonProps!$A$2:$A$10001)*(2=[2]SalmonProps!$C$2:$C$10001)*(3=[2]SalmonProps!$D$2:$D$10001)*("A1" = [2]SalmonProps!$B$2:$B$10001)*($AP28 = [2]SalmonProps!$F$2:$F$10001) *($AR28 = [2]SalmonProps!$G$2:$G$10001),0), 18))</f>
        <v>NA</v>
      </c>
      <c r="V28" s="181" t="str" cm="1">
        <f t="array" ref="V28">IF(ISBLANK($AQ28), "", INDEX([2]SalmonProps!$A$2:$AA$10001,MATCH(1,($A28=[2]SalmonProps!$A$2:$A$10001)*(3=[2]SalmonProps!$C$2:$C$10001)*(3=[2]SalmonProps!$D$2:$D$10001)*("A1" = [2]SalmonProps!$B$2:$B$10001)*($AP28 = [2]SalmonProps!$F$2:$F$10001) *($AR28 = [2]SalmonProps!$G$2:$G$10001),0), 18))</f>
        <v>NA</v>
      </c>
      <c r="W28" s="180" t="str" cm="1">
        <f t="array" ref="W28">IF(ISBLANK($AQ28), "", INDEX([2]SalmonProps!$A$2:$AA$10001,MATCH(1,($A28=[2]SalmonProps!$A$2:$A$10001)*(1=[2]SalmonProps!$C$2:$C$10001)*(1=[2]SalmonProps!$D$2:$D$10001)*("A2" = [2]SalmonProps!$B$2:$B$10001)*($AP28 = [2]SalmonProps!$F$2:$F$10001) *($AR28 = [2]SalmonProps!$G$2:$G$10001),0), 18))</f>
        <v>NA</v>
      </c>
      <c r="X28" s="165" t="str" cm="1">
        <f t="array" ref="X28">IF(ISBLANK($AQ28), "", INDEX([2]SalmonProps!$A$2:$AA$10001,MATCH(1,($A28=[2]SalmonProps!$A$2:$A$10001)*(2=[2]SalmonProps!$C$2:$C$10001)*(1=[2]SalmonProps!$D$2:$D$10001)*("A2" = [2]SalmonProps!$B$2:$B$10001)*($AP28 = [2]SalmonProps!$F$2:$F$10001) *($AR28 = [2]SalmonProps!$G$2:$G$10001),0), 18))</f>
        <v>NA</v>
      </c>
      <c r="Y28" s="168" t="str" cm="1">
        <f t="array" ref="Y28">IF(ISBLANK($AQ28), "", INDEX([2]SalmonProps!$A$2:$AA$10001,MATCH(1,($A28=[2]SalmonProps!$A$2:$A$10001)*(3=[2]SalmonProps!$C$2:$C$10001)*(1=[2]SalmonProps!$D$2:$D$10001)*("A2" = [2]SalmonProps!$B$2:$B$10001)*($AP28 = [2]SalmonProps!$F$2:$F$10001) *($AR28 = [2]SalmonProps!$G$2:$G$10001),0), 18))</f>
        <v>NA</v>
      </c>
      <c r="Z28" s="164" cm="1">
        <f t="array" ref="Z28">IF(ISBLANK($AQ28), "", INDEX([2]SalmonProps!$A$2:$AA$10001,MATCH(1,($A28=[2]SalmonProps!$A$2:$A$10001)*(1=[2]SalmonProps!$C$2:$C$10001)*(1=[2]SalmonProps!$D$2:$D$10001)*("A1" = [2]SalmonProps!$B$2:$B$10001)*($AP28 = [2]SalmonProps!$F$2:$F$10001) *($AR28 = [2]SalmonProps!$G$2:$G$10001),0), 15))</f>
        <v>9.8299999999999998E-2</v>
      </c>
      <c r="AA28" s="165" cm="1">
        <f t="array" ref="AA28">IF(ISBLANK($AQ28), "", INDEX([2]SalmonProps!$A$2:$AA$10001,MATCH(1,($A28=[2]SalmonProps!$A$2:$A$10001)*(1=[2]SalmonProps!$C$2:$C$10001)*(2=[2]SalmonProps!$D$2:$D$10001)*("A1" = [2]SalmonProps!$B$2:$B$10001)*($AP28 = [2]SalmonProps!$F$2:$F$10001) *($AR28 = [2]SalmonProps!$G$2:$G$10001),0), 15))</f>
        <v>0.15379999999999999</v>
      </c>
      <c r="AB28" s="165" cm="1">
        <f t="array" ref="AB28">IF(ISBLANK($AQ28), "", INDEX([2]SalmonProps!$A$2:$AA$10001,MATCH(1,($A28=[2]SalmonProps!$A$2:$A$10001)*(1=[2]SalmonProps!$C$2:$C$10001)*("1&amp;2"=[2]SalmonProps!$D$2:$D$10001)*("A1" = [2]SalmonProps!$B$2:$B$10001)*($AP28 = [2]SalmonProps!$F$2:$F$10001) *($AR28 = [2]SalmonProps!$G$2:$G$10001),0), 15))</f>
        <v>0.14169999999999999</v>
      </c>
      <c r="AC28" s="165" cm="1">
        <f t="array" ref="AC28">IF(ISBLANK($AQ28), "", INDEX([2]SalmonProps!$A$2:$AA$10001,MATCH(1,($A28=[2]SalmonProps!$A$2:$A$10001)*(2=[2]SalmonProps!$C$2:$C$10001)*(3=[2]SalmonProps!$D$2:$D$10001)*("A1" = [2]SalmonProps!$B$2:$B$10001)*($AP28 = [2]SalmonProps!$F$2:$F$10001) *($AR28 = [2]SalmonProps!$G$2:$G$10001),0), 15))</f>
        <v>0.38779999999999998</v>
      </c>
      <c r="AD28" s="181" cm="1">
        <f t="array" ref="AD28">IF(ISBLANK($AQ28), "", INDEX([2]SalmonProps!$A$2:$AA$10001,MATCH(1,($A28=[2]SalmonProps!$A$2:$A$10001)*(3=[2]SalmonProps!$C$2:$C$10001)*(3=[2]SalmonProps!$D$2:$D$10001)*("A1" = [2]SalmonProps!$B$2:$B$10001)*($AP28 = [2]SalmonProps!$F$2:$F$10001) *($AR28 = [2]SalmonProps!$G$2:$G$10001),0), 15))</f>
        <v>0.69159999999999999</v>
      </c>
      <c r="AE28" s="166" cm="1">
        <f t="array" ref="AE28">IF(ISBLANK($AQ28), "", INDEX([2]SalmonProps!$A$2:$AA$10001,MATCH(1,($A28=[2]SalmonProps!$A$2:$A$10001)*(1=[2]SalmonProps!$C$2:$C$10001)*(1=[2]SalmonProps!$D$2:$D$10001)*("A2" = [2]SalmonProps!$B$2:$B$10001)*($AP28 = [2]SalmonProps!$F$2:$F$10001) *($AR28 = [2]SalmonProps!$G$2:$G$10001),0), 15))</f>
        <v>8.7599999999999997E-2</v>
      </c>
      <c r="AF28" s="166" cm="1">
        <f t="array" ref="AF28">IF(ISBLANK($AQ28), "", INDEX([2]SalmonProps!$A$2:$AA$10001,MATCH(1,($A28=[2]SalmonProps!$A$2:$A$10001)*(2=[2]SalmonProps!$C$2:$C$10001)*(1=[2]SalmonProps!$D$2:$D$10001)*("A2" = [2]SalmonProps!$B$2:$B$10001)*($AP28 = [2]SalmonProps!$F$2:$F$10001) *($AR28 = [2]SalmonProps!$G$2:$G$10001),0), 15))</f>
        <v>0.1416</v>
      </c>
      <c r="AG28" s="167" cm="1">
        <f t="array" ref="AG28">IF(ISBLANK($AQ28), "", INDEX([2]SalmonProps!$A$2:$AA$10001,MATCH(1,($A28=[2]SalmonProps!$A$2:$A$10001)*(3=[2]SalmonProps!$C$2:$C$10001)*(1=[2]SalmonProps!$D$2:$D$10001)*("A2" = [2]SalmonProps!$B$2:$B$10001)*($AP28 = [2]SalmonProps!$F$2:$F$10001) *($AR28 = [2]SalmonProps!$G$2:$G$10001),0), 15))</f>
        <v>0.40150000000000002</v>
      </c>
      <c r="AH28" s="173" t="str" cm="1">
        <f t="array" ref="AH28">IF(ISBLANK($AQ28), "", INDEX([2]SalmonProps!$A$2:$AA$10001,MATCH(1,($A28=[2]SalmonProps!$A$2:$A$10001)*($AP28 = [2]SalmonProps!$F$2:$F$10001) *($AR28 = [2]SalmonProps!$G$2:$G$10001),0), 24))</f>
        <v>NA</v>
      </c>
      <c r="AI28" s="183" t="str" cm="1">
        <f t="array" ref="AI28">IF(ISBLANK($AQ28), "", INDEX([2]SalmonProps!$A$2:$AA$10001,MATCH(1,($A28=[2]SalmonProps!$A$2:$A$10001)*($AP28 = [2]SalmonProps!$F$2:$F$10001) *($AR28 = [2]SalmonProps!$G$2:$G$10001),0), 25))</f>
        <v>NA</v>
      </c>
      <c r="AJ28" s="174" cm="1">
        <f t="array" ref="AJ28">IF(ISBLANK($AQ28), "", INDEX([2]SalmonProps!$A$2:$AA$10001,MATCH(1,($A28=[2]SalmonProps!$A$2:$A$10001)*($AP28 = [2]SalmonProps!$F$2:$F$10001) *($AR28 = [2]SalmonProps!$G$2:$G$10001),0), 20))</f>
        <v>59.5</v>
      </c>
      <c r="AK28" s="183" cm="1">
        <f t="array" ref="AK28">IF(ISBLANK($AQ28), "", INDEX([2]SalmonProps!$A$2:$AA$10001,MATCH(1,($A28=[2]SalmonProps!$A$2:$A$10001)*($AP28 = [2]SalmonProps!$F$2:$F$10001) *($AR28 = [2]SalmonProps!$G$2:$G$10001),0), 21))</f>
        <v>4.8</v>
      </c>
      <c r="AL28" s="174" cm="1">
        <f t="array" ref="AL28">IF(ISBLANK($AQ28), "", INDEX([2]SalmonProps!$A$2:$AA$10001,MATCH(1,($A28=[2]SalmonProps!$A$2:$A$10001)*($AP28 = [2]SalmonProps!$F$2:$F$10001) *($AR28 = [2]SalmonProps!$G$2:$G$10001),0), 22))</f>
        <v>74.8</v>
      </c>
      <c r="AM28" s="183" cm="1">
        <f t="array" ref="AM28">IF(ISBLANK($AQ28), "", INDEX([2]SalmonProps!$A$2:$AA$10001,MATCH(1,($A28=[2]SalmonProps!$A$2:$A$10001)*($AP28 = [2]SalmonProps!$F$2:$F$10001) *($AR28 = [2]SalmonProps!$G$2:$G$10001),0), 23))</f>
        <v>7.6</v>
      </c>
      <c r="AN28" s="174" t="str" cm="1">
        <f t="array" ref="AN28">IF(ISBLANK($AQ28), "", INDEX([2]SalmonProps!$A$2:$AA$10001,MATCH(1,($A28=[2]SalmonProps!$A$2:$A$10001)*($AP28 = [2]SalmonProps!$F$2:$F$10001) *($AR28 = [2]SalmonProps!$G$2:$G$10001),0), 26))</f>
        <v>NA</v>
      </c>
      <c r="AO28" s="175" t="str" cm="1">
        <f t="array" ref="AO28">IF(ISBLANK($AQ28), "", INDEX([2]SalmonProps!$A$2:$AA$10001,MATCH(1,($A28=[2]SalmonProps!$A$2:$A$10001)*($AP28 = [2]SalmonProps!$F$2:$F$10001) *($AR28 = [2]SalmonProps!$G$2:$G$10001),0), 27))</f>
        <v>NA</v>
      </c>
      <c r="AP28" s="112">
        <v>3</v>
      </c>
      <c r="AQ28" s="112" t="s">
        <v>133</v>
      </c>
      <c r="AR28" s="112" t="str">
        <f t="shared" si="1"/>
        <v>Unweighted</v>
      </c>
    </row>
    <row r="29" spans="1:44" x14ac:dyDescent="0.3">
      <c r="A29" s="20">
        <f>'[1]Passage Estimates'!$A29</f>
        <v>45131</v>
      </c>
      <c r="B29" s="164" cm="1">
        <f t="array" ref="B29">IF(ISBLANK($AQ29), "", INDEX([2]SalmonProps!$A$2:$AA$10001,MATCH(1,($A29=[2]SalmonProps!$A$2:$A$10001)*(1=[2]SalmonProps!$C$2:$C$10001)*(1=[2]SalmonProps!$D$2:$D$10001)*("A1" = [2]SalmonProps!$B$2:$B$10001)*($AP29 = [2]SalmonProps!$F$2:$F$10001) *($AR29 = [2]SalmonProps!$G$2:$G$10001),0), 17))</f>
        <v>2.8E-3</v>
      </c>
      <c r="C29" s="165" cm="1">
        <f t="array" ref="C29">IF(ISBLANK($AQ29), "", INDEX([2]SalmonProps!$A$2:$AA$10001,MATCH(1,($A29=[2]SalmonProps!$A$2:$A$10001)*(1=[2]SalmonProps!$C$2:$C$10001)*(2=[2]SalmonProps!$D$2:$D$10001)*("A1" = [2]SalmonProps!$B$2:$B$10001)*($AP29 = [2]SalmonProps!$F$2:$F$10001) *($AR29 = [2]SalmonProps!$G$2:$G$10001),0), 17))</f>
        <v>0</v>
      </c>
      <c r="D29" s="165" cm="1">
        <f t="array" ref="D29">IF(ISBLANK($AQ29), "", INDEX([2]SalmonProps!$A$2:$AA$10001,MATCH(1,($A29=[2]SalmonProps!$A$2:$A$10001)*(1=[2]SalmonProps!$C$2:$C$10001)*("1&amp;2"=[2]SalmonProps!$D$2:$D$10001)*("A1" = [2]SalmonProps!$B$2:$B$10001)*($AP29 = [2]SalmonProps!$F$2:$F$10001) *($AR29 = [2]SalmonProps!$G$2:$G$10001),0), 17))</f>
        <v>0</v>
      </c>
      <c r="E29" s="181" cm="1">
        <f t="array" ref="E29">IF(ISBLANK($AQ29), "", INDEX([2]SalmonProps!$A$2:$AA$10001,MATCH(1,($A29=[2]SalmonProps!$A$2:$A$10001)*(2=[2]SalmonProps!$C$2:$C$10001)*(3=[2]SalmonProps!$D$2:$D$10001)*("A1" = [2]SalmonProps!$B$2:$B$10001)*($AP29 = [2]SalmonProps!$F$2:$F$10001) *($AR29 = [2]SalmonProps!$G$2:$G$10001),0), 17))</f>
        <v>0.214</v>
      </c>
      <c r="F29" s="165" cm="1">
        <f t="array" ref="F29">IF(ISBLANK($AQ29), "", INDEX([2]SalmonProps!$A$2:$AA$10001,MATCH(1,($A29=[2]SalmonProps!$A$2:$A$10001)*(3=[2]SalmonProps!$C$2:$C$10001)*(3=[2]SalmonProps!$D$2:$D$10001)*("A1" = [2]SalmonProps!$B$2:$B$10001)*($AP29 = [2]SalmonProps!$F$2:$F$10001) *($AR29 = [2]SalmonProps!$G$2:$G$10001),0), 17))</f>
        <v>0.57340000000000002</v>
      </c>
      <c r="G29" s="165" cm="1">
        <f t="array" ref="G29">IF(ISBLANK($AQ29), "", INDEX([2]SalmonProps!$A$2:$AA$10001,MATCH(1,($A29=[2]SalmonProps!$A$2:$A$10001)*(1=[2]SalmonProps!$C$2:$C$10001)*(1=[2]SalmonProps!$D$2:$D$10001)*("A2" = [2]SalmonProps!$B$2:$B$10001)*($AP29 = [2]SalmonProps!$F$2:$F$10001) *($AR29 = [2]SalmonProps!$G$2:$G$10001),0), 17))</f>
        <v>5.6500000000000002E-2</v>
      </c>
      <c r="H29" s="166" cm="1">
        <f t="array" ref="H29">IF(ISBLANK($AQ29), "", INDEX([2]SalmonProps!$A$2:$AA$10001,MATCH(1,($A29=[2]SalmonProps!$A$2:$A$10001)*(2=[2]SalmonProps!$C$2:$C$10001)*(1=[2]SalmonProps!$D$2:$D$10001)*("A2" = [2]SalmonProps!$B$2:$B$10001)*($AP29 = [2]SalmonProps!$F$2:$F$10001) *($AR29 = [2]SalmonProps!$G$2:$G$10001),0), 17))</f>
        <v>8.3599999999999994E-2</v>
      </c>
      <c r="I29" s="167" cm="1">
        <f t="array" ref="I29">IF(ISBLANK($AQ29), "", INDEX([2]SalmonProps!$A$2:$AA$10001,MATCH(1,($A29=[2]SalmonProps!$A$2:$A$10001)*(3=[2]SalmonProps!$C$2:$C$10001)*(1=[2]SalmonProps!$D$2:$D$10001)*("A2" = [2]SalmonProps!$B$2:$B$10001)*($AP29 = [2]SalmonProps!$F$2:$F$10001) *($AR29 = [2]SalmonProps!$G$2:$G$10001),0), 17))</f>
        <v>0.32869999999999999</v>
      </c>
      <c r="J29" s="164" t="str" cm="1">
        <f t="array" ref="J29">IF(ISBLANK($AQ29), "", INDEX([2]SalmonProps!$A$2:$AA$10001,MATCH(1,($A29=[2]SalmonProps!$A$2:$A$10001)*(1=[2]SalmonProps!$C$2:$C$10001)*(1=[2]SalmonProps!$D$2:$D$10001)*("A1" = [2]SalmonProps!$B$2:$B$10001)*($AP29 = [2]SalmonProps!$F$2:$F$10001) *($AR29 = [2]SalmonProps!$G$2:$G$10001),0), 19))</f>
        <v>NA</v>
      </c>
      <c r="K29" s="165" t="str" cm="1">
        <f t="array" ref="K29">IF(ISBLANK($AQ29), "", INDEX([2]SalmonProps!$A$2:$AA$10001,MATCH(1,($A29=[2]SalmonProps!$A$2:$A$10001)*(1=[2]SalmonProps!$C$2:$C$10001)*(2=[2]SalmonProps!$D$2:$D$10001)*("A1" = [2]SalmonProps!$B$2:$B$10001)*($AP29 = [2]SalmonProps!$F$2:$F$10001) *($AR29 = [2]SalmonProps!$G$2:$G$10001),0), 19))</f>
        <v>NA</v>
      </c>
      <c r="L29" s="165" t="str" cm="1">
        <f t="array" ref="L29">IF(ISBLANK($AQ29), "", INDEX([2]SalmonProps!$A$2:$AA$10001,MATCH(1,($A29=[2]SalmonProps!$A$2:$A$10001)*(1=[2]SalmonProps!$C$2:$C$10001)*("1&amp;2"=[2]SalmonProps!$D$2:$D$10001)*("A1" = [2]SalmonProps!$B$2:$B$10001)*($AP29 = [2]SalmonProps!$F$2:$F$10001) *($AR29 = [2]SalmonProps!$G$2:$G$10001),0), 19))</f>
        <v>NA</v>
      </c>
      <c r="M29" s="165" t="str" cm="1">
        <f t="array" ref="M29">IF(ISBLANK($AQ29), "", INDEX([2]SalmonProps!$A$2:$AA$10001,MATCH(1,($A29=[2]SalmonProps!$A$2:$A$10001)*(2=[2]SalmonProps!$C$2:$C$10001)*(3=[2]SalmonProps!$D$2:$D$10001)*("A1" = [2]SalmonProps!$B$2:$B$10001)*($AP29 = [2]SalmonProps!$F$2:$F$10001) *($AR29 = [2]SalmonProps!$G$2:$G$10001),0), 19))</f>
        <v>NA</v>
      </c>
      <c r="N29" s="181" t="str" cm="1">
        <f t="array" ref="N29">IF(ISBLANK($AQ29), "", INDEX([2]SalmonProps!$A$2:$AA$10001,MATCH(1,($A29=[2]SalmonProps!$A$2:$A$10001)*(3=[2]SalmonProps!$C$2:$C$10001)*(3=[2]SalmonProps!$D$2:$D$10001)*("A1" = [2]SalmonProps!$B$2:$B$10001)*($AP29 = [2]SalmonProps!$F$2:$F$10001) *($AR29 = [2]SalmonProps!$G$2:$G$10001),0), 19))</f>
        <v>NA</v>
      </c>
      <c r="O29" s="165" t="str" cm="1">
        <f t="array" ref="O29">IF(ISBLANK($AQ29), "", INDEX([2]SalmonProps!$A$2:$AA$10001,MATCH(1,($A29=[2]SalmonProps!$A$2:$A$10001)*(1=[2]SalmonProps!$C$2:$C$10001)*(1=[2]SalmonProps!$D$2:$D$10001)*("A2" = [2]SalmonProps!$B$2:$B$10001)*($AP29 = [2]SalmonProps!$F$2:$F$10001) *($AR29 = [2]SalmonProps!$G$2:$G$10001),0), 19))</f>
        <v>NA</v>
      </c>
      <c r="P29" s="165" t="str" cm="1">
        <f t="array" ref="P29">IF(ISBLANK($AQ29), "", INDEX([2]SalmonProps!$A$2:$AA$10001,MATCH(1,($A29=[2]SalmonProps!$A$2:$A$10001)*(2=[2]SalmonProps!$C$2:$C$10001)*(1=[2]SalmonProps!$D$2:$D$10001)*("A2" = [2]SalmonProps!$B$2:$B$10001)*($AP29 = [2]SalmonProps!$F$2:$F$10001) *($AR29 = [2]SalmonProps!$G$2:$G$10001),0), 19))</f>
        <v>NA</v>
      </c>
      <c r="Q29" s="168" t="str" cm="1">
        <f t="array" ref="Q29">IF(ISBLANK($AQ29), "", INDEX([2]SalmonProps!$A$2:$AA$10001,MATCH(1,($A29=[2]SalmonProps!$A$2:$A$10001)*(3=[2]SalmonProps!$C$2:$C$10001)*(1=[2]SalmonProps!$D$2:$D$10001)*("A2" = [2]SalmonProps!$B$2:$B$10001)*($AP29 = [2]SalmonProps!$F$2:$F$10001) *($AR29 = [2]SalmonProps!$G$2:$G$10001),0), 19))</f>
        <v>NA</v>
      </c>
      <c r="R29" s="164" t="str" cm="1">
        <f t="array" ref="R29">IF(ISBLANK($AQ29), "", INDEX([2]SalmonProps!$A$2:$AA$10001,MATCH(1,($A29=[2]SalmonProps!$A$2:$A$10001)*(1=[2]SalmonProps!$C$2:$C$10001)*(1=[2]SalmonProps!$D$2:$D$10001)*("A1" = [2]SalmonProps!$B$2:$B$10001)*($AP29 = [2]SalmonProps!$F$2:$F$10001) *($AR29 = [2]SalmonProps!$G$2:$G$10001),0), 18))</f>
        <v>NA</v>
      </c>
      <c r="S29" s="165" t="str" cm="1">
        <f t="array" ref="S29">IF(ISBLANK($AQ29), "", INDEX([2]SalmonProps!$A$2:$AA$10001,MATCH(1,($A29=[2]SalmonProps!$A$2:$A$10001)*(1=[2]SalmonProps!$C$2:$C$10001)*(2=[2]SalmonProps!$D$2:$D$10001)*("A1" = [2]SalmonProps!$B$2:$B$10001)*($AP29 = [2]SalmonProps!$F$2:$F$10001) *($AR29 = [2]SalmonProps!$G$2:$G$10001),0), 18))</f>
        <v>NA</v>
      </c>
      <c r="T29" s="165" t="str" cm="1">
        <f t="array" ref="T29">IF(ISBLANK($AQ29), "", INDEX([2]SalmonProps!$A$2:$AA$10001,MATCH(1,($A29=[2]SalmonProps!$A$2:$A$10001)*(1=[2]SalmonProps!$C$2:$C$10001)*("1&amp;2"=[2]SalmonProps!$D$2:$D$10001)*("A1" = [2]SalmonProps!$B$2:$B$10001)*($AP29 = [2]SalmonProps!$F$2:$F$10001) *($AR29 = [2]SalmonProps!$G$2:$G$10001),0), 18))</f>
        <v>NA</v>
      </c>
      <c r="U29" s="165" t="str" cm="1">
        <f t="array" ref="U29">IF(ISBLANK($AQ29), "", INDEX([2]SalmonProps!$A$2:$AA$10001,MATCH(1,($A29=[2]SalmonProps!$A$2:$A$10001)*(2=[2]SalmonProps!$C$2:$C$10001)*(3=[2]SalmonProps!$D$2:$D$10001)*("A1" = [2]SalmonProps!$B$2:$B$10001)*($AP29 = [2]SalmonProps!$F$2:$F$10001) *($AR29 = [2]SalmonProps!$G$2:$G$10001),0), 18))</f>
        <v>NA</v>
      </c>
      <c r="V29" s="181" t="str" cm="1">
        <f t="array" ref="V29">IF(ISBLANK($AQ29), "", INDEX([2]SalmonProps!$A$2:$AA$10001,MATCH(1,($A29=[2]SalmonProps!$A$2:$A$10001)*(3=[2]SalmonProps!$C$2:$C$10001)*(3=[2]SalmonProps!$D$2:$D$10001)*("A1" = [2]SalmonProps!$B$2:$B$10001)*($AP29 = [2]SalmonProps!$F$2:$F$10001) *($AR29 = [2]SalmonProps!$G$2:$G$10001),0), 18))</f>
        <v>NA</v>
      </c>
      <c r="W29" s="180" t="str" cm="1">
        <f t="array" ref="W29">IF(ISBLANK($AQ29), "", INDEX([2]SalmonProps!$A$2:$AA$10001,MATCH(1,($A29=[2]SalmonProps!$A$2:$A$10001)*(1=[2]SalmonProps!$C$2:$C$10001)*(1=[2]SalmonProps!$D$2:$D$10001)*("A2" = [2]SalmonProps!$B$2:$B$10001)*($AP29 = [2]SalmonProps!$F$2:$F$10001) *($AR29 = [2]SalmonProps!$G$2:$G$10001),0), 18))</f>
        <v>NA</v>
      </c>
      <c r="X29" s="165" t="str" cm="1">
        <f t="array" ref="X29">IF(ISBLANK($AQ29), "", INDEX([2]SalmonProps!$A$2:$AA$10001,MATCH(1,($A29=[2]SalmonProps!$A$2:$A$10001)*(2=[2]SalmonProps!$C$2:$C$10001)*(1=[2]SalmonProps!$D$2:$D$10001)*("A2" = [2]SalmonProps!$B$2:$B$10001)*($AP29 = [2]SalmonProps!$F$2:$F$10001) *($AR29 = [2]SalmonProps!$G$2:$G$10001),0), 18))</f>
        <v>NA</v>
      </c>
      <c r="Y29" s="168" t="str" cm="1">
        <f t="array" ref="Y29">IF(ISBLANK($AQ29), "", INDEX([2]SalmonProps!$A$2:$AA$10001,MATCH(1,($A29=[2]SalmonProps!$A$2:$A$10001)*(3=[2]SalmonProps!$C$2:$C$10001)*(1=[2]SalmonProps!$D$2:$D$10001)*("A2" = [2]SalmonProps!$B$2:$B$10001)*($AP29 = [2]SalmonProps!$F$2:$F$10001) *($AR29 = [2]SalmonProps!$G$2:$G$10001),0), 18))</f>
        <v>NA</v>
      </c>
      <c r="Z29" s="164" cm="1">
        <f t="array" ref="Z29">IF(ISBLANK($AQ29), "", INDEX([2]SalmonProps!$A$2:$AA$10001,MATCH(1,($A29=[2]SalmonProps!$A$2:$A$10001)*(1=[2]SalmonProps!$C$2:$C$10001)*(1=[2]SalmonProps!$D$2:$D$10001)*("A1" = [2]SalmonProps!$B$2:$B$10001)*($AP29 = [2]SalmonProps!$F$2:$F$10001) *($AR29 = [2]SalmonProps!$G$2:$G$10001),0), 15))</f>
        <v>0.16520000000000001</v>
      </c>
      <c r="AA29" s="165" cm="1">
        <f t="array" ref="AA29">IF(ISBLANK($AQ29), "", INDEX([2]SalmonProps!$A$2:$AA$10001,MATCH(1,($A29=[2]SalmonProps!$A$2:$A$10001)*(1=[2]SalmonProps!$C$2:$C$10001)*(2=[2]SalmonProps!$D$2:$D$10001)*("A1" = [2]SalmonProps!$B$2:$B$10001)*($AP29 = [2]SalmonProps!$F$2:$F$10001) *($AR29 = [2]SalmonProps!$G$2:$G$10001),0), 15))</f>
        <v>0.33860000000000001</v>
      </c>
      <c r="AB29" s="165" cm="1">
        <f t="array" ref="AB29">IF(ISBLANK($AQ29), "", INDEX([2]SalmonProps!$A$2:$AA$10001,MATCH(1,($A29=[2]SalmonProps!$A$2:$A$10001)*(1=[2]SalmonProps!$C$2:$C$10001)*("1&amp;2"=[2]SalmonProps!$D$2:$D$10001)*("A1" = [2]SalmonProps!$B$2:$B$10001)*($AP29 = [2]SalmonProps!$F$2:$F$10001) *($AR29 = [2]SalmonProps!$G$2:$G$10001),0), 15))</f>
        <v>0.29809999999999998</v>
      </c>
      <c r="AC29" s="165" cm="1">
        <f t="array" ref="AC29">IF(ISBLANK($AQ29), "", INDEX([2]SalmonProps!$A$2:$AA$10001,MATCH(1,($A29=[2]SalmonProps!$A$2:$A$10001)*(2=[2]SalmonProps!$C$2:$C$10001)*(3=[2]SalmonProps!$D$2:$D$10001)*("A1" = [2]SalmonProps!$B$2:$B$10001)*($AP29 = [2]SalmonProps!$F$2:$F$10001) *($AR29 = [2]SalmonProps!$G$2:$G$10001),0), 15))</f>
        <v>0.54169999999999996</v>
      </c>
      <c r="AD29" s="181" cm="1">
        <f t="array" ref="AD29">IF(ISBLANK($AQ29), "", INDEX([2]SalmonProps!$A$2:$AA$10001,MATCH(1,($A29=[2]SalmonProps!$A$2:$A$10001)*(3=[2]SalmonProps!$C$2:$C$10001)*(3=[2]SalmonProps!$D$2:$D$10001)*("A1" = [2]SalmonProps!$B$2:$B$10001)*($AP29 = [2]SalmonProps!$F$2:$F$10001) *($AR29 = [2]SalmonProps!$G$2:$G$10001),0), 15))</f>
        <v>0.74470000000000003</v>
      </c>
      <c r="AE29" s="166" cm="1">
        <f t="array" ref="AE29">IF(ISBLANK($AQ29), "", INDEX([2]SalmonProps!$A$2:$AA$10001,MATCH(1,($A29=[2]SalmonProps!$A$2:$A$10001)*(1=[2]SalmonProps!$C$2:$C$10001)*(1=[2]SalmonProps!$D$2:$D$10001)*("A2" = [2]SalmonProps!$B$2:$B$10001)*($AP29 = [2]SalmonProps!$F$2:$F$10001) *($AR29 = [2]SalmonProps!$G$2:$G$10001),0), 15))</f>
        <v>0.10580000000000001</v>
      </c>
      <c r="AF29" s="166" cm="1">
        <f t="array" ref="AF29">IF(ISBLANK($AQ29), "", INDEX([2]SalmonProps!$A$2:$AA$10001,MATCH(1,($A29=[2]SalmonProps!$A$2:$A$10001)*(2=[2]SalmonProps!$C$2:$C$10001)*(1=[2]SalmonProps!$D$2:$D$10001)*("A2" = [2]SalmonProps!$B$2:$B$10001)*($AP29 = [2]SalmonProps!$F$2:$F$10001) *($AR29 = [2]SalmonProps!$G$2:$G$10001),0), 15))</f>
        <v>0.22470000000000001</v>
      </c>
      <c r="AG29" s="167" cm="1">
        <f t="array" ref="AG29">IF(ISBLANK($AQ29), "", INDEX([2]SalmonProps!$A$2:$AA$10001,MATCH(1,($A29=[2]SalmonProps!$A$2:$A$10001)*(3=[2]SalmonProps!$C$2:$C$10001)*(1=[2]SalmonProps!$D$2:$D$10001)*("A2" = [2]SalmonProps!$B$2:$B$10001)*($AP29 = [2]SalmonProps!$F$2:$F$10001) *($AR29 = [2]SalmonProps!$G$2:$G$10001),0), 15))</f>
        <v>0.3831</v>
      </c>
      <c r="AH29" s="173" t="str" cm="1">
        <f t="array" ref="AH29">IF(ISBLANK($AQ29), "", INDEX([2]SalmonProps!$A$2:$AA$10001,MATCH(1,($A29=[2]SalmonProps!$A$2:$A$10001)*($AP29 = [2]SalmonProps!$F$2:$F$10001) *($AR29 = [2]SalmonProps!$G$2:$G$10001),0), 24))</f>
        <v>NA</v>
      </c>
      <c r="AI29" s="183" t="str" cm="1">
        <f t="array" ref="AI29">IF(ISBLANK($AQ29), "", INDEX([2]SalmonProps!$A$2:$AA$10001,MATCH(1,($A29=[2]SalmonProps!$A$2:$A$10001)*($AP29 = [2]SalmonProps!$F$2:$F$10001) *($AR29 = [2]SalmonProps!$G$2:$G$10001),0), 25))</f>
        <v>NA</v>
      </c>
      <c r="AJ29" s="174" cm="1">
        <f t="array" ref="AJ29">IF(ISBLANK($AQ29), "", INDEX([2]SalmonProps!$A$2:$AA$10001,MATCH(1,($A29=[2]SalmonProps!$A$2:$A$10001)*($AP29 = [2]SalmonProps!$F$2:$F$10001) *($AR29 = [2]SalmonProps!$G$2:$G$10001),0), 20))</f>
        <v>59.5</v>
      </c>
      <c r="AK29" s="183" cm="1">
        <f t="array" ref="AK29">IF(ISBLANK($AQ29), "", INDEX([2]SalmonProps!$A$2:$AA$10001,MATCH(1,($A29=[2]SalmonProps!$A$2:$A$10001)*($AP29 = [2]SalmonProps!$F$2:$F$10001) *($AR29 = [2]SalmonProps!$G$2:$G$10001),0), 21))</f>
        <v>4.8</v>
      </c>
      <c r="AL29" s="174" cm="1">
        <f t="array" ref="AL29">IF(ISBLANK($AQ29), "", INDEX([2]SalmonProps!$A$2:$AA$10001,MATCH(1,($A29=[2]SalmonProps!$A$2:$A$10001)*($AP29 = [2]SalmonProps!$F$2:$F$10001) *($AR29 = [2]SalmonProps!$G$2:$G$10001),0), 22))</f>
        <v>74.8</v>
      </c>
      <c r="AM29" s="183" cm="1">
        <f t="array" ref="AM29">IF(ISBLANK($AQ29), "", INDEX([2]SalmonProps!$A$2:$AA$10001,MATCH(1,($A29=[2]SalmonProps!$A$2:$A$10001)*($AP29 = [2]SalmonProps!$F$2:$F$10001) *($AR29 = [2]SalmonProps!$G$2:$G$10001),0), 23))</f>
        <v>7.6</v>
      </c>
      <c r="AN29" s="174" t="str" cm="1">
        <f t="array" ref="AN29">IF(ISBLANK($AQ29), "", INDEX([2]SalmonProps!$A$2:$AA$10001,MATCH(1,($A29=[2]SalmonProps!$A$2:$A$10001)*($AP29 = [2]SalmonProps!$F$2:$F$10001) *($AR29 = [2]SalmonProps!$G$2:$G$10001),0), 26))</f>
        <v>NA</v>
      </c>
      <c r="AO29" s="175" t="str" cm="1">
        <f t="array" ref="AO29">IF(ISBLANK($AQ29), "", INDEX([2]SalmonProps!$A$2:$AA$10001,MATCH(1,($A29=[2]SalmonProps!$A$2:$A$10001)*($AP29 = [2]SalmonProps!$F$2:$F$10001) *($AR29 = [2]SalmonProps!$G$2:$G$10001),0), 27))</f>
        <v>NA</v>
      </c>
      <c r="AP29" s="112">
        <v>3</v>
      </c>
      <c r="AQ29" s="112" t="s">
        <v>133</v>
      </c>
      <c r="AR29" s="112" t="str">
        <f t="shared" si="1"/>
        <v>Unweighted</v>
      </c>
    </row>
    <row r="30" spans="1:44" x14ac:dyDescent="0.3">
      <c r="A30" s="20">
        <f>'[1]Passage Estimates'!$A30</f>
        <v>45132</v>
      </c>
      <c r="B30" s="164" cm="1">
        <f t="array" ref="B30">IF(ISBLANK($AQ30), "", INDEX([2]SalmonProps!$A$2:$AA$10001,MATCH(1,($A30=[2]SalmonProps!$A$2:$A$10001)*(1=[2]SalmonProps!$C$2:$C$10001)*(1=[2]SalmonProps!$D$2:$D$10001)*("A1" = [2]SalmonProps!$B$2:$B$10001)*($AP30 = [2]SalmonProps!$F$2:$F$10001) *($AR30 = [2]SalmonProps!$G$2:$G$10001),0), 17))</f>
        <v>0</v>
      </c>
      <c r="C30" s="165" cm="1">
        <f t="array" ref="C30">IF(ISBLANK($AQ30), "", INDEX([2]SalmonProps!$A$2:$AA$10001,MATCH(1,($A30=[2]SalmonProps!$A$2:$A$10001)*(1=[2]SalmonProps!$C$2:$C$10001)*(2=[2]SalmonProps!$D$2:$D$10001)*("A1" = [2]SalmonProps!$B$2:$B$10001)*($AP30 = [2]SalmonProps!$F$2:$F$10001) *($AR30 = [2]SalmonProps!$G$2:$G$10001),0), 17))</f>
        <v>3.1199999999999999E-2</v>
      </c>
      <c r="D30" s="165" cm="1">
        <f t="array" ref="D30">IF(ISBLANK($AQ30), "", INDEX([2]SalmonProps!$A$2:$AA$10001,MATCH(1,($A30=[2]SalmonProps!$A$2:$A$10001)*(1=[2]SalmonProps!$C$2:$C$10001)*("1&amp;2"=[2]SalmonProps!$D$2:$D$10001)*("A1" = [2]SalmonProps!$B$2:$B$10001)*($AP30 = [2]SalmonProps!$F$2:$F$10001) *($AR30 = [2]SalmonProps!$G$2:$G$10001),0), 17))</f>
        <v>2.01E-2</v>
      </c>
      <c r="E30" s="181" cm="1">
        <f t="array" ref="E30">IF(ISBLANK($AQ30), "", INDEX([2]SalmonProps!$A$2:$AA$10001,MATCH(1,($A30=[2]SalmonProps!$A$2:$A$10001)*(2=[2]SalmonProps!$C$2:$C$10001)*(3=[2]SalmonProps!$D$2:$D$10001)*("A1" = [2]SalmonProps!$B$2:$B$10001)*($AP30 = [2]SalmonProps!$F$2:$F$10001) *($AR30 = [2]SalmonProps!$G$2:$G$10001),0), 17))</f>
        <v>0.19739999999999999</v>
      </c>
      <c r="F30" s="165" cm="1">
        <f t="array" ref="F30">IF(ISBLANK($AQ30), "", INDEX([2]SalmonProps!$A$2:$AA$10001,MATCH(1,($A30=[2]SalmonProps!$A$2:$A$10001)*(3=[2]SalmonProps!$C$2:$C$10001)*(3=[2]SalmonProps!$D$2:$D$10001)*("A1" = [2]SalmonProps!$B$2:$B$10001)*($AP30 = [2]SalmonProps!$F$2:$F$10001) *($AR30 = [2]SalmonProps!$G$2:$G$10001),0), 17))</f>
        <v>0.60460000000000003</v>
      </c>
      <c r="G30" s="165" cm="1">
        <f t="array" ref="G30">IF(ISBLANK($AQ30), "", INDEX([2]SalmonProps!$A$2:$AA$10001,MATCH(1,($A30=[2]SalmonProps!$A$2:$A$10001)*(1=[2]SalmonProps!$C$2:$C$10001)*(1=[2]SalmonProps!$D$2:$D$10001)*("A2" = [2]SalmonProps!$B$2:$B$10001)*($AP30 = [2]SalmonProps!$F$2:$F$10001) *($AR30 = [2]SalmonProps!$G$2:$G$10001),0), 17))</f>
        <v>5.6500000000000002E-2</v>
      </c>
      <c r="H30" s="166" cm="1">
        <f t="array" ref="H30">IF(ISBLANK($AQ30), "", INDEX([2]SalmonProps!$A$2:$AA$10001,MATCH(1,($A30=[2]SalmonProps!$A$2:$A$10001)*(2=[2]SalmonProps!$C$2:$C$10001)*(1=[2]SalmonProps!$D$2:$D$10001)*("A2" = [2]SalmonProps!$B$2:$B$10001)*($AP30 = [2]SalmonProps!$F$2:$F$10001) *($AR30 = [2]SalmonProps!$G$2:$G$10001),0), 17))</f>
        <v>8.3599999999999994E-2</v>
      </c>
      <c r="I30" s="167" cm="1">
        <f t="array" ref="I30">IF(ISBLANK($AQ30), "", INDEX([2]SalmonProps!$A$2:$AA$10001,MATCH(1,($A30=[2]SalmonProps!$A$2:$A$10001)*(3=[2]SalmonProps!$C$2:$C$10001)*(1=[2]SalmonProps!$D$2:$D$10001)*("A2" = [2]SalmonProps!$B$2:$B$10001)*($AP30 = [2]SalmonProps!$F$2:$F$10001) *($AR30 = [2]SalmonProps!$G$2:$G$10001),0), 17))</f>
        <v>0.32869999999999999</v>
      </c>
      <c r="J30" s="164" t="str" cm="1">
        <f t="array" ref="J30">IF(ISBLANK($AQ30), "", INDEX([2]SalmonProps!$A$2:$AA$10001,MATCH(1,($A30=[2]SalmonProps!$A$2:$A$10001)*(1=[2]SalmonProps!$C$2:$C$10001)*(1=[2]SalmonProps!$D$2:$D$10001)*("A1" = [2]SalmonProps!$B$2:$B$10001)*($AP30 = [2]SalmonProps!$F$2:$F$10001) *($AR30 = [2]SalmonProps!$G$2:$G$10001),0), 19))</f>
        <v>NA</v>
      </c>
      <c r="K30" s="165" t="str" cm="1">
        <f t="array" ref="K30">IF(ISBLANK($AQ30), "", INDEX([2]SalmonProps!$A$2:$AA$10001,MATCH(1,($A30=[2]SalmonProps!$A$2:$A$10001)*(1=[2]SalmonProps!$C$2:$C$10001)*(2=[2]SalmonProps!$D$2:$D$10001)*("A1" = [2]SalmonProps!$B$2:$B$10001)*($AP30 = [2]SalmonProps!$F$2:$F$10001) *($AR30 = [2]SalmonProps!$G$2:$G$10001),0), 19))</f>
        <v>NA</v>
      </c>
      <c r="L30" s="165" t="str" cm="1">
        <f t="array" ref="L30">IF(ISBLANK($AQ30), "", INDEX([2]SalmonProps!$A$2:$AA$10001,MATCH(1,($A30=[2]SalmonProps!$A$2:$A$10001)*(1=[2]SalmonProps!$C$2:$C$10001)*("1&amp;2"=[2]SalmonProps!$D$2:$D$10001)*("A1" = [2]SalmonProps!$B$2:$B$10001)*($AP30 = [2]SalmonProps!$F$2:$F$10001) *($AR30 = [2]SalmonProps!$G$2:$G$10001),0), 19))</f>
        <v>NA</v>
      </c>
      <c r="M30" s="165" t="str" cm="1">
        <f t="array" ref="M30">IF(ISBLANK($AQ30), "", INDEX([2]SalmonProps!$A$2:$AA$10001,MATCH(1,($A30=[2]SalmonProps!$A$2:$A$10001)*(2=[2]SalmonProps!$C$2:$C$10001)*(3=[2]SalmonProps!$D$2:$D$10001)*("A1" = [2]SalmonProps!$B$2:$B$10001)*($AP30 = [2]SalmonProps!$F$2:$F$10001) *($AR30 = [2]SalmonProps!$G$2:$G$10001),0), 19))</f>
        <v>NA</v>
      </c>
      <c r="N30" s="181" t="str" cm="1">
        <f t="array" ref="N30">IF(ISBLANK($AQ30), "", INDEX([2]SalmonProps!$A$2:$AA$10001,MATCH(1,($A30=[2]SalmonProps!$A$2:$A$10001)*(3=[2]SalmonProps!$C$2:$C$10001)*(3=[2]SalmonProps!$D$2:$D$10001)*("A1" = [2]SalmonProps!$B$2:$B$10001)*($AP30 = [2]SalmonProps!$F$2:$F$10001) *($AR30 = [2]SalmonProps!$G$2:$G$10001),0), 19))</f>
        <v>NA</v>
      </c>
      <c r="O30" s="165" t="str" cm="1">
        <f t="array" ref="O30">IF(ISBLANK($AQ30), "", INDEX([2]SalmonProps!$A$2:$AA$10001,MATCH(1,($A30=[2]SalmonProps!$A$2:$A$10001)*(1=[2]SalmonProps!$C$2:$C$10001)*(1=[2]SalmonProps!$D$2:$D$10001)*("A2" = [2]SalmonProps!$B$2:$B$10001)*($AP30 = [2]SalmonProps!$F$2:$F$10001) *($AR30 = [2]SalmonProps!$G$2:$G$10001),0), 19))</f>
        <v>NA</v>
      </c>
      <c r="P30" s="165" t="str" cm="1">
        <f t="array" ref="P30">IF(ISBLANK($AQ30), "", INDEX([2]SalmonProps!$A$2:$AA$10001,MATCH(1,($A30=[2]SalmonProps!$A$2:$A$10001)*(2=[2]SalmonProps!$C$2:$C$10001)*(1=[2]SalmonProps!$D$2:$D$10001)*("A2" = [2]SalmonProps!$B$2:$B$10001)*($AP30 = [2]SalmonProps!$F$2:$F$10001) *($AR30 = [2]SalmonProps!$G$2:$G$10001),0), 19))</f>
        <v>NA</v>
      </c>
      <c r="Q30" s="168" t="str" cm="1">
        <f t="array" ref="Q30">IF(ISBLANK($AQ30), "", INDEX([2]SalmonProps!$A$2:$AA$10001,MATCH(1,($A30=[2]SalmonProps!$A$2:$A$10001)*(3=[2]SalmonProps!$C$2:$C$10001)*(1=[2]SalmonProps!$D$2:$D$10001)*("A2" = [2]SalmonProps!$B$2:$B$10001)*($AP30 = [2]SalmonProps!$F$2:$F$10001) *($AR30 = [2]SalmonProps!$G$2:$G$10001),0), 19))</f>
        <v>NA</v>
      </c>
      <c r="R30" s="164" t="str" cm="1">
        <f t="array" ref="R30">IF(ISBLANK($AQ30), "", INDEX([2]SalmonProps!$A$2:$AA$10001,MATCH(1,($A30=[2]SalmonProps!$A$2:$A$10001)*(1=[2]SalmonProps!$C$2:$C$10001)*(1=[2]SalmonProps!$D$2:$D$10001)*("A1" = [2]SalmonProps!$B$2:$B$10001)*($AP30 = [2]SalmonProps!$F$2:$F$10001) *($AR30 = [2]SalmonProps!$G$2:$G$10001),0), 18))</f>
        <v>NA</v>
      </c>
      <c r="S30" s="165" t="str" cm="1">
        <f t="array" ref="S30">IF(ISBLANK($AQ30), "", INDEX([2]SalmonProps!$A$2:$AA$10001,MATCH(1,($A30=[2]SalmonProps!$A$2:$A$10001)*(1=[2]SalmonProps!$C$2:$C$10001)*(2=[2]SalmonProps!$D$2:$D$10001)*("A1" = [2]SalmonProps!$B$2:$B$10001)*($AP30 = [2]SalmonProps!$F$2:$F$10001) *($AR30 = [2]SalmonProps!$G$2:$G$10001),0), 18))</f>
        <v>NA</v>
      </c>
      <c r="T30" s="165" t="str" cm="1">
        <f t="array" ref="T30">IF(ISBLANK($AQ30), "", INDEX([2]SalmonProps!$A$2:$AA$10001,MATCH(1,($A30=[2]SalmonProps!$A$2:$A$10001)*(1=[2]SalmonProps!$C$2:$C$10001)*("1&amp;2"=[2]SalmonProps!$D$2:$D$10001)*("A1" = [2]SalmonProps!$B$2:$B$10001)*($AP30 = [2]SalmonProps!$F$2:$F$10001) *($AR30 = [2]SalmonProps!$G$2:$G$10001),0), 18))</f>
        <v>NA</v>
      </c>
      <c r="U30" s="165" t="str" cm="1">
        <f t="array" ref="U30">IF(ISBLANK($AQ30), "", INDEX([2]SalmonProps!$A$2:$AA$10001,MATCH(1,($A30=[2]SalmonProps!$A$2:$A$10001)*(2=[2]SalmonProps!$C$2:$C$10001)*(3=[2]SalmonProps!$D$2:$D$10001)*("A1" = [2]SalmonProps!$B$2:$B$10001)*($AP30 = [2]SalmonProps!$F$2:$F$10001) *($AR30 = [2]SalmonProps!$G$2:$G$10001),0), 18))</f>
        <v>NA</v>
      </c>
      <c r="V30" s="181" t="str" cm="1">
        <f t="array" ref="V30">IF(ISBLANK($AQ30), "", INDEX([2]SalmonProps!$A$2:$AA$10001,MATCH(1,($A30=[2]SalmonProps!$A$2:$A$10001)*(3=[2]SalmonProps!$C$2:$C$10001)*(3=[2]SalmonProps!$D$2:$D$10001)*("A1" = [2]SalmonProps!$B$2:$B$10001)*($AP30 = [2]SalmonProps!$F$2:$F$10001) *($AR30 = [2]SalmonProps!$G$2:$G$10001),0), 18))</f>
        <v>NA</v>
      </c>
      <c r="W30" s="180" t="str" cm="1">
        <f t="array" ref="W30">IF(ISBLANK($AQ30), "", INDEX([2]SalmonProps!$A$2:$AA$10001,MATCH(1,($A30=[2]SalmonProps!$A$2:$A$10001)*(1=[2]SalmonProps!$C$2:$C$10001)*(1=[2]SalmonProps!$D$2:$D$10001)*("A2" = [2]SalmonProps!$B$2:$B$10001)*($AP30 = [2]SalmonProps!$F$2:$F$10001) *($AR30 = [2]SalmonProps!$G$2:$G$10001),0), 18))</f>
        <v>NA</v>
      </c>
      <c r="X30" s="165" t="str" cm="1">
        <f t="array" ref="X30">IF(ISBLANK($AQ30), "", INDEX([2]SalmonProps!$A$2:$AA$10001,MATCH(1,($A30=[2]SalmonProps!$A$2:$A$10001)*(2=[2]SalmonProps!$C$2:$C$10001)*(1=[2]SalmonProps!$D$2:$D$10001)*("A2" = [2]SalmonProps!$B$2:$B$10001)*($AP30 = [2]SalmonProps!$F$2:$F$10001) *($AR30 = [2]SalmonProps!$G$2:$G$10001),0), 18))</f>
        <v>NA</v>
      </c>
      <c r="Y30" s="168" t="str" cm="1">
        <f t="array" ref="Y30">IF(ISBLANK($AQ30), "", INDEX([2]SalmonProps!$A$2:$AA$10001,MATCH(1,($A30=[2]SalmonProps!$A$2:$A$10001)*(3=[2]SalmonProps!$C$2:$C$10001)*(1=[2]SalmonProps!$D$2:$D$10001)*("A2" = [2]SalmonProps!$B$2:$B$10001)*($AP30 = [2]SalmonProps!$F$2:$F$10001) *($AR30 = [2]SalmonProps!$G$2:$G$10001),0), 18))</f>
        <v>NA</v>
      </c>
      <c r="Z30" s="164" cm="1">
        <f t="array" ref="Z30">IF(ISBLANK($AQ30), "", INDEX([2]SalmonProps!$A$2:$AA$10001,MATCH(1,($A30=[2]SalmonProps!$A$2:$A$10001)*(1=[2]SalmonProps!$C$2:$C$10001)*(1=[2]SalmonProps!$D$2:$D$10001)*("A1" = [2]SalmonProps!$B$2:$B$10001)*($AP30 = [2]SalmonProps!$F$2:$F$10001) *($AR30 = [2]SalmonProps!$G$2:$G$10001),0), 15))</f>
        <v>0.22570000000000001</v>
      </c>
      <c r="AA30" s="165" cm="1">
        <f t="array" ref="AA30">IF(ISBLANK($AQ30), "", INDEX([2]SalmonProps!$A$2:$AA$10001,MATCH(1,($A30=[2]SalmonProps!$A$2:$A$10001)*(1=[2]SalmonProps!$C$2:$C$10001)*(2=[2]SalmonProps!$D$2:$D$10001)*("A1" = [2]SalmonProps!$B$2:$B$10001)*($AP30 = [2]SalmonProps!$F$2:$F$10001) *($AR30 = [2]SalmonProps!$G$2:$G$10001),0), 15))</f>
        <v>0.21099999999999999</v>
      </c>
      <c r="AB30" s="165" cm="1">
        <f t="array" ref="AB30">IF(ISBLANK($AQ30), "", INDEX([2]SalmonProps!$A$2:$AA$10001,MATCH(1,($A30=[2]SalmonProps!$A$2:$A$10001)*(1=[2]SalmonProps!$C$2:$C$10001)*("1&amp;2"=[2]SalmonProps!$D$2:$D$10001)*("A1" = [2]SalmonProps!$B$2:$B$10001)*($AP30 = [2]SalmonProps!$F$2:$F$10001) *($AR30 = [2]SalmonProps!$G$2:$G$10001),0), 15))</f>
        <v>0.20039999999999999</v>
      </c>
      <c r="AC30" s="165" cm="1">
        <f t="array" ref="AC30">IF(ISBLANK($AQ30), "", INDEX([2]SalmonProps!$A$2:$AA$10001,MATCH(1,($A30=[2]SalmonProps!$A$2:$A$10001)*(2=[2]SalmonProps!$C$2:$C$10001)*(3=[2]SalmonProps!$D$2:$D$10001)*("A1" = [2]SalmonProps!$B$2:$B$10001)*($AP30 = [2]SalmonProps!$F$2:$F$10001) *($AR30 = [2]SalmonProps!$G$2:$G$10001),0), 15))</f>
        <v>0.44519999999999998</v>
      </c>
      <c r="AD30" s="181" cm="1">
        <f t="array" ref="AD30">IF(ISBLANK($AQ30), "", INDEX([2]SalmonProps!$A$2:$AA$10001,MATCH(1,($A30=[2]SalmonProps!$A$2:$A$10001)*(3=[2]SalmonProps!$C$2:$C$10001)*(3=[2]SalmonProps!$D$2:$D$10001)*("A1" = [2]SalmonProps!$B$2:$B$10001)*($AP30 = [2]SalmonProps!$F$2:$F$10001) *($AR30 = [2]SalmonProps!$G$2:$G$10001),0), 15))</f>
        <v>0.71609999999999996</v>
      </c>
      <c r="AE30" s="166" cm="1">
        <f t="array" ref="AE30">IF(ISBLANK($AQ30), "", INDEX([2]SalmonProps!$A$2:$AA$10001,MATCH(1,($A30=[2]SalmonProps!$A$2:$A$10001)*(1=[2]SalmonProps!$C$2:$C$10001)*(1=[2]SalmonProps!$D$2:$D$10001)*("A2" = [2]SalmonProps!$B$2:$B$10001)*($AP30 = [2]SalmonProps!$F$2:$F$10001) *($AR30 = [2]SalmonProps!$G$2:$G$10001),0), 15))</f>
        <v>0.10580000000000001</v>
      </c>
      <c r="AF30" s="166" cm="1">
        <f t="array" ref="AF30">IF(ISBLANK($AQ30), "", INDEX([2]SalmonProps!$A$2:$AA$10001,MATCH(1,($A30=[2]SalmonProps!$A$2:$A$10001)*(2=[2]SalmonProps!$C$2:$C$10001)*(1=[2]SalmonProps!$D$2:$D$10001)*("A2" = [2]SalmonProps!$B$2:$B$10001)*($AP30 = [2]SalmonProps!$F$2:$F$10001) *($AR30 = [2]SalmonProps!$G$2:$G$10001),0), 15))</f>
        <v>0.22470000000000001</v>
      </c>
      <c r="AG30" s="167" cm="1">
        <f t="array" ref="AG30">IF(ISBLANK($AQ30), "", INDEX([2]SalmonProps!$A$2:$AA$10001,MATCH(1,($A30=[2]SalmonProps!$A$2:$A$10001)*(3=[2]SalmonProps!$C$2:$C$10001)*(1=[2]SalmonProps!$D$2:$D$10001)*("A2" = [2]SalmonProps!$B$2:$B$10001)*($AP30 = [2]SalmonProps!$F$2:$F$10001) *($AR30 = [2]SalmonProps!$G$2:$G$10001),0), 15))</f>
        <v>0.3831</v>
      </c>
      <c r="AH30" s="173" t="str" cm="1">
        <f t="array" ref="AH30">IF(ISBLANK($AQ30), "", INDEX([2]SalmonProps!$A$2:$AA$10001,MATCH(1,($A30=[2]SalmonProps!$A$2:$A$10001)*($AP30 = [2]SalmonProps!$F$2:$F$10001) *($AR30 = [2]SalmonProps!$G$2:$G$10001),0), 24))</f>
        <v>NA</v>
      </c>
      <c r="AI30" s="183" t="str" cm="1">
        <f t="array" ref="AI30">IF(ISBLANK($AQ30), "", INDEX([2]SalmonProps!$A$2:$AA$10001,MATCH(1,($A30=[2]SalmonProps!$A$2:$A$10001)*($AP30 = [2]SalmonProps!$F$2:$F$10001) *($AR30 = [2]SalmonProps!$G$2:$G$10001),0), 25))</f>
        <v>NA</v>
      </c>
      <c r="AJ30" s="174" cm="1">
        <f t="array" ref="AJ30">IF(ISBLANK($AQ30), "", INDEX([2]SalmonProps!$A$2:$AA$10001,MATCH(1,($A30=[2]SalmonProps!$A$2:$A$10001)*($AP30 = [2]SalmonProps!$F$2:$F$10001) *($AR30 = [2]SalmonProps!$G$2:$G$10001),0), 20))</f>
        <v>59.5</v>
      </c>
      <c r="AK30" s="183" cm="1">
        <f t="array" ref="AK30">IF(ISBLANK($AQ30), "", INDEX([2]SalmonProps!$A$2:$AA$10001,MATCH(1,($A30=[2]SalmonProps!$A$2:$A$10001)*($AP30 = [2]SalmonProps!$F$2:$F$10001) *($AR30 = [2]SalmonProps!$G$2:$G$10001),0), 21))</f>
        <v>4.8</v>
      </c>
      <c r="AL30" s="174" cm="1">
        <f t="array" ref="AL30">IF(ISBLANK($AQ30), "", INDEX([2]SalmonProps!$A$2:$AA$10001,MATCH(1,($A30=[2]SalmonProps!$A$2:$A$10001)*($AP30 = [2]SalmonProps!$F$2:$F$10001) *($AR30 = [2]SalmonProps!$G$2:$G$10001),0), 22))</f>
        <v>74.8</v>
      </c>
      <c r="AM30" s="183" cm="1">
        <f t="array" ref="AM30">IF(ISBLANK($AQ30), "", INDEX([2]SalmonProps!$A$2:$AA$10001,MATCH(1,($A30=[2]SalmonProps!$A$2:$A$10001)*($AP30 = [2]SalmonProps!$F$2:$F$10001) *($AR30 = [2]SalmonProps!$G$2:$G$10001),0), 23))</f>
        <v>7.6</v>
      </c>
      <c r="AN30" s="174" t="str" cm="1">
        <f t="array" ref="AN30">IF(ISBLANK($AQ30), "", INDEX([2]SalmonProps!$A$2:$AA$10001,MATCH(1,($A30=[2]SalmonProps!$A$2:$A$10001)*($AP30 = [2]SalmonProps!$F$2:$F$10001) *($AR30 = [2]SalmonProps!$G$2:$G$10001),0), 26))</f>
        <v>NA</v>
      </c>
      <c r="AO30" s="175" t="str" cm="1">
        <f t="array" ref="AO30">IF(ISBLANK($AQ30), "", INDEX([2]SalmonProps!$A$2:$AA$10001,MATCH(1,($A30=[2]SalmonProps!$A$2:$A$10001)*($AP30 = [2]SalmonProps!$F$2:$F$10001) *($AR30 = [2]SalmonProps!$G$2:$G$10001),0), 27))</f>
        <v>NA</v>
      </c>
      <c r="AP30" s="112">
        <v>3</v>
      </c>
      <c r="AQ30" s="112" t="s">
        <v>133</v>
      </c>
      <c r="AR30" s="112" t="str">
        <f t="shared" si="1"/>
        <v>Unweighted</v>
      </c>
    </row>
    <row r="31" spans="1:44" x14ac:dyDescent="0.3">
      <c r="A31" s="20">
        <f>'[1]Passage Estimates'!$A31</f>
        <v>45133</v>
      </c>
      <c r="B31" s="164" cm="1">
        <f t="array" ref="B31">IF(ISBLANK($AQ31), "", INDEX([2]SalmonProps!$A$2:$AA$10001,MATCH(1,($A31=[2]SalmonProps!$A$2:$A$10001)*(1=[2]SalmonProps!$C$2:$C$10001)*(1=[2]SalmonProps!$D$2:$D$10001)*("A1" = [2]SalmonProps!$B$2:$B$10001)*($AP31 = [2]SalmonProps!$F$2:$F$10001) *($AR31 = [2]SalmonProps!$G$2:$G$10001),0), 17))</f>
        <v>3.7999999999999999E-2</v>
      </c>
      <c r="C31" s="165" cm="1">
        <f t="array" ref="C31">IF(ISBLANK($AQ31), "", INDEX([2]SalmonProps!$A$2:$AA$10001,MATCH(1,($A31=[2]SalmonProps!$A$2:$A$10001)*(1=[2]SalmonProps!$C$2:$C$10001)*(2=[2]SalmonProps!$D$2:$D$10001)*("A1" = [2]SalmonProps!$B$2:$B$10001)*($AP31 = [2]SalmonProps!$F$2:$F$10001) *($AR31 = [2]SalmonProps!$G$2:$G$10001),0), 17))</f>
        <v>1.04E-2</v>
      </c>
      <c r="D31" s="165" cm="1">
        <f t="array" ref="D31">IF(ISBLANK($AQ31), "", INDEX([2]SalmonProps!$A$2:$AA$10001,MATCH(1,($A31=[2]SalmonProps!$A$2:$A$10001)*(1=[2]SalmonProps!$C$2:$C$10001)*("1&amp;2"=[2]SalmonProps!$D$2:$D$10001)*("A1" = [2]SalmonProps!$B$2:$B$10001)*($AP31 = [2]SalmonProps!$F$2:$F$10001) *($AR31 = [2]SalmonProps!$G$2:$G$10001),0), 17))</f>
        <v>1.7000000000000001E-2</v>
      </c>
      <c r="E31" s="181" cm="1">
        <f t="array" ref="E31">IF(ISBLANK($AQ31), "", INDEX([2]SalmonProps!$A$2:$AA$10001,MATCH(1,($A31=[2]SalmonProps!$A$2:$A$10001)*(2=[2]SalmonProps!$C$2:$C$10001)*(3=[2]SalmonProps!$D$2:$D$10001)*("A1" = [2]SalmonProps!$B$2:$B$10001)*($AP31 = [2]SalmonProps!$F$2:$F$10001) *($AR31 = [2]SalmonProps!$G$2:$G$10001),0), 17))</f>
        <v>0.16139999999999999</v>
      </c>
      <c r="F31" s="165" cm="1">
        <f t="array" ref="F31">IF(ISBLANK($AQ31), "", INDEX([2]SalmonProps!$A$2:$AA$10001,MATCH(1,($A31=[2]SalmonProps!$A$2:$A$10001)*(3=[2]SalmonProps!$C$2:$C$10001)*(3=[2]SalmonProps!$D$2:$D$10001)*("A1" = [2]SalmonProps!$B$2:$B$10001)*($AP31 = [2]SalmonProps!$F$2:$F$10001) *($AR31 = [2]SalmonProps!$G$2:$G$10001),0), 17))</f>
        <v>0.43690000000000001</v>
      </c>
      <c r="G31" s="165" cm="1">
        <f t="array" ref="G31">IF(ISBLANK($AQ31), "", INDEX([2]SalmonProps!$A$2:$AA$10001,MATCH(1,($A31=[2]SalmonProps!$A$2:$A$10001)*(1=[2]SalmonProps!$C$2:$C$10001)*(1=[2]SalmonProps!$D$2:$D$10001)*("A2" = [2]SalmonProps!$B$2:$B$10001)*($AP31 = [2]SalmonProps!$F$2:$F$10001) *($AR31 = [2]SalmonProps!$G$2:$G$10001),0), 17))</f>
        <v>0</v>
      </c>
      <c r="H31" s="166" cm="1">
        <f t="array" ref="H31">IF(ISBLANK($AQ31), "", INDEX([2]SalmonProps!$A$2:$AA$10001,MATCH(1,($A31=[2]SalmonProps!$A$2:$A$10001)*(2=[2]SalmonProps!$C$2:$C$10001)*(1=[2]SalmonProps!$D$2:$D$10001)*("A2" = [2]SalmonProps!$B$2:$B$10001)*($AP31 = [2]SalmonProps!$F$2:$F$10001) *($AR31 = [2]SalmonProps!$G$2:$G$10001),0), 17))</f>
        <v>7.3899999999999993E-2</v>
      </c>
      <c r="I31" s="167" cm="1">
        <f t="array" ref="I31">IF(ISBLANK($AQ31), "", INDEX([2]SalmonProps!$A$2:$AA$10001,MATCH(1,($A31=[2]SalmonProps!$A$2:$A$10001)*(3=[2]SalmonProps!$C$2:$C$10001)*(1=[2]SalmonProps!$D$2:$D$10001)*("A2" = [2]SalmonProps!$B$2:$B$10001)*($AP31 = [2]SalmonProps!$F$2:$F$10001) *($AR31 = [2]SalmonProps!$G$2:$G$10001),0), 17))</f>
        <v>0.21390000000000001</v>
      </c>
      <c r="J31" s="164" t="str" cm="1">
        <f t="array" ref="J31">IF(ISBLANK($AQ31), "", INDEX([2]SalmonProps!$A$2:$AA$10001,MATCH(1,($A31=[2]SalmonProps!$A$2:$A$10001)*(1=[2]SalmonProps!$C$2:$C$10001)*(1=[2]SalmonProps!$D$2:$D$10001)*("A1" = [2]SalmonProps!$B$2:$B$10001)*($AP31 = [2]SalmonProps!$F$2:$F$10001) *($AR31 = [2]SalmonProps!$G$2:$G$10001),0), 19))</f>
        <v>NA</v>
      </c>
      <c r="K31" s="165" t="str" cm="1">
        <f t="array" ref="K31">IF(ISBLANK($AQ31), "", INDEX([2]SalmonProps!$A$2:$AA$10001,MATCH(1,($A31=[2]SalmonProps!$A$2:$A$10001)*(1=[2]SalmonProps!$C$2:$C$10001)*(2=[2]SalmonProps!$D$2:$D$10001)*("A1" = [2]SalmonProps!$B$2:$B$10001)*($AP31 = [2]SalmonProps!$F$2:$F$10001) *($AR31 = [2]SalmonProps!$G$2:$G$10001),0), 19))</f>
        <v>NA</v>
      </c>
      <c r="L31" s="165" t="str" cm="1">
        <f t="array" ref="L31">IF(ISBLANK($AQ31), "", INDEX([2]SalmonProps!$A$2:$AA$10001,MATCH(1,($A31=[2]SalmonProps!$A$2:$A$10001)*(1=[2]SalmonProps!$C$2:$C$10001)*("1&amp;2"=[2]SalmonProps!$D$2:$D$10001)*("A1" = [2]SalmonProps!$B$2:$B$10001)*($AP31 = [2]SalmonProps!$F$2:$F$10001) *($AR31 = [2]SalmonProps!$G$2:$G$10001),0), 19))</f>
        <v>NA</v>
      </c>
      <c r="M31" s="165" t="str" cm="1">
        <f t="array" ref="M31">IF(ISBLANK($AQ31), "", INDEX([2]SalmonProps!$A$2:$AA$10001,MATCH(1,($A31=[2]SalmonProps!$A$2:$A$10001)*(2=[2]SalmonProps!$C$2:$C$10001)*(3=[2]SalmonProps!$D$2:$D$10001)*("A1" = [2]SalmonProps!$B$2:$B$10001)*($AP31 = [2]SalmonProps!$F$2:$F$10001) *($AR31 = [2]SalmonProps!$G$2:$G$10001),0), 19))</f>
        <v>NA</v>
      </c>
      <c r="N31" s="181" t="str" cm="1">
        <f t="array" ref="N31">IF(ISBLANK($AQ31), "", INDEX([2]SalmonProps!$A$2:$AA$10001,MATCH(1,($A31=[2]SalmonProps!$A$2:$A$10001)*(3=[2]SalmonProps!$C$2:$C$10001)*(3=[2]SalmonProps!$D$2:$D$10001)*("A1" = [2]SalmonProps!$B$2:$B$10001)*($AP31 = [2]SalmonProps!$F$2:$F$10001) *($AR31 = [2]SalmonProps!$G$2:$G$10001),0), 19))</f>
        <v>NA</v>
      </c>
      <c r="O31" s="165" t="str" cm="1">
        <f t="array" ref="O31">IF(ISBLANK($AQ31), "", INDEX([2]SalmonProps!$A$2:$AA$10001,MATCH(1,($A31=[2]SalmonProps!$A$2:$A$10001)*(1=[2]SalmonProps!$C$2:$C$10001)*(1=[2]SalmonProps!$D$2:$D$10001)*("A2" = [2]SalmonProps!$B$2:$B$10001)*($AP31 = [2]SalmonProps!$F$2:$F$10001) *($AR31 = [2]SalmonProps!$G$2:$G$10001),0), 19))</f>
        <v>NA</v>
      </c>
      <c r="P31" s="165" t="str" cm="1">
        <f t="array" ref="P31">IF(ISBLANK($AQ31), "", INDEX([2]SalmonProps!$A$2:$AA$10001,MATCH(1,($A31=[2]SalmonProps!$A$2:$A$10001)*(2=[2]SalmonProps!$C$2:$C$10001)*(1=[2]SalmonProps!$D$2:$D$10001)*("A2" = [2]SalmonProps!$B$2:$B$10001)*($AP31 = [2]SalmonProps!$F$2:$F$10001) *($AR31 = [2]SalmonProps!$G$2:$G$10001),0), 19))</f>
        <v>NA</v>
      </c>
      <c r="Q31" s="168" t="str" cm="1">
        <f t="array" ref="Q31">IF(ISBLANK($AQ31), "", INDEX([2]SalmonProps!$A$2:$AA$10001,MATCH(1,($A31=[2]SalmonProps!$A$2:$A$10001)*(3=[2]SalmonProps!$C$2:$C$10001)*(1=[2]SalmonProps!$D$2:$D$10001)*("A2" = [2]SalmonProps!$B$2:$B$10001)*($AP31 = [2]SalmonProps!$F$2:$F$10001) *($AR31 = [2]SalmonProps!$G$2:$G$10001),0), 19))</f>
        <v>NA</v>
      </c>
      <c r="R31" s="164" t="str" cm="1">
        <f t="array" ref="R31">IF(ISBLANK($AQ31), "", INDEX([2]SalmonProps!$A$2:$AA$10001,MATCH(1,($A31=[2]SalmonProps!$A$2:$A$10001)*(1=[2]SalmonProps!$C$2:$C$10001)*(1=[2]SalmonProps!$D$2:$D$10001)*("A1" = [2]SalmonProps!$B$2:$B$10001)*($AP31 = [2]SalmonProps!$F$2:$F$10001) *($AR31 = [2]SalmonProps!$G$2:$G$10001),0), 18))</f>
        <v>NA</v>
      </c>
      <c r="S31" s="165" t="str" cm="1">
        <f t="array" ref="S31">IF(ISBLANK($AQ31), "", INDEX([2]SalmonProps!$A$2:$AA$10001,MATCH(1,($A31=[2]SalmonProps!$A$2:$A$10001)*(1=[2]SalmonProps!$C$2:$C$10001)*(2=[2]SalmonProps!$D$2:$D$10001)*("A1" = [2]SalmonProps!$B$2:$B$10001)*($AP31 = [2]SalmonProps!$F$2:$F$10001) *($AR31 = [2]SalmonProps!$G$2:$G$10001),0), 18))</f>
        <v>NA</v>
      </c>
      <c r="T31" s="165" t="str" cm="1">
        <f t="array" ref="T31">IF(ISBLANK($AQ31), "", INDEX([2]SalmonProps!$A$2:$AA$10001,MATCH(1,($A31=[2]SalmonProps!$A$2:$A$10001)*(1=[2]SalmonProps!$C$2:$C$10001)*("1&amp;2"=[2]SalmonProps!$D$2:$D$10001)*("A1" = [2]SalmonProps!$B$2:$B$10001)*($AP31 = [2]SalmonProps!$F$2:$F$10001) *($AR31 = [2]SalmonProps!$G$2:$G$10001),0), 18))</f>
        <v>NA</v>
      </c>
      <c r="U31" s="165" t="str" cm="1">
        <f t="array" ref="U31">IF(ISBLANK($AQ31), "", INDEX([2]SalmonProps!$A$2:$AA$10001,MATCH(1,($A31=[2]SalmonProps!$A$2:$A$10001)*(2=[2]SalmonProps!$C$2:$C$10001)*(3=[2]SalmonProps!$D$2:$D$10001)*("A1" = [2]SalmonProps!$B$2:$B$10001)*($AP31 = [2]SalmonProps!$F$2:$F$10001) *($AR31 = [2]SalmonProps!$G$2:$G$10001),0), 18))</f>
        <v>NA</v>
      </c>
      <c r="V31" s="181" t="str" cm="1">
        <f t="array" ref="V31">IF(ISBLANK($AQ31), "", INDEX([2]SalmonProps!$A$2:$AA$10001,MATCH(1,($A31=[2]SalmonProps!$A$2:$A$10001)*(3=[2]SalmonProps!$C$2:$C$10001)*(3=[2]SalmonProps!$D$2:$D$10001)*("A1" = [2]SalmonProps!$B$2:$B$10001)*($AP31 = [2]SalmonProps!$F$2:$F$10001) *($AR31 = [2]SalmonProps!$G$2:$G$10001),0), 18))</f>
        <v>NA</v>
      </c>
      <c r="W31" s="180" t="str" cm="1">
        <f t="array" ref="W31">IF(ISBLANK($AQ31), "", INDEX([2]SalmonProps!$A$2:$AA$10001,MATCH(1,($A31=[2]SalmonProps!$A$2:$A$10001)*(1=[2]SalmonProps!$C$2:$C$10001)*(1=[2]SalmonProps!$D$2:$D$10001)*("A2" = [2]SalmonProps!$B$2:$B$10001)*($AP31 = [2]SalmonProps!$F$2:$F$10001) *($AR31 = [2]SalmonProps!$G$2:$G$10001),0), 18))</f>
        <v>NA</v>
      </c>
      <c r="X31" s="165" t="str" cm="1">
        <f t="array" ref="X31">IF(ISBLANK($AQ31), "", INDEX([2]SalmonProps!$A$2:$AA$10001,MATCH(1,($A31=[2]SalmonProps!$A$2:$A$10001)*(2=[2]SalmonProps!$C$2:$C$10001)*(1=[2]SalmonProps!$D$2:$D$10001)*("A2" = [2]SalmonProps!$B$2:$B$10001)*($AP31 = [2]SalmonProps!$F$2:$F$10001) *($AR31 = [2]SalmonProps!$G$2:$G$10001),0), 18))</f>
        <v>NA</v>
      </c>
      <c r="Y31" s="168" t="str" cm="1">
        <f t="array" ref="Y31">IF(ISBLANK($AQ31), "", INDEX([2]SalmonProps!$A$2:$AA$10001,MATCH(1,($A31=[2]SalmonProps!$A$2:$A$10001)*(3=[2]SalmonProps!$C$2:$C$10001)*(1=[2]SalmonProps!$D$2:$D$10001)*("A2" = [2]SalmonProps!$B$2:$B$10001)*($AP31 = [2]SalmonProps!$F$2:$F$10001) *($AR31 = [2]SalmonProps!$G$2:$G$10001),0), 18))</f>
        <v>NA</v>
      </c>
      <c r="Z31" s="164" cm="1">
        <f t="array" ref="Z31">IF(ISBLANK($AQ31), "", INDEX([2]SalmonProps!$A$2:$AA$10001,MATCH(1,($A31=[2]SalmonProps!$A$2:$A$10001)*(1=[2]SalmonProps!$C$2:$C$10001)*(1=[2]SalmonProps!$D$2:$D$10001)*("A1" = [2]SalmonProps!$B$2:$B$10001)*($AP31 = [2]SalmonProps!$F$2:$F$10001) *($AR31 = [2]SalmonProps!$G$2:$G$10001),0), 15))</f>
        <v>0.1027</v>
      </c>
      <c r="AA31" s="165" cm="1">
        <f t="array" ref="AA31">IF(ISBLANK($AQ31), "", INDEX([2]SalmonProps!$A$2:$AA$10001,MATCH(1,($A31=[2]SalmonProps!$A$2:$A$10001)*(1=[2]SalmonProps!$C$2:$C$10001)*(2=[2]SalmonProps!$D$2:$D$10001)*("A1" = [2]SalmonProps!$B$2:$B$10001)*($AP31 = [2]SalmonProps!$F$2:$F$10001) *($AR31 = [2]SalmonProps!$G$2:$G$10001),0), 15))</f>
        <v>0.1326</v>
      </c>
      <c r="AB31" s="165" cm="1">
        <f t="array" ref="AB31">IF(ISBLANK($AQ31), "", INDEX([2]SalmonProps!$A$2:$AA$10001,MATCH(1,($A31=[2]SalmonProps!$A$2:$A$10001)*(1=[2]SalmonProps!$C$2:$C$10001)*("1&amp;2"=[2]SalmonProps!$D$2:$D$10001)*("A1" = [2]SalmonProps!$B$2:$B$10001)*($AP31 = [2]SalmonProps!$F$2:$F$10001) *($AR31 = [2]SalmonProps!$G$2:$G$10001),0), 15))</f>
        <v>0.1237</v>
      </c>
      <c r="AC31" s="165" cm="1">
        <f t="array" ref="AC31">IF(ISBLANK($AQ31), "", INDEX([2]SalmonProps!$A$2:$AA$10001,MATCH(1,($A31=[2]SalmonProps!$A$2:$A$10001)*(2=[2]SalmonProps!$C$2:$C$10001)*(3=[2]SalmonProps!$D$2:$D$10001)*("A1" = [2]SalmonProps!$B$2:$B$10001)*($AP31 = [2]SalmonProps!$F$2:$F$10001) *($AR31 = [2]SalmonProps!$G$2:$G$10001),0), 15))</f>
        <v>0.3488</v>
      </c>
      <c r="AD31" s="181" cm="1">
        <f t="array" ref="AD31">IF(ISBLANK($AQ31), "", INDEX([2]SalmonProps!$A$2:$AA$10001,MATCH(1,($A31=[2]SalmonProps!$A$2:$A$10001)*(3=[2]SalmonProps!$C$2:$C$10001)*(3=[2]SalmonProps!$D$2:$D$10001)*("A1" = [2]SalmonProps!$B$2:$B$10001)*($AP31 = [2]SalmonProps!$F$2:$F$10001) *($AR31 = [2]SalmonProps!$G$2:$G$10001),0), 15))</f>
        <v>0.56599999999999995</v>
      </c>
      <c r="AE31" s="166" cm="1">
        <f t="array" ref="AE31">IF(ISBLANK($AQ31), "", INDEX([2]SalmonProps!$A$2:$AA$10001,MATCH(1,($A31=[2]SalmonProps!$A$2:$A$10001)*(1=[2]SalmonProps!$C$2:$C$10001)*(1=[2]SalmonProps!$D$2:$D$10001)*("A2" = [2]SalmonProps!$B$2:$B$10001)*($AP31 = [2]SalmonProps!$F$2:$F$10001) *($AR31 = [2]SalmonProps!$G$2:$G$10001),0), 15))</f>
        <v>4.6100000000000002E-2</v>
      </c>
      <c r="AF31" s="166" cm="1">
        <f t="array" ref="AF31">IF(ISBLANK($AQ31), "", INDEX([2]SalmonProps!$A$2:$AA$10001,MATCH(1,($A31=[2]SalmonProps!$A$2:$A$10001)*(2=[2]SalmonProps!$C$2:$C$10001)*(1=[2]SalmonProps!$D$2:$D$10001)*("A2" = [2]SalmonProps!$B$2:$B$10001)*($AP31 = [2]SalmonProps!$F$2:$F$10001) *($AR31 = [2]SalmonProps!$G$2:$G$10001),0), 15))</f>
        <v>0.15870000000000001</v>
      </c>
      <c r="AG31" s="167" cm="1">
        <f t="array" ref="AG31">IF(ISBLANK($AQ31), "", INDEX([2]SalmonProps!$A$2:$AA$10001,MATCH(1,($A31=[2]SalmonProps!$A$2:$A$10001)*(3=[2]SalmonProps!$C$2:$C$10001)*(1=[2]SalmonProps!$D$2:$D$10001)*("A2" = [2]SalmonProps!$B$2:$B$10001)*($AP31 = [2]SalmonProps!$F$2:$F$10001) *($AR31 = [2]SalmonProps!$G$2:$G$10001),0), 15))</f>
        <v>0.34229999999999999</v>
      </c>
      <c r="AH31" s="173" t="str" cm="1">
        <f t="array" ref="AH31">IF(ISBLANK($AQ31), "", INDEX([2]SalmonProps!$A$2:$AA$10001,MATCH(1,($A31=[2]SalmonProps!$A$2:$A$10001)*($AP31 = [2]SalmonProps!$F$2:$F$10001) *($AR31 = [2]SalmonProps!$G$2:$G$10001),0), 24))</f>
        <v>NA</v>
      </c>
      <c r="AI31" s="183" t="str" cm="1">
        <f t="array" ref="AI31">IF(ISBLANK($AQ31), "", INDEX([2]SalmonProps!$A$2:$AA$10001,MATCH(1,($A31=[2]SalmonProps!$A$2:$A$10001)*($AP31 = [2]SalmonProps!$F$2:$F$10001) *($AR31 = [2]SalmonProps!$G$2:$G$10001),0), 25))</f>
        <v>NA</v>
      </c>
      <c r="AJ31" s="174" cm="1">
        <f t="array" ref="AJ31">IF(ISBLANK($AQ31), "", INDEX([2]SalmonProps!$A$2:$AA$10001,MATCH(1,($A31=[2]SalmonProps!$A$2:$A$10001)*($AP31 = [2]SalmonProps!$F$2:$F$10001) *($AR31 = [2]SalmonProps!$G$2:$G$10001),0), 20))</f>
        <v>58.4</v>
      </c>
      <c r="AK31" s="183" cm="1">
        <f t="array" ref="AK31">IF(ISBLANK($AQ31), "", INDEX([2]SalmonProps!$A$2:$AA$10001,MATCH(1,($A31=[2]SalmonProps!$A$2:$A$10001)*($AP31 = [2]SalmonProps!$F$2:$F$10001) *($AR31 = [2]SalmonProps!$G$2:$G$10001),0), 21))</f>
        <v>4.7</v>
      </c>
      <c r="AL31" s="174" cm="1">
        <f t="array" ref="AL31">IF(ISBLANK($AQ31), "", INDEX([2]SalmonProps!$A$2:$AA$10001,MATCH(1,($A31=[2]SalmonProps!$A$2:$A$10001)*($AP31 = [2]SalmonProps!$F$2:$F$10001) *($AR31 = [2]SalmonProps!$G$2:$G$10001),0), 22))</f>
        <v>72.900000000000006</v>
      </c>
      <c r="AM31" s="183" cm="1">
        <f t="array" ref="AM31">IF(ISBLANK($AQ31), "", INDEX([2]SalmonProps!$A$2:$AA$10001,MATCH(1,($A31=[2]SalmonProps!$A$2:$A$10001)*($AP31 = [2]SalmonProps!$F$2:$F$10001) *($AR31 = [2]SalmonProps!$G$2:$G$10001),0), 23))</f>
        <v>7.4</v>
      </c>
      <c r="AN31" s="174" t="str" cm="1">
        <f t="array" ref="AN31">IF(ISBLANK($AQ31), "", INDEX([2]SalmonProps!$A$2:$AA$10001,MATCH(1,($A31=[2]SalmonProps!$A$2:$A$10001)*($AP31 = [2]SalmonProps!$F$2:$F$10001) *($AR31 = [2]SalmonProps!$G$2:$G$10001),0), 26))</f>
        <v>NA</v>
      </c>
      <c r="AO31" s="175" t="str" cm="1">
        <f t="array" ref="AO31">IF(ISBLANK($AQ31), "", INDEX([2]SalmonProps!$A$2:$AA$10001,MATCH(1,($A31=[2]SalmonProps!$A$2:$A$10001)*($AP31 = [2]SalmonProps!$F$2:$F$10001) *($AR31 = [2]SalmonProps!$G$2:$G$10001),0), 27))</f>
        <v>NA</v>
      </c>
      <c r="AP31" s="112">
        <v>3</v>
      </c>
      <c r="AQ31" s="112" t="s">
        <v>133</v>
      </c>
      <c r="AR31" s="112" t="str">
        <f t="shared" si="1"/>
        <v>Unweighted</v>
      </c>
    </row>
    <row r="32" spans="1:44" x14ac:dyDescent="0.3">
      <c r="A32" s="20">
        <f>'[1]Passage Estimates'!$A32</f>
        <v>45134</v>
      </c>
      <c r="B32" s="164" cm="1">
        <f t="array" ref="B32">IF(ISBLANK($AQ32), "", INDEX([2]SalmonProps!$A$2:$AA$10001,MATCH(1,($A32=[2]SalmonProps!$A$2:$A$10001)*(1=[2]SalmonProps!$C$2:$C$10001)*(1=[2]SalmonProps!$D$2:$D$10001)*("A1" = [2]SalmonProps!$B$2:$B$10001)*($AP32 = [2]SalmonProps!$F$2:$F$10001) *($AR32 = [2]SalmonProps!$G$2:$G$10001),0), 17))</f>
        <v>0</v>
      </c>
      <c r="C32" s="165" cm="1">
        <f t="array" ref="C32">IF(ISBLANK($AQ32), "", INDEX([2]SalmonProps!$A$2:$AA$10001,MATCH(1,($A32=[2]SalmonProps!$A$2:$A$10001)*(1=[2]SalmonProps!$C$2:$C$10001)*(2=[2]SalmonProps!$D$2:$D$10001)*("A1" = [2]SalmonProps!$B$2:$B$10001)*($AP32 = [2]SalmonProps!$F$2:$F$10001) *($AR32 = [2]SalmonProps!$G$2:$G$10001),0), 17))</f>
        <v>0</v>
      </c>
      <c r="D32" s="165" cm="1">
        <f t="array" ref="D32">IF(ISBLANK($AQ32), "", INDEX([2]SalmonProps!$A$2:$AA$10001,MATCH(1,($A32=[2]SalmonProps!$A$2:$A$10001)*(1=[2]SalmonProps!$C$2:$C$10001)*("1&amp;2"=[2]SalmonProps!$D$2:$D$10001)*("A1" = [2]SalmonProps!$B$2:$B$10001)*($AP32 = [2]SalmonProps!$F$2:$F$10001) *($AR32 = [2]SalmonProps!$G$2:$G$10001),0), 17))</f>
        <v>0</v>
      </c>
      <c r="E32" s="181" cm="1">
        <f t="array" ref="E32">IF(ISBLANK($AQ32), "", INDEX([2]SalmonProps!$A$2:$AA$10001,MATCH(1,($A32=[2]SalmonProps!$A$2:$A$10001)*(2=[2]SalmonProps!$C$2:$C$10001)*(3=[2]SalmonProps!$D$2:$D$10001)*("A1" = [2]SalmonProps!$B$2:$B$10001)*($AP32 = [2]SalmonProps!$F$2:$F$10001) *($AR32 = [2]SalmonProps!$G$2:$G$10001),0), 17))</f>
        <v>7.7299999999999994E-2</v>
      </c>
      <c r="F32" s="165" cm="1">
        <f t="array" ref="F32">IF(ISBLANK($AQ32), "", INDEX([2]SalmonProps!$A$2:$AA$10001,MATCH(1,($A32=[2]SalmonProps!$A$2:$A$10001)*(3=[2]SalmonProps!$C$2:$C$10001)*(3=[2]SalmonProps!$D$2:$D$10001)*("A1" = [2]SalmonProps!$B$2:$B$10001)*($AP32 = [2]SalmonProps!$F$2:$F$10001) *($AR32 = [2]SalmonProps!$G$2:$G$10001),0), 17))</f>
        <v>0.32169999999999999</v>
      </c>
      <c r="G32" s="165" cm="1">
        <f t="array" ref="G32">IF(ISBLANK($AQ32), "", INDEX([2]SalmonProps!$A$2:$AA$10001,MATCH(1,($A32=[2]SalmonProps!$A$2:$A$10001)*(1=[2]SalmonProps!$C$2:$C$10001)*(1=[2]SalmonProps!$D$2:$D$10001)*("A2" = [2]SalmonProps!$B$2:$B$10001)*($AP32 = [2]SalmonProps!$F$2:$F$10001) *($AR32 = [2]SalmonProps!$G$2:$G$10001),0), 17))</f>
        <v>0</v>
      </c>
      <c r="H32" s="166" cm="1">
        <f t="array" ref="H32">IF(ISBLANK($AQ32), "", INDEX([2]SalmonProps!$A$2:$AA$10001,MATCH(1,($A32=[2]SalmonProps!$A$2:$A$10001)*(2=[2]SalmonProps!$C$2:$C$10001)*(1=[2]SalmonProps!$D$2:$D$10001)*("A2" = [2]SalmonProps!$B$2:$B$10001)*($AP32 = [2]SalmonProps!$F$2:$F$10001) *($AR32 = [2]SalmonProps!$G$2:$G$10001),0), 17))</f>
        <v>7.3899999999999993E-2</v>
      </c>
      <c r="I32" s="167" cm="1">
        <f t="array" ref="I32">IF(ISBLANK($AQ32), "", INDEX([2]SalmonProps!$A$2:$AA$10001,MATCH(1,($A32=[2]SalmonProps!$A$2:$A$10001)*(3=[2]SalmonProps!$C$2:$C$10001)*(1=[2]SalmonProps!$D$2:$D$10001)*("A2" = [2]SalmonProps!$B$2:$B$10001)*($AP32 = [2]SalmonProps!$F$2:$F$10001) *($AR32 = [2]SalmonProps!$G$2:$G$10001),0), 17))</f>
        <v>0.21390000000000001</v>
      </c>
      <c r="J32" s="164" t="str" cm="1">
        <f t="array" ref="J32">IF(ISBLANK($AQ32), "", INDEX([2]SalmonProps!$A$2:$AA$10001,MATCH(1,($A32=[2]SalmonProps!$A$2:$A$10001)*(1=[2]SalmonProps!$C$2:$C$10001)*(1=[2]SalmonProps!$D$2:$D$10001)*("A1" = [2]SalmonProps!$B$2:$B$10001)*($AP32 = [2]SalmonProps!$F$2:$F$10001) *($AR32 = [2]SalmonProps!$G$2:$G$10001),0), 19))</f>
        <v>NA</v>
      </c>
      <c r="K32" s="165" t="str" cm="1">
        <f t="array" ref="K32">IF(ISBLANK($AQ32), "", INDEX([2]SalmonProps!$A$2:$AA$10001,MATCH(1,($A32=[2]SalmonProps!$A$2:$A$10001)*(1=[2]SalmonProps!$C$2:$C$10001)*(2=[2]SalmonProps!$D$2:$D$10001)*("A1" = [2]SalmonProps!$B$2:$B$10001)*($AP32 = [2]SalmonProps!$F$2:$F$10001) *($AR32 = [2]SalmonProps!$G$2:$G$10001),0), 19))</f>
        <v>NA</v>
      </c>
      <c r="L32" s="165" t="str" cm="1">
        <f t="array" ref="L32">IF(ISBLANK($AQ32), "", INDEX([2]SalmonProps!$A$2:$AA$10001,MATCH(1,($A32=[2]SalmonProps!$A$2:$A$10001)*(1=[2]SalmonProps!$C$2:$C$10001)*("1&amp;2"=[2]SalmonProps!$D$2:$D$10001)*("A1" = [2]SalmonProps!$B$2:$B$10001)*($AP32 = [2]SalmonProps!$F$2:$F$10001) *($AR32 = [2]SalmonProps!$G$2:$G$10001),0), 19))</f>
        <v>NA</v>
      </c>
      <c r="M32" s="165" t="str" cm="1">
        <f t="array" ref="M32">IF(ISBLANK($AQ32), "", INDEX([2]SalmonProps!$A$2:$AA$10001,MATCH(1,($A32=[2]SalmonProps!$A$2:$A$10001)*(2=[2]SalmonProps!$C$2:$C$10001)*(3=[2]SalmonProps!$D$2:$D$10001)*("A1" = [2]SalmonProps!$B$2:$B$10001)*($AP32 = [2]SalmonProps!$F$2:$F$10001) *($AR32 = [2]SalmonProps!$G$2:$G$10001),0), 19))</f>
        <v>NA</v>
      </c>
      <c r="N32" s="181" t="str" cm="1">
        <f t="array" ref="N32">IF(ISBLANK($AQ32), "", INDEX([2]SalmonProps!$A$2:$AA$10001,MATCH(1,($A32=[2]SalmonProps!$A$2:$A$10001)*(3=[2]SalmonProps!$C$2:$C$10001)*(3=[2]SalmonProps!$D$2:$D$10001)*("A1" = [2]SalmonProps!$B$2:$B$10001)*($AP32 = [2]SalmonProps!$F$2:$F$10001) *($AR32 = [2]SalmonProps!$G$2:$G$10001),0), 19))</f>
        <v>NA</v>
      </c>
      <c r="O32" s="165" t="str" cm="1">
        <f t="array" ref="O32">IF(ISBLANK($AQ32), "", INDEX([2]SalmonProps!$A$2:$AA$10001,MATCH(1,($A32=[2]SalmonProps!$A$2:$A$10001)*(1=[2]SalmonProps!$C$2:$C$10001)*(1=[2]SalmonProps!$D$2:$D$10001)*("A2" = [2]SalmonProps!$B$2:$B$10001)*($AP32 = [2]SalmonProps!$F$2:$F$10001) *($AR32 = [2]SalmonProps!$G$2:$G$10001),0), 19))</f>
        <v>NA</v>
      </c>
      <c r="P32" s="165" t="str" cm="1">
        <f t="array" ref="P32">IF(ISBLANK($AQ32), "", INDEX([2]SalmonProps!$A$2:$AA$10001,MATCH(1,($A32=[2]SalmonProps!$A$2:$A$10001)*(2=[2]SalmonProps!$C$2:$C$10001)*(1=[2]SalmonProps!$D$2:$D$10001)*("A2" = [2]SalmonProps!$B$2:$B$10001)*($AP32 = [2]SalmonProps!$F$2:$F$10001) *($AR32 = [2]SalmonProps!$G$2:$G$10001),0), 19))</f>
        <v>NA</v>
      </c>
      <c r="Q32" s="168" t="str" cm="1">
        <f t="array" ref="Q32">IF(ISBLANK($AQ32), "", INDEX([2]SalmonProps!$A$2:$AA$10001,MATCH(1,($A32=[2]SalmonProps!$A$2:$A$10001)*(3=[2]SalmonProps!$C$2:$C$10001)*(1=[2]SalmonProps!$D$2:$D$10001)*("A2" = [2]SalmonProps!$B$2:$B$10001)*($AP32 = [2]SalmonProps!$F$2:$F$10001) *($AR32 = [2]SalmonProps!$G$2:$G$10001),0), 19))</f>
        <v>NA</v>
      </c>
      <c r="R32" s="164" t="str" cm="1">
        <f t="array" ref="R32">IF(ISBLANK($AQ32), "", INDEX([2]SalmonProps!$A$2:$AA$10001,MATCH(1,($A32=[2]SalmonProps!$A$2:$A$10001)*(1=[2]SalmonProps!$C$2:$C$10001)*(1=[2]SalmonProps!$D$2:$D$10001)*("A1" = [2]SalmonProps!$B$2:$B$10001)*($AP32 = [2]SalmonProps!$F$2:$F$10001) *($AR32 = [2]SalmonProps!$G$2:$G$10001),0), 18))</f>
        <v>NA</v>
      </c>
      <c r="S32" s="165" t="str" cm="1">
        <f t="array" ref="S32">IF(ISBLANK($AQ32), "", INDEX([2]SalmonProps!$A$2:$AA$10001,MATCH(1,($A32=[2]SalmonProps!$A$2:$A$10001)*(1=[2]SalmonProps!$C$2:$C$10001)*(2=[2]SalmonProps!$D$2:$D$10001)*("A1" = [2]SalmonProps!$B$2:$B$10001)*($AP32 = [2]SalmonProps!$F$2:$F$10001) *($AR32 = [2]SalmonProps!$G$2:$G$10001),0), 18))</f>
        <v>NA</v>
      </c>
      <c r="T32" s="165" t="str" cm="1">
        <f t="array" ref="T32">IF(ISBLANK($AQ32), "", INDEX([2]SalmonProps!$A$2:$AA$10001,MATCH(1,($A32=[2]SalmonProps!$A$2:$A$10001)*(1=[2]SalmonProps!$C$2:$C$10001)*("1&amp;2"=[2]SalmonProps!$D$2:$D$10001)*("A1" = [2]SalmonProps!$B$2:$B$10001)*($AP32 = [2]SalmonProps!$F$2:$F$10001) *($AR32 = [2]SalmonProps!$G$2:$G$10001),0), 18))</f>
        <v>NA</v>
      </c>
      <c r="U32" s="165" t="str" cm="1">
        <f t="array" ref="U32">IF(ISBLANK($AQ32), "", INDEX([2]SalmonProps!$A$2:$AA$10001,MATCH(1,($A32=[2]SalmonProps!$A$2:$A$10001)*(2=[2]SalmonProps!$C$2:$C$10001)*(3=[2]SalmonProps!$D$2:$D$10001)*("A1" = [2]SalmonProps!$B$2:$B$10001)*($AP32 = [2]SalmonProps!$F$2:$F$10001) *($AR32 = [2]SalmonProps!$G$2:$G$10001),0), 18))</f>
        <v>NA</v>
      </c>
      <c r="V32" s="181" t="str" cm="1">
        <f t="array" ref="V32">IF(ISBLANK($AQ32), "", INDEX([2]SalmonProps!$A$2:$AA$10001,MATCH(1,($A32=[2]SalmonProps!$A$2:$A$10001)*(3=[2]SalmonProps!$C$2:$C$10001)*(3=[2]SalmonProps!$D$2:$D$10001)*("A1" = [2]SalmonProps!$B$2:$B$10001)*($AP32 = [2]SalmonProps!$F$2:$F$10001) *($AR32 = [2]SalmonProps!$G$2:$G$10001),0), 18))</f>
        <v>NA</v>
      </c>
      <c r="W32" s="180" t="str" cm="1">
        <f t="array" ref="W32">IF(ISBLANK($AQ32), "", INDEX([2]SalmonProps!$A$2:$AA$10001,MATCH(1,($A32=[2]SalmonProps!$A$2:$A$10001)*(1=[2]SalmonProps!$C$2:$C$10001)*(1=[2]SalmonProps!$D$2:$D$10001)*("A2" = [2]SalmonProps!$B$2:$B$10001)*($AP32 = [2]SalmonProps!$F$2:$F$10001) *($AR32 = [2]SalmonProps!$G$2:$G$10001),0), 18))</f>
        <v>NA</v>
      </c>
      <c r="X32" s="165" t="str" cm="1">
        <f t="array" ref="X32">IF(ISBLANK($AQ32), "", INDEX([2]SalmonProps!$A$2:$AA$10001,MATCH(1,($A32=[2]SalmonProps!$A$2:$A$10001)*(2=[2]SalmonProps!$C$2:$C$10001)*(1=[2]SalmonProps!$D$2:$D$10001)*("A2" = [2]SalmonProps!$B$2:$B$10001)*($AP32 = [2]SalmonProps!$F$2:$F$10001) *($AR32 = [2]SalmonProps!$G$2:$G$10001),0), 18))</f>
        <v>NA</v>
      </c>
      <c r="Y32" s="168" t="str" cm="1">
        <f t="array" ref="Y32">IF(ISBLANK($AQ32), "", INDEX([2]SalmonProps!$A$2:$AA$10001,MATCH(1,($A32=[2]SalmonProps!$A$2:$A$10001)*(3=[2]SalmonProps!$C$2:$C$10001)*(1=[2]SalmonProps!$D$2:$D$10001)*("A2" = [2]SalmonProps!$B$2:$B$10001)*($AP32 = [2]SalmonProps!$F$2:$F$10001) *($AR32 = [2]SalmonProps!$G$2:$G$10001),0), 18))</f>
        <v>NA</v>
      </c>
      <c r="Z32" s="164" cm="1">
        <f t="array" ref="Z32">IF(ISBLANK($AQ32), "", INDEX([2]SalmonProps!$A$2:$AA$10001,MATCH(1,($A32=[2]SalmonProps!$A$2:$A$10001)*(1=[2]SalmonProps!$C$2:$C$10001)*(1=[2]SalmonProps!$D$2:$D$10001)*("A1" = [2]SalmonProps!$B$2:$B$10001)*($AP32 = [2]SalmonProps!$F$2:$F$10001) *($AR32 = [2]SalmonProps!$G$2:$G$10001),0), 15))</f>
        <v>7.0400000000000004E-2</v>
      </c>
      <c r="AA32" s="165" cm="1">
        <f t="array" ref="AA32">IF(ISBLANK($AQ32), "", INDEX([2]SalmonProps!$A$2:$AA$10001,MATCH(1,($A32=[2]SalmonProps!$A$2:$A$10001)*(1=[2]SalmonProps!$C$2:$C$10001)*(2=[2]SalmonProps!$D$2:$D$10001)*("A1" = [2]SalmonProps!$B$2:$B$10001)*($AP32 = [2]SalmonProps!$F$2:$F$10001) *($AR32 = [2]SalmonProps!$G$2:$G$10001),0), 15))</f>
        <v>0.1706</v>
      </c>
      <c r="AB32" s="165" cm="1">
        <f t="array" ref="AB32">IF(ISBLANK($AQ32), "", INDEX([2]SalmonProps!$A$2:$AA$10001,MATCH(1,($A32=[2]SalmonProps!$A$2:$A$10001)*(1=[2]SalmonProps!$C$2:$C$10001)*("1&amp;2"=[2]SalmonProps!$D$2:$D$10001)*("A1" = [2]SalmonProps!$B$2:$B$10001)*($AP32 = [2]SalmonProps!$F$2:$F$10001) *($AR32 = [2]SalmonProps!$G$2:$G$10001),0), 15))</f>
        <v>0.13</v>
      </c>
      <c r="AC32" s="165" cm="1">
        <f t="array" ref="AC32">IF(ISBLANK($AQ32), "", INDEX([2]SalmonProps!$A$2:$AA$10001,MATCH(1,($A32=[2]SalmonProps!$A$2:$A$10001)*(2=[2]SalmonProps!$C$2:$C$10001)*(3=[2]SalmonProps!$D$2:$D$10001)*("A1" = [2]SalmonProps!$B$2:$B$10001)*($AP32 = [2]SalmonProps!$F$2:$F$10001) *($AR32 = [2]SalmonProps!$G$2:$G$10001),0), 15))</f>
        <v>0.27039999999999997</v>
      </c>
      <c r="AD32" s="181" cm="1">
        <f t="array" ref="AD32">IF(ISBLANK($AQ32), "", INDEX([2]SalmonProps!$A$2:$AA$10001,MATCH(1,($A32=[2]SalmonProps!$A$2:$A$10001)*(3=[2]SalmonProps!$C$2:$C$10001)*(3=[2]SalmonProps!$D$2:$D$10001)*("A1" = [2]SalmonProps!$B$2:$B$10001)*($AP32 = [2]SalmonProps!$F$2:$F$10001) *($AR32 = [2]SalmonProps!$G$2:$G$10001),0), 15))</f>
        <v>0.44779999999999998</v>
      </c>
      <c r="AE32" s="166" cm="1">
        <f t="array" ref="AE32">IF(ISBLANK($AQ32), "", INDEX([2]SalmonProps!$A$2:$AA$10001,MATCH(1,($A32=[2]SalmonProps!$A$2:$A$10001)*(1=[2]SalmonProps!$C$2:$C$10001)*(1=[2]SalmonProps!$D$2:$D$10001)*("A2" = [2]SalmonProps!$B$2:$B$10001)*($AP32 = [2]SalmonProps!$F$2:$F$10001) *($AR32 = [2]SalmonProps!$G$2:$G$10001),0), 15))</f>
        <v>4.6100000000000002E-2</v>
      </c>
      <c r="AF32" s="166" cm="1">
        <f t="array" ref="AF32">IF(ISBLANK($AQ32), "", INDEX([2]SalmonProps!$A$2:$AA$10001,MATCH(1,($A32=[2]SalmonProps!$A$2:$A$10001)*(2=[2]SalmonProps!$C$2:$C$10001)*(1=[2]SalmonProps!$D$2:$D$10001)*("A2" = [2]SalmonProps!$B$2:$B$10001)*($AP32 = [2]SalmonProps!$F$2:$F$10001) *($AR32 = [2]SalmonProps!$G$2:$G$10001),0), 15))</f>
        <v>0.15870000000000001</v>
      </c>
      <c r="AG32" s="167" cm="1">
        <f t="array" ref="AG32">IF(ISBLANK($AQ32), "", INDEX([2]SalmonProps!$A$2:$AA$10001,MATCH(1,($A32=[2]SalmonProps!$A$2:$A$10001)*(3=[2]SalmonProps!$C$2:$C$10001)*(1=[2]SalmonProps!$D$2:$D$10001)*("A2" = [2]SalmonProps!$B$2:$B$10001)*($AP32 = [2]SalmonProps!$F$2:$F$10001) *($AR32 = [2]SalmonProps!$G$2:$G$10001),0), 15))</f>
        <v>0.34229999999999999</v>
      </c>
      <c r="AH32" s="173" t="str" cm="1">
        <f t="array" ref="AH32">IF(ISBLANK($AQ32), "", INDEX([2]SalmonProps!$A$2:$AA$10001,MATCH(1,($A32=[2]SalmonProps!$A$2:$A$10001)*($AP32 = [2]SalmonProps!$F$2:$F$10001) *($AR32 = [2]SalmonProps!$G$2:$G$10001),0), 24))</f>
        <v>NA</v>
      </c>
      <c r="AI32" s="183" t="str" cm="1">
        <f t="array" ref="AI32">IF(ISBLANK($AQ32), "", INDEX([2]SalmonProps!$A$2:$AA$10001,MATCH(1,($A32=[2]SalmonProps!$A$2:$A$10001)*($AP32 = [2]SalmonProps!$F$2:$F$10001) *($AR32 = [2]SalmonProps!$G$2:$G$10001),0), 25))</f>
        <v>NA</v>
      </c>
      <c r="AJ32" s="174" cm="1">
        <f t="array" ref="AJ32">IF(ISBLANK($AQ32), "", INDEX([2]SalmonProps!$A$2:$AA$10001,MATCH(1,($A32=[2]SalmonProps!$A$2:$A$10001)*($AP32 = [2]SalmonProps!$F$2:$F$10001) *($AR32 = [2]SalmonProps!$G$2:$G$10001),0), 20))</f>
        <v>58.4</v>
      </c>
      <c r="AK32" s="183" cm="1">
        <f t="array" ref="AK32">IF(ISBLANK($AQ32), "", INDEX([2]SalmonProps!$A$2:$AA$10001,MATCH(1,($A32=[2]SalmonProps!$A$2:$A$10001)*($AP32 = [2]SalmonProps!$F$2:$F$10001) *($AR32 = [2]SalmonProps!$G$2:$G$10001),0), 21))</f>
        <v>4.7</v>
      </c>
      <c r="AL32" s="174" cm="1">
        <f t="array" ref="AL32">IF(ISBLANK($AQ32), "", INDEX([2]SalmonProps!$A$2:$AA$10001,MATCH(1,($A32=[2]SalmonProps!$A$2:$A$10001)*($AP32 = [2]SalmonProps!$F$2:$F$10001) *($AR32 = [2]SalmonProps!$G$2:$G$10001),0), 22))</f>
        <v>72.900000000000006</v>
      </c>
      <c r="AM32" s="183" cm="1">
        <f t="array" ref="AM32">IF(ISBLANK($AQ32), "", INDEX([2]SalmonProps!$A$2:$AA$10001,MATCH(1,($A32=[2]SalmonProps!$A$2:$A$10001)*($AP32 = [2]SalmonProps!$F$2:$F$10001) *($AR32 = [2]SalmonProps!$G$2:$G$10001),0), 23))</f>
        <v>7.4</v>
      </c>
      <c r="AN32" s="174" t="str" cm="1">
        <f t="array" ref="AN32">IF(ISBLANK($AQ32), "", INDEX([2]SalmonProps!$A$2:$AA$10001,MATCH(1,($A32=[2]SalmonProps!$A$2:$A$10001)*($AP32 = [2]SalmonProps!$F$2:$F$10001) *($AR32 = [2]SalmonProps!$G$2:$G$10001),0), 26))</f>
        <v>NA</v>
      </c>
      <c r="AO32" s="175" t="str" cm="1">
        <f t="array" ref="AO32">IF(ISBLANK($AQ32), "", INDEX([2]SalmonProps!$A$2:$AA$10001,MATCH(1,($A32=[2]SalmonProps!$A$2:$A$10001)*($AP32 = [2]SalmonProps!$F$2:$F$10001) *($AR32 = [2]SalmonProps!$G$2:$G$10001),0), 27))</f>
        <v>NA</v>
      </c>
      <c r="AP32" s="112">
        <v>3</v>
      </c>
      <c r="AQ32" s="112" t="s">
        <v>133</v>
      </c>
      <c r="AR32" s="112" t="str">
        <f t="shared" si="1"/>
        <v>Unweighted</v>
      </c>
    </row>
    <row r="33" spans="1:44" x14ac:dyDescent="0.3">
      <c r="A33" s="20">
        <f>'[1]Passage Estimates'!$A33</f>
        <v>45135</v>
      </c>
      <c r="B33" s="164" cm="1">
        <f t="array" ref="B33">IF(ISBLANK($AQ33), "", INDEX([2]SalmonProps!$A$2:$AA$10001,MATCH(1,($A33=[2]SalmonProps!$A$2:$A$10001)*(1=[2]SalmonProps!$C$2:$C$10001)*(1=[2]SalmonProps!$D$2:$D$10001)*("A1" = [2]SalmonProps!$B$2:$B$10001)*($AP33 = [2]SalmonProps!$F$2:$F$10001) *($AR33 = [2]SalmonProps!$G$2:$G$10001),0), 17))</f>
        <v>4.3999999999999997E-2</v>
      </c>
      <c r="C33" s="165" cm="1">
        <f t="array" ref="C33">IF(ISBLANK($AQ33), "", INDEX([2]SalmonProps!$A$2:$AA$10001,MATCH(1,($A33=[2]SalmonProps!$A$2:$A$10001)*(1=[2]SalmonProps!$C$2:$C$10001)*(2=[2]SalmonProps!$D$2:$D$10001)*("A1" = [2]SalmonProps!$B$2:$B$10001)*($AP33 = [2]SalmonProps!$F$2:$F$10001) *($AR33 = [2]SalmonProps!$G$2:$G$10001),0), 17))</f>
        <v>1.0200000000000001E-2</v>
      </c>
      <c r="D33" s="165" cm="1">
        <f t="array" ref="D33">IF(ISBLANK($AQ33), "", INDEX([2]SalmonProps!$A$2:$AA$10001,MATCH(1,($A33=[2]SalmonProps!$A$2:$A$10001)*(1=[2]SalmonProps!$C$2:$C$10001)*("1&amp;2"=[2]SalmonProps!$D$2:$D$10001)*("A1" = [2]SalmonProps!$B$2:$B$10001)*($AP33 = [2]SalmonProps!$F$2:$F$10001) *($AR33 = [2]SalmonProps!$G$2:$G$10001),0), 17))</f>
        <v>2.29E-2</v>
      </c>
      <c r="E33" s="181" cm="1">
        <f t="array" ref="E33">IF(ISBLANK($AQ33), "", INDEX([2]SalmonProps!$A$2:$AA$10001,MATCH(1,($A33=[2]SalmonProps!$A$2:$A$10001)*(2=[2]SalmonProps!$C$2:$C$10001)*(3=[2]SalmonProps!$D$2:$D$10001)*("A1" = [2]SalmonProps!$B$2:$B$10001)*($AP33 = [2]SalmonProps!$F$2:$F$10001) *($AR33 = [2]SalmonProps!$G$2:$G$10001),0), 17))</f>
        <v>0.14069999999999999</v>
      </c>
      <c r="F33" s="165" cm="1">
        <f t="array" ref="F33">IF(ISBLANK($AQ33), "", INDEX([2]SalmonProps!$A$2:$AA$10001,MATCH(1,($A33=[2]SalmonProps!$A$2:$A$10001)*(3=[2]SalmonProps!$C$2:$C$10001)*(3=[2]SalmonProps!$D$2:$D$10001)*("A1" = [2]SalmonProps!$B$2:$B$10001)*($AP33 = [2]SalmonProps!$F$2:$F$10001) *($AR33 = [2]SalmonProps!$G$2:$G$10001),0), 17))</f>
        <v>0.49</v>
      </c>
      <c r="G33" s="165" cm="1">
        <f t="array" ref="G33">IF(ISBLANK($AQ33), "", INDEX([2]SalmonProps!$A$2:$AA$10001,MATCH(1,($A33=[2]SalmonProps!$A$2:$A$10001)*(1=[2]SalmonProps!$C$2:$C$10001)*(1=[2]SalmonProps!$D$2:$D$10001)*("A2" = [2]SalmonProps!$B$2:$B$10001)*($AP33 = [2]SalmonProps!$F$2:$F$10001) *($AR33 = [2]SalmonProps!$G$2:$G$10001),0), 17))</f>
        <v>0</v>
      </c>
      <c r="H33" s="166" cm="1">
        <f t="array" ref="H33">IF(ISBLANK($AQ33), "", INDEX([2]SalmonProps!$A$2:$AA$10001,MATCH(1,($A33=[2]SalmonProps!$A$2:$A$10001)*(2=[2]SalmonProps!$C$2:$C$10001)*(1=[2]SalmonProps!$D$2:$D$10001)*("A2" = [2]SalmonProps!$B$2:$B$10001)*($AP33 = [2]SalmonProps!$F$2:$F$10001) *($AR33 = [2]SalmonProps!$G$2:$G$10001),0), 17))</f>
        <v>2.24E-2</v>
      </c>
      <c r="I33" s="167" cm="1">
        <f t="array" ref="I33">IF(ISBLANK($AQ33), "", INDEX([2]SalmonProps!$A$2:$AA$10001,MATCH(1,($A33=[2]SalmonProps!$A$2:$A$10001)*(3=[2]SalmonProps!$C$2:$C$10001)*(1=[2]SalmonProps!$D$2:$D$10001)*("A2" = [2]SalmonProps!$B$2:$B$10001)*($AP33 = [2]SalmonProps!$F$2:$F$10001) *($AR33 = [2]SalmonProps!$G$2:$G$10001),0), 17))</f>
        <v>0.1772</v>
      </c>
      <c r="J33" s="164" t="str" cm="1">
        <f t="array" ref="J33">IF(ISBLANK($AQ33), "", INDEX([2]SalmonProps!$A$2:$AA$10001,MATCH(1,($A33=[2]SalmonProps!$A$2:$A$10001)*(1=[2]SalmonProps!$C$2:$C$10001)*(1=[2]SalmonProps!$D$2:$D$10001)*("A1" = [2]SalmonProps!$B$2:$B$10001)*($AP33 = [2]SalmonProps!$F$2:$F$10001) *($AR33 = [2]SalmonProps!$G$2:$G$10001),0), 19))</f>
        <v>NA</v>
      </c>
      <c r="K33" s="165" t="str" cm="1">
        <f t="array" ref="K33">IF(ISBLANK($AQ33), "", INDEX([2]SalmonProps!$A$2:$AA$10001,MATCH(1,($A33=[2]SalmonProps!$A$2:$A$10001)*(1=[2]SalmonProps!$C$2:$C$10001)*(2=[2]SalmonProps!$D$2:$D$10001)*("A1" = [2]SalmonProps!$B$2:$B$10001)*($AP33 = [2]SalmonProps!$F$2:$F$10001) *($AR33 = [2]SalmonProps!$G$2:$G$10001),0), 19))</f>
        <v>NA</v>
      </c>
      <c r="L33" s="165" t="str" cm="1">
        <f t="array" ref="L33">IF(ISBLANK($AQ33), "", INDEX([2]SalmonProps!$A$2:$AA$10001,MATCH(1,($A33=[2]SalmonProps!$A$2:$A$10001)*(1=[2]SalmonProps!$C$2:$C$10001)*("1&amp;2"=[2]SalmonProps!$D$2:$D$10001)*("A1" = [2]SalmonProps!$B$2:$B$10001)*($AP33 = [2]SalmonProps!$F$2:$F$10001) *($AR33 = [2]SalmonProps!$G$2:$G$10001),0), 19))</f>
        <v>NA</v>
      </c>
      <c r="M33" s="165" t="str" cm="1">
        <f t="array" ref="M33">IF(ISBLANK($AQ33), "", INDEX([2]SalmonProps!$A$2:$AA$10001,MATCH(1,($A33=[2]SalmonProps!$A$2:$A$10001)*(2=[2]SalmonProps!$C$2:$C$10001)*(3=[2]SalmonProps!$D$2:$D$10001)*("A1" = [2]SalmonProps!$B$2:$B$10001)*($AP33 = [2]SalmonProps!$F$2:$F$10001) *($AR33 = [2]SalmonProps!$G$2:$G$10001),0), 19))</f>
        <v>NA</v>
      </c>
      <c r="N33" s="181" t="str" cm="1">
        <f t="array" ref="N33">IF(ISBLANK($AQ33), "", INDEX([2]SalmonProps!$A$2:$AA$10001,MATCH(1,($A33=[2]SalmonProps!$A$2:$A$10001)*(3=[2]SalmonProps!$C$2:$C$10001)*(3=[2]SalmonProps!$D$2:$D$10001)*("A1" = [2]SalmonProps!$B$2:$B$10001)*($AP33 = [2]SalmonProps!$F$2:$F$10001) *($AR33 = [2]SalmonProps!$G$2:$G$10001),0), 19))</f>
        <v>NA</v>
      </c>
      <c r="O33" s="165" t="str" cm="1">
        <f t="array" ref="O33">IF(ISBLANK($AQ33), "", INDEX([2]SalmonProps!$A$2:$AA$10001,MATCH(1,($A33=[2]SalmonProps!$A$2:$A$10001)*(1=[2]SalmonProps!$C$2:$C$10001)*(1=[2]SalmonProps!$D$2:$D$10001)*("A2" = [2]SalmonProps!$B$2:$B$10001)*($AP33 = [2]SalmonProps!$F$2:$F$10001) *($AR33 = [2]SalmonProps!$G$2:$G$10001),0), 19))</f>
        <v>NA</v>
      </c>
      <c r="P33" s="165" t="str" cm="1">
        <f t="array" ref="P33">IF(ISBLANK($AQ33), "", INDEX([2]SalmonProps!$A$2:$AA$10001,MATCH(1,($A33=[2]SalmonProps!$A$2:$A$10001)*(2=[2]SalmonProps!$C$2:$C$10001)*(1=[2]SalmonProps!$D$2:$D$10001)*("A2" = [2]SalmonProps!$B$2:$B$10001)*($AP33 = [2]SalmonProps!$F$2:$F$10001) *($AR33 = [2]SalmonProps!$G$2:$G$10001),0), 19))</f>
        <v>NA</v>
      </c>
      <c r="Q33" s="168" t="str" cm="1">
        <f t="array" ref="Q33">IF(ISBLANK($AQ33), "", INDEX([2]SalmonProps!$A$2:$AA$10001,MATCH(1,($A33=[2]SalmonProps!$A$2:$A$10001)*(3=[2]SalmonProps!$C$2:$C$10001)*(1=[2]SalmonProps!$D$2:$D$10001)*("A2" = [2]SalmonProps!$B$2:$B$10001)*($AP33 = [2]SalmonProps!$F$2:$F$10001) *($AR33 = [2]SalmonProps!$G$2:$G$10001),0), 19))</f>
        <v>NA</v>
      </c>
      <c r="R33" s="164" t="str" cm="1">
        <f t="array" ref="R33">IF(ISBLANK($AQ33), "", INDEX([2]SalmonProps!$A$2:$AA$10001,MATCH(1,($A33=[2]SalmonProps!$A$2:$A$10001)*(1=[2]SalmonProps!$C$2:$C$10001)*(1=[2]SalmonProps!$D$2:$D$10001)*("A1" = [2]SalmonProps!$B$2:$B$10001)*($AP33 = [2]SalmonProps!$F$2:$F$10001) *($AR33 = [2]SalmonProps!$G$2:$G$10001),0), 18))</f>
        <v>NA</v>
      </c>
      <c r="S33" s="165" t="str" cm="1">
        <f t="array" ref="S33">IF(ISBLANK($AQ33), "", INDEX([2]SalmonProps!$A$2:$AA$10001,MATCH(1,($A33=[2]SalmonProps!$A$2:$A$10001)*(1=[2]SalmonProps!$C$2:$C$10001)*(2=[2]SalmonProps!$D$2:$D$10001)*("A1" = [2]SalmonProps!$B$2:$B$10001)*($AP33 = [2]SalmonProps!$F$2:$F$10001) *($AR33 = [2]SalmonProps!$G$2:$G$10001),0), 18))</f>
        <v>NA</v>
      </c>
      <c r="T33" s="165" t="str" cm="1">
        <f t="array" ref="T33">IF(ISBLANK($AQ33), "", INDEX([2]SalmonProps!$A$2:$AA$10001,MATCH(1,($A33=[2]SalmonProps!$A$2:$A$10001)*(1=[2]SalmonProps!$C$2:$C$10001)*("1&amp;2"=[2]SalmonProps!$D$2:$D$10001)*("A1" = [2]SalmonProps!$B$2:$B$10001)*($AP33 = [2]SalmonProps!$F$2:$F$10001) *($AR33 = [2]SalmonProps!$G$2:$G$10001),0), 18))</f>
        <v>NA</v>
      </c>
      <c r="U33" s="165" t="str" cm="1">
        <f t="array" ref="U33">IF(ISBLANK($AQ33), "", INDEX([2]SalmonProps!$A$2:$AA$10001,MATCH(1,($A33=[2]SalmonProps!$A$2:$A$10001)*(2=[2]SalmonProps!$C$2:$C$10001)*(3=[2]SalmonProps!$D$2:$D$10001)*("A1" = [2]SalmonProps!$B$2:$B$10001)*($AP33 = [2]SalmonProps!$F$2:$F$10001) *($AR33 = [2]SalmonProps!$G$2:$G$10001),0), 18))</f>
        <v>NA</v>
      </c>
      <c r="V33" s="181" t="str" cm="1">
        <f t="array" ref="V33">IF(ISBLANK($AQ33), "", INDEX([2]SalmonProps!$A$2:$AA$10001,MATCH(1,($A33=[2]SalmonProps!$A$2:$A$10001)*(3=[2]SalmonProps!$C$2:$C$10001)*(3=[2]SalmonProps!$D$2:$D$10001)*("A1" = [2]SalmonProps!$B$2:$B$10001)*($AP33 = [2]SalmonProps!$F$2:$F$10001) *($AR33 = [2]SalmonProps!$G$2:$G$10001),0), 18))</f>
        <v>NA</v>
      </c>
      <c r="W33" s="180" t="str" cm="1">
        <f t="array" ref="W33">IF(ISBLANK($AQ33), "", INDEX([2]SalmonProps!$A$2:$AA$10001,MATCH(1,($A33=[2]SalmonProps!$A$2:$A$10001)*(1=[2]SalmonProps!$C$2:$C$10001)*(1=[2]SalmonProps!$D$2:$D$10001)*("A2" = [2]SalmonProps!$B$2:$B$10001)*($AP33 = [2]SalmonProps!$F$2:$F$10001) *($AR33 = [2]SalmonProps!$G$2:$G$10001),0), 18))</f>
        <v>NA</v>
      </c>
      <c r="X33" s="165" t="str" cm="1">
        <f t="array" ref="X33">IF(ISBLANK($AQ33), "", INDEX([2]SalmonProps!$A$2:$AA$10001,MATCH(1,($A33=[2]SalmonProps!$A$2:$A$10001)*(2=[2]SalmonProps!$C$2:$C$10001)*(1=[2]SalmonProps!$D$2:$D$10001)*("A2" = [2]SalmonProps!$B$2:$B$10001)*($AP33 = [2]SalmonProps!$F$2:$F$10001) *($AR33 = [2]SalmonProps!$G$2:$G$10001),0), 18))</f>
        <v>NA</v>
      </c>
      <c r="Y33" s="168" t="str" cm="1">
        <f t="array" ref="Y33">IF(ISBLANK($AQ33), "", INDEX([2]SalmonProps!$A$2:$AA$10001,MATCH(1,($A33=[2]SalmonProps!$A$2:$A$10001)*(3=[2]SalmonProps!$C$2:$C$10001)*(1=[2]SalmonProps!$D$2:$D$10001)*("A2" = [2]SalmonProps!$B$2:$B$10001)*($AP33 = [2]SalmonProps!$F$2:$F$10001) *($AR33 = [2]SalmonProps!$G$2:$G$10001),0), 18))</f>
        <v>NA</v>
      </c>
      <c r="Z33" s="164" cm="1">
        <f t="array" ref="Z33">IF(ISBLANK($AQ33), "", INDEX([2]SalmonProps!$A$2:$AA$10001,MATCH(1,($A33=[2]SalmonProps!$A$2:$A$10001)*(1=[2]SalmonProps!$C$2:$C$10001)*(1=[2]SalmonProps!$D$2:$D$10001)*("A1" = [2]SalmonProps!$B$2:$B$10001)*($AP33 = [2]SalmonProps!$F$2:$F$10001) *($AR33 = [2]SalmonProps!$G$2:$G$10001),0), 15))</f>
        <v>0.13100000000000001</v>
      </c>
      <c r="AA33" s="165" cm="1">
        <f t="array" ref="AA33">IF(ISBLANK($AQ33), "", INDEX([2]SalmonProps!$A$2:$AA$10001,MATCH(1,($A33=[2]SalmonProps!$A$2:$A$10001)*(1=[2]SalmonProps!$C$2:$C$10001)*(2=[2]SalmonProps!$D$2:$D$10001)*("A1" = [2]SalmonProps!$B$2:$B$10001)*($AP33 = [2]SalmonProps!$F$2:$F$10001) *($AR33 = [2]SalmonProps!$G$2:$G$10001),0), 15))</f>
        <v>0.15040000000000001</v>
      </c>
      <c r="AB33" s="165" cm="1">
        <f t="array" ref="AB33">IF(ISBLANK($AQ33), "", INDEX([2]SalmonProps!$A$2:$AA$10001,MATCH(1,($A33=[2]SalmonProps!$A$2:$A$10001)*(1=[2]SalmonProps!$C$2:$C$10001)*("1&amp;2"=[2]SalmonProps!$D$2:$D$10001)*("A1" = [2]SalmonProps!$B$2:$B$10001)*($AP33 = [2]SalmonProps!$F$2:$F$10001) *($AR33 = [2]SalmonProps!$G$2:$G$10001),0), 15))</f>
        <v>0.1454</v>
      </c>
      <c r="AC33" s="165" cm="1">
        <f t="array" ref="AC33">IF(ISBLANK($AQ33), "", INDEX([2]SalmonProps!$A$2:$AA$10001,MATCH(1,($A33=[2]SalmonProps!$A$2:$A$10001)*(2=[2]SalmonProps!$C$2:$C$10001)*(3=[2]SalmonProps!$D$2:$D$10001)*("A1" = [2]SalmonProps!$B$2:$B$10001)*($AP33 = [2]SalmonProps!$F$2:$F$10001) *($AR33 = [2]SalmonProps!$G$2:$G$10001),0), 15))</f>
        <v>0.4073</v>
      </c>
      <c r="AD33" s="181" cm="1">
        <f t="array" ref="AD33">IF(ISBLANK($AQ33), "", INDEX([2]SalmonProps!$A$2:$AA$10001,MATCH(1,($A33=[2]SalmonProps!$A$2:$A$10001)*(3=[2]SalmonProps!$C$2:$C$10001)*(3=[2]SalmonProps!$D$2:$D$10001)*("A1" = [2]SalmonProps!$B$2:$B$10001)*($AP33 = [2]SalmonProps!$F$2:$F$10001) *($AR33 = [2]SalmonProps!$G$2:$G$10001),0), 15))</f>
        <v>0.53149999999999997</v>
      </c>
      <c r="AE33" s="166" cm="1">
        <f t="array" ref="AE33">IF(ISBLANK($AQ33), "", INDEX([2]SalmonProps!$A$2:$AA$10001,MATCH(1,($A33=[2]SalmonProps!$A$2:$A$10001)*(1=[2]SalmonProps!$C$2:$C$10001)*(1=[2]SalmonProps!$D$2:$D$10001)*("A2" = [2]SalmonProps!$B$2:$B$10001)*($AP33 = [2]SalmonProps!$F$2:$F$10001) *($AR33 = [2]SalmonProps!$G$2:$G$10001),0), 15))</f>
        <v>6.7599999999999993E-2</v>
      </c>
      <c r="AF33" s="166" cm="1">
        <f t="array" ref="AF33">IF(ISBLANK($AQ33), "", INDEX([2]SalmonProps!$A$2:$AA$10001,MATCH(1,($A33=[2]SalmonProps!$A$2:$A$10001)*(2=[2]SalmonProps!$C$2:$C$10001)*(1=[2]SalmonProps!$D$2:$D$10001)*("A2" = [2]SalmonProps!$B$2:$B$10001)*($AP33 = [2]SalmonProps!$F$2:$F$10001) *($AR33 = [2]SalmonProps!$G$2:$G$10001),0), 15))</f>
        <v>0.21279999999999999</v>
      </c>
      <c r="AG33" s="167" cm="1">
        <f t="array" ref="AG33">IF(ISBLANK($AQ33), "", INDEX([2]SalmonProps!$A$2:$AA$10001,MATCH(1,($A33=[2]SalmonProps!$A$2:$A$10001)*(3=[2]SalmonProps!$C$2:$C$10001)*(1=[2]SalmonProps!$D$2:$D$10001)*("A2" = [2]SalmonProps!$B$2:$B$10001)*($AP33 = [2]SalmonProps!$F$2:$F$10001) *($AR33 = [2]SalmonProps!$G$2:$G$10001),0), 15))</f>
        <v>0.37559999999999999</v>
      </c>
      <c r="AH33" s="173" t="str" cm="1">
        <f t="array" ref="AH33">IF(ISBLANK($AQ33), "", INDEX([2]SalmonProps!$A$2:$AA$10001,MATCH(1,($A33=[2]SalmonProps!$A$2:$A$10001)*($AP33 = [2]SalmonProps!$F$2:$F$10001) *($AR33 = [2]SalmonProps!$G$2:$G$10001),0), 24))</f>
        <v>NA</v>
      </c>
      <c r="AI33" s="183" t="str" cm="1">
        <f t="array" ref="AI33">IF(ISBLANK($AQ33), "", INDEX([2]SalmonProps!$A$2:$AA$10001,MATCH(1,($A33=[2]SalmonProps!$A$2:$A$10001)*($AP33 = [2]SalmonProps!$F$2:$F$10001) *($AR33 = [2]SalmonProps!$G$2:$G$10001),0), 25))</f>
        <v>NA</v>
      </c>
      <c r="AJ33" s="174" cm="1">
        <f t="array" ref="AJ33">IF(ISBLANK($AQ33), "", INDEX([2]SalmonProps!$A$2:$AA$10001,MATCH(1,($A33=[2]SalmonProps!$A$2:$A$10001)*($AP33 = [2]SalmonProps!$F$2:$F$10001) *($AR33 = [2]SalmonProps!$G$2:$G$10001),0), 20))</f>
        <v>58.4</v>
      </c>
      <c r="AK33" s="183" cm="1">
        <f t="array" ref="AK33">IF(ISBLANK($AQ33), "", INDEX([2]SalmonProps!$A$2:$AA$10001,MATCH(1,($A33=[2]SalmonProps!$A$2:$A$10001)*($AP33 = [2]SalmonProps!$F$2:$F$10001) *($AR33 = [2]SalmonProps!$G$2:$G$10001),0), 21))</f>
        <v>4.7</v>
      </c>
      <c r="AL33" s="174" cm="1">
        <f t="array" ref="AL33">IF(ISBLANK($AQ33), "", INDEX([2]SalmonProps!$A$2:$AA$10001,MATCH(1,($A33=[2]SalmonProps!$A$2:$A$10001)*($AP33 = [2]SalmonProps!$F$2:$F$10001) *($AR33 = [2]SalmonProps!$G$2:$G$10001),0), 22))</f>
        <v>72.900000000000006</v>
      </c>
      <c r="AM33" s="183" cm="1">
        <f t="array" ref="AM33">IF(ISBLANK($AQ33), "", INDEX([2]SalmonProps!$A$2:$AA$10001,MATCH(1,($A33=[2]SalmonProps!$A$2:$A$10001)*($AP33 = [2]SalmonProps!$F$2:$F$10001) *($AR33 = [2]SalmonProps!$G$2:$G$10001),0), 23))</f>
        <v>7.4</v>
      </c>
      <c r="AN33" s="174" t="str" cm="1">
        <f t="array" ref="AN33">IF(ISBLANK($AQ33), "", INDEX([2]SalmonProps!$A$2:$AA$10001,MATCH(1,($A33=[2]SalmonProps!$A$2:$A$10001)*($AP33 = [2]SalmonProps!$F$2:$F$10001) *($AR33 = [2]SalmonProps!$G$2:$G$10001),0), 26))</f>
        <v>NA</v>
      </c>
      <c r="AO33" s="175" t="str" cm="1">
        <f t="array" ref="AO33">IF(ISBLANK($AQ33), "", INDEX([2]SalmonProps!$A$2:$AA$10001,MATCH(1,($A33=[2]SalmonProps!$A$2:$A$10001)*($AP33 = [2]SalmonProps!$F$2:$F$10001) *($AR33 = [2]SalmonProps!$G$2:$G$10001),0), 27))</f>
        <v>NA</v>
      </c>
      <c r="AP33" s="112">
        <v>3</v>
      </c>
      <c r="AQ33" s="112" t="s">
        <v>133</v>
      </c>
      <c r="AR33" s="112" t="str">
        <f t="shared" si="1"/>
        <v>Unweighted</v>
      </c>
    </row>
    <row r="34" spans="1:44" x14ac:dyDescent="0.3">
      <c r="A34" s="20">
        <f>'[1]Passage Estimates'!$A34</f>
        <v>45136</v>
      </c>
      <c r="B34" s="164" cm="1">
        <f t="array" ref="B34">IF(ISBLANK($AQ34), "", INDEX([2]SalmonProps!$A$2:$AA$10001,MATCH(1,($A34=[2]SalmonProps!$A$2:$A$10001)*(1=[2]SalmonProps!$C$2:$C$10001)*(1=[2]SalmonProps!$D$2:$D$10001)*("A1" = [2]SalmonProps!$B$2:$B$10001)*($AP34 = [2]SalmonProps!$F$2:$F$10001) *($AR34 = [2]SalmonProps!$G$2:$G$10001),0), 17))</f>
        <v>4.53E-2</v>
      </c>
      <c r="C34" s="165" cm="1">
        <f t="array" ref="C34">IF(ISBLANK($AQ34), "", INDEX([2]SalmonProps!$A$2:$AA$10001,MATCH(1,($A34=[2]SalmonProps!$A$2:$A$10001)*(1=[2]SalmonProps!$C$2:$C$10001)*(2=[2]SalmonProps!$D$2:$D$10001)*("A1" = [2]SalmonProps!$B$2:$B$10001)*($AP34 = [2]SalmonProps!$F$2:$F$10001) *($AR34 = [2]SalmonProps!$G$2:$G$10001),0), 17))</f>
        <v>1.4E-2</v>
      </c>
      <c r="D34" s="165" cm="1">
        <f t="array" ref="D34">IF(ISBLANK($AQ34), "", INDEX([2]SalmonProps!$A$2:$AA$10001,MATCH(1,($A34=[2]SalmonProps!$A$2:$A$10001)*(1=[2]SalmonProps!$C$2:$C$10001)*("1&amp;2"=[2]SalmonProps!$D$2:$D$10001)*("A1" = [2]SalmonProps!$B$2:$B$10001)*($AP34 = [2]SalmonProps!$F$2:$F$10001) *($AR34 = [2]SalmonProps!$G$2:$G$10001),0), 17))</f>
        <v>2.7199999999999998E-2</v>
      </c>
      <c r="E34" s="181" cm="1">
        <f t="array" ref="E34">IF(ISBLANK($AQ34), "", INDEX([2]SalmonProps!$A$2:$AA$10001,MATCH(1,($A34=[2]SalmonProps!$A$2:$A$10001)*(2=[2]SalmonProps!$C$2:$C$10001)*(3=[2]SalmonProps!$D$2:$D$10001)*("A1" = [2]SalmonProps!$B$2:$B$10001)*($AP34 = [2]SalmonProps!$F$2:$F$10001) *($AR34 = [2]SalmonProps!$G$2:$G$10001),0), 17))</f>
        <v>0.2026</v>
      </c>
      <c r="F34" s="165" cm="1">
        <f t="array" ref="F34">IF(ISBLANK($AQ34), "", INDEX([2]SalmonProps!$A$2:$AA$10001,MATCH(1,($A34=[2]SalmonProps!$A$2:$A$10001)*(3=[2]SalmonProps!$C$2:$C$10001)*(3=[2]SalmonProps!$D$2:$D$10001)*("A1" = [2]SalmonProps!$B$2:$B$10001)*($AP34 = [2]SalmonProps!$F$2:$F$10001) *($AR34 = [2]SalmonProps!$G$2:$G$10001),0), 17))</f>
        <v>0.42080000000000001</v>
      </c>
      <c r="G34" s="165" cm="1">
        <f t="array" ref="G34">IF(ISBLANK($AQ34), "", INDEX([2]SalmonProps!$A$2:$AA$10001,MATCH(1,($A34=[2]SalmonProps!$A$2:$A$10001)*(1=[2]SalmonProps!$C$2:$C$10001)*(1=[2]SalmonProps!$D$2:$D$10001)*("A2" = [2]SalmonProps!$B$2:$B$10001)*($AP34 = [2]SalmonProps!$F$2:$F$10001) *($AR34 = [2]SalmonProps!$G$2:$G$10001),0), 17))</f>
        <v>0</v>
      </c>
      <c r="H34" s="166" cm="1">
        <f t="array" ref="H34">IF(ISBLANK($AQ34), "", INDEX([2]SalmonProps!$A$2:$AA$10001,MATCH(1,($A34=[2]SalmonProps!$A$2:$A$10001)*(2=[2]SalmonProps!$C$2:$C$10001)*(1=[2]SalmonProps!$D$2:$D$10001)*("A2" = [2]SalmonProps!$B$2:$B$10001)*($AP34 = [2]SalmonProps!$F$2:$F$10001) *($AR34 = [2]SalmonProps!$G$2:$G$10001),0), 17))</f>
        <v>2.24E-2</v>
      </c>
      <c r="I34" s="167" cm="1">
        <f t="array" ref="I34">IF(ISBLANK($AQ34), "", INDEX([2]SalmonProps!$A$2:$AA$10001,MATCH(1,($A34=[2]SalmonProps!$A$2:$A$10001)*(3=[2]SalmonProps!$C$2:$C$10001)*(1=[2]SalmonProps!$D$2:$D$10001)*("A2" = [2]SalmonProps!$B$2:$B$10001)*($AP34 = [2]SalmonProps!$F$2:$F$10001) *($AR34 = [2]SalmonProps!$G$2:$G$10001),0), 17))</f>
        <v>0.1772</v>
      </c>
      <c r="J34" s="164" t="str" cm="1">
        <f t="array" ref="J34">IF(ISBLANK($AQ34), "", INDEX([2]SalmonProps!$A$2:$AA$10001,MATCH(1,($A34=[2]SalmonProps!$A$2:$A$10001)*(1=[2]SalmonProps!$C$2:$C$10001)*(1=[2]SalmonProps!$D$2:$D$10001)*("A1" = [2]SalmonProps!$B$2:$B$10001)*($AP34 = [2]SalmonProps!$F$2:$F$10001) *($AR34 = [2]SalmonProps!$G$2:$G$10001),0), 19))</f>
        <v>NA</v>
      </c>
      <c r="K34" s="165" t="str" cm="1">
        <f t="array" ref="K34">IF(ISBLANK($AQ34), "", INDEX([2]SalmonProps!$A$2:$AA$10001,MATCH(1,($A34=[2]SalmonProps!$A$2:$A$10001)*(1=[2]SalmonProps!$C$2:$C$10001)*(2=[2]SalmonProps!$D$2:$D$10001)*("A1" = [2]SalmonProps!$B$2:$B$10001)*($AP34 = [2]SalmonProps!$F$2:$F$10001) *($AR34 = [2]SalmonProps!$G$2:$G$10001),0), 19))</f>
        <v>NA</v>
      </c>
      <c r="L34" s="165" t="str" cm="1">
        <f t="array" ref="L34">IF(ISBLANK($AQ34), "", INDEX([2]SalmonProps!$A$2:$AA$10001,MATCH(1,($A34=[2]SalmonProps!$A$2:$A$10001)*(1=[2]SalmonProps!$C$2:$C$10001)*("1&amp;2"=[2]SalmonProps!$D$2:$D$10001)*("A1" = [2]SalmonProps!$B$2:$B$10001)*($AP34 = [2]SalmonProps!$F$2:$F$10001) *($AR34 = [2]SalmonProps!$G$2:$G$10001),0), 19))</f>
        <v>NA</v>
      </c>
      <c r="M34" s="165" t="str" cm="1">
        <f t="array" ref="M34">IF(ISBLANK($AQ34), "", INDEX([2]SalmonProps!$A$2:$AA$10001,MATCH(1,($A34=[2]SalmonProps!$A$2:$A$10001)*(2=[2]SalmonProps!$C$2:$C$10001)*(3=[2]SalmonProps!$D$2:$D$10001)*("A1" = [2]SalmonProps!$B$2:$B$10001)*($AP34 = [2]SalmonProps!$F$2:$F$10001) *($AR34 = [2]SalmonProps!$G$2:$G$10001),0), 19))</f>
        <v>NA</v>
      </c>
      <c r="N34" s="181" t="str" cm="1">
        <f t="array" ref="N34">IF(ISBLANK($AQ34), "", INDEX([2]SalmonProps!$A$2:$AA$10001,MATCH(1,($A34=[2]SalmonProps!$A$2:$A$10001)*(3=[2]SalmonProps!$C$2:$C$10001)*(3=[2]SalmonProps!$D$2:$D$10001)*("A1" = [2]SalmonProps!$B$2:$B$10001)*($AP34 = [2]SalmonProps!$F$2:$F$10001) *($AR34 = [2]SalmonProps!$G$2:$G$10001),0), 19))</f>
        <v>NA</v>
      </c>
      <c r="O34" s="165" t="str" cm="1">
        <f t="array" ref="O34">IF(ISBLANK($AQ34), "", INDEX([2]SalmonProps!$A$2:$AA$10001,MATCH(1,($A34=[2]SalmonProps!$A$2:$A$10001)*(1=[2]SalmonProps!$C$2:$C$10001)*(1=[2]SalmonProps!$D$2:$D$10001)*("A2" = [2]SalmonProps!$B$2:$B$10001)*($AP34 = [2]SalmonProps!$F$2:$F$10001) *($AR34 = [2]SalmonProps!$G$2:$G$10001),0), 19))</f>
        <v>NA</v>
      </c>
      <c r="P34" s="165" t="str" cm="1">
        <f t="array" ref="P34">IF(ISBLANK($AQ34), "", INDEX([2]SalmonProps!$A$2:$AA$10001,MATCH(1,($A34=[2]SalmonProps!$A$2:$A$10001)*(2=[2]SalmonProps!$C$2:$C$10001)*(1=[2]SalmonProps!$D$2:$D$10001)*("A2" = [2]SalmonProps!$B$2:$B$10001)*($AP34 = [2]SalmonProps!$F$2:$F$10001) *($AR34 = [2]SalmonProps!$G$2:$G$10001),0), 19))</f>
        <v>NA</v>
      </c>
      <c r="Q34" s="168" t="str" cm="1">
        <f t="array" ref="Q34">IF(ISBLANK($AQ34), "", INDEX([2]SalmonProps!$A$2:$AA$10001,MATCH(1,($A34=[2]SalmonProps!$A$2:$A$10001)*(3=[2]SalmonProps!$C$2:$C$10001)*(1=[2]SalmonProps!$D$2:$D$10001)*("A2" = [2]SalmonProps!$B$2:$B$10001)*($AP34 = [2]SalmonProps!$F$2:$F$10001) *($AR34 = [2]SalmonProps!$G$2:$G$10001),0), 19))</f>
        <v>NA</v>
      </c>
      <c r="R34" s="164" t="str" cm="1">
        <f t="array" ref="R34">IF(ISBLANK($AQ34), "", INDEX([2]SalmonProps!$A$2:$AA$10001,MATCH(1,($A34=[2]SalmonProps!$A$2:$A$10001)*(1=[2]SalmonProps!$C$2:$C$10001)*(1=[2]SalmonProps!$D$2:$D$10001)*("A1" = [2]SalmonProps!$B$2:$B$10001)*($AP34 = [2]SalmonProps!$F$2:$F$10001) *($AR34 = [2]SalmonProps!$G$2:$G$10001),0), 18))</f>
        <v>NA</v>
      </c>
      <c r="S34" s="165" t="str" cm="1">
        <f t="array" ref="S34">IF(ISBLANK($AQ34), "", INDEX([2]SalmonProps!$A$2:$AA$10001,MATCH(1,($A34=[2]SalmonProps!$A$2:$A$10001)*(1=[2]SalmonProps!$C$2:$C$10001)*(2=[2]SalmonProps!$D$2:$D$10001)*("A1" = [2]SalmonProps!$B$2:$B$10001)*($AP34 = [2]SalmonProps!$F$2:$F$10001) *($AR34 = [2]SalmonProps!$G$2:$G$10001),0), 18))</f>
        <v>NA</v>
      </c>
      <c r="T34" s="165" t="str" cm="1">
        <f t="array" ref="T34">IF(ISBLANK($AQ34), "", INDEX([2]SalmonProps!$A$2:$AA$10001,MATCH(1,($A34=[2]SalmonProps!$A$2:$A$10001)*(1=[2]SalmonProps!$C$2:$C$10001)*("1&amp;2"=[2]SalmonProps!$D$2:$D$10001)*("A1" = [2]SalmonProps!$B$2:$B$10001)*($AP34 = [2]SalmonProps!$F$2:$F$10001) *($AR34 = [2]SalmonProps!$G$2:$G$10001),0), 18))</f>
        <v>NA</v>
      </c>
      <c r="U34" s="165" t="str" cm="1">
        <f t="array" ref="U34">IF(ISBLANK($AQ34), "", INDEX([2]SalmonProps!$A$2:$AA$10001,MATCH(1,($A34=[2]SalmonProps!$A$2:$A$10001)*(2=[2]SalmonProps!$C$2:$C$10001)*(3=[2]SalmonProps!$D$2:$D$10001)*("A1" = [2]SalmonProps!$B$2:$B$10001)*($AP34 = [2]SalmonProps!$F$2:$F$10001) *($AR34 = [2]SalmonProps!$G$2:$G$10001),0), 18))</f>
        <v>NA</v>
      </c>
      <c r="V34" s="181" t="str" cm="1">
        <f t="array" ref="V34">IF(ISBLANK($AQ34), "", INDEX([2]SalmonProps!$A$2:$AA$10001,MATCH(1,($A34=[2]SalmonProps!$A$2:$A$10001)*(3=[2]SalmonProps!$C$2:$C$10001)*(3=[2]SalmonProps!$D$2:$D$10001)*("A1" = [2]SalmonProps!$B$2:$B$10001)*($AP34 = [2]SalmonProps!$F$2:$F$10001) *($AR34 = [2]SalmonProps!$G$2:$G$10001),0), 18))</f>
        <v>NA</v>
      </c>
      <c r="W34" s="180" t="str" cm="1">
        <f t="array" ref="W34">IF(ISBLANK($AQ34), "", INDEX([2]SalmonProps!$A$2:$AA$10001,MATCH(1,($A34=[2]SalmonProps!$A$2:$A$10001)*(1=[2]SalmonProps!$C$2:$C$10001)*(1=[2]SalmonProps!$D$2:$D$10001)*("A2" = [2]SalmonProps!$B$2:$B$10001)*($AP34 = [2]SalmonProps!$F$2:$F$10001) *($AR34 = [2]SalmonProps!$G$2:$G$10001),0), 18))</f>
        <v>NA</v>
      </c>
      <c r="X34" s="165" t="str" cm="1">
        <f t="array" ref="X34">IF(ISBLANK($AQ34), "", INDEX([2]SalmonProps!$A$2:$AA$10001,MATCH(1,($A34=[2]SalmonProps!$A$2:$A$10001)*(2=[2]SalmonProps!$C$2:$C$10001)*(1=[2]SalmonProps!$D$2:$D$10001)*("A2" = [2]SalmonProps!$B$2:$B$10001)*($AP34 = [2]SalmonProps!$F$2:$F$10001) *($AR34 = [2]SalmonProps!$G$2:$G$10001),0), 18))</f>
        <v>NA</v>
      </c>
      <c r="Y34" s="168" t="str" cm="1">
        <f t="array" ref="Y34">IF(ISBLANK($AQ34), "", INDEX([2]SalmonProps!$A$2:$AA$10001,MATCH(1,($A34=[2]SalmonProps!$A$2:$A$10001)*(3=[2]SalmonProps!$C$2:$C$10001)*(1=[2]SalmonProps!$D$2:$D$10001)*("A2" = [2]SalmonProps!$B$2:$B$10001)*($AP34 = [2]SalmonProps!$F$2:$F$10001) *($AR34 = [2]SalmonProps!$G$2:$G$10001),0), 18))</f>
        <v>NA</v>
      </c>
      <c r="Z34" s="164" cm="1">
        <f t="array" ref="Z34">IF(ISBLANK($AQ34), "", INDEX([2]SalmonProps!$A$2:$AA$10001,MATCH(1,($A34=[2]SalmonProps!$A$2:$A$10001)*(1=[2]SalmonProps!$C$2:$C$10001)*(1=[2]SalmonProps!$D$2:$D$10001)*("A1" = [2]SalmonProps!$B$2:$B$10001)*($AP34 = [2]SalmonProps!$F$2:$F$10001) *($AR34 = [2]SalmonProps!$G$2:$G$10001),0), 15))</f>
        <v>0.12180000000000001</v>
      </c>
      <c r="AA34" s="165" cm="1">
        <f t="array" ref="AA34">IF(ISBLANK($AQ34), "", INDEX([2]SalmonProps!$A$2:$AA$10001,MATCH(1,($A34=[2]SalmonProps!$A$2:$A$10001)*(1=[2]SalmonProps!$C$2:$C$10001)*(2=[2]SalmonProps!$D$2:$D$10001)*("A1" = [2]SalmonProps!$B$2:$B$10001)*($AP34 = [2]SalmonProps!$F$2:$F$10001) *($AR34 = [2]SalmonProps!$G$2:$G$10001),0), 15))</f>
        <v>4.4299999999999999E-2</v>
      </c>
      <c r="AB34" s="165" cm="1">
        <f t="array" ref="AB34">IF(ISBLANK($AQ34), "", INDEX([2]SalmonProps!$A$2:$AA$10001,MATCH(1,($A34=[2]SalmonProps!$A$2:$A$10001)*(1=[2]SalmonProps!$C$2:$C$10001)*("1&amp;2"=[2]SalmonProps!$D$2:$D$10001)*("A1" = [2]SalmonProps!$B$2:$B$10001)*($AP34 = [2]SalmonProps!$F$2:$F$10001) *($AR34 = [2]SalmonProps!$G$2:$G$10001),0), 15))</f>
        <v>7.7700000000000005E-2</v>
      </c>
      <c r="AC34" s="165" cm="1">
        <f t="array" ref="AC34">IF(ISBLANK($AQ34), "", INDEX([2]SalmonProps!$A$2:$AA$10001,MATCH(1,($A34=[2]SalmonProps!$A$2:$A$10001)*(2=[2]SalmonProps!$C$2:$C$10001)*(3=[2]SalmonProps!$D$2:$D$10001)*("A1" = [2]SalmonProps!$B$2:$B$10001)*($AP34 = [2]SalmonProps!$F$2:$F$10001) *($AR34 = [2]SalmonProps!$G$2:$G$10001),0), 15))</f>
        <v>0.37119999999999997</v>
      </c>
      <c r="AD34" s="181" cm="1">
        <f t="array" ref="AD34">IF(ISBLANK($AQ34), "", INDEX([2]SalmonProps!$A$2:$AA$10001,MATCH(1,($A34=[2]SalmonProps!$A$2:$A$10001)*(3=[2]SalmonProps!$C$2:$C$10001)*(3=[2]SalmonProps!$D$2:$D$10001)*("A1" = [2]SalmonProps!$B$2:$B$10001)*($AP34 = [2]SalmonProps!$F$2:$F$10001) *($AR34 = [2]SalmonProps!$G$2:$G$10001),0), 15))</f>
        <v>0.60050000000000003</v>
      </c>
      <c r="AE34" s="166" cm="1">
        <f t="array" ref="AE34">IF(ISBLANK($AQ34), "", INDEX([2]SalmonProps!$A$2:$AA$10001,MATCH(1,($A34=[2]SalmonProps!$A$2:$A$10001)*(1=[2]SalmonProps!$C$2:$C$10001)*(1=[2]SalmonProps!$D$2:$D$10001)*("A2" = [2]SalmonProps!$B$2:$B$10001)*($AP34 = [2]SalmonProps!$F$2:$F$10001) *($AR34 = [2]SalmonProps!$G$2:$G$10001),0), 15))</f>
        <v>6.7599999999999993E-2</v>
      </c>
      <c r="AF34" s="166" cm="1">
        <f t="array" ref="AF34">IF(ISBLANK($AQ34), "", INDEX([2]SalmonProps!$A$2:$AA$10001,MATCH(1,($A34=[2]SalmonProps!$A$2:$A$10001)*(2=[2]SalmonProps!$C$2:$C$10001)*(1=[2]SalmonProps!$D$2:$D$10001)*("A2" = [2]SalmonProps!$B$2:$B$10001)*($AP34 = [2]SalmonProps!$F$2:$F$10001) *($AR34 = [2]SalmonProps!$G$2:$G$10001),0), 15))</f>
        <v>0.21279999999999999</v>
      </c>
      <c r="AG34" s="167" cm="1">
        <f t="array" ref="AG34">IF(ISBLANK($AQ34), "", INDEX([2]SalmonProps!$A$2:$AA$10001,MATCH(1,($A34=[2]SalmonProps!$A$2:$A$10001)*(3=[2]SalmonProps!$C$2:$C$10001)*(1=[2]SalmonProps!$D$2:$D$10001)*("A2" = [2]SalmonProps!$B$2:$B$10001)*($AP34 = [2]SalmonProps!$F$2:$F$10001) *($AR34 = [2]SalmonProps!$G$2:$G$10001),0), 15))</f>
        <v>0.37559999999999999</v>
      </c>
      <c r="AH34" s="173" t="str" cm="1">
        <f t="array" ref="AH34">IF(ISBLANK($AQ34), "", INDEX([2]SalmonProps!$A$2:$AA$10001,MATCH(1,($A34=[2]SalmonProps!$A$2:$A$10001)*($AP34 = [2]SalmonProps!$F$2:$F$10001) *($AR34 = [2]SalmonProps!$G$2:$G$10001),0), 24))</f>
        <v>NA</v>
      </c>
      <c r="AI34" s="183" t="str" cm="1">
        <f t="array" ref="AI34">IF(ISBLANK($AQ34), "", INDEX([2]SalmonProps!$A$2:$AA$10001,MATCH(1,($A34=[2]SalmonProps!$A$2:$A$10001)*($AP34 = [2]SalmonProps!$F$2:$F$10001) *($AR34 = [2]SalmonProps!$G$2:$G$10001),0), 25))</f>
        <v>NA</v>
      </c>
      <c r="AJ34" s="174" cm="1">
        <f t="array" ref="AJ34">IF(ISBLANK($AQ34), "", INDEX([2]SalmonProps!$A$2:$AA$10001,MATCH(1,($A34=[2]SalmonProps!$A$2:$A$10001)*($AP34 = [2]SalmonProps!$F$2:$F$10001) *($AR34 = [2]SalmonProps!$G$2:$G$10001),0), 20))</f>
        <v>58.4</v>
      </c>
      <c r="AK34" s="183" cm="1">
        <f t="array" ref="AK34">IF(ISBLANK($AQ34), "", INDEX([2]SalmonProps!$A$2:$AA$10001,MATCH(1,($A34=[2]SalmonProps!$A$2:$A$10001)*($AP34 = [2]SalmonProps!$F$2:$F$10001) *($AR34 = [2]SalmonProps!$G$2:$G$10001),0), 21))</f>
        <v>4.7</v>
      </c>
      <c r="AL34" s="174" cm="1">
        <f t="array" ref="AL34">IF(ISBLANK($AQ34), "", INDEX([2]SalmonProps!$A$2:$AA$10001,MATCH(1,($A34=[2]SalmonProps!$A$2:$A$10001)*($AP34 = [2]SalmonProps!$F$2:$F$10001) *($AR34 = [2]SalmonProps!$G$2:$G$10001),0), 22))</f>
        <v>72.900000000000006</v>
      </c>
      <c r="AM34" s="183" cm="1">
        <f t="array" ref="AM34">IF(ISBLANK($AQ34), "", INDEX([2]SalmonProps!$A$2:$AA$10001,MATCH(1,($A34=[2]SalmonProps!$A$2:$A$10001)*($AP34 = [2]SalmonProps!$F$2:$F$10001) *($AR34 = [2]SalmonProps!$G$2:$G$10001),0), 23))</f>
        <v>7.4</v>
      </c>
      <c r="AN34" s="174" t="str" cm="1">
        <f t="array" ref="AN34">IF(ISBLANK($AQ34), "", INDEX([2]SalmonProps!$A$2:$AA$10001,MATCH(1,($A34=[2]SalmonProps!$A$2:$A$10001)*($AP34 = [2]SalmonProps!$F$2:$F$10001) *($AR34 = [2]SalmonProps!$G$2:$G$10001),0), 26))</f>
        <v>NA</v>
      </c>
      <c r="AO34" s="175" t="str" cm="1">
        <f t="array" ref="AO34">IF(ISBLANK($AQ34), "", INDEX([2]SalmonProps!$A$2:$AA$10001,MATCH(1,($A34=[2]SalmonProps!$A$2:$A$10001)*($AP34 = [2]SalmonProps!$F$2:$F$10001) *($AR34 = [2]SalmonProps!$G$2:$G$10001),0), 27))</f>
        <v>NA</v>
      </c>
      <c r="AP34" s="112">
        <v>3</v>
      </c>
      <c r="AQ34" s="112" t="s">
        <v>133</v>
      </c>
      <c r="AR34" s="112" t="str">
        <f t="shared" si="1"/>
        <v>Unweighted</v>
      </c>
    </row>
    <row r="35" spans="1:44" x14ac:dyDescent="0.3">
      <c r="A35" s="20">
        <f>'[1]Passage Estimates'!$A35</f>
        <v>45137</v>
      </c>
      <c r="B35" s="164" cm="1">
        <f t="array" ref="B35">IF(ISBLANK($AQ35), "", INDEX([2]SalmonProps!$A$2:$AA$10001,MATCH(1,($A35=[2]SalmonProps!$A$2:$A$10001)*(1=[2]SalmonProps!$C$2:$C$10001)*(1=[2]SalmonProps!$D$2:$D$10001)*("A1" = [2]SalmonProps!$B$2:$B$10001)*($AP35 = [2]SalmonProps!$F$2:$F$10001) *($AR35 = [2]SalmonProps!$G$2:$G$10001),0), 17))</f>
        <v>0</v>
      </c>
      <c r="C35" s="165" cm="1">
        <f t="array" ref="C35">IF(ISBLANK($AQ35), "", INDEX([2]SalmonProps!$A$2:$AA$10001,MATCH(1,($A35=[2]SalmonProps!$A$2:$A$10001)*(1=[2]SalmonProps!$C$2:$C$10001)*(2=[2]SalmonProps!$D$2:$D$10001)*("A1" = [2]SalmonProps!$B$2:$B$10001)*($AP35 = [2]SalmonProps!$F$2:$F$10001) *($AR35 = [2]SalmonProps!$G$2:$G$10001),0), 17))</f>
        <v>3.6900000000000002E-2</v>
      </c>
      <c r="D35" s="165" cm="1">
        <f t="array" ref="D35">IF(ISBLANK($AQ35), "", INDEX([2]SalmonProps!$A$2:$AA$10001,MATCH(1,($A35=[2]SalmonProps!$A$2:$A$10001)*(1=[2]SalmonProps!$C$2:$C$10001)*("1&amp;2"=[2]SalmonProps!$D$2:$D$10001)*("A1" = [2]SalmonProps!$B$2:$B$10001)*($AP35 = [2]SalmonProps!$F$2:$F$10001) *($AR35 = [2]SalmonProps!$G$2:$G$10001),0), 17))</f>
        <v>1.8200000000000001E-2</v>
      </c>
      <c r="E35" s="181" cm="1">
        <f t="array" ref="E35">IF(ISBLANK($AQ35), "", INDEX([2]SalmonProps!$A$2:$AA$10001,MATCH(1,($A35=[2]SalmonProps!$A$2:$A$10001)*(2=[2]SalmonProps!$C$2:$C$10001)*(3=[2]SalmonProps!$D$2:$D$10001)*("A1" = [2]SalmonProps!$B$2:$B$10001)*($AP35 = [2]SalmonProps!$F$2:$F$10001) *($AR35 = [2]SalmonProps!$G$2:$G$10001),0), 17))</f>
        <v>0.24979999999999999</v>
      </c>
      <c r="F35" s="165" cm="1">
        <f t="array" ref="F35">IF(ISBLANK($AQ35), "", INDEX([2]SalmonProps!$A$2:$AA$10001,MATCH(1,($A35=[2]SalmonProps!$A$2:$A$10001)*(3=[2]SalmonProps!$C$2:$C$10001)*(3=[2]SalmonProps!$D$2:$D$10001)*("A1" = [2]SalmonProps!$B$2:$B$10001)*($AP35 = [2]SalmonProps!$F$2:$F$10001) *($AR35 = [2]SalmonProps!$G$2:$G$10001),0), 17))</f>
        <v>0.35449999999999998</v>
      </c>
      <c r="G35" s="165" cm="1">
        <f t="array" ref="G35">IF(ISBLANK($AQ35), "", INDEX([2]SalmonProps!$A$2:$AA$10001,MATCH(1,($A35=[2]SalmonProps!$A$2:$A$10001)*(1=[2]SalmonProps!$C$2:$C$10001)*(1=[2]SalmonProps!$D$2:$D$10001)*("A2" = [2]SalmonProps!$B$2:$B$10001)*($AP35 = [2]SalmonProps!$F$2:$F$10001) *($AR35 = [2]SalmonProps!$G$2:$G$10001),0), 17))</f>
        <v>7.4000000000000003E-3</v>
      </c>
      <c r="H35" s="166" cm="1">
        <f t="array" ref="H35">IF(ISBLANK($AQ35), "", INDEX([2]SalmonProps!$A$2:$AA$10001,MATCH(1,($A35=[2]SalmonProps!$A$2:$A$10001)*(2=[2]SalmonProps!$C$2:$C$10001)*(1=[2]SalmonProps!$D$2:$D$10001)*("A2" = [2]SalmonProps!$B$2:$B$10001)*($AP35 = [2]SalmonProps!$F$2:$F$10001) *($AR35 = [2]SalmonProps!$G$2:$G$10001),0), 17))</f>
        <v>0.123</v>
      </c>
      <c r="I35" s="167" cm="1">
        <f t="array" ref="I35">IF(ISBLANK($AQ35), "", INDEX([2]SalmonProps!$A$2:$AA$10001,MATCH(1,($A35=[2]SalmonProps!$A$2:$A$10001)*(3=[2]SalmonProps!$C$2:$C$10001)*(1=[2]SalmonProps!$D$2:$D$10001)*("A2" = [2]SalmonProps!$B$2:$B$10001)*($AP35 = [2]SalmonProps!$F$2:$F$10001) *($AR35 = [2]SalmonProps!$G$2:$G$10001),0), 17))</f>
        <v>0.24460000000000001</v>
      </c>
      <c r="J35" s="164" t="str" cm="1">
        <f t="array" ref="J35">IF(ISBLANK($AQ35), "", INDEX([2]SalmonProps!$A$2:$AA$10001,MATCH(1,($A35=[2]SalmonProps!$A$2:$A$10001)*(1=[2]SalmonProps!$C$2:$C$10001)*(1=[2]SalmonProps!$D$2:$D$10001)*("A1" = [2]SalmonProps!$B$2:$B$10001)*($AP35 = [2]SalmonProps!$F$2:$F$10001) *($AR35 = [2]SalmonProps!$G$2:$G$10001),0), 19))</f>
        <v>NA</v>
      </c>
      <c r="K35" s="165" t="str" cm="1">
        <f t="array" ref="K35">IF(ISBLANK($AQ35), "", INDEX([2]SalmonProps!$A$2:$AA$10001,MATCH(1,($A35=[2]SalmonProps!$A$2:$A$10001)*(1=[2]SalmonProps!$C$2:$C$10001)*(2=[2]SalmonProps!$D$2:$D$10001)*("A1" = [2]SalmonProps!$B$2:$B$10001)*($AP35 = [2]SalmonProps!$F$2:$F$10001) *($AR35 = [2]SalmonProps!$G$2:$G$10001),0), 19))</f>
        <v>NA</v>
      </c>
      <c r="L35" s="165" t="str" cm="1">
        <f t="array" ref="L35">IF(ISBLANK($AQ35), "", INDEX([2]SalmonProps!$A$2:$AA$10001,MATCH(1,($A35=[2]SalmonProps!$A$2:$A$10001)*(1=[2]SalmonProps!$C$2:$C$10001)*("1&amp;2"=[2]SalmonProps!$D$2:$D$10001)*("A1" = [2]SalmonProps!$B$2:$B$10001)*($AP35 = [2]SalmonProps!$F$2:$F$10001) *($AR35 = [2]SalmonProps!$G$2:$G$10001),0), 19))</f>
        <v>NA</v>
      </c>
      <c r="M35" s="165" t="str" cm="1">
        <f t="array" ref="M35">IF(ISBLANK($AQ35), "", INDEX([2]SalmonProps!$A$2:$AA$10001,MATCH(1,($A35=[2]SalmonProps!$A$2:$A$10001)*(2=[2]SalmonProps!$C$2:$C$10001)*(3=[2]SalmonProps!$D$2:$D$10001)*("A1" = [2]SalmonProps!$B$2:$B$10001)*($AP35 = [2]SalmonProps!$F$2:$F$10001) *($AR35 = [2]SalmonProps!$G$2:$G$10001),0), 19))</f>
        <v>NA</v>
      </c>
      <c r="N35" s="181" t="str" cm="1">
        <f t="array" ref="N35">IF(ISBLANK($AQ35), "", INDEX([2]SalmonProps!$A$2:$AA$10001,MATCH(1,($A35=[2]SalmonProps!$A$2:$A$10001)*(3=[2]SalmonProps!$C$2:$C$10001)*(3=[2]SalmonProps!$D$2:$D$10001)*("A1" = [2]SalmonProps!$B$2:$B$10001)*($AP35 = [2]SalmonProps!$F$2:$F$10001) *($AR35 = [2]SalmonProps!$G$2:$G$10001),0), 19))</f>
        <v>NA</v>
      </c>
      <c r="O35" s="165" t="str" cm="1">
        <f t="array" ref="O35">IF(ISBLANK($AQ35), "", INDEX([2]SalmonProps!$A$2:$AA$10001,MATCH(1,($A35=[2]SalmonProps!$A$2:$A$10001)*(1=[2]SalmonProps!$C$2:$C$10001)*(1=[2]SalmonProps!$D$2:$D$10001)*("A2" = [2]SalmonProps!$B$2:$B$10001)*($AP35 = [2]SalmonProps!$F$2:$F$10001) *($AR35 = [2]SalmonProps!$G$2:$G$10001),0), 19))</f>
        <v>NA</v>
      </c>
      <c r="P35" s="165" t="str" cm="1">
        <f t="array" ref="P35">IF(ISBLANK($AQ35), "", INDEX([2]SalmonProps!$A$2:$AA$10001,MATCH(1,($A35=[2]SalmonProps!$A$2:$A$10001)*(2=[2]SalmonProps!$C$2:$C$10001)*(1=[2]SalmonProps!$D$2:$D$10001)*("A2" = [2]SalmonProps!$B$2:$B$10001)*($AP35 = [2]SalmonProps!$F$2:$F$10001) *($AR35 = [2]SalmonProps!$G$2:$G$10001),0), 19))</f>
        <v>NA</v>
      </c>
      <c r="Q35" s="168" t="str" cm="1">
        <f t="array" ref="Q35">IF(ISBLANK($AQ35), "", INDEX([2]SalmonProps!$A$2:$AA$10001,MATCH(1,($A35=[2]SalmonProps!$A$2:$A$10001)*(3=[2]SalmonProps!$C$2:$C$10001)*(1=[2]SalmonProps!$D$2:$D$10001)*("A2" = [2]SalmonProps!$B$2:$B$10001)*($AP35 = [2]SalmonProps!$F$2:$F$10001) *($AR35 = [2]SalmonProps!$G$2:$G$10001),0), 19))</f>
        <v>NA</v>
      </c>
      <c r="R35" s="164" t="str" cm="1">
        <f t="array" ref="R35">IF(ISBLANK($AQ35), "", INDEX([2]SalmonProps!$A$2:$AA$10001,MATCH(1,($A35=[2]SalmonProps!$A$2:$A$10001)*(1=[2]SalmonProps!$C$2:$C$10001)*(1=[2]SalmonProps!$D$2:$D$10001)*("A1" = [2]SalmonProps!$B$2:$B$10001)*($AP35 = [2]SalmonProps!$F$2:$F$10001) *($AR35 = [2]SalmonProps!$G$2:$G$10001),0), 18))</f>
        <v>NA</v>
      </c>
      <c r="S35" s="165" t="str" cm="1">
        <f t="array" ref="S35">IF(ISBLANK($AQ35), "", INDEX([2]SalmonProps!$A$2:$AA$10001,MATCH(1,($A35=[2]SalmonProps!$A$2:$A$10001)*(1=[2]SalmonProps!$C$2:$C$10001)*(2=[2]SalmonProps!$D$2:$D$10001)*("A1" = [2]SalmonProps!$B$2:$B$10001)*($AP35 = [2]SalmonProps!$F$2:$F$10001) *($AR35 = [2]SalmonProps!$G$2:$G$10001),0), 18))</f>
        <v>NA</v>
      </c>
      <c r="T35" s="165" t="str" cm="1">
        <f t="array" ref="T35">IF(ISBLANK($AQ35), "", INDEX([2]SalmonProps!$A$2:$AA$10001,MATCH(1,($A35=[2]SalmonProps!$A$2:$A$10001)*(1=[2]SalmonProps!$C$2:$C$10001)*("1&amp;2"=[2]SalmonProps!$D$2:$D$10001)*("A1" = [2]SalmonProps!$B$2:$B$10001)*($AP35 = [2]SalmonProps!$F$2:$F$10001) *($AR35 = [2]SalmonProps!$G$2:$G$10001),0), 18))</f>
        <v>NA</v>
      </c>
      <c r="U35" s="165" t="str" cm="1">
        <f t="array" ref="U35">IF(ISBLANK($AQ35), "", INDEX([2]SalmonProps!$A$2:$AA$10001,MATCH(1,($A35=[2]SalmonProps!$A$2:$A$10001)*(2=[2]SalmonProps!$C$2:$C$10001)*(3=[2]SalmonProps!$D$2:$D$10001)*("A1" = [2]SalmonProps!$B$2:$B$10001)*($AP35 = [2]SalmonProps!$F$2:$F$10001) *($AR35 = [2]SalmonProps!$G$2:$G$10001),0), 18))</f>
        <v>NA</v>
      </c>
      <c r="V35" s="181" t="str" cm="1">
        <f t="array" ref="V35">IF(ISBLANK($AQ35), "", INDEX([2]SalmonProps!$A$2:$AA$10001,MATCH(1,($A35=[2]SalmonProps!$A$2:$A$10001)*(3=[2]SalmonProps!$C$2:$C$10001)*(3=[2]SalmonProps!$D$2:$D$10001)*("A1" = [2]SalmonProps!$B$2:$B$10001)*($AP35 = [2]SalmonProps!$F$2:$F$10001) *($AR35 = [2]SalmonProps!$G$2:$G$10001),0), 18))</f>
        <v>NA</v>
      </c>
      <c r="W35" s="180" t="str" cm="1">
        <f t="array" ref="W35">IF(ISBLANK($AQ35), "", INDEX([2]SalmonProps!$A$2:$AA$10001,MATCH(1,($A35=[2]SalmonProps!$A$2:$A$10001)*(1=[2]SalmonProps!$C$2:$C$10001)*(1=[2]SalmonProps!$D$2:$D$10001)*("A2" = [2]SalmonProps!$B$2:$B$10001)*($AP35 = [2]SalmonProps!$F$2:$F$10001) *($AR35 = [2]SalmonProps!$G$2:$G$10001),0), 18))</f>
        <v>NA</v>
      </c>
      <c r="X35" s="165" t="str" cm="1">
        <f t="array" ref="X35">IF(ISBLANK($AQ35), "", INDEX([2]SalmonProps!$A$2:$AA$10001,MATCH(1,($A35=[2]SalmonProps!$A$2:$A$10001)*(2=[2]SalmonProps!$C$2:$C$10001)*(1=[2]SalmonProps!$D$2:$D$10001)*("A2" = [2]SalmonProps!$B$2:$B$10001)*($AP35 = [2]SalmonProps!$F$2:$F$10001) *($AR35 = [2]SalmonProps!$G$2:$G$10001),0), 18))</f>
        <v>NA</v>
      </c>
      <c r="Y35" s="168" t="str" cm="1">
        <f t="array" ref="Y35">IF(ISBLANK($AQ35), "", INDEX([2]SalmonProps!$A$2:$AA$10001,MATCH(1,($A35=[2]SalmonProps!$A$2:$A$10001)*(3=[2]SalmonProps!$C$2:$C$10001)*(1=[2]SalmonProps!$D$2:$D$10001)*("A2" = [2]SalmonProps!$B$2:$B$10001)*($AP35 = [2]SalmonProps!$F$2:$F$10001) *($AR35 = [2]SalmonProps!$G$2:$G$10001),0), 18))</f>
        <v>NA</v>
      </c>
      <c r="Z35" s="164" cm="1">
        <f t="array" ref="Z35">IF(ISBLANK($AQ35), "", INDEX([2]SalmonProps!$A$2:$AA$10001,MATCH(1,($A35=[2]SalmonProps!$A$2:$A$10001)*(1=[2]SalmonProps!$C$2:$C$10001)*(1=[2]SalmonProps!$D$2:$D$10001)*("A1" = [2]SalmonProps!$B$2:$B$10001)*($AP35 = [2]SalmonProps!$F$2:$F$10001) *($AR35 = [2]SalmonProps!$G$2:$G$10001),0), 15))</f>
        <v>5.9400000000000001E-2</v>
      </c>
      <c r="AA35" s="165" cm="1">
        <f t="array" ref="AA35">IF(ISBLANK($AQ35), "", INDEX([2]SalmonProps!$A$2:$AA$10001,MATCH(1,($A35=[2]SalmonProps!$A$2:$A$10001)*(1=[2]SalmonProps!$C$2:$C$10001)*(2=[2]SalmonProps!$D$2:$D$10001)*("A1" = [2]SalmonProps!$B$2:$B$10001)*($AP35 = [2]SalmonProps!$F$2:$F$10001) *($AR35 = [2]SalmonProps!$G$2:$G$10001),0), 15))</f>
        <v>0.155</v>
      </c>
      <c r="AB35" s="165" cm="1">
        <f t="array" ref="AB35">IF(ISBLANK($AQ35), "", INDEX([2]SalmonProps!$A$2:$AA$10001,MATCH(1,($A35=[2]SalmonProps!$A$2:$A$10001)*(1=[2]SalmonProps!$C$2:$C$10001)*("1&amp;2"=[2]SalmonProps!$D$2:$D$10001)*("A1" = [2]SalmonProps!$B$2:$B$10001)*($AP35 = [2]SalmonProps!$F$2:$F$10001) *($AR35 = [2]SalmonProps!$G$2:$G$10001),0), 15))</f>
        <v>0.10150000000000001</v>
      </c>
      <c r="AC35" s="165" cm="1">
        <f t="array" ref="AC35">IF(ISBLANK($AQ35), "", INDEX([2]SalmonProps!$A$2:$AA$10001,MATCH(1,($A35=[2]SalmonProps!$A$2:$A$10001)*(2=[2]SalmonProps!$C$2:$C$10001)*(3=[2]SalmonProps!$D$2:$D$10001)*("A1" = [2]SalmonProps!$B$2:$B$10001)*($AP35 = [2]SalmonProps!$F$2:$F$10001) *($AR35 = [2]SalmonProps!$G$2:$G$10001),0), 15))</f>
        <v>0.35110000000000002</v>
      </c>
      <c r="AD35" s="181" cm="1">
        <f t="array" ref="AD35">IF(ISBLANK($AQ35), "", INDEX([2]SalmonProps!$A$2:$AA$10001,MATCH(1,($A35=[2]SalmonProps!$A$2:$A$10001)*(3=[2]SalmonProps!$C$2:$C$10001)*(3=[2]SalmonProps!$D$2:$D$10001)*("A1" = [2]SalmonProps!$B$2:$B$10001)*($AP35 = [2]SalmonProps!$F$2:$F$10001) *($AR35 = [2]SalmonProps!$G$2:$G$10001),0), 15))</f>
        <v>0.53690000000000004</v>
      </c>
      <c r="AE35" s="166" cm="1">
        <f t="array" ref="AE35">IF(ISBLANK($AQ35), "", INDEX([2]SalmonProps!$A$2:$AA$10001,MATCH(1,($A35=[2]SalmonProps!$A$2:$A$10001)*(1=[2]SalmonProps!$C$2:$C$10001)*(1=[2]SalmonProps!$D$2:$D$10001)*("A2" = [2]SalmonProps!$B$2:$B$10001)*($AP35 = [2]SalmonProps!$F$2:$F$10001) *($AR35 = [2]SalmonProps!$G$2:$G$10001),0), 15))</f>
        <v>3.7100000000000001E-2</v>
      </c>
      <c r="AF35" s="166" cm="1">
        <f t="array" ref="AF35">IF(ISBLANK($AQ35), "", INDEX([2]SalmonProps!$A$2:$AA$10001,MATCH(1,($A35=[2]SalmonProps!$A$2:$A$10001)*(2=[2]SalmonProps!$C$2:$C$10001)*(1=[2]SalmonProps!$D$2:$D$10001)*("A2" = [2]SalmonProps!$B$2:$B$10001)*($AP35 = [2]SalmonProps!$F$2:$F$10001) *($AR35 = [2]SalmonProps!$G$2:$G$10001),0), 15))</f>
        <v>0.17349999999999999</v>
      </c>
      <c r="AG35" s="167" cm="1">
        <f t="array" ref="AG35">IF(ISBLANK($AQ35), "", INDEX([2]SalmonProps!$A$2:$AA$10001,MATCH(1,($A35=[2]SalmonProps!$A$2:$A$10001)*(3=[2]SalmonProps!$C$2:$C$10001)*(1=[2]SalmonProps!$D$2:$D$10001)*("A2" = [2]SalmonProps!$B$2:$B$10001)*($AP35 = [2]SalmonProps!$F$2:$F$10001) *($AR35 = [2]SalmonProps!$G$2:$G$10001),0), 15))</f>
        <v>0.33729999999999999</v>
      </c>
      <c r="AH35" s="173" t="str" cm="1">
        <f t="array" ref="AH35">IF(ISBLANK($AQ35), "", INDEX([2]SalmonProps!$A$2:$AA$10001,MATCH(1,($A35=[2]SalmonProps!$A$2:$A$10001)*($AP35 = [2]SalmonProps!$F$2:$F$10001) *($AR35 = [2]SalmonProps!$G$2:$G$10001),0), 24))</f>
        <v>NA</v>
      </c>
      <c r="AI35" s="183" t="str" cm="1">
        <f t="array" ref="AI35">IF(ISBLANK($AQ35), "", INDEX([2]SalmonProps!$A$2:$AA$10001,MATCH(1,($A35=[2]SalmonProps!$A$2:$A$10001)*($AP35 = [2]SalmonProps!$F$2:$F$10001) *($AR35 = [2]SalmonProps!$G$2:$G$10001),0), 25))</f>
        <v>NA</v>
      </c>
      <c r="AJ35" s="174" cm="1">
        <f t="array" ref="AJ35">IF(ISBLANK($AQ35), "", INDEX([2]SalmonProps!$A$2:$AA$10001,MATCH(1,($A35=[2]SalmonProps!$A$2:$A$10001)*($AP35 = [2]SalmonProps!$F$2:$F$10001) *($AR35 = [2]SalmonProps!$G$2:$G$10001),0), 20))</f>
        <v>58.4</v>
      </c>
      <c r="AK35" s="183" cm="1">
        <f t="array" ref="AK35">IF(ISBLANK($AQ35), "", INDEX([2]SalmonProps!$A$2:$AA$10001,MATCH(1,($A35=[2]SalmonProps!$A$2:$A$10001)*($AP35 = [2]SalmonProps!$F$2:$F$10001) *($AR35 = [2]SalmonProps!$G$2:$G$10001),0), 21))</f>
        <v>4.7</v>
      </c>
      <c r="AL35" s="174" cm="1">
        <f t="array" ref="AL35">IF(ISBLANK($AQ35), "", INDEX([2]SalmonProps!$A$2:$AA$10001,MATCH(1,($A35=[2]SalmonProps!$A$2:$A$10001)*($AP35 = [2]SalmonProps!$F$2:$F$10001) *($AR35 = [2]SalmonProps!$G$2:$G$10001),0), 22))</f>
        <v>72.900000000000006</v>
      </c>
      <c r="AM35" s="183" cm="1">
        <f t="array" ref="AM35">IF(ISBLANK($AQ35), "", INDEX([2]SalmonProps!$A$2:$AA$10001,MATCH(1,($A35=[2]SalmonProps!$A$2:$A$10001)*($AP35 = [2]SalmonProps!$F$2:$F$10001) *($AR35 = [2]SalmonProps!$G$2:$G$10001),0), 23))</f>
        <v>7.4</v>
      </c>
      <c r="AN35" s="174" t="str" cm="1">
        <f t="array" ref="AN35">IF(ISBLANK($AQ35), "", INDEX([2]SalmonProps!$A$2:$AA$10001,MATCH(1,($A35=[2]SalmonProps!$A$2:$A$10001)*($AP35 = [2]SalmonProps!$F$2:$F$10001) *($AR35 = [2]SalmonProps!$G$2:$G$10001),0), 26))</f>
        <v>NA</v>
      </c>
      <c r="AO35" s="175" t="str" cm="1">
        <f t="array" ref="AO35">IF(ISBLANK($AQ35), "", INDEX([2]SalmonProps!$A$2:$AA$10001,MATCH(1,($A35=[2]SalmonProps!$A$2:$A$10001)*($AP35 = [2]SalmonProps!$F$2:$F$10001) *($AR35 = [2]SalmonProps!$G$2:$G$10001),0), 27))</f>
        <v>NA</v>
      </c>
      <c r="AP35" s="112">
        <v>3</v>
      </c>
      <c r="AQ35" s="112" t="s">
        <v>133</v>
      </c>
      <c r="AR35" s="112" t="str">
        <f t="shared" si="1"/>
        <v>Unweighted</v>
      </c>
    </row>
    <row r="36" spans="1:44" x14ac:dyDescent="0.3">
      <c r="A36" s="20">
        <f>'[1]Passage Estimates'!$A36</f>
        <v>45138</v>
      </c>
      <c r="B36" s="164" cm="1">
        <f t="array" ref="B36">IF(ISBLANK($AQ36), "", INDEX([2]SalmonProps!$A$2:$AA$10001,MATCH(1,($A36=[2]SalmonProps!$A$2:$A$10001)*(1=[2]SalmonProps!$C$2:$C$10001)*(1=[2]SalmonProps!$D$2:$D$10001)*("A1" = [2]SalmonProps!$B$2:$B$10001)*($AP36 = [2]SalmonProps!$F$2:$F$10001) *($AR36 = [2]SalmonProps!$G$2:$G$10001),0), 17))</f>
        <v>8.8000000000000005E-3</v>
      </c>
      <c r="C36" s="165" cm="1">
        <f t="array" ref="C36">IF(ISBLANK($AQ36), "", INDEX([2]SalmonProps!$A$2:$AA$10001,MATCH(1,($A36=[2]SalmonProps!$A$2:$A$10001)*(1=[2]SalmonProps!$C$2:$C$10001)*(2=[2]SalmonProps!$D$2:$D$10001)*("A1" = [2]SalmonProps!$B$2:$B$10001)*($AP36 = [2]SalmonProps!$F$2:$F$10001) *($AR36 = [2]SalmonProps!$G$2:$G$10001),0), 17))</f>
        <v>0</v>
      </c>
      <c r="D36" s="165" cm="1">
        <f t="array" ref="D36">IF(ISBLANK($AQ36), "", INDEX([2]SalmonProps!$A$2:$AA$10001,MATCH(1,($A36=[2]SalmonProps!$A$2:$A$10001)*(1=[2]SalmonProps!$C$2:$C$10001)*("1&amp;2"=[2]SalmonProps!$D$2:$D$10001)*("A1" = [2]SalmonProps!$B$2:$B$10001)*($AP36 = [2]SalmonProps!$F$2:$F$10001) *($AR36 = [2]SalmonProps!$G$2:$G$10001),0), 17))</f>
        <v>1.9E-3</v>
      </c>
      <c r="E36" s="181" cm="1">
        <f t="array" ref="E36">IF(ISBLANK($AQ36), "", INDEX([2]SalmonProps!$A$2:$AA$10001,MATCH(1,($A36=[2]SalmonProps!$A$2:$A$10001)*(2=[2]SalmonProps!$C$2:$C$10001)*(3=[2]SalmonProps!$D$2:$D$10001)*("A1" = [2]SalmonProps!$B$2:$B$10001)*($AP36 = [2]SalmonProps!$F$2:$F$10001) *($AR36 = [2]SalmonProps!$G$2:$G$10001),0), 17))</f>
        <v>0.15490000000000001</v>
      </c>
      <c r="F36" s="165" cm="1">
        <f t="array" ref="F36">IF(ISBLANK($AQ36), "", INDEX([2]SalmonProps!$A$2:$AA$10001,MATCH(1,($A36=[2]SalmonProps!$A$2:$A$10001)*(3=[2]SalmonProps!$C$2:$C$10001)*(3=[2]SalmonProps!$D$2:$D$10001)*("A1" = [2]SalmonProps!$B$2:$B$10001)*($AP36 = [2]SalmonProps!$F$2:$F$10001) *($AR36 = [2]SalmonProps!$G$2:$G$10001),0), 17))</f>
        <v>0.5081</v>
      </c>
      <c r="G36" s="165" cm="1">
        <f t="array" ref="G36">IF(ISBLANK($AQ36), "", INDEX([2]SalmonProps!$A$2:$AA$10001,MATCH(1,($A36=[2]SalmonProps!$A$2:$A$10001)*(1=[2]SalmonProps!$C$2:$C$10001)*(1=[2]SalmonProps!$D$2:$D$10001)*("A2" = [2]SalmonProps!$B$2:$B$10001)*($AP36 = [2]SalmonProps!$F$2:$F$10001) *($AR36 = [2]SalmonProps!$G$2:$G$10001),0), 17))</f>
        <v>7.4000000000000003E-3</v>
      </c>
      <c r="H36" s="166" cm="1">
        <f t="array" ref="H36">IF(ISBLANK($AQ36), "", INDEX([2]SalmonProps!$A$2:$AA$10001,MATCH(1,($A36=[2]SalmonProps!$A$2:$A$10001)*(2=[2]SalmonProps!$C$2:$C$10001)*(1=[2]SalmonProps!$D$2:$D$10001)*("A2" = [2]SalmonProps!$B$2:$B$10001)*($AP36 = [2]SalmonProps!$F$2:$F$10001) *($AR36 = [2]SalmonProps!$G$2:$G$10001),0), 17))</f>
        <v>0.123</v>
      </c>
      <c r="I36" s="167" cm="1">
        <f t="array" ref="I36">IF(ISBLANK($AQ36), "", INDEX([2]SalmonProps!$A$2:$AA$10001,MATCH(1,($A36=[2]SalmonProps!$A$2:$A$10001)*(3=[2]SalmonProps!$C$2:$C$10001)*(1=[2]SalmonProps!$D$2:$D$10001)*("A2" = [2]SalmonProps!$B$2:$B$10001)*($AP36 = [2]SalmonProps!$F$2:$F$10001) *($AR36 = [2]SalmonProps!$G$2:$G$10001),0), 17))</f>
        <v>0.24460000000000001</v>
      </c>
      <c r="J36" s="164" t="str" cm="1">
        <f t="array" ref="J36">IF(ISBLANK($AQ36), "", INDEX([2]SalmonProps!$A$2:$AA$10001,MATCH(1,($A36=[2]SalmonProps!$A$2:$A$10001)*(1=[2]SalmonProps!$C$2:$C$10001)*(1=[2]SalmonProps!$D$2:$D$10001)*("A1" = [2]SalmonProps!$B$2:$B$10001)*($AP36 = [2]SalmonProps!$F$2:$F$10001) *($AR36 = [2]SalmonProps!$G$2:$G$10001),0), 19))</f>
        <v>NA</v>
      </c>
      <c r="K36" s="165" t="str" cm="1">
        <f t="array" ref="K36">IF(ISBLANK($AQ36), "", INDEX([2]SalmonProps!$A$2:$AA$10001,MATCH(1,($A36=[2]SalmonProps!$A$2:$A$10001)*(1=[2]SalmonProps!$C$2:$C$10001)*(2=[2]SalmonProps!$D$2:$D$10001)*("A1" = [2]SalmonProps!$B$2:$B$10001)*($AP36 = [2]SalmonProps!$F$2:$F$10001) *($AR36 = [2]SalmonProps!$G$2:$G$10001),0), 19))</f>
        <v>NA</v>
      </c>
      <c r="L36" s="165" t="str" cm="1">
        <f t="array" ref="L36">IF(ISBLANK($AQ36), "", INDEX([2]SalmonProps!$A$2:$AA$10001,MATCH(1,($A36=[2]SalmonProps!$A$2:$A$10001)*(1=[2]SalmonProps!$C$2:$C$10001)*("1&amp;2"=[2]SalmonProps!$D$2:$D$10001)*("A1" = [2]SalmonProps!$B$2:$B$10001)*($AP36 = [2]SalmonProps!$F$2:$F$10001) *($AR36 = [2]SalmonProps!$G$2:$G$10001),0), 19))</f>
        <v>NA</v>
      </c>
      <c r="M36" s="165" t="str" cm="1">
        <f t="array" ref="M36">IF(ISBLANK($AQ36), "", INDEX([2]SalmonProps!$A$2:$AA$10001,MATCH(1,($A36=[2]SalmonProps!$A$2:$A$10001)*(2=[2]SalmonProps!$C$2:$C$10001)*(3=[2]SalmonProps!$D$2:$D$10001)*("A1" = [2]SalmonProps!$B$2:$B$10001)*($AP36 = [2]SalmonProps!$F$2:$F$10001) *($AR36 = [2]SalmonProps!$G$2:$G$10001),0), 19))</f>
        <v>NA</v>
      </c>
      <c r="N36" s="181" t="str" cm="1">
        <f t="array" ref="N36">IF(ISBLANK($AQ36), "", INDEX([2]SalmonProps!$A$2:$AA$10001,MATCH(1,($A36=[2]SalmonProps!$A$2:$A$10001)*(3=[2]SalmonProps!$C$2:$C$10001)*(3=[2]SalmonProps!$D$2:$D$10001)*("A1" = [2]SalmonProps!$B$2:$B$10001)*($AP36 = [2]SalmonProps!$F$2:$F$10001) *($AR36 = [2]SalmonProps!$G$2:$G$10001),0), 19))</f>
        <v>NA</v>
      </c>
      <c r="O36" s="165" t="str" cm="1">
        <f t="array" ref="O36">IF(ISBLANK($AQ36), "", INDEX([2]SalmonProps!$A$2:$AA$10001,MATCH(1,($A36=[2]SalmonProps!$A$2:$A$10001)*(1=[2]SalmonProps!$C$2:$C$10001)*(1=[2]SalmonProps!$D$2:$D$10001)*("A2" = [2]SalmonProps!$B$2:$B$10001)*($AP36 = [2]SalmonProps!$F$2:$F$10001) *($AR36 = [2]SalmonProps!$G$2:$G$10001),0), 19))</f>
        <v>NA</v>
      </c>
      <c r="P36" s="165" t="str" cm="1">
        <f t="array" ref="P36">IF(ISBLANK($AQ36), "", INDEX([2]SalmonProps!$A$2:$AA$10001,MATCH(1,($A36=[2]SalmonProps!$A$2:$A$10001)*(2=[2]SalmonProps!$C$2:$C$10001)*(1=[2]SalmonProps!$D$2:$D$10001)*("A2" = [2]SalmonProps!$B$2:$B$10001)*($AP36 = [2]SalmonProps!$F$2:$F$10001) *($AR36 = [2]SalmonProps!$G$2:$G$10001),0), 19))</f>
        <v>NA</v>
      </c>
      <c r="Q36" s="168" t="str" cm="1">
        <f t="array" ref="Q36">IF(ISBLANK($AQ36), "", INDEX([2]SalmonProps!$A$2:$AA$10001,MATCH(1,($A36=[2]SalmonProps!$A$2:$A$10001)*(3=[2]SalmonProps!$C$2:$C$10001)*(1=[2]SalmonProps!$D$2:$D$10001)*("A2" = [2]SalmonProps!$B$2:$B$10001)*($AP36 = [2]SalmonProps!$F$2:$F$10001) *($AR36 = [2]SalmonProps!$G$2:$G$10001),0), 19))</f>
        <v>NA</v>
      </c>
      <c r="R36" s="164" t="str" cm="1">
        <f t="array" ref="R36">IF(ISBLANK($AQ36), "", INDEX([2]SalmonProps!$A$2:$AA$10001,MATCH(1,($A36=[2]SalmonProps!$A$2:$A$10001)*(1=[2]SalmonProps!$C$2:$C$10001)*(1=[2]SalmonProps!$D$2:$D$10001)*("A1" = [2]SalmonProps!$B$2:$B$10001)*($AP36 = [2]SalmonProps!$F$2:$F$10001) *($AR36 = [2]SalmonProps!$G$2:$G$10001),0), 18))</f>
        <v>NA</v>
      </c>
      <c r="S36" s="165" t="str" cm="1">
        <f t="array" ref="S36">IF(ISBLANK($AQ36), "", INDEX([2]SalmonProps!$A$2:$AA$10001,MATCH(1,($A36=[2]SalmonProps!$A$2:$A$10001)*(1=[2]SalmonProps!$C$2:$C$10001)*(2=[2]SalmonProps!$D$2:$D$10001)*("A1" = [2]SalmonProps!$B$2:$B$10001)*($AP36 = [2]SalmonProps!$F$2:$F$10001) *($AR36 = [2]SalmonProps!$G$2:$G$10001),0), 18))</f>
        <v>NA</v>
      </c>
      <c r="T36" s="165" t="str" cm="1">
        <f t="array" ref="T36">IF(ISBLANK($AQ36), "", INDEX([2]SalmonProps!$A$2:$AA$10001,MATCH(1,($A36=[2]SalmonProps!$A$2:$A$10001)*(1=[2]SalmonProps!$C$2:$C$10001)*("1&amp;2"=[2]SalmonProps!$D$2:$D$10001)*("A1" = [2]SalmonProps!$B$2:$B$10001)*($AP36 = [2]SalmonProps!$F$2:$F$10001) *($AR36 = [2]SalmonProps!$G$2:$G$10001),0), 18))</f>
        <v>NA</v>
      </c>
      <c r="U36" s="165" t="str" cm="1">
        <f t="array" ref="U36">IF(ISBLANK($AQ36), "", INDEX([2]SalmonProps!$A$2:$AA$10001,MATCH(1,($A36=[2]SalmonProps!$A$2:$A$10001)*(2=[2]SalmonProps!$C$2:$C$10001)*(3=[2]SalmonProps!$D$2:$D$10001)*("A1" = [2]SalmonProps!$B$2:$B$10001)*($AP36 = [2]SalmonProps!$F$2:$F$10001) *($AR36 = [2]SalmonProps!$G$2:$G$10001),0), 18))</f>
        <v>NA</v>
      </c>
      <c r="V36" s="181" t="str" cm="1">
        <f t="array" ref="V36">IF(ISBLANK($AQ36), "", INDEX([2]SalmonProps!$A$2:$AA$10001,MATCH(1,($A36=[2]SalmonProps!$A$2:$A$10001)*(3=[2]SalmonProps!$C$2:$C$10001)*(3=[2]SalmonProps!$D$2:$D$10001)*("A1" = [2]SalmonProps!$B$2:$B$10001)*($AP36 = [2]SalmonProps!$F$2:$F$10001) *($AR36 = [2]SalmonProps!$G$2:$G$10001),0), 18))</f>
        <v>NA</v>
      </c>
      <c r="W36" s="180" t="str" cm="1">
        <f t="array" ref="W36">IF(ISBLANK($AQ36), "", INDEX([2]SalmonProps!$A$2:$AA$10001,MATCH(1,($A36=[2]SalmonProps!$A$2:$A$10001)*(1=[2]SalmonProps!$C$2:$C$10001)*(1=[2]SalmonProps!$D$2:$D$10001)*("A2" = [2]SalmonProps!$B$2:$B$10001)*($AP36 = [2]SalmonProps!$F$2:$F$10001) *($AR36 = [2]SalmonProps!$G$2:$G$10001),0), 18))</f>
        <v>NA</v>
      </c>
      <c r="X36" s="165" t="str" cm="1">
        <f t="array" ref="X36">IF(ISBLANK($AQ36), "", INDEX([2]SalmonProps!$A$2:$AA$10001,MATCH(1,($A36=[2]SalmonProps!$A$2:$A$10001)*(2=[2]SalmonProps!$C$2:$C$10001)*(1=[2]SalmonProps!$D$2:$D$10001)*("A2" = [2]SalmonProps!$B$2:$B$10001)*($AP36 = [2]SalmonProps!$F$2:$F$10001) *($AR36 = [2]SalmonProps!$G$2:$G$10001),0), 18))</f>
        <v>NA</v>
      </c>
      <c r="Y36" s="168" t="str" cm="1">
        <f t="array" ref="Y36">IF(ISBLANK($AQ36), "", INDEX([2]SalmonProps!$A$2:$AA$10001,MATCH(1,($A36=[2]SalmonProps!$A$2:$A$10001)*(3=[2]SalmonProps!$C$2:$C$10001)*(1=[2]SalmonProps!$D$2:$D$10001)*("A2" = [2]SalmonProps!$B$2:$B$10001)*($AP36 = [2]SalmonProps!$F$2:$F$10001) *($AR36 = [2]SalmonProps!$G$2:$G$10001),0), 18))</f>
        <v>NA</v>
      </c>
      <c r="Z36" s="164" cm="1">
        <f t="array" ref="Z36">IF(ISBLANK($AQ36), "", INDEX([2]SalmonProps!$A$2:$AA$10001,MATCH(1,($A36=[2]SalmonProps!$A$2:$A$10001)*(1=[2]SalmonProps!$C$2:$C$10001)*(1=[2]SalmonProps!$D$2:$D$10001)*("A1" = [2]SalmonProps!$B$2:$B$10001)*($AP36 = [2]SalmonProps!$F$2:$F$10001) *($AR36 = [2]SalmonProps!$G$2:$G$10001),0), 15))</f>
        <v>5.1700000000000003E-2</v>
      </c>
      <c r="AA36" s="165" cm="1">
        <f t="array" ref="AA36">IF(ISBLANK($AQ36), "", INDEX([2]SalmonProps!$A$2:$AA$10001,MATCH(1,($A36=[2]SalmonProps!$A$2:$A$10001)*(1=[2]SalmonProps!$C$2:$C$10001)*(2=[2]SalmonProps!$D$2:$D$10001)*("A1" = [2]SalmonProps!$B$2:$B$10001)*($AP36 = [2]SalmonProps!$F$2:$F$10001) *($AR36 = [2]SalmonProps!$G$2:$G$10001),0), 15))</f>
        <v>0.1173</v>
      </c>
      <c r="AB36" s="165" cm="1">
        <f t="array" ref="AB36">IF(ISBLANK($AQ36), "", INDEX([2]SalmonProps!$A$2:$AA$10001,MATCH(1,($A36=[2]SalmonProps!$A$2:$A$10001)*(1=[2]SalmonProps!$C$2:$C$10001)*("1&amp;2"=[2]SalmonProps!$D$2:$D$10001)*("A1" = [2]SalmonProps!$B$2:$B$10001)*($AP36 = [2]SalmonProps!$F$2:$F$10001) *($AR36 = [2]SalmonProps!$G$2:$G$10001),0), 15))</f>
        <v>5.7799999999999997E-2</v>
      </c>
      <c r="AC36" s="165" cm="1">
        <f t="array" ref="AC36">IF(ISBLANK($AQ36), "", INDEX([2]SalmonProps!$A$2:$AA$10001,MATCH(1,($A36=[2]SalmonProps!$A$2:$A$10001)*(2=[2]SalmonProps!$C$2:$C$10001)*(3=[2]SalmonProps!$D$2:$D$10001)*("A1" = [2]SalmonProps!$B$2:$B$10001)*($AP36 = [2]SalmonProps!$F$2:$F$10001) *($AR36 = [2]SalmonProps!$G$2:$G$10001),0), 15))</f>
        <v>0.32590000000000002</v>
      </c>
      <c r="AD36" s="181" cm="1">
        <f t="array" ref="AD36">IF(ISBLANK($AQ36), "", INDEX([2]SalmonProps!$A$2:$AA$10001,MATCH(1,($A36=[2]SalmonProps!$A$2:$A$10001)*(3=[2]SalmonProps!$C$2:$C$10001)*(3=[2]SalmonProps!$D$2:$D$10001)*("A1" = [2]SalmonProps!$B$2:$B$10001)*($AP36 = [2]SalmonProps!$F$2:$F$10001) *($AR36 = [2]SalmonProps!$G$2:$G$10001),0), 15))</f>
        <v>0.65490000000000004</v>
      </c>
      <c r="AE36" s="166" cm="1">
        <f t="array" ref="AE36">IF(ISBLANK($AQ36), "", INDEX([2]SalmonProps!$A$2:$AA$10001,MATCH(1,($A36=[2]SalmonProps!$A$2:$A$10001)*(1=[2]SalmonProps!$C$2:$C$10001)*(1=[2]SalmonProps!$D$2:$D$10001)*("A2" = [2]SalmonProps!$B$2:$B$10001)*($AP36 = [2]SalmonProps!$F$2:$F$10001) *($AR36 = [2]SalmonProps!$G$2:$G$10001),0), 15))</f>
        <v>3.7100000000000001E-2</v>
      </c>
      <c r="AF36" s="166" cm="1">
        <f t="array" ref="AF36">IF(ISBLANK($AQ36), "", INDEX([2]SalmonProps!$A$2:$AA$10001,MATCH(1,($A36=[2]SalmonProps!$A$2:$A$10001)*(2=[2]SalmonProps!$C$2:$C$10001)*(1=[2]SalmonProps!$D$2:$D$10001)*("A2" = [2]SalmonProps!$B$2:$B$10001)*($AP36 = [2]SalmonProps!$F$2:$F$10001) *($AR36 = [2]SalmonProps!$G$2:$G$10001),0), 15))</f>
        <v>0.17349999999999999</v>
      </c>
      <c r="AG36" s="167" cm="1">
        <f t="array" ref="AG36">IF(ISBLANK($AQ36), "", INDEX([2]SalmonProps!$A$2:$AA$10001,MATCH(1,($A36=[2]SalmonProps!$A$2:$A$10001)*(3=[2]SalmonProps!$C$2:$C$10001)*(1=[2]SalmonProps!$D$2:$D$10001)*("A2" = [2]SalmonProps!$B$2:$B$10001)*($AP36 = [2]SalmonProps!$F$2:$F$10001) *($AR36 = [2]SalmonProps!$G$2:$G$10001),0), 15))</f>
        <v>0.33729999999999999</v>
      </c>
      <c r="AH36" s="173" t="str" cm="1">
        <f t="array" ref="AH36">IF(ISBLANK($AQ36), "", INDEX([2]SalmonProps!$A$2:$AA$10001,MATCH(1,($A36=[2]SalmonProps!$A$2:$A$10001)*($AP36 = [2]SalmonProps!$F$2:$F$10001) *($AR36 = [2]SalmonProps!$G$2:$G$10001),0), 24))</f>
        <v>NA</v>
      </c>
      <c r="AI36" s="183" t="str" cm="1">
        <f t="array" ref="AI36">IF(ISBLANK($AQ36), "", INDEX([2]SalmonProps!$A$2:$AA$10001,MATCH(1,($A36=[2]SalmonProps!$A$2:$A$10001)*($AP36 = [2]SalmonProps!$F$2:$F$10001) *($AR36 = [2]SalmonProps!$G$2:$G$10001),0), 25))</f>
        <v>NA</v>
      </c>
      <c r="AJ36" s="174" cm="1">
        <f t="array" ref="AJ36">IF(ISBLANK($AQ36), "", INDEX([2]SalmonProps!$A$2:$AA$10001,MATCH(1,($A36=[2]SalmonProps!$A$2:$A$10001)*($AP36 = [2]SalmonProps!$F$2:$F$10001) *($AR36 = [2]SalmonProps!$G$2:$G$10001),0), 20))</f>
        <v>58.9</v>
      </c>
      <c r="AK36" s="183" cm="1">
        <f t="array" ref="AK36">IF(ISBLANK($AQ36), "", INDEX([2]SalmonProps!$A$2:$AA$10001,MATCH(1,($A36=[2]SalmonProps!$A$2:$A$10001)*($AP36 = [2]SalmonProps!$F$2:$F$10001) *($AR36 = [2]SalmonProps!$G$2:$G$10001),0), 21))</f>
        <v>4.8</v>
      </c>
      <c r="AL36" s="174" cm="1">
        <f t="array" ref="AL36">IF(ISBLANK($AQ36), "", INDEX([2]SalmonProps!$A$2:$AA$10001,MATCH(1,($A36=[2]SalmonProps!$A$2:$A$10001)*($AP36 = [2]SalmonProps!$F$2:$F$10001) *($AR36 = [2]SalmonProps!$G$2:$G$10001),0), 22))</f>
        <v>77.2</v>
      </c>
      <c r="AM36" s="183" cm="1">
        <f t="array" ref="AM36">IF(ISBLANK($AQ36), "", INDEX([2]SalmonProps!$A$2:$AA$10001,MATCH(1,($A36=[2]SalmonProps!$A$2:$A$10001)*($AP36 = [2]SalmonProps!$F$2:$F$10001) *($AR36 = [2]SalmonProps!$G$2:$G$10001),0), 23))</f>
        <v>7.8</v>
      </c>
      <c r="AN36" s="174" t="str" cm="1">
        <f t="array" ref="AN36">IF(ISBLANK($AQ36), "", INDEX([2]SalmonProps!$A$2:$AA$10001,MATCH(1,($A36=[2]SalmonProps!$A$2:$A$10001)*($AP36 = [2]SalmonProps!$F$2:$F$10001) *($AR36 = [2]SalmonProps!$G$2:$G$10001),0), 26))</f>
        <v>NA</v>
      </c>
      <c r="AO36" s="175" t="str" cm="1">
        <f t="array" ref="AO36">IF(ISBLANK($AQ36), "", INDEX([2]SalmonProps!$A$2:$AA$10001,MATCH(1,($A36=[2]SalmonProps!$A$2:$A$10001)*($AP36 = [2]SalmonProps!$F$2:$F$10001) *($AR36 = [2]SalmonProps!$G$2:$G$10001),0), 27))</f>
        <v>NA</v>
      </c>
      <c r="AP36" s="112">
        <v>3</v>
      </c>
      <c r="AQ36" s="112" t="s">
        <v>133</v>
      </c>
      <c r="AR36" s="112" t="str">
        <f t="shared" si="1"/>
        <v>Unweighted</v>
      </c>
    </row>
    <row r="37" spans="1:44" x14ac:dyDescent="0.3">
      <c r="A37" s="20">
        <f>'[1]Passage Estimates'!$A37</f>
        <v>45139</v>
      </c>
      <c r="B37" s="164" cm="1">
        <f t="array" ref="B37">IF(ISBLANK($AQ37), "", INDEX([2]SalmonProps!$A$2:$AA$10001,MATCH(1,($A37=[2]SalmonProps!$A$2:$A$10001)*(1=[2]SalmonProps!$C$2:$C$10001)*(1=[2]SalmonProps!$D$2:$D$10001)*("A1" = [2]SalmonProps!$B$2:$B$10001)*($AP37 = [2]SalmonProps!$F$2:$F$10001) *($AR37 = [2]SalmonProps!$G$2:$G$10001),0), 17))</f>
        <v>6.4999999999999997E-3</v>
      </c>
      <c r="C37" s="165" cm="1">
        <f t="array" ref="C37">IF(ISBLANK($AQ37), "", INDEX([2]SalmonProps!$A$2:$AA$10001,MATCH(1,($A37=[2]SalmonProps!$A$2:$A$10001)*(1=[2]SalmonProps!$C$2:$C$10001)*(2=[2]SalmonProps!$D$2:$D$10001)*("A1" = [2]SalmonProps!$B$2:$B$10001)*($AP37 = [2]SalmonProps!$F$2:$F$10001) *($AR37 = [2]SalmonProps!$G$2:$G$10001),0), 17))</f>
        <v>8.3999999999999995E-3</v>
      </c>
      <c r="D37" s="165" cm="1">
        <f t="array" ref="D37">IF(ISBLANK($AQ37), "", INDEX([2]SalmonProps!$A$2:$AA$10001,MATCH(1,($A37=[2]SalmonProps!$A$2:$A$10001)*(1=[2]SalmonProps!$C$2:$C$10001)*("1&amp;2"=[2]SalmonProps!$D$2:$D$10001)*("A1" = [2]SalmonProps!$B$2:$B$10001)*($AP37 = [2]SalmonProps!$F$2:$F$10001) *($AR37 = [2]SalmonProps!$G$2:$G$10001),0), 17))</f>
        <v>7.6E-3</v>
      </c>
      <c r="E37" s="181" cm="1">
        <f t="array" ref="E37">IF(ISBLANK($AQ37), "", INDEX([2]SalmonProps!$A$2:$AA$10001,MATCH(1,($A37=[2]SalmonProps!$A$2:$A$10001)*(2=[2]SalmonProps!$C$2:$C$10001)*(3=[2]SalmonProps!$D$2:$D$10001)*("A1" = [2]SalmonProps!$B$2:$B$10001)*($AP37 = [2]SalmonProps!$F$2:$F$10001) *($AR37 = [2]SalmonProps!$G$2:$G$10001),0), 17))</f>
        <v>0.1177</v>
      </c>
      <c r="F37" s="165" cm="1">
        <f t="array" ref="F37">IF(ISBLANK($AQ37), "", INDEX([2]SalmonProps!$A$2:$AA$10001,MATCH(1,($A37=[2]SalmonProps!$A$2:$A$10001)*(3=[2]SalmonProps!$C$2:$C$10001)*(3=[2]SalmonProps!$D$2:$D$10001)*("A1" = [2]SalmonProps!$B$2:$B$10001)*($AP37 = [2]SalmonProps!$F$2:$F$10001) *($AR37 = [2]SalmonProps!$G$2:$G$10001),0), 17))</f>
        <v>0.55030000000000001</v>
      </c>
      <c r="G37" s="165" cm="1">
        <f t="array" ref="G37">IF(ISBLANK($AQ37), "", INDEX([2]SalmonProps!$A$2:$AA$10001,MATCH(1,($A37=[2]SalmonProps!$A$2:$A$10001)*(1=[2]SalmonProps!$C$2:$C$10001)*(1=[2]SalmonProps!$D$2:$D$10001)*("A2" = [2]SalmonProps!$B$2:$B$10001)*($AP37 = [2]SalmonProps!$F$2:$F$10001) *($AR37 = [2]SalmonProps!$G$2:$G$10001),0), 17))</f>
        <v>1.5100000000000001E-2</v>
      </c>
      <c r="H37" s="166" cm="1">
        <f t="array" ref="H37">IF(ISBLANK($AQ37), "", INDEX([2]SalmonProps!$A$2:$AA$10001,MATCH(1,($A37=[2]SalmonProps!$A$2:$A$10001)*(2=[2]SalmonProps!$C$2:$C$10001)*(1=[2]SalmonProps!$D$2:$D$10001)*("A2" = [2]SalmonProps!$B$2:$B$10001)*($AP37 = [2]SalmonProps!$F$2:$F$10001) *($AR37 = [2]SalmonProps!$G$2:$G$10001),0), 17))</f>
        <v>7.85E-2</v>
      </c>
      <c r="I37" s="167" cm="1">
        <f t="array" ref="I37">IF(ISBLANK($AQ37), "", INDEX([2]SalmonProps!$A$2:$AA$10001,MATCH(1,($A37=[2]SalmonProps!$A$2:$A$10001)*(3=[2]SalmonProps!$C$2:$C$10001)*(1=[2]SalmonProps!$D$2:$D$10001)*("A2" = [2]SalmonProps!$B$2:$B$10001)*($AP37 = [2]SalmonProps!$F$2:$F$10001) *($AR37 = [2]SalmonProps!$G$2:$G$10001),0), 17))</f>
        <v>0.193</v>
      </c>
      <c r="J37" s="164" t="str" cm="1">
        <f t="array" ref="J37">IF(ISBLANK($AQ37), "", INDEX([2]SalmonProps!$A$2:$AA$10001,MATCH(1,($A37=[2]SalmonProps!$A$2:$A$10001)*(1=[2]SalmonProps!$C$2:$C$10001)*(1=[2]SalmonProps!$D$2:$D$10001)*("A1" = [2]SalmonProps!$B$2:$B$10001)*($AP37 = [2]SalmonProps!$F$2:$F$10001) *($AR37 = [2]SalmonProps!$G$2:$G$10001),0), 19))</f>
        <v>NA</v>
      </c>
      <c r="K37" s="165" t="str" cm="1">
        <f t="array" ref="K37">IF(ISBLANK($AQ37), "", INDEX([2]SalmonProps!$A$2:$AA$10001,MATCH(1,($A37=[2]SalmonProps!$A$2:$A$10001)*(1=[2]SalmonProps!$C$2:$C$10001)*(2=[2]SalmonProps!$D$2:$D$10001)*("A1" = [2]SalmonProps!$B$2:$B$10001)*($AP37 = [2]SalmonProps!$F$2:$F$10001) *($AR37 = [2]SalmonProps!$G$2:$G$10001),0), 19))</f>
        <v>NA</v>
      </c>
      <c r="L37" s="165" t="str" cm="1">
        <f t="array" ref="L37">IF(ISBLANK($AQ37), "", INDEX([2]SalmonProps!$A$2:$AA$10001,MATCH(1,($A37=[2]SalmonProps!$A$2:$A$10001)*(1=[2]SalmonProps!$C$2:$C$10001)*("1&amp;2"=[2]SalmonProps!$D$2:$D$10001)*("A1" = [2]SalmonProps!$B$2:$B$10001)*($AP37 = [2]SalmonProps!$F$2:$F$10001) *($AR37 = [2]SalmonProps!$G$2:$G$10001),0), 19))</f>
        <v>NA</v>
      </c>
      <c r="M37" s="165" t="str" cm="1">
        <f t="array" ref="M37">IF(ISBLANK($AQ37), "", INDEX([2]SalmonProps!$A$2:$AA$10001,MATCH(1,($A37=[2]SalmonProps!$A$2:$A$10001)*(2=[2]SalmonProps!$C$2:$C$10001)*(3=[2]SalmonProps!$D$2:$D$10001)*("A1" = [2]SalmonProps!$B$2:$B$10001)*($AP37 = [2]SalmonProps!$F$2:$F$10001) *($AR37 = [2]SalmonProps!$G$2:$G$10001),0), 19))</f>
        <v>NA</v>
      </c>
      <c r="N37" s="181" t="str" cm="1">
        <f t="array" ref="N37">IF(ISBLANK($AQ37), "", INDEX([2]SalmonProps!$A$2:$AA$10001,MATCH(1,($A37=[2]SalmonProps!$A$2:$A$10001)*(3=[2]SalmonProps!$C$2:$C$10001)*(3=[2]SalmonProps!$D$2:$D$10001)*("A1" = [2]SalmonProps!$B$2:$B$10001)*($AP37 = [2]SalmonProps!$F$2:$F$10001) *($AR37 = [2]SalmonProps!$G$2:$G$10001),0), 19))</f>
        <v>NA</v>
      </c>
      <c r="O37" s="165" t="str" cm="1">
        <f t="array" ref="O37">IF(ISBLANK($AQ37), "", INDEX([2]SalmonProps!$A$2:$AA$10001,MATCH(1,($A37=[2]SalmonProps!$A$2:$A$10001)*(1=[2]SalmonProps!$C$2:$C$10001)*(1=[2]SalmonProps!$D$2:$D$10001)*("A2" = [2]SalmonProps!$B$2:$B$10001)*($AP37 = [2]SalmonProps!$F$2:$F$10001) *($AR37 = [2]SalmonProps!$G$2:$G$10001),0), 19))</f>
        <v>NA</v>
      </c>
      <c r="P37" s="165" t="str" cm="1">
        <f t="array" ref="P37">IF(ISBLANK($AQ37), "", INDEX([2]SalmonProps!$A$2:$AA$10001,MATCH(1,($A37=[2]SalmonProps!$A$2:$A$10001)*(2=[2]SalmonProps!$C$2:$C$10001)*(1=[2]SalmonProps!$D$2:$D$10001)*("A2" = [2]SalmonProps!$B$2:$B$10001)*($AP37 = [2]SalmonProps!$F$2:$F$10001) *($AR37 = [2]SalmonProps!$G$2:$G$10001),0), 19))</f>
        <v>NA</v>
      </c>
      <c r="Q37" s="168" t="str" cm="1">
        <f t="array" ref="Q37">IF(ISBLANK($AQ37), "", INDEX([2]SalmonProps!$A$2:$AA$10001,MATCH(1,($A37=[2]SalmonProps!$A$2:$A$10001)*(3=[2]SalmonProps!$C$2:$C$10001)*(1=[2]SalmonProps!$D$2:$D$10001)*("A2" = [2]SalmonProps!$B$2:$B$10001)*($AP37 = [2]SalmonProps!$F$2:$F$10001) *($AR37 = [2]SalmonProps!$G$2:$G$10001),0), 19))</f>
        <v>NA</v>
      </c>
      <c r="R37" s="164" t="str" cm="1">
        <f t="array" ref="R37">IF(ISBLANK($AQ37), "", INDEX([2]SalmonProps!$A$2:$AA$10001,MATCH(1,($A37=[2]SalmonProps!$A$2:$A$10001)*(1=[2]SalmonProps!$C$2:$C$10001)*(1=[2]SalmonProps!$D$2:$D$10001)*("A1" = [2]SalmonProps!$B$2:$B$10001)*($AP37 = [2]SalmonProps!$F$2:$F$10001) *($AR37 = [2]SalmonProps!$G$2:$G$10001),0), 18))</f>
        <v>NA</v>
      </c>
      <c r="S37" s="165" t="str" cm="1">
        <f t="array" ref="S37">IF(ISBLANK($AQ37), "", INDEX([2]SalmonProps!$A$2:$AA$10001,MATCH(1,($A37=[2]SalmonProps!$A$2:$A$10001)*(1=[2]SalmonProps!$C$2:$C$10001)*(2=[2]SalmonProps!$D$2:$D$10001)*("A1" = [2]SalmonProps!$B$2:$B$10001)*($AP37 = [2]SalmonProps!$F$2:$F$10001) *($AR37 = [2]SalmonProps!$G$2:$G$10001),0), 18))</f>
        <v>NA</v>
      </c>
      <c r="T37" s="165" t="str" cm="1">
        <f t="array" ref="T37">IF(ISBLANK($AQ37), "", INDEX([2]SalmonProps!$A$2:$AA$10001,MATCH(1,($A37=[2]SalmonProps!$A$2:$A$10001)*(1=[2]SalmonProps!$C$2:$C$10001)*("1&amp;2"=[2]SalmonProps!$D$2:$D$10001)*("A1" = [2]SalmonProps!$B$2:$B$10001)*($AP37 = [2]SalmonProps!$F$2:$F$10001) *($AR37 = [2]SalmonProps!$G$2:$G$10001),0), 18))</f>
        <v>NA</v>
      </c>
      <c r="U37" s="165" t="str" cm="1">
        <f t="array" ref="U37">IF(ISBLANK($AQ37), "", INDEX([2]SalmonProps!$A$2:$AA$10001,MATCH(1,($A37=[2]SalmonProps!$A$2:$A$10001)*(2=[2]SalmonProps!$C$2:$C$10001)*(3=[2]SalmonProps!$D$2:$D$10001)*("A1" = [2]SalmonProps!$B$2:$B$10001)*($AP37 = [2]SalmonProps!$F$2:$F$10001) *($AR37 = [2]SalmonProps!$G$2:$G$10001),0), 18))</f>
        <v>NA</v>
      </c>
      <c r="V37" s="181" t="str" cm="1">
        <f t="array" ref="V37">IF(ISBLANK($AQ37), "", INDEX([2]SalmonProps!$A$2:$AA$10001,MATCH(1,($A37=[2]SalmonProps!$A$2:$A$10001)*(3=[2]SalmonProps!$C$2:$C$10001)*(3=[2]SalmonProps!$D$2:$D$10001)*("A1" = [2]SalmonProps!$B$2:$B$10001)*($AP37 = [2]SalmonProps!$F$2:$F$10001) *($AR37 = [2]SalmonProps!$G$2:$G$10001),0), 18))</f>
        <v>NA</v>
      </c>
      <c r="W37" s="180" t="str" cm="1">
        <f t="array" ref="W37">IF(ISBLANK($AQ37), "", INDEX([2]SalmonProps!$A$2:$AA$10001,MATCH(1,($A37=[2]SalmonProps!$A$2:$A$10001)*(1=[2]SalmonProps!$C$2:$C$10001)*(1=[2]SalmonProps!$D$2:$D$10001)*("A2" = [2]SalmonProps!$B$2:$B$10001)*($AP37 = [2]SalmonProps!$F$2:$F$10001) *($AR37 = [2]SalmonProps!$G$2:$G$10001),0), 18))</f>
        <v>NA</v>
      </c>
      <c r="X37" s="165" t="str" cm="1">
        <f t="array" ref="X37">IF(ISBLANK($AQ37), "", INDEX([2]SalmonProps!$A$2:$AA$10001,MATCH(1,($A37=[2]SalmonProps!$A$2:$A$10001)*(2=[2]SalmonProps!$C$2:$C$10001)*(1=[2]SalmonProps!$D$2:$D$10001)*("A2" = [2]SalmonProps!$B$2:$B$10001)*($AP37 = [2]SalmonProps!$F$2:$F$10001) *($AR37 = [2]SalmonProps!$G$2:$G$10001),0), 18))</f>
        <v>NA</v>
      </c>
      <c r="Y37" s="168" t="str" cm="1">
        <f t="array" ref="Y37">IF(ISBLANK($AQ37), "", INDEX([2]SalmonProps!$A$2:$AA$10001,MATCH(1,($A37=[2]SalmonProps!$A$2:$A$10001)*(3=[2]SalmonProps!$C$2:$C$10001)*(1=[2]SalmonProps!$D$2:$D$10001)*("A2" = [2]SalmonProps!$B$2:$B$10001)*($AP37 = [2]SalmonProps!$F$2:$F$10001) *($AR37 = [2]SalmonProps!$G$2:$G$10001),0), 18))</f>
        <v>NA</v>
      </c>
      <c r="Z37" s="164" cm="1">
        <f t="array" ref="Z37">IF(ISBLANK($AQ37), "", INDEX([2]SalmonProps!$A$2:$AA$10001,MATCH(1,($A37=[2]SalmonProps!$A$2:$A$10001)*(1=[2]SalmonProps!$C$2:$C$10001)*(1=[2]SalmonProps!$D$2:$D$10001)*("A1" = [2]SalmonProps!$B$2:$B$10001)*($AP37 = [2]SalmonProps!$F$2:$F$10001) *($AR37 = [2]SalmonProps!$G$2:$G$10001),0), 15))</f>
        <v>3.8399999999999997E-2</v>
      </c>
      <c r="AA37" s="165" cm="1">
        <f t="array" ref="AA37">IF(ISBLANK($AQ37), "", INDEX([2]SalmonProps!$A$2:$AA$10001,MATCH(1,($A37=[2]SalmonProps!$A$2:$A$10001)*(1=[2]SalmonProps!$C$2:$C$10001)*(2=[2]SalmonProps!$D$2:$D$10001)*("A1" = [2]SalmonProps!$B$2:$B$10001)*($AP37 = [2]SalmonProps!$F$2:$F$10001) *($AR37 = [2]SalmonProps!$G$2:$G$10001),0), 15))</f>
        <v>8.3199999999999996E-2</v>
      </c>
      <c r="AB37" s="165" cm="1">
        <f t="array" ref="AB37">IF(ISBLANK($AQ37), "", INDEX([2]SalmonProps!$A$2:$AA$10001,MATCH(1,($A37=[2]SalmonProps!$A$2:$A$10001)*(1=[2]SalmonProps!$C$2:$C$10001)*("1&amp;2"=[2]SalmonProps!$D$2:$D$10001)*("A1" = [2]SalmonProps!$B$2:$B$10001)*($AP37 = [2]SalmonProps!$F$2:$F$10001) *($AR37 = [2]SalmonProps!$G$2:$G$10001),0), 15))</f>
        <v>6.5600000000000006E-2</v>
      </c>
      <c r="AC37" s="165" cm="1">
        <f t="array" ref="AC37">IF(ISBLANK($AQ37), "", INDEX([2]SalmonProps!$A$2:$AA$10001,MATCH(1,($A37=[2]SalmonProps!$A$2:$A$10001)*(2=[2]SalmonProps!$C$2:$C$10001)*(3=[2]SalmonProps!$D$2:$D$10001)*("A1" = [2]SalmonProps!$B$2:$B$10001)*($AP37 = [2]SalmonProps!$F$2:$F$10001) *($AR37 = [2]SalmonProps!$G$2:$G$10001),0), 15))</f>
        <v>0.26369999999999999</v>
      </c>
      <c r="AD37" s="181" cm="1">
        <f t="array" ref="AD37">IF(ISBLANK($AQ37), "", INDEX([2]SalmonProps!$A$2:$AA$10001,MATCH(1,($A37=[2]SalmonProps!$A$2:$A$10001)*(3=[2]SalmonProps!$C$2:$C$10001)*(3=[2]SalmonProps!$D$2:$D$10001)*("A1" = [2]SalmonProps!$B$2:$B$10001)*($AP37 = [2]SalmonProps!$F$2:$F$10001) *($AR37 = [2]SalmonProps!$G$2:$G$10001),0), 15))</f>
        <v>0.71440000000000003</v>
      </c>
      <c r="AE37" s="166" cm="1">
        <f t="array" ref="AE37">IF(ISBLANK($AQ37), "", INDEX([2]SalmonProps!$A$2:$AA$10001,MATCH(1,($A37=[2]SalmonProps!$A$2:$A$10001)*(1=[2]SalmonProps!$C$2:$C$10001)*(1=[2]SalmonProps!$D$2:$D$10001)*("A2" = [2]SalmonProps!$B$2:$B$10001)*($AP37 = [2]SalmonProps!$F$2:$F$10001) *($AR37 = [2]SalmonProps!$G$2:$G$10001),0), 15))</f>
        <v>2.6800000000000001E-2</v>
      </c>
      <c r="AF37" s="166" cm="1">
        <f t="array" ref="AF37">IF(ISBLANK($AQ37), "", INDEX([2]SalmonProps!$A$2:$AA$10001,MATCH(1,($A37=[2]SalmonProps!$A$2:$A$10001)*(2=[2]SalmonProps!$C$2:$C$10001)*(1=[2]SalmonProps!$D$2:$D$10001)*("A2" = [2]SalmonProps!$B$2:$B$10001)*($AP37 = [2]SalmonProps!$F$2:$F$10001) *($AR37 = [2]SalmonProps!$G$2:$G$10001),0), 15))</f>
        <v>0.1163</v>
      </c>
      <c r="AG37" s="167" cm="1">
        <f t="array" ref="AG37">IF(ISBLANK($AQ37), "", INDEX([2]SalmonProps!$A$2:$AA$10001,MATCH(1,($A37=[2]SalmonProps!$A$2:$A$10001)*(3=[2]SalmonProps!$C$2:$C$10001)*(1=[2]SalmonProps!$D$2:$D$10001)*("A2" = [2]SalmonProps!$B$2:$B$10001)*($AP37 = [2]SalmonProps!$F$2:$F$10001) *($AR37 = [2]SalmonProps!$G$2:$G$10001),0), 15))</f>
        <v>0.3765</v>
      </c>
      <c r="AH37" s="173" t="str" cm="1">
        <f t="array" ref="AH37">IF(ISBLANK($AQ37), "", INDEX([2]SalmonProps!$A$2:$AA$10001,MATCH(1,($A37=[2]SalmonProps!$A$2:$A$10001)*($AP37 = [2]SalmonProps!$F$2:$F$10001) *($AR37 = [2]SalmonProps!$G$2:$G$10001),0), 24))</f>
        <v>NA</v>
      </c>
      <c r="AI37" s="183" t="str" cm="1">
        <f t="array" ref="AI37">IF(ISBLANK($AQ37), "", INDEX([2]SalmonProps!$A$2:$AA$10001,MATCH(1,($A37=[2]SalmonProps!$A$2:$A$10001)*($AP37 = [2]SalmonProps!$F$2:$F$10001) *($AR37 = [2]SalmonProps!$G$2:$G$10001),0), 25))</f>
        <v>NA</v>
      </c>
      <c r="AJ37" s="174" cm="1">
        <f t="array" ref="AJ37">IF(ISBLANK($AQ37), "", INDEX([2]SalmonProps!$A$2:$AA$10001,MATCH(1,($A37=[2]SalmonProps!$A$2:$A$10001)*($AP37 = [2]SalmonProps!$F$2:$F$10001) *($AR37 = [2]SalmonProps!$G$2:$G$10001),0), 20))</f>
        <v>58.9</v>
      </c>
      <c r="AK37" s="183" cm="1">
        <f t="array" ref="AK37">IF(ISBLANK($AQ37), "", INDEX([2]SalmonProps!$A$2:$AA$10001,MATCH(1,($A37=[2]SalmonProps!$A$2:$A$10001)*($AP37 = [2]SalmonProps!$F$2:$F$10001) *($AR37 = [2]SalmonProps!$G$2:$G$10001),0), 21))</f>
        <v>4.8</v>
      </c>
      <c r="AL37" s="174" cm="1">
        <f t="array" ref="AL37">IF(ISBLANK($AQ37), "", INDEX([2]SalmonProps!$A$2:$AA$10001,MATCH(1,($A37=[2]SalmonProps!$A$2:$A$10001)*($AP37 = [2]SalmonProps!$F$2:$F$10001) *($AR37 = [2]SalmonProps!$G$2:$G$10001),0), 22))</f>
        <v>77.2</v>
      </c>
      <c r="AM37" s="183" cm="1">
        <f t="array" ref="AM37">IF(ISBLANK($AQ37), "", INDEX([2]SalmonProps!$A$2:$AA$10001,MATCH(1,($A37=[2]SalmonProps!$A$2:$A$10001)*($AP37 = [2]SalmonProps!$F$2:$F$10001) *($AR37 = [2]SalmonProps!$G$2:$G$10001),0), 23))</f>
        <v>7.8</v>
      </c>
      <c r="AN37" s="174" t="str" cm="1">
        <f t="array" ref="AN37">IF(ISBLANK($AQ37), "", INDEX([2]SalmonProps!$A$2:$AA$10001,MATCH(1,($A37=[2]SalmonProps!$A$2:$A$10001)*($AP37 = [2]SalmonProps!$F$2:$F$10001) *($AR37 = [2]SalmonProps!$G$2:$G$10001),0), 26))</f>
        <v>NA</v>
      </c>
      <c r="AO37" s="175" t="str" cm="1">
        <f t="array" ref="AO37">IF(ISBLANK($AQ37), "", INDEX([2]SalmonProps!$A$2:$AA$10001,MATCH(1,($A37=[2]SalmonProps!$A$2:$A$10001)*($AP37 = [2]SalmonProps!$F$2:$F$10001) *($AR37 = [2]SalmonProps!$G$2:$G$10001),0), 27))</f>
        <v>NA</v>
      </c>
      <c r="AP37" s="112">
        <v>3</v>
      </c>
      <c r="AQ37" s="112" t="s">
        <v>133</v>
      </c>
      <c r="AR37" s="112" t="str">
        <f t="shared" si="1"/>
        <v>Unweighted</v>
      </c>
    </row>
    <row r="38" spans="1:44" x14ac:dyDescent="0.3">
      <c r="A38" s="20">
        <f>'[1]Passage Estimates'!$A38</f>
        <v>45140</v>
      </c>
      <c r="B38" s="164" cm="1">
        <f t="array" ref="B38">IF(ISBLANK($AQ38), "", INDEX([2]SalmonProps!$A$2:$AA$10001,MATCH(1,($A38=[2]SalmonProps!$A$2:$A$10001)*(1=[2]SalmonProps!$C$2:$C$10001)*(1=[2]SalmonProps!$D$2:$D$10001)*("A1" = [2]SalmonProps!$B$2:$B$10001)*($AP38 = [2]SalmonProps!$F$2:$F$10001) *($AR38 = [2]SalmonProps!$G$2:$G$10001),0), 17))</f>
        <v>0</v>
      </c>
      <c r="C38" s="165" cm="1">
        <f t="array" ref="C38">IF(ISBLANK($AQ38), "", INDEX([2]SalmonProps!$A$2:$AA$10001,MATCH(1,($A38=[2]SalmonProps!$A$2:$A$10001)*(1=[2]SalmonProps!$C$2:$C$10001)*(2=[2]SalmonProps!$D$2:$D$10001)*("A1" = [2]SalmonProps!$B$2:$B$10001)*($AP38 = [2]SalmonProps!$F$2:$F$10001) *($AR38 = [2]SalmonProps!$G$2:$G$10001),0), 17))</f>
        <v>0</v>
      </c>
      <c r="D38" s="165" cm="1">
        <f t="array" ref="D38">IF(ISBLANK($AQ38), "", INDEX([2]SalmonProps!$A$2:$AA$10001,MATCH(1,($A38=[2]SalmonProps!$A$2:$A$10001)*(1=[2]SalmonProps!$C$2:$C$10001)*("1&amp;2"=[2]SalmonProps!$D$2:$D$10001)*("A1" = [2]SalmonProps!$B$2:$B$10001)*($AP38 = [2]SalmonProps!$F$2:$F$10001) *($AR38 = [2]SalmonProps!$G$2:$G$10001),0), 17))</f>
        <v>0</v>
      </c>
      <c r="E38" s="181" cm="1">
        <f t="array" ref="E38">IF(ISBLANK($AQ38), "", INDEX([2]SalmonProps!$A$2:$AA$10001,MATCH(1,($A38=[2]SalmonProps!$A$2:$A$10001)*(2=[2]SalmonProps!$C$2:$C$10001)*(3=[2]SalmonProps!$D$2:$D$10001)*("A1" = [2]SalmonProps!$B$2:$B$10001)*($AP38 = [2]SalmonProps!$F$2:$F$10001) *($AR38 = [2]SalmonProps!$G$2:$G$10001),0), 17))</f>
        <v>0.15129999999999999</v>
      </c>
      <c r="F38" s="165" cm="1">
        <f t="array" ref="F38">IF(ISBLANK($AQ38), "", INDEX([2]SalmonProps!$A$2:$AA$10001,MATCH(1,($A38=[2]SalmonProps!$A$2:$A$10001)*(3=[2]SalmonProps!$C$2:$C$10001)*(3=[2]SalmonProps!$D$2:$D$10001)*("A1" = [2]SalmonProps!$B$2:$B$10001)*($AP38 = [2]SalmonProps!$F$2:$F$10001) *($AR38 = [2]SalmonProps!$G$2:$G$10001),0), 17))</f>
        <v>0.29370000000000002</v>
      </c>
      <c r="G38" s="165" cm="1">
        <f t="array" ref="G38">IF(ISBLANK($AQ38), "", INDEX([2]SalmonProps!$A$2:$AA$10001,MATCH(1,($A38=[2]SalmonProps!$A$2:$A$10001)*(1=[2]SalmonProps!$C$2:$C$10001)*(1=[2]SalmonProps!$D$2:$D$10001)*("A2" = [2]SalmonProps!$B$2:$B$10001)*($AP38 = [2]SalmonProps!$F$2:$F$10001) *($AR38 = [2]SalmonProps!$G$2:$G$10001),0), 17))</f>
        <v>1.5100000000000001E-2</v>
      </c>
      <c r="H38" s="166" cm="1">
        <f t="array" ref="H38">IF(ISBLANK($AQ38), "", INDEX([2]SalmonProps!$A$2:$AA$10001,MATCH(1,($A38=[2]SalmonProps!$A$2:$A$10001)*(2=[2]SalmonProps!$C$2:$C$10001)*(1=[2]SalmonProps!$D$2:$D$10001)*("A2" = [2]SalmonProps!$B$2:$B$10001)*($AP38 = [2]SalmonProps!$F$2:$F$10001) *($AR38 = [2]SalmonProps!$G$2:$G$10001),0), 17))</f>
        <v>7.85E-2</v>
      </c>
      <c r="I38" s="167" cm="1">
        <f t="array" ref="I38">IF(ISBLANK($AQ38), "", INDEX([2]SalmonProps!$A$2:$AA$10001,MATCH(1,($A38=[2]SalmonProps!$A$2:$A$10001)*(3=[2]SalmonProps!$C$2:$C$10001)*(1=[2]SalmonProps!$D$2:$D$10001)*("A2" = [2]SalmonProps!$B$2:$B$10001)*($AP38 = [2]SalmonProps!$F$2:$F$10001) *($AR38 = [2]SalmonProps!$G$2:$G$10001),0), 17))</f>
        <v>0.193</v>
      </c>
      <c r="J38" s="164" t="str" cm="1">
        <f t="array" ref="J38">IF(ISBLANK($AQ38), "", INDEX([2]SalmonProps!$A$2:$AA$10001,MATCH(1,($A38=[2]SalmonProps!$A$2:$A$10001)*(1=[2]SalmonProps!$C$2:$C$10001)*(1=[2]SalmonProps!$D$2:$D$10001)*("A1" = [2]SalmonProps!$B$2:$B$10001)*($AP38 = [2]SalmonProps!$F$2:$F$10001) *($AR38 = [2]SalmonProps!$G$2:$G$10001),0), 19))</f>
        <v>NA</v>
      </c>
      <c r="K38" s="165" t="str" cm="1">
        <f t="array" ref="K38">IF(ISBLANK($AQ38), "", INDEX([2]SalmonProps!$A$2:$AA$10001,MATCH(1,($A38=[2]SalmonProps!$A$2:$A$10001)*(1=[2]SalmonProps!$C$2:$C$10001)*(2=[2]SalmonProps!$D$2:$D$10001)*("A1" = [2]SalmonProps!$B$2:$B$10001)*($AP38 = [2]SalmonProps!$F$2:$F$10001) *($AR38 = [2]SalmonProps!$G$2:$G$10001),0), 19))</f>
        <v>NA</v>
      </c>
      <c r="L38" s="165" t="str" cm="1">
        <f t="array" ref="L38">IF(ISBLANK($AQ38), "", INDEX([2]SalmonProps!$A$2:$AA$10001,MATCH(1,($A38=[2]SalmonProps!$A$2:$A$10001)*(1=[2]SalmonProps!$C$2:$C$10001)*("1&amp;2"=[2]SalmonProps!$D$2:$D$10001)*("A1" = [2]SalmonProps!$B$2:$B$10001)*($AP38 = [2]SalmonProps!$F$2:$F$10001) *($AR38 = [2]SalmonProps!$G$2:$G$10001),0), 19))</f>
        <v>NA</v>
      </c>
      <c r="M38" s="165" t="str" cm="1">
        <f t="array" ref="M38">IF(ISBLANK($AQ38), "", INDEX([2]SalmonProps!$A$2:$AA$10001,MATCH(1,($A38=[2]SalmonProps!$A$2:$A$10001)*(2=[2]SalmonProps!$C$2:$C$10001)*(3=[2]SalmonProps!$D$2:$D$10001)*("A1" = [2]SalmonProps!$B$2:$B$10001)*($AP38 = [2]SalmonProps!$F$2:$F$10001) *($AR38 = [2]SalmonProps!$G$2:$G$10001),0), 19))</f>
        <v>NA</v>
      </c>
      <c r="N38" s="181" t="str" cm="1">
        <f t="array" ref="N38">IF(ISBLANK($AQ38), "", INDEX([2]SalmonProps!$A$2:$AA$10001,MATCH(1,($A38=[2]SalmonProps!$A$2:$A$10001)*(3=[2]SalmonProps!$C$2:$C$10001)*(3=[2]SalmonProps!$D$2:$D$10001)*("A1" = [2]SalmonProps!$B$2:$B$10001)*($AP38 = [2]SalmonProps!$F$2:$F$10001) *($AR38 = [2]SalmonProps!$G$2:$G$10001),0), 19))</f>
        <v>NA</v>
      </c>
      <c r="O38" s="165" t="str" cm="1">
        <f t="array" ref="O38">IF(ISBLANK($AQ38), "", INDEX([2]SalmonProps!$A$2:$AA$10001,MATCH(1,($A38=[2]SalmonProps!$A$2:$A$10001)*(1=[2]SalmonProps!$C$2:$C$10001)*(1=[2]SalmonProps!$D$2:$D$10001)*("A2" = [2]SalmonProps!$B$2:$B$10001)*($AP38 = [2]SalmonProps!$F$2:$F$10001) *($AR38 = [2]SalmonProps!$G$2:$G$10001),0), 19))</f>
        <v>NA</v>
      </c>
      <c r="P38" s="165" t="str" cm="1">
        <f t="array" ref="P38">IF(ISBLANK($AQ38), "", INDEX([2]SalmonProps!$A$2:$AA$10001,MATCH(1,($A38=[2]SalmonProps!$A$2:$A$10001)*(2=[2]SalmonProps!$C$2:$C$10001)*(1=[2]SalmonProps!$D$2:$D$10001)*("A2" = [2]SalmonProps!$B$2:$B$10001)*($AP38 = [2]SalmonProps!$F$2:$F$10001) *($AR38 = [2]SalmonProps!$G$2:$G$10001),0), 19))</f>
        <v>NA</v>
      </c>
      <c r="Q38" s="168" t="str" cm="1">
        <f t="array" ref="Q38">IF(ISBLANK($AQ38), "", INDEX([2]SalmonProps!$A$2:$AA$10001,MATCH(1,($A38=[2]SalmonProps!$A$2:$A$10001)*(3=[2]SalmonProps!$C$2:$C$10001)*(1=[2]SalmonProps!$D$2:$D$10001)*("A2" = [2]SalmonProps!$B$2:$B$10001)*($AP38 = [2]SalmonProps!$F$2:$F$10001) *($AR38 = [2]SalmonProps!$G$2:$G$10001),0), 19))</f>
        <v>NA</v>
      </c>
      <c r="R38" s="164" t="str" cm="1">
        <f t="array" ref="R38">IF(ISBLANK($AQ38), "", INDEX([2]SalmonProps!$A$2:$AA$10001,MATCH(1,($A38=[2]SalmonProps!$A$2:$A$10001)*(1=[2]SalmonProps!$C$2:$C$10001)*(1=[2]SalmonProps!$D$2:$D$10001)*("A1" = [2]SalmonProps!$B$2:$B$10001)*($AP38 = [2]SalmonProps!$F$2:$F$10001) *($AR38 = [2]SalmonProps!$G$2:$G$10001),0), 18))</f>
        <v>NA</v>
      </c>
      <c r="S38" s="165" t="str" cm="1">
        <f t="array" ref="S38">IF(ISBLANK($AQ38), "", INDEX([2]SalmonProps!$A$2:$AA$10001,MATCH(1,($A38=[2]SalmonProps!$A$2:$A$10001)*(1=[2]SalmonProps!$C$2:$C$10001)*(2=[2]SalmonProps!$D$2:$D$10001)*("A1" = [2]SalmonProps!$B$2:$B$10001)*($AP38 = [2]SalmonProps!$F$2:$F$10001) *($AR38 = [2]SalmonProps!$G$2:$G$10001),0), 18))</f>
        <v>NA</v>
      </c>
      <c r="T38" s="165" t="str" cm="1">
        <f t="array" ref="T38">IF(ISBLANK($AQ38), "", INDEX([2]SalmonProps!$A$2:$AA$10001,MATCH(1,($A38=[2]SalmonProps!$A$2:$A$10001)*(1=[2]SalmonProps!$C$2:$C$10001)*("1&amp;2"=[2]SalmonProps!$D$2:$D$10001)*("A1" = [2]SalmonProps!$B$2:$B$10001)*($AP38 = [2]SalmonProps!$F$2:$F$10001) *($AR38 = [2]SalmonProps!$G$2:$G$10001),0), 18))</f>
        <v>NA</v>
      </c>
      <c r="U38" s="165" t="str" cm="1">
        <f t="array" ref="U38">IF(ISBLANK($AQ38), "", INDEX([2]SalmonProps!$A$2:$AA$10001,MATCH(1,($A38=[2]SalmonProps!$A$2:$A$10001)*(2=[2]SalmonProps!$C$2:$C$10001)*(3=[2]SalmonProps!$D$2:$D$10001)*("A1" = [2]SalmonProps!$B$2:$B$10001)*($AP38 = [2]SalmonProps!$F$2:$F$10001) *($AR38 = [2]SalmonProps!$G$2:$G$10001),0), 18))</f>
        <v>NA</v>
      </c>
      <c r="V38" s="181" t="str" cm="1">
        <f t="array" ref="V38">IF(ISBLANK($AQ38), "", INDEX([2]SalmonProps!$A$2:$AA$10001,MATCH(1,($A38=[2]SalmonProps!$A$2:$A$10001)*(3=[2]SalmonProps!$C$2:$C$10001)*(3=[2]SalmonProps!$D$2:$D$10001)*("A1" = [2]SalmonProps!$B$2:$B$10001)*($AP38 = [2]SalmonProps!$F$2:$F$10001) *($AR38 = [2]SalmonProps!$G$2:$G$10001),0), 18))</f>
        <v>NA</v>
      </c>
      <c r="W38" s="180" t="str" cm="1">
        <f t="array" ref="W38">IF(ISBLANK($AQ38), "", INDEX([2]SalmonProps!$A$2:$AA$10001,MATCH(1,($A38=[2]SalmonProps!$A$2:$A$10001)*(1=[2]SalmonProps!$C$2:$C$10001)*(1=[2]SalmonProps!$D$2:$D$10001)*("A2" = [2]SalmonProps!$B$2:$B$10001)*($AP38 = [2]SalmonProps!$F$2:$F$10001) *($AR38 = [2]SalmonProps!$G$2:$G$10001),0), 18))</f>
        <v>NA</v>
      </c>
      <c r="X38" s="165" t="str" cm="1">
        <f t="array" ref="X38">IF(ISBLANK($AQ38), "", INDEX([2]SalmonProps!$A$2:$AA$10001,MATCH(1,($A38=[2]SalmonProps!$A$2:$A$10001)*(2=[2]SalmonProps!$C$2:$C$10001)*(1=[2]SalmonProps!$D$2:$D$10001)*("A2" = [2]SalmonProps!$B$2:$B$10001)*($AP38 = [2]SalmonProps!$F$2:$F$10001) *($AR38 = [2]SalmonProps!$G$2:$G$10001),0), 18))</f>
        <v>NA</v>
      </c>
      <c r="Y38" s="168" t="str" cm="1">
        <f t="array" ref="Y38">IF(ISBLANK($AQ38), "", INDEX([2]SalmonProps!$A$2:$AA$10001,MATCH(1,($A38=[2]SalmonProps!$A$2:$A$10001)*(3=[2]SalmonProps!$C$2:$C$10001)*(1=[2]SalmonProps!$D$2:$D$10001)*("A2" = [2]SalmonProps!$B$2:$B$10001)*($AP38 = [2]SalmonProps!$F$2:$F$10001) *($AR38 = [2]SalmonProps!$G$2:$G$10001),0), 18))</f>
        <v>NA</v>
      </c>
      <c r="Z38" s="164" cm="1">
        <f t="array" ref="Z38">IF(ISBLANK($AQ38), "", INDEX([2]SalmonProps!$A$2:$AA$10001,MATCH(1,($A38=[2]SalmonProps!$A$2:$A$10001)*(1=[2]SalmonProps!$C$2:$C$10001)*(1=[2]SalmonProps!$D$2:$D$10001)*("A1" = [2]SalmonProps!$B$2:$B$10001)*($AP38 = [2]SalmonProps!$F$2:$F$10001) *($AR38 = [2]SalmonProps!$G$2:$G$10001),0), 15))</f>
        <v>4.4400000000000002E-2</v>
      </c>
      <c r="AA38" s="165" cm="1">
        <f t="array" ref="AA38">IF(ISBLANK($AQ38), "", INDEX([2]SalmonProps!$A$2:$AA$10001,MATCH(1,($A38=[2]SalmonProps!$A$2:$A$10001)*(1=[2]SalmonProps!$C$2:$C$10001)*(2=[2]SalmonProps!$D$2:$D$10001)*("A1" = [2]SalmonProps!$B$2:$B$10001)*($AP38 = [2]SalmonProps!$F$2:$F$10001) *($AR38 = [2]SalmonProps!$G$2:$G$10001),0), 15))</f>
        <v>7.0400000000000004E-2</v>
      </c>
      <c r="AB38" s="165" cm="1">
        <f t="array" ref="AB38">IF(ISBLANK($AQ38), "", INDEX([2]SalmonProps!$A$2:$AA$10001,MATCH(1,($A38=[2]SalmonProps!$A$2:$A$10001)*(1=[2]SalmonProps!$C$2:$C$10001)*("1&amp;2"=[2]SalmonProps!$D$2:$D$10001)*("A1" = [2]SalmonProps!$B$2:$B$10001)*($AP38 = [2]SalmonProps!$F$2:$F$10001) *($AR38 = [2]SalmonProps!$G$2:$G$10001),0), 15))</f>
        <v>5.8799999999999998E-2</v>
      </c>
      <c r="AC38" s="165" cm="1">
        <f t="array" ref="AC38">IF(ISBLANK($AQ38), "", INDEX([2]SalmonProps!$A$2:$AA$10001,MATCH(1,($A38=[2]SalmonProps!$A$2:$A$10001)*(2=[2]SalmonProps!$C$2:$C$10001)*(3=[2]SalmonProps!$D$2:$D$10001)*("A1" = [2]SalmonProps!$B$2:$B$10001)*($AP38 = [2]SalmonProps!$F$2:$F$10001) *($AR38 = [2]SalmonProps!$G$2:$G$10001),0), 15))</f>
        <v>0.32719999999999999</v>
      </c>
      <c r="AD38" s="181" cm="1">
        <f t="array" ref="AD38">IF(ISBLANK($AQ38), "", INDEX([2]SalmonProps!$A$2:$AA$10001,MATCH(1,($A38=[2]SalmonProps!$A$2:$A$10001)*(3=[2]SalmonProps!$C$2:$C$10001)*(3=[2]SalmonProps!$D$2:$D$10001)*("A1" = [2]SalmonProps!$B$2:$B$10001)*($AP38 = [2]SalmonProps!$F$2:$F$10001) *($AR38 = [2]SalmonProps!$G$2:$G$10001),0), 15))</f>
        <v>0.58760000000000001</v>
      </c>
      <c r="AE38" s="166" cm="1">
        <f t="array" ref="AE38">IF(ISBLANK($AQ38), "", INDEX([2]SalmonProps!$A$2:$AA$10001,MATCH(1,($A38=[2]SalmonProps!$A$2:$A$10001)*(1=[2]SalmonProps!$C$2:$C$10001)*(1=[2]SalmonProps!$D$2:$D$10001)*("A2" = [2]SalmonProps!$B$2:$B$10001)*($AP38 = [2]SalmonProps!$F$2:$F$10001) *($AR38 = [2]SalmonProps!$G$2:$G$10001),0), 15))</f>
        <v>2.6800000000000001E-2</v>
      </c>
      <c r="AF38" s="166" cm="1">
        <f t="array" ref="AF38">IF(ISBLANK($AQ38), "", INDEX([2]SalmonProps!$A$2:$AA$10001,MATCH(1,($A38=[2]SalmonProps!$A$2:$A$10001)*(2=[2]SalmonProps!$C$2:$C$10001)*(1=[2]SalmonProps!$D$2:$D$10001)*("A2" = [2]SalmonProps!$B$2:$B$10001)*($AP38 = [2]SalmonProps!$F$2:$F$10001) *($AR38 = [2]SalmonProps!$G$2:$G$10001),0), 15))</f>
        <v>0.1163</v>
      </c>
      <c r="AG38" s="167" cm="1">
        <f t="array" ref="AG38">IF(ISBLANK($AQ38), "", INDEX([2]SalmonProps!$A$2:$AA$10001,MATCH(1,($A38=[2]SalmonProps!$A$2:$A$10001)*(3=[2]SalmonProps!$C$2:$C$10001)*(1=[2]SalmonProps!$D$2:$D$10001)*("A2" = [2]SalmonProps!$B$2:$B$10001)*($AP38 = [2]SalmonProps!$F$2:$F$10001) *($AR38 = [2]SalmonProps!$G$2:$G$10001),0), 15))</f>
        <v>0.3765</v>
      </c>
      <c r="AH38" s="173" t="str" cm="1">
        <f t="array" ref="AH38">IF(ISBLANK($AQ38), "", INDEX([2]SalmonProps!$A$2:$AA$10001,MATCH(1,($A38=[2]SalmonProps!$A$2:$A$10001)*($AP38 = [2]SalmonProps!$F$2:$F$10001) *($AR38 = [2]SalmonProps!$G$2:$G$10001),0), 24))</f>
        <v>NA</v>
      </c>
      <c r="AI38" s="183" t="str" cm="1">
        <f t="array" ref="AI38">IF(ISBLANK($AQ38), "", INDEX([2]SalmonProps!$A$2:$AA$10001,MATCH(1,($A38=[2]SalmonProps!$A$2:$A$10001)*($AP38 = [2]SalmonProps!$F$2:$F$10001) *($AR38 = [2]SalmonProps!$G$2:$G$10001),0), 25))</f>
        <v>NA</v>
      </c>
      <c r="AJ38" s="174" cm="1">
        <f t="array" ref="AJ38">IF(ISBLANK($AQ38), "", INDEX([2]SalmonProps!$A$2:$AA$10001,MATCH(1,($A38=[2]SalmonProps!$A$2:$A$10001)*($AP38 = [2]SalmonProps!$F$2:$F$10001) *($AR38 = [2]SalmonProps!$G$2:$G$10001),0), 20))</f>
        <v>58.9</v>
      </c>
      <c r="AK38" s="183" cm="1">
        <f t="array" ref="AK38">IF(ISBLANK($AQ38), "", INDEX([2]SalmonProps!$A$2:$AA$10001,MATCH(1,($A38=[2]SalmonProps!$A$2:$A$10001)*($AP38 = [2]SalmonProps!$F$2:$F$10001) *($AR38 = [2]SalmonProps!$G$2:$G$10001),0), 21))</f>
        <v>4.8</v>
      </c>
      <c r="AL38" s="174" cm="1">
        <f t="array" ref="AL38">IF(ISBLANK($AQ38), "", INDEX([2]SalmonProps!$A$2:$AA$10001,MATCH(1,($A38=[2]SalmonProps!$A$2:$A$10001)*($AP38 = [2]SalmonProps!$F$2:$F$10001) *($AR38 = [2]SalmonProps!$G$2:$G$10001),0), 22))</f>
        <v>77.2</v>
      </c>
      <c r="AM38" s="183" cm="1">
        <f t="array" ref="AM38">IF(ISBLANK($AQ38), "", INDEX([2]SalmonProps!$A$2:$AA$10001,MATCH(1,($A38=[2]SalmonProps!$A$2:$A$10001)*($AP38 = [2]SalmonProps!$F$2:$F$10001) *($AR38 = [2]SalmonProps!$G$2:$G$10001),0), 23))</f>
        <v>7.8</v>
      </c>
      <c r="AN38" s="174" t="str" cm="1">
        <f t="array" ref="AN38">IF(ISBLANK($AQ38), "", INDEX([2]SalmonProps!$A$2:$AA$10001,MATCH(1,($A38=[2]SalmonProps!$A$2:$A$10001)*($AP38 = [2]SalmonProps!$F$2:$F$10001) *($AR38 = [2]SalmonProps!$G$2:$G$10001),0), 26))</f>
        <v>NA</v>
      </c>
      <c r="AO38" s="175" t="str" cm="1">
        <f t="array" ref="AO38">IF(ISBLANK($AQ38), "", INDEX([2]SalmonProps!$A$2:$AA$10001,MATCH(1,($A38=[2]SalmonProps!$A$2:$A$10001)*($AP38 = [2]SalmonProps!$F$2:$F$10001) *($AR38 = [2]SalmonProps!$G$2:$G$10001),0), 27))</f>
        <v>NA</v>
      </c>
      <c r="AP38" s="112">
        <v>3</v>
      </c>
      <c r="AQ38" s="112" t="s">
        <v>133</v>
      </c>
      <c r="AR38" s="112" t="str">
        <f t="shared" si="1"/>
        <v>Unweighted</v>
      </c>
    </row>
    <row r="39" spans="1:44" x14ac:dyDescent="0.3">
      <c r="A39" s="20">
        <f>'[1]Passage Estimates'!$A39</f>
        <v>45141</v>
      </c>
      <c r="B39" s="164" cm="1">
        <f t="array" ref="B39">IF(ISBLANK($AQ39), "", INDEX([2]SalmonProps!$A$2:$AA$10001,MATCH(1,($A39=[2]SalmonProps!$A$2:$A$10001)*(1=[2]SalmonProps!$C$2:$C$10001)*(1=[2]SalmonProps!$D$2:$D$10001)*("A1" = [2]SalmonProps!$B$2:$B$10001)*($AP39 = [2]SalmonProps!$F$2:$F$10001) *($AR39 = [2]SalmonProps!$G$2:$G$10001),0), 17))</f>
        <v>0</v>
      </c>
      <c r="C39" s="165" cm="1">
        <f t="array" ref="C39">IF(ISBLANK($AQ39), "", INDEX([2]SalmonProps!$A$2:$AA$10001,MATCH(1,($A39=[2]SalmonProps!$A$2:$A$10001)*(1=[2]SalmonProps!$C$2:$C$10001)*(2=[2]SalmonProps!$D$2:$D$10001)*("A1" = [2]SalmonProps!$B$2:$B$10001)*($AP39 = [2]SalmonProps!$F$2:$F$10001) *($AR39 = [2]SalmonProps!$G$2:$G$10001),0), 17))</f>
        <v>0</v>
      </c>
      <c r="D39" s="165" cm="1">
        <f t="array" ref="D39">IF(ISBLANK($AQ39), "", INDEX([2]SalmonProps!$A$2:$AA$10001,MATCH(1,($A39=[2]SalmonProps!$A$2:$A$10001)*(1=[2]SalmonProps!$C$2:$C$10001)*("1&amp;2"=[2]SalmonProps!$D$2:$D$10001)*("A1" = [2]SalmonProps!$B$2:$B$10001)*($AP39 = [2]SalmonProps!$F$2:$F$10001) *($AR39 = [2]SalmonProps!$G$2:$G$10001),0), 17))</f>
        <v>0</v>
      </c>
      <c r="E39" s="181" cm="1">
        <f t="array" ref="E39">IF(ISBLANK($AQ39), "", INDEX([2]SalmonProps!$A$2:$AA$10001,MATCH(1,($A39=[2]SalmonProps!$A$2:$A$10001)*(2=[2]SalmonProps!$C$2:$C$10001)*(3=[2]SalmonProps!$D$2:$D$10001)*("A1" = [2]SalmonProps!$B$2:$B$10001)*($AP39 = [2]SalmonProps!$F$2:$F$10001) *($AR39 = [2]SalmonProps!$G$2:$G$10001),0), 17))</f>
        <v>7.1199999999999999E-2</v>
      </c>
      <c r="F39" s="165" cm="1">
        <f t="array" ref="F39">IF(ISBLANK($AQ39), "", INDEX([2]SalmonProps!$A$2:$AA$10001,MATCH(1,($A39=[2]SalmonProps!$A$2:$A$10001)*(3=[2]SalmonProps!$C$2:$C$10001)*(3=[2]SalmonProps!$D$2:$D$10001)*("A1" = [2]SalmonProps!$B$2:$B$10001)*($AP39 = [2]SalmonProps!$F$2:$F$10001) *($AR39 = [2]SalmonProps!$G$2:$G$10001),0), 17))</f>
        <v>0.3332</v>
      </c>
      <c r="G39" s="165" cm="1">
        <f t="array" ref="G39">IF(ISBLANK($AQ39), "", INDEX([2]SalmonProps!$A$2:$AA$10001,MATCH(1,($A39=[2]SalmonProps!$A$2:$A$10001)*(1=[2]SalmonProps!$C$2:$C$10001)*(1=[2]SalmonProps!$D$2:$D$10001)*("A2" = [2]SalmonProps!$B$2:$B$10001)*($AP39 = [2]SalmonProps!$F$2:$F$10001) *($AR39 = [2]SalmonProps!$G$2:$G$10001),0), 17))</f>
        <v>0</v>
      </c>
      <c r="H39" s="166" cm="1">
        <f t="array" ref="H39">IF(ISBLANK($AQ39), "", INDEX([2]SalmonProps!$A$2:$AA$10001,MATCH(1,($A39=[2]SalmonProps!$A$2:$A$10001)*(2=[2]SalmonProps!$C$2:$C$10001)*(1=[2]SalmonProps!$D$2:$D$10001)*("A2" = [2]SalmonProps!$B$2:$B$10001)*($AP39 = [2]SalmonProps!$F$2:$F$10001) *($AR39 = [2]SalmonProps!$G$2:$G$10001),0), 17))</f>
        <v>4.5400000000000003E-2</v>
      </c>
      <c r="I39" s="167" cm="1">
        <f t="array" ref="I39">IF(ISBLANK($AQ39), "", INDEX([2]SalmonProps!$A$2:$AA$10001,MATCH(1,($A39=[2]SalmonProps!$A$2:$A$10001)*(3=[2]SalmonProps!$C$2:$C$10001)*(1=[2]SalmonProps!$D$2:$D$10001)*("A2" = [2]SalmonProps!$B$2:$B$10001)*($AP39 = [2]SalmonProps!$F$2:$F$10001) *($AR39 = [2]SalmonProps!$G$2:$G$10001),0), 17))</f>
        <v>0.17299999999999999</v>
      </c>
      <c r="J39" s="164" t="str" cm="1">
        <f t="array" ref="J39">IF(ISBLANK($AQ39), "", INDEX([2]SalmonProps!$A$2:$AA$10001,MATCH(1,($A39=[2]SalmonProps!$A$2:$A$10001)*(1=[2]SalmonProps!$C$2:$C$10001)*(1=[2]SalmonProps!$D$2:$D$10001)*("A1" = [2]SalmonProps!$B$2:$B$10001)*($AP39 = [2]SalmonProps!$F$2:$F$10001) *($AR39 = [2]SalmonProps!$G$2:$G$10001),0), 19))</f>
        <v>NA</v>
      </c>
      <c r="K39" s="165" t="str" cm="1">
        <f t="array" ref="K39">IF(ISBLANK($AQ39), "", INDEX([2]SalmonProps!$A$2:$AA$10001,MATCH(1,($A39=[2]SalmonProps!$A$2:$A$10001)*(1=[2]SalmonProps!$C$2:$C$10001)*(2=[2]SalmonProps!$D$2:$D$10001)*("A1" = [2]SalmonProps!$B$2:$B$10001)*($AP39 = [2]SalmonProps!$F$2:$F$10001) *($AR39 = [2]SalmonProps!$G$2:$G$10001),0), 19))</f>
        <v>NA</v>
      </c>
      <c r="L39" s="165" t="str" cm="1">
        <f t="array" ref="L39">IF(ISBLANK($AQ39), "", INDEX([2]SalmonProps!$A$2:$AA$10001,MATCH(1,($A39=[2]SalmonProps!$A$2:$A$10001)*(1=[2]SalmonProps!$C$2:$C$10001)*("1&amp;2"=[2]SalmonProps!$D$2:$D$10001)*("A1" = [2]SalmonProps!$B$2:$B$10001)*($AP39 = [2]SalmonProps!$F$2:$F$10001) *($AR39 = [2]SalmonProps!$G$2:$G$10001),0), 19))</f>
        <v>NA</v>
      </c>
      <c r="M39" s="165" t="str" cm="1">
        <f t="array" ref="M39">IF(ISBLANK($AQ39), "", INDEX([2]SalmonProps!$A$2:$AA$10001,MATCH(1,($A39=[2]SalmonProps!$A$2:$A$10001)*(2=[2]SalmonProps!$C$2:$C$10001)*(3=[2]SalmonProps!$D$2:$D$10001)*("A1" = [2]SalmonProps!$B$2:$B$10001)*($AP39 = [2]SalmonProps!$F$2:$F$10001) *($AR39 = [2]SalmonProps!$G$2:$G$10001),0), 19))</f>
        <v>NA</v>
      </c>
      <c r="N39" s="181" t="str" cm="1">
        <f t="array" ref="N39">IF(ISBLANK($AQ39), "", INDEX([2]SalmonProps!$A$2:$AA$10001,MATCH(1,($A39=[2]SalmonProps!$A$2:$A$10001)*(3=[2]SalmonProps!$C$2:$C$10001)*(3=[2]SalmonProps!$D$2:$D$10001)*("A1" = [2]SalmonProps!$B$2:$B$10001)*($AP39 = [2]SalmonProps!$F$2:$F$10001) *($AR39 = [2]SalmonProps!$G$2:$G$10001),0), 19))</f>
        <v>NA</v>
      </c>
      <c r="O39" s="165" t="str" cm="1">
        <f t="array" ref="O39">IF(ISBLANK($AQ39), "", INDEX([2]SalmonProps!$A$2:$AA$10001,MATCH(1,($A39=[2]SalmonProps!$A$2:$A$10001)*(1=[2]SalmonProps!$C$2:$C$10001)*(1=[2]SalmonProps!$D$2:$D$10001)*("A2" = [2]SalmonProps!$B$2:$B$10001)*($AP39 = [2]SalmonProps!$F$2:$F$10001) *($AR39 = [2]SalmonProps!$G$2:$G$10001),0), 19))</f>
        <v>NA</v>
      </c>
      <c r="P39" s="165" t="str" cm="1">
        <f t="array" ref="P39">IF(ISBLANK($AQ39), "", INDEX([2]SalmonProps!$A$2:$AA$10001,MATCH(1,($A39=[2]SalmonProps!$A$2:$A$10001)*(2=[2]SalmonProps!$C$2:$C$10001)*(1=[2]SalmonProps!$D$2:$D$10001)*("A2" = [2]SalmonProps!$B$2:$B$10001)*($AP39 = [2]SalmonProps!$F$2:$F$10001) *($AR39 = [2]SalmonProps!$G$2:$G$10001),0), 19))</f>
        <v>NA</v>
      </c>
      <c r="Q39" s="168" t="str" cm="1">
        <f t="array" ref="Q39">IF(ISBLANK($AQ39), "", INDEX([2]SalmonProps!$A$2:$AA$10001,MATCH(1,($A39=[2]SalmonProps!$A$2:$A$10001)*(3=[2]SalmonProps!$C$2:$C$10001)*(1=[2]SalmonProps!$D$2:$D$10001)*("A2" = [2]SalmonProps!$B$2:$B$10001)*($AP39 = [2]SalmonProps!$F$2:$F$10001) *($AR39 = [2]SalmonProps!$G$2:$G$10001),0), 19))</f>
        <v>NA</v>
      </c>
      <c r="R39" s="164" t="str" cm="1">
        <f t="array" ref="R39">IF(ISBLANK($AQ39), "", INDEX([2]SalmonProps!$A$2:$AA$10001,MATCH(1,($A39=[2]SalmonProps!$A$2:$A$10001)*(1=[2]SalmonProps!$C$2:$C$10001)*(1=[2]SalmonProps!$D$2:$D$10001)*("A1" = [2]SalmonProps!$B$2:$B$10001)*($AP39 = [2]SalmonProps!$F$2:$F$10001) *($AR39 = [2]SalmonProps!$G$2:$G$10001),0), 18))</f>
        <v>NA</v>
      </c>
      <c r="S39" s="165" t="str" cm="1">
        <f t="array" ref="S39">IF(ISBLANK($AQ39), "", INDEX([2]SalmonProps!$A$2:$AA$10001,MATCH(1,($A39=[2]SalmonProps!$A$2:$A$10001)*(1=[2]SalmonProps!$C$2:$C$10001)*(2=[2]SalmonProps!$D$2:$D$10001)*("A1" = [2]SalmonProps!$B$2:$B$10001)*($AP39 = [2]SalmonProps!$F$2:$F$10001) *($AR39 = [2]SalmonProps!$G$2:$G$10001),0), 18))</f>
        <v>NA</v>
      </c>
      <c r="T39" s="165" t="str" cm="1">
        <f t="array" ref="T39">IF(ISBLANK($AQ39), "", INDEX([2]SalmonProps!$A$2:$AA$10001,MATCH(1,($A39=[2]SalmonProps!$A$2:$A$10001)*(1=[2]SalmonProps!$C$2:$C$10001)*("1&amp;2"=[2]SalmonProps!$D$2:$D$10001)*("A1" = [2]SalmonProps!$B$2:$B$10001)*($AP39 = [2]SalmonProps!$F$2:$F$10001) *($AR39 = [2]SalmonProps!$G$2:$G$10001),0), 18))</f>
        <v>NA</v>
      </c>
      <c r="U39" s="165" t="str" cm="1">
        <f t="array" ref="U39">IF(ISBLANK($AQ39), "", INDEX([2]SalmonProps!$A$2:$AA$10001,MATCH(1,($A39=[2]SalmonProps!$A$2:$A$10001)*(2=[2]SalmonProps!$C$2:$C$10001)*(3=[2]SalmonProps!$D$2:$D$10001)*("A1" = [2]SalmonProps!$B$2:$B$10001)*($AP39 = [2]SalmonProps!$F$2:$F$10001) *($AR39 = [2]SalmonProps!$G$2:$G$10001),0), 18))</f>
        <v>NA</v>
      </c>
      <c r="V39" s="181" t="str" cm="1">
        <f t="array" ref="V39">IF(ISBLANK($AQ39), "", INDEX([2]SalmonProps!$A$2:$AA$10001,MATCH(1,($A39=[2]SalmonProps!$A$2:$A$10001)*(3=[2]SalmonProps!$C$2:$C$10001)*(3=[2]SalmonProps!$D$2:$D$10001)*("A1" = [2]SalmonProps!$B$2:$B$10001)*($AP39 = [2]SalmonProps!$F$2:$F$10001) *($AR39 = [2]SalmonProps!$G$2:$G$10001),0), 18))</f>
        <v>NA</v>
      </c>
      <c r="W39" s="180" t="str" cm="1">
        <f t="array" ref="W39">IF(ISBLANK($AQ39), "", INDEX([2]SalmonProps!$A$2:$AA$10001,MATCH(1,($A39=[2]SalmonProps!$A$2:$A$10001)*(1=[2]SalmonProps!$C$2:$C$10001)*(1=[2]SalmonProps!$D$2:$D$10001)*("A2" = [2]SalmonProps!$B$2:$B$10001)*($AP39 = [2]SalmonProps!$F$2:$F$10001) *($AR39 = [2]SalmonProps!$G$2:$G$10001),0), 18))</f>
        <v>NA</v>
      </c>
      <c r="X39" s="165" t="str" cm="1">
        <f t="array" ref="X39">IF(ISBLANK($AQ39), "", INDEX([2]SalmonProps!$A$2:$AA$10001,MATCH(1,($A39=[2]SalmonProps!$A$2:$A$10001)*(2=[2]SalmonProps!$C$2:$C$10001)*(1=[2]SalmonProps!$D$2:$D$10001)*("A2" = [2]SalmonProps!$B$2:$B$10001)*($AP39 = [2]SalmonProps!$F$2:$F$10001) *($AR39 = [2]SalmonProps!$G$2:$G$10001),0), 18))</f>
        <v>NA</v>
      </c>
      <c r="Y39" s="168" t="str" cm="1">
        <f t="array" ref="Y39">IF(ISBLANK($AQ39), "", INDEX([2]SalmonProps!$A$2:$AA$10001,MATCH(1,($A39=[2]SalmonProps!$A$2:$A$10001)*(3=[2]SalmonProps!$C$2:$C$10001)*(1=[2]SalmonProps!$D$2:$D$10001)*("A2" = [2]SalmonProps!$B$2:$B$10001)*($AP39 = [2]SalmonProps!$F$2:$F$10001) *($AR39 = [2]SalmonProps!$G$2:$G$10001),0), 18))</f>
        <v>NA</v>
      </c>
      <c r="Z39" s="164" cm="1">
        <f t="array" ref="Z39">IF(ISBLANK($AQ39), "", INDEX([2]SalmonProps!$A$2:$AA$10001,MATCH(1,($A39=[2]SalmonProps!$A$2:$A$10001)*(1=[2]SalmonProps!$C$2:$C$10001)*(1=[2]SalmonProps!$D$2:$D$10001)*("A1" = [2]SalmonProps!$B$2:$B$10001)*($AP39 = [2]SalmonProps!$F$2:$F$10001) *($AR39 = [2]SalmonProps!$G$2:$G$10001),0), 15))</f>
        <v>8.8800000000000004E-2</v>
      </c>
      <c r="AA39" s="165" cm="1">
        <f t="array" ref="AA39">IF(ISBLANK($AQ39), "", INDEX([2]SalmonProps!$A$2:$AA$10001,MATCH(1,($A39=[2]SalmonProps!$A$2:$A$10001)*(1=[2]SalmonProps!$C$2:$C$10001)*(2=[2]SalmonProps!$D$2:$D$10001)*("A1" = [2]SalmonProps!$B$2:$B$10001)*($AP39 = [2]SalmonProps!$F$2:$F$10001) *($AR39 = [2]SalmonProps!$G$2:$G$10001),0), 15))</f>
        <v>7.0000000000000007E-2</v>
      </c>
      <c r="AB39" s="165" cm="1">
        <f t="array" ref="AB39">IF(ISBLANK($AQ39), "", INDEX([2]SalmonProps!$A$2:$AA$10001,MATCH(1,($A39=[2]SalmonProps!$A$2:$A$10001)*(1=[2]SalmonProps!$C$2:$C$10001)*("1&amp;2"=[2]SalmonProps!$D$2:$D$10001)*("A1" = [2]SalmonProps!$B$2:$B$10001)*($AP39 = [2]SalmonProps!$F$2:$F$10001) *($AR39 = [2]SalmonProps!$G$2:$G$10001),0), 15))</f>
        <v>7.9899999999999999E-2</v>
      </c>
      <c r="AC39" s="165" cm="1">
        <f t="array" ref="AC39">IF(ISBLANK($AQ39), "", INDEX([2]SalmonProps!$A$2:$AA$10001,MATCH(1,($A39=[2]SalmonProps!$A$2:$A$10001)*(2=[2]SalmonProps!$C$2:$C$10001)*(3=[2]SalmonProps!$D$2:$D$10001)*("A1" = [2]SalmonProps!$B$2:$B$10001)*($AP39 = [2]SalmonProps!$F$2:$F$10001) *($AR39 = [2]SalmonProps!$G$2:$G$10001),0), 15))</f>
        <v>0.3009</v>
      </c>
      <c r="AD39" s="181" cm="1">
        <f t="array" ref="AD39">IF(ISBLANK($AQ39), "", INDEX([2]SalmonProps!$A$2:$AA$10001,MATCH(1,($A39=[2]SalmonProps!$A$2:$A$10001)*(3=[2]SalmonProps!$C$2:$C$10001)*(3=[2]SalmonProps!$D$2:$D$10001)*("A1" = [2]SalmonProps!$B$2:$B$10001)*($AP39 = [2]SalmonProps!$F$2:$F$10001) *($AR39 = [2]SalmonProps!$G$2:$G$10001),0), 15))</f>
        <v>0.61499999999999999</v>
      </c>
      <c r="AE39" s="166" cm="1">
        <f t="array" ref="AE39">IF(ISBLANK($AQ39), "", INDEX([2]SalmonProps!$A$2:$AA$10001,MATCH(1,($A39=[2]SalmonProps!$A$2:$A$10001)*(1=[2]SalmonProps!$C$2:$C$10001)*(1=[2]SalmonProps!$D$2:$D$10001)*("A2" = [2]SalmonProps!$B$2:$B$10001)*($AP39 = [2]SalmonProps!$F$2:$F$10001) *($AR39 = [2]SalmonProps!$G$2:$G$10001),0), 15))</f>
        <v>6.4600000000000005E-2</v>
      </c>
      <c r="AF39" s="166" cm="1">
        <f t="array" ref="AF39">IF(ISBLANK($AQ39), "", INDEX([2]SalmonProps!$A$2:$AA$10001,MATCH(1,($A39=[2]SalmonProps!$A$2:$A$10001)*(2=[2]SalmonProps!$C$2:$C$10001)*(1=[2]SalmonProps!$D$2:$D$10001)*("A2" = [2]SalmonProps!$B$2:$B$10001)*($AP39 = [2]SalmonProps!$F$2:$F$10001) *($AR39 = [2]SalmonProps!$G$2:$G$10001),0), 15))</f>
        <v>0.14480000000000001</v>
      </c>
      <c r="AG39" s="167" cm="1">
        <f t="array" ref="AG39">IF(ISBLANK($AQ39), "", INDEX([2]SalmonProps!$A$2:$AA$10001,MATCH(1,($A39=[2]SalmonProps!$A$2:$A$10001)*(3=[2]SalmonProps!$C$2:$C$10001)*(1=[2]SalmonProps!$D$2:$D$10001)*("A2" = [2]SalmonProps!$B$2:$B$10001)*($AP39 = [2]SalmonProps!$F$2:$F$10001) *($AR39 = [2]SalmonProps!$G$2:$G$10001),0), 15))</f>
        <v>0.221</v>
      </c>
      <c r="AH39" s="173" t="str" cm="1">
        <f t="array" ref="AH39">IF(ISBLANK($AQ39), "", INDEX([2]SalmonProps!$A$2:$AA$10001,MATCH(1,($A39=[2]SalmonProps!$A$2:$A$10001)*($AP39 = [2]SalmonProps!$F$2:$F$10001) *($AR39 = [2]SalmonProps!$G$2:$G$10001),0), 24))</f>
        <v>NA</v>
      </c>
      <c r="AI39" s="183" t="str" cm="1">
        <f t="array" ref="AI39">IF(ISBLANK($AQ39), "", INDEX([2]SalmonProps!$A$2:$AA$10001,MATCH(1,($A39=[2]SalmonProps!$A$2:$A$10001)*($AP39 = [2]SalmonProps!$F$2:$F$10001) *($AR39 = [2]SalmonProps!$G$2:$G$10001),0), 25))</f>
        <v>NA</v>
      </c>
      <c r="AJ39" s="174" cm="1">
        <f t="array" ref="AJ39">IF(ISBLANK($AQ39), "", INDEX([2]SalmonProps!$A$2:$AA$10001,MATCH(1,($A39=[2]SalmonProps!$A$2:$A$10001)*($AP39 = [2]SalmonProps!$F$2:$F$10001) *($AR39 = [2]SalmonProps!$G$2:$G$10001),0), 20))</f>
        <v>58.9</v>
      </c>
      <c r="AK39" s="183" cm="1">
        <f t="array" ref="AK39">IF(ISBLANK($AQ39), "", INDEX([2]SalmonProps!$A$2:$AA$10001,MATCH(1,($A39=[2]SalmonProps!$A$2:$A$10001)*($AP39 = [2]SalmonProps!$F$2:$F$10001) *($AR39 = [2]SalmonProps!$G$2:$G$10001),0), 21))</f>
        <v>4.8</v>
      </c>
      <c r="AL39" s="174" cm="1">
        <f t="array" ref="AL39">IF(ISBLANK($AQ39), "", INDEX([2]SalmonProps!$A$2:$AA$10001,MATCH(1,($A39=[2]SalmonProps!$A$2:$A$10001)*($AP39 = [2]SalmonProps!$F$2:$F$10001) *($AR39 = [2]SalmonProps!$G$2:$G$10001),0), 22))</f>
        <v>77.2</v>
      </c>
      <c r="AM39" s="183" cm="1">
        <f t="array" ref="AM39">IF(ISBLANK($AQ39), "", INDEX([2]SalmonProps!$A$2:$AA$10001,MATCH(1,($A39=[2]SalmonProps!$A$2:$A$10001)*($AP39 = [2]SalmonProps!$F$2:$F$10001) *($AR39 = [2]SalmonProps!$G$2:$G$10001),0), 23))</f>
        <v>7.8</v>
      </c>
      <c r="AN39" s="174" t="str" cm="1">
        <f t="array" ref="AN39">IF(ISBLANK($AQ39), "", INDEX([2]SalmonProps!$A$2:$AA$10001,MATCH(1,($A39=[2]SalmonProps!$A$2:$A$10001)*($AP39 = [2]SalmonProps!$F$2:$F$10001) *($AR39 = [2]SalmonProps!$G$2:$G$10001),0), 26))</f>
        <v>NA</v>
      </c>
      <c r="AO39" s="175" t="str" cm="1">
        <f t="array" ref="AO39">IF(ISBLANK($AQ39), "", INDEX([2]SalmonProps!$A$2:$AA$10001,MATCH(1,($A39=[2]SalmonProps!$A$2:$A$10001)*($AP39 = [2]SalmonProps!$F$2:$F$10001) *($AR39 = [2]SalmonProps!$G$2:$G$10001),0), 27))</f>
        <v>NA</v>
      </c>
      <c r="AP39" s="112">
        <v>3</v>
      </c>
      <c r="AQ39" s="112" t="s">
        <v>133</v>
      </c>
      <c r="AR39" s="112" t="str">
        <f t="shared" si="1"/>
        <v>Unweighted</v>
      </c>
    </row>
    <row r="40" spans="1:44" x14ac:dyDescent="0.3">
      <c r="A40" s="20">
        <f>'[1]Passage Estimates'!$A40</f>
        <v>45142</v>
      </c>
      <c r="B40" s="164" cm="1">
        <f t="array" ref="B40">IF(ISBLANK($AQ40), "", INDEX([2]SalmonProps!$A$2:$AA$10001,MATCH(1,($A40=[2]SalmonProps!$A$2:$A$10001)*(1=[2]SalmonProps!$C$2:$C$10001)*(1=[2]SalmonProps!$D$2:$D$10001)*("A1" = [2]SalmonProps!$B$2:$B$10001)*($AP40 = [2]SalmonProps!$F$2:$F$10001) *($AR40 = [2]SalmonProps!$G$2:$G$10001),0), 17))</f>
        <v>1.0999999999999999E-2</v>
      </c>
      <c r="C40" s="165" cm="1">
        <f t="array" ref="C40">IF(ISBLANK($AQ40), "", INDEX([2]SalmonProps!$A$2:$AA$10001,MATCH(1,($A40=[2]SalmonProps!$A$2:$A$10001)*(1=[2]SalmonProps!$C$2:$C$10001)*(2=[2]SalmonProps!$D$2:$D$10001)*("A1" = [2]SalmonProps!$B$2:$B$10001)*($AP40 = [2]SalmonProps!$F$2:$F$10001) *($AR40 = [2]SalmonProps!$G$2:$G$10001),0), 17))</f>
        <v>0</v>
      </c>
      <c r="D40" s="165" cm="1">
        <f t="array" ref="D40">IF(ISBLANK($AQ40), "", INDEX([2]SalmonProps!$A$2:$AA$10001,MATCH(1,($A40=[2]SalmonProps!$A$2:$A$10001)*(1=[2]SalmonProps!$C$2:$C$10001)*("1&amp;2"=[2]SalmonProps!$D$2:$D$10001)*("A1" = [2]SalmonProps!$B$2:$B$10001)*($AP40 = [2]SalmonProps!$F$2:$F$10001) *($AR40 = [2]SalmonProps!$G$2:$G$10001),0), 17))</f>
        <v>4.1000000000000003E-3</v>
      </c>
      <c r="E40" s="181" cm="1">
        <f t="array" ref="E40">IF(ISBLANK($AQ40), "", INDEX([2]SalmonProps!$A$2:$AA$10001,MATCH(1,($A40=[2]SalmonProps!$A$2:$A$10001)*(2=[2]SalmonProps!$C$2:$C$10001)*(3=[2]SalmonProps!$D$2:$D$10001)*("A1" = [2]SalmonProps!$B$2:$B$10001)*($AP40 = [2]SalmonProps!$F$2:$F$10001) *($AR40 = [2]SalmonProps!$G$2:$G$10001),0), 17))</f>
        <v>8.2699999999999996E-2</v>
      </c>
      <c r="F40" s="165" cm="1">
        <f t="array" ref="F40">IF(ISBLANK($AQ40), "", INDEX([2]SalmonProps!$A$2:$AA$10001,MATCH(1,($A40=[2]SalmonProps!$A$2:$A$10001)*(3=[2]SalmonProps!$C$2:$C$10001)*(3=[2]SalmonProps!$D$2:$D$10001)*("A1" = [2]SalmonProps!$B$2:$B$10001)*($AP40 = [2]SalmonProps!$F$2:$F$10001) *($AR40 = [2]SalmonProps!$G$2:$G$10001),0), 17))</f>
        <v>0.40060000000000001</v>
      </c>
      <c r="G40" s="165" cm="1">
        <f t="array" ref="G40">IF(ISBLANK($AQ40), "", INDEX([2]SalmonProps!$A$2:$AA$10001,MATCH(1,($A40=[2]SalmonProps!$A$2:$A$10001)*(1=[2]SalmonProps!$C$2:$C$10001)*(1=[2]SalmonProps!$D$2:$D$10001)*("A2" = [2]SalmonProps!$B$2:$B$10001)*($AP40 = [2]SalmonProps!$F$2:$F$10001) *($AR40 = [2]SalmonProps!$G$2:$G$10001),0), 17))</f>
        <v>0</v>
      </c>
      <c r="H40" s="166" cm="1">
        <f t="array" ref="H40">IF(ISBLANK($AQ40), "", INDEX([2]SalmonProps!$A$2:$AA$10001,MATCH(1,($A40=[2]SalmonProps!$A$2:$A$10001)*(2=[2]SalmonProps!$C$2:$C$10001)*(1=[2]SalmonProps!$D$2:$D$10001)*("A2" = [2]SalmonProps!$B$2:$B$10001)*($AP40 = [2]SalmonProps!$F$2:$F$10001) *($AR40 = [2]SalmonProps!$G$2:$G$10001),0), 17))</f>
        <v>5.4399999999999997E-2</v>
      </c>
      <c r="I40" s="167" cm="1">
        <f t="array" ref="I40">IF(ISBLANK($AQ40), "", INDEX([2]SalmonProps!$A$2:$AA$10001,MATCH(1,($A40=[2]SalmonProps!$A$2:$A$10001)*(3=[2]SalmonProps!$C$2:$C$10001)*(1=[2]SalmonProps!$D$2:$D$10001)*("A2" = [2]SalmonProps!$B$2:$B$10001)*($AP40 = [2]SalmonProps!$F$2:$F$10001) *($AR40 = [2]SalmonProps!$G$2:$G$10001),0), 17))</f>
        <v>0.1802</v>
      </c>
      <c r="J40" s="164" t="str" cm="1">
        <f t="array" ref="J40">IF(ISBLANK($AQ40), "", INDEX([2]SalmonProps!$A$2:$AA$10001,MATCH(1,($A40=[2]SalmonProps!$A$2:$A$10001)*(1=[2]SalmonProps!$C$2:$C$10001)*(1=[2]SalmonProps!$D$2:$D$10001)*("A1" = [2]SalmonProps!$B$2:$B$10001)*($AP40 = [2]SalmonProps!$F$2:$F$10001) *($AR40 = [2]SalmonProps!$G$2:$G$10001),0), 19))</f>
        <v>NA</v>
      </c>
      <c r="K40" s="165" t="str" cm="1">
        <f t="array" ref="K40">IF(ISBLANK($AQ40), "", INDEX([2]SalmonProps!$A$2:$AA$10001,MATCH(1,($A40=[2]SalmonProps!$A$2:$A$10001)*(1=[2]SalmonProps!$C$2:$C$10001)*(2=[2]SalmonProps!$D$2:$D$10001)*("A1" = [2]SalmonProps!$B$2:$B$10001)*($AP40 = [2]SalmonProps!$F$2:$F$10001) *($AR40 = [2]SalmonProps!$G$2:$G$10001),0), 19))</f>
        <v>NA</v>
      </c>
      <c r="L40" s="165" t="str" cm="1">
        <f t="array" ref="L40">IF(ISBLANK($AQ40), "", INDEX([2]SalmonProps!$A$2:$AA$10001,MATCH(1,($A40=[2]SalmonProps!$A$2:$A$10001)*(1=[2]SalmonProps!$C$2:$C$10001)*("1&amp;2"=[2]SalmonProps!$D$2:$D$10001)*("A1" = [2]SalmonProps!$B$2:$B$10001)*($AP40 = [2]SalmonProps!$F$2:$F$10001) *($AR40 = [2]SalmonProps!$G$2:$G$10001),0), 19))</f>
        <v>NA</v>
      </c>
      <c r="M40" s="165" t="str" cm="1">
        <f t="array" ref="M40">IF(ISBLANK($AQ40), "", INDEX([2]SalmonProps!$A$2:$AA$10001,MATCH(1,($A40=[2]SalmonProps!$A$2:$A$10001)*(2=[2]SalmonProps!$C$2:$C$10001)*(3=[2]SalmonProps!$D$2:$D$10001)*("A1" = [2]SalmonProps!$B$2:$B$10001)*($AP40 = [2]SalmonProps!$F$2:$F$10001) *($AR40 = [2]SalmonProps!$G$2:$G$10001),0), 19))</f>
        <v>NA</v>
      </c>
      <c r="N40" s="181" t="str" cm="1">
        <f t="array" ref="N40">IF(ISBLANK($AQ40), "", INDEX([2]SalmonProps!$A$2:$AA$10001,MATCH(1,($A40=[2]SalmonProps!$A$2:$A$10001)*(3=[2]SalmonProps!$C$2:$C$10001)*(3=[2]SalmonProps!$D$2:$D$10001)*("A1" = [2]SalmonProps!$B$2:$B$10001)*($AP40 = [2]SalmonProps!$F$2:$F$10001) *($AR40 = [2]SalmonProps!$G$2:$G$10001),0), 19))</f>
        <v>NA</v>
      </c>
      <c r="O40" s="165" t="str" cm="1">
        <f t="array" ref="O40">IF(ISBLANK($AQ40), "", INDEX([2]SalmonProps!$A$2:$AA$10001,MATCH(1,($A40=[2]SalmonProps!$A$2:$A$10001)*(1=[2]SalmonProps!$C$2:$C$10001)*(1=[2]SalmonProps!$D$2:$D$10001)*("A2" = [2]SalmonProps!$B$2:$B$10001)*($AP40 = [2]SalmonProps!$F$2:$F$10001) *($AR40 = [2]SalmonProps!$G$2:$G$10001),0), 19))</f>
        <v>NA</v>
      </c>
      <c r="P40" s="165" t="str" cm="1">
        <f t="array" ref="P40">IF(ISBLANK($AQ40), "", INDEX([2]SalmonProps!$A$2:$AA$10001,MATCH(1,($A40=[2]SalmonProps!$A$2:$A$10001)*(2=[2]SalmonProps!$C$2:$C$10001)*(1=[2]SalmonProps!$D$2:$D$10001)*("A2" = [2]SalmonProps!$B$2:$B$10001)*($AP40 = [2]SalmonProps!$F$2:$F$10001) *($AR40 = [2]SalmonProps!$G$2:$G$10001),0), 19))</f>
        <v>NA</v>
      </c>
      <c r="Q40" s="168" t="str" cm="1">
        <f t="array" ref="Q40">IF(ISBLANK($AQ40), "", INDEX([2]SalmonProps!$A$2:$AA$10001,MATCH(1,($A40=[2]SalmonProps!$A$2:$A$10001)*(3=[2]SalmonProps!$C$2:$C$10001)*(1=[2]SalmonProps!$D$2:$D$10001)*("A2" = [2]SalmonProps!$B$2:$B$10001)*($AP40 = [2]SalmonProps!$F$2:$F$10001) *($AR40 = [2]SalmonProps!$G$2:$G$10001),0), 19))</f>
        <v>NA</v>
      </c>
      <c r="R40" s="164" cm="1">
        <f t="array" ref="R40">IF(ISBLANK($AQ40), "", INDEX([2]SalmonProps!$A$2:$AA$10001,MATCH(1,($A40=[2]SalmonProps!$A$2:$A$10001)*(1=[2]SalmonProps!$C$2:$C$10001)*(1=[2]SalmonProps!$D$2:$D$10001)*("A1" = [2]SalmonProps!$B$2:$B$10001)*($AP40 = [2]SalmonProps!$F$2:$F$10001) *($AR40 = [2]SalmonProps!$G$2:$G$10001),0), 18))</f>
        <v>0.122</v>
      </c>
      <c r="S40" s="165" cm="1">
        <f t="array" ref="S40">IF(ISBLANK($AQ40), "", INDEX([2]SalmonProps!$A$2:$AA$10001,MATCH(1,($A40=[2]SalmonProps!$A$2:$A$10001)*(1=[2]SalmonProps!$C$2:$C$10001)*(2=[2]SalmonProps!$D$2:$D$10001)*("A1" = [2]SalmonProps!$B$2:$B$10001)*($AP40 = [2]SalmonProps!$F$2:$F$10001) *($AR40 = [2]SalmonProps!$G$2:$G$10001),0), 18))</f>
        <v>6.6299999999999998E-2</v>
      </c>
      <c r="T40" s="165" cm="1">
        <f t="array" ref="T40">IF(ISBLANK($AQ40), "", INDEX([2]SalmonProps!$A$2:$AA$10001,MATCH(1,($A40=[2]SalmonProps!$A$2:$A$10001)*(1=[2]SalmonProps!$C$2:$C$10001)*("1&amp;2"=[2]SalmonProps!$D$2:$D$10001)*("A1" = [2]SalmonProps!$B$2:$B$10001)*($AP40 = [2]SalmonProps!$F$2:$F$10001) *($AR40 = [2]SalmonProps!$G$2:$G$10001),0), 18))</f>
        <v>0.03</v>
      </c>
      <c r="U40" s="165" cm="1">
        <f t="array" ref="U40">IF(ISBLANK($AQ40), "", INDEX([2]SalmonProps!$A$2:$AA$10001,MATCH(1,($A40=[2]SalmonProps!$A$2:$A$10001)*(2=[2]SalmonProps!$C$2:$C$10001)*(3=[2]SalmonProps!$D$2:$D$10001)*("A1" = [2]SalmonProps!$B$2:$B$10001)*($AP40 = [2]SalmonProps!$F$2:$F$10001) *($AR40 = [2]SalmonProps!$G$2:$G$10001),0), 18))</f>
        <v>0.12520000000000001</v>
      </c>
      <c r="V40" s="181" cm="1">
        <f t="array" ref="V40">IF(ISBLANK($AQ40), "", INDEX([2]SalmonProps!$A$2:$AA$10001,MATCH(1,($A40=[2]SalmonProps!$A$2:$A$10001)*(3=[2]SalmonProps!$C$2:$C$10001)*(3=[2]SalmonProps!$D$2:$D$10001)*("A1" = [2]SalmonProps!$B$2:$B$10001)*($AP40 = [2]SalmonProps!$F$2:$F$10001) *($AR40 = [2]SalmonProps!$G$2:$G$10001),0), 18))</f>
        <v>0.40839999999999999</v>
      </c>
      <c r="W40" s="180" cm="1">
        <f t="array" ref="W40">IF(ISBLANK($AQ40), "", INDEX([2]SalmonProps!$A$2:$AA$10001,MATCH(1,($A40=[2]SalmonProps!$A$2:$A$10001)*(1=[2]SalmonProps!$C$2:$C$10001)*(1=[2]SalmonProps!$D$2:$D$10001)*("A2" = [2]SalmonProps!$B$2:$B$10001)*($AP40 = [2]SalmonProps!$F$2:$F$10001) *($AR40 = [2]SalmonProps!$G$2:$G$10001),0), 18))</f>
        <v>6.6400000000000001E-2</v>
      </c>
      <c r="X40" s="165" cm="1">
        <f t="array" ref="X40">IF(ISBLANK($AQ40), "", INDEX([2]SalmonProps!$A$2:$AA$10001,MATCH(1,($A40=[2]SalmonProps!$A$2:$A$10001)*(2=[2]SalmonProps!$C$2:$C$10001)*(1=[2]SalmonProps!$D$2:$D$10001)*("A2" = [2]SalmonProps!$B$2:$B$10001)*($AP40 = [2]SalmonProps!$F$2:$F$10001) *($AR40 = [2]SalmonProps!$G$2:$G$10001),0), 18))</f>
        <v>0.1031</v>
      </c>
      <c r="Y40" s="168" cm="1">
        <f t="array" ref="Y40">IF(ISBLANK($AQ40), "", INDEX([2]SalmonProps!$A$2:$AA$10001,MATCH(1,($A40=[2]SalmonProps!$A$2:$A$10001)*(3=[2]SalmonProps!$C$2:$C$10001)*(1=[2]SalmonProps!$D$2:$D$10001)*("A2" = [2]SalmonProps!$B$2:$B$10001)*($AP40 = [2]SalmonProps!$F$2:$F$10001) *($AR40 = [2]SalmonProps!$G$2:$G$10001),0), 18))</f>
        <v>0.45200000000000001</v>
      </c>
      <c r="Z40" s="164" cm="1">
        <f t="array" ref="Z40">IF(ISBLANK($AQ40), "", INDEX([2]SalmonProps!$A$2:$AA$10001,MATCH(1,($A40=[2]SalmonProps!$A$2:$A$10001)*(1=[2]SalmonProps!$C$2:$C$10001)*(1=[2]SalmonProps!$D$2:$D$10001)*("A1" = [2]SalmonProps!$B$2:$B$10001)*($AP40 = [2]SalmonProps!$F$2:$F$10001) *($AR40 = [2]SalmonProps!$G$2:$G$10001),0), 15))</f>
        <v>0.13300000000000001</v>
      </c>
      <c r="AA40" s="165" cm="1">
        <f t="array" ref="AA40">IF(ISBLANK($AQ40), "", INDEX([2]SalmonProps!$A$2:$AA$10001,MATCH(1,($A40=[2]SalmonProps!$A$2:$A$10001)*(1=[2]SalmonProps!$C$2:$C$10001)*(2=[2]SalmonProps!$D$2:$D$10001)*("A1" = [2]SalmonProps!$B$2:$B$10001)*($AP40 = [2]SalmonProps!$F$2:$F$10001) *($AR40 = [2]SalmonProps!$G$2:$G$10001),0), 15))</f>
        <v>0.1313</v>
      </c>
      <c r="AB40" s="165" cm="1">
        <f t="array" ref="AB40">IF(ISBLANK($AQ40), "", INDEX([2]SalmonProps!$A$2:$AA$10001,MATCH(1,($A40=[2]SalmonProps!$A$2:$A$10001)*(1=[2]SalmonProps!$C$2:$C$10001)*("1&amp;2"=[2]SalmonProps!$D$2:$D$10001)*("A1" = [2]SalmonProps!$B$2:$B$10001)*($AP40 = [2]SalmonProps!$F$2:$F$10001) *($AR40 = [2]SalmonProps!$G$2:$G$10001),0), 15))</f>
        <v>7.85E-2</v>
      </c>
      <c r="AC40" s="165" cm="1">
        <f t="array" ref="AC40">IF(ISBLANK($AQ40), "", INDEX([2]SalmonProps!$A$2:$AA$10001,MATCH(1,($A40=[2]SalmonProps!$A$2:$A$10001)*(2=[2]SalmonProps!$C$2:$C$10001)*(3=[2]SalmonProps!$D$2:$D$10001)*("A1" = [2]SalmonProps!$B$2:$B$10001)*($AP40 = [2]SalmonProps!$F$2:$F$10001) *($AR40 = [2]SalmonProps!$G$2:$G$10001),0), 15))</f>
        <v>0.3952</v>
      </c>
      <c r="AD40" s="181" cm="1">
        <f t="array" ref="AD40">IF(ISBLANK($AQ40), "", INDEX([2]SalmonProps!$A$2:$AA$10001,MATCH(1,($A40=[2]SalmonProps!$A$2:$A$10001)*(3=[2]SalmonProps!$C$2:$C$10001)*(3=[2]SalmonProps!$D$2:$D$10001)*("A1" = [2]SalmonProps!$B$2:$B$10001)*($AP40 = [2]SalmonProps!$F$2:$F$10001) *($AR40 = [2]SalmonProps!$G$2:$G$10001),0), 15))</f>
        <v>0.80900000000000005</v>
      </c>
      <c r="AE40" s="166" cm="1">
        <f t="array" ref="AE40">IF(ISBLANK($AQ40), "", INDEX([2]SalmonProps!$A$2:$AA$10001,MATCH(1,($A40=[2]SalmonProps!$A$2:$A$10001)*(1=[2]SalmonProps!$C$2:$C$10001)*(1=[2]SalmonProps!$D$2:$D$10001)*("A2" = [2]SalmonProps!$B$2:$B$10001)*($AP40 = [2]SalmonProps!$F$2:$F$10001) *($AR40 = [2]SalmonProps!$G$2:$G$10001),0), 15))</f>
        <v>8.5599999999999996E-2</v>
      </c>
      <c r="AF40" s="166" cm="1">
        <f t="array" ref="AF40">IF(ISBLANK($AQ40), "", INDEX([2]SalmonProps!$A$2:$AA$10001,MATCH(1,($A40=[2]SalmonProps!$A$2:$A$10001)*(2=[2]SalmonProps!$C$2:$C$10001)*(1=[2]SalmonProps!$D$2:$D$10001)*("A2" = [2]SalmonProps!$B$2:$B$10001)*($AP40 = [2]SalmonProps!$F$2:$F$10001) *($AR40 = [2]SalmonProps!$G$2:$G$10001),0), 15))</f>
        <v>0.1721</v>
      </c>
      <c r="AG40" s="167" cm="1">
        <f t="array" ref="AG40">IF(ISBLANK($AQ40), "", INDEX([2]SalmonProps!$A$2:$AA$10001,MATCH(1,($A40=[2]SalmonProps!$A$2:$A$10001)*(3=[2]SalmonProps!$C$2:$C$10001)*(1=[2]SalmonProps!$D$2:$D$10001)*("A2" = [2]SalmonProps!$B$2:$B$10001)*($AP40 = [2]SalmonProps!$F$2:$F$10001) *($AR40 = [2]SalmonProps!$G$2:$G$10001),0), 15))</f>
        <v>0.63219999999999998</v>
      </c>
      <c r="AH40" s="173" cm="1">
        <f t="array" ref="AH40">IF(ISBLANK($AQ40), "", INDEX([2]SalmonProps!$A$2:$AA$10001,MATCH(1,($A40=[2]SalmonProps!$A$2:$A$10001)*($AP40 = [2]SalmonProps!$F$2:$F$10001) *($AR40 = [2]SalmonProps!$G$2:$G$10001),0), 24))</f>
        <v>52.4</v>
      </c>
      <c r="AI40" s="183" cm="1">
        <f t="array" ref="AI40">IF(ISBLANK($AQ40), "", INDEX([2]SalmonProps!$A$2:$AA$10001,MATCH(1,($A40=[2]SalmonProps!$A$2:$A$10001)*($AP40 = [2]SalmonProps!$F$2:$F$10001) *($AR40 = [2]SalmonProps!$G$2:$G$10001),0), 25))</f>
        <v>6.8</v>
      </c>
      <c r="AJ40" s="174" cm="1">
        <f t="array" ref="AJ40">IF(ISBLANK($AQ40), "", INDEX([2]SalmonProps!$A$2:$AA$10001,MATCH(1,($A40=[2]SalmonProps!$A$2:$A$10001)*($AP40 = [2]SalmonProps!$F$2:$F$10001) *($AR40 = [2]SalmonProps!$G$2:$G$10001),0), 20))</f>
        <v>59.4</v>
      </c>
      <c r="AK40" s="183" cm="1">
        <f t="array" ref="AK40">IF(ISBLANK($AQ40), "", INDEX([2]SalmonProps!$A$2:$AA$10001,MATCH(1,($A40=[2]SalmonProps!$A$2:$A$10001)*($AP40 = [2]SalmonProps!$F$2:$F$10001) *($AR40 = [2]SalmonProps!$G$2:$G$10001),0), 21))</f>
        <v>4.8</v>
      </c>
      <c r="AL40" s="174" cm="1">
        <f t="array" ref="AL40">IF(ISBLANK($AQ40), "", INDEX([2]SalmonProps!$A$2:$AA$10001,MATCH(1,($A40=[2]SalmonProps!$A$2:$A$10001)*($AP40 = [2]SalmonProps!$F$2:$F$10001) *($AR40 = [2]SalmonProps!$G$2:$G$10001),0), 22))</f>
        <v>74.900000000000006</v>
      </c>
      <c r="AM40" s="183" cm="1">
        <f t="array" ref="AM40">IF(ISBLANK($AQ40), "", INDEX([2]SalmonProps!$A$2:$AA$10001,MATCH(1,($A40=[2]SalmonProps!$A$2:$A$10001)*($AP40 = [2]SalmonProps!$F$2:$F$10001) *($AR40 = [2]SalmonProps!$G$2:$G$10001),0), 23))</f>
        <v>7.6</v>
      </c>
      <c r="AN40" s="174" t="str" cm="1">
        <f t="array" ref="AN40">IF(ISBLANK($AQ40), "", INDEX([2]SalmonProps!$A$2:$AA$10001,MATCH(1,($A40=[2]SalmonProps!$A$2:$A$10001)*($AP40 = [2]SalmonProps!$F$2:$F$10001) *($AR40 = [2]SalmonProps!$G$2:$G$10001),0), 26))</f>
        <v>NA</v>
      </c>
      <c r="AO40" s="175" t="str" cm="1">
        <f t="array" ref="AO40">IF(ISBLANK($AQ40), "", INDEX([2]SalmonProps!$A$2:$AA$10001,MATCH(1,($A40=[2]SalmonProps!$A$2:$A$10001)*($AP40 = [2]SalmonProps!$F$2:$F$10001) *($AR40 = [2]SalmonProps!$G$2:$G$10001),0), 27))</f>
        <v>NA</v>
      </c>
      <c r="AP40" s="112">
        <v>4</v>
      </c>
      <c r="AQ40" s="112" t="s">
        <v>133</v>
      </c>
      <c r="AR40" s="112" t="str">
        <f t="shared" si="1"/>
        <v>Unweighted</v>
      </c>
    </row>
    <row r="41" spans="1:44" x14ac:dyDescent="0.3">
      <c r="A41" s="20">
        <f>'[1]Passage Estimates'!$A41</f>
        <v>45143</v>
      </c>
      <c r="B41" s="164" cm="1">
        <f t="array" ref="B41">IF(ISBLANK($AQ41), "", INDEX([2]SalmonProps!$A$2:$AA$10001,MATCH(1,($A41=[2]SalmonProps!$A$2:$A$10001)*(1=[2]SalmonProps!$C$2:$C$10001)*(1=[2]SalmonProps!$D$2:$D$10001)*("A1" = [2]SalmonProps!$B$2:$B$10001)*($AP41 = [2]SalmonProps!$F$2:$F$10001) *($AR41 = [2]SalmonProps!$G$2:$G$10001),0), 17))</f>
        <v>1.24E-2</v>
      </c>
      <c r="C41" s="165" cm="1">
        <f t="array" ref="C41">IF(ISBLANK($AQ41), "", INDEX([2]SalmonProps!$A$2:$AA$10001,MATCH(1,($A41=[2]SalmonProps!$A$2:$A$10001)*(1=[2]SalmonProps!$C$2:$C$10001)*(2=[2]SalmonProps!$D$2:$D$10001)*("A1" = [2]SalmonProps!$B$2:$B$10001)*($AP41 = [2]SalmonProps!$F$2:$F$10001) *($AR41 = [2]SalmonProps!$G$2:$G$10001),0), 17))</f>
        <v>7.7999999999999996E-3</v>
      </c>
      <c r="D41" s="165" cm="1">
        <f t="array" ref="D41">IF(ISBLANK($AQ41), "", INDEX([2]SalmonProps!$A$2:$AA$10001,MATCH(1,($A41=[2]SalmonProps!$A$2:$A$10001)*(1=[2]SalmonProps!$C$2:$C$10001)*("1&amp;2"=[2]SalmonProps!$D$2:$D$10001)*("A1" = [2]SalmonProps!$B$2:$B$10001)*($AP41 = [2]SalmonProps!$F$2:$F$10001) *($AR41 = [2]SalmonProps!$G$2:$G$10001),0), 17))</f>
        <v>9.4999999999999998E-3</v>
      </c>
      <c r="E41" s="181" cm="1">
        <f t="array" ref="E41">IF(ISBLANK($AQ41), "", INDEX([2]SalmonProps!$A$2:$AA$10001,MATCH(1,($A41=[2]SalmonProps!$A$2:$A$10001)*(2=[2]SalmonProps!$C$2:$C$10001)*(3=[2]SalmonProps!$D$2:$D$10001)*("A1" = [2]SalmonProps!$B$2:$B$10001)*($AP41 = [2]SalmonProps!$F$2:$F$10001) *($AR41 = [2]SalmonProps!$G$2:$G$10001),0), 17))</f>
        <v>0.1532</v>
      </c>
      <c r="F41" s="165" cm="1">
        <f t="array" ref="F41">IF(ISBLANK($AQ41), "", INDEX([2]SalmonProps!$A$2:$AA$10001,MATCH(1,($A41=[2]SalmonProps!$A$2:$A$10001)*(3=[2]SalmonProps!$C$2:$C$10001)*(3=[2]SalmonProps!$D$2:$D$10001)*("A1" = [2]SalmonProps!$B$2:$B$10001)*($AP41 = [2]SalmonProps!$F$2:$F$10001) *($AR41 = [2]SalmonProps!$G$2:$G$10001),0), 17))</f>
        <v>0.50290000000000001</v>
      </c>
      <c r="G41" s="165" cm="1">
        <f t="array" ref="G41">IF(ISBLANK($AQ41), "", INDEX([2]SalmonProps!$A$2:$AA$10001,MATCH(1,($A41=[2]SalmonProps!$A$2:$A$10001)*(1=[2]SalmonProps!$C$2:$C$10001)*(1=[2]SalmonProps!$D$2:$D$10001)*("A2" = [2]SalmonProps!$B$2:$B$10001)*($AP41 = [2]SalmonProps!$F$2:$F$10001) *($AR41 = [2]SalmonProps!$G$2:$G$10001),0), 17))</f>
        <v>0</v>
      </c>
      <c r="H41" s="166" cm="1">
        <f t="array" ref="H41">IF(ISBLANK($AQ41), "", INDEX([2]SalmonProps!$A$2:$AA$10001,MATCH(1,($A41=[2]SalmonProps!$A$2:$A$10001)*(2=[2]SalmonProps!$C$2:$C$10001)*(1=[2]SalmonProps!$D$2:$D$10001)*("A2" = [2]SalmonProps!$B$2:$B$10001)*($AP41 = [2]SalmonProps!$F$2:$F$10001) *($AR41 = [2]SalmonProps!$G$2:$G$10001),0), 17))</f>
        <v>4.8500000000000001E-2</v>
      </c>
      <c r="I41" s="167" cm="1">
        <f t="array" ref="I41">IF(ISBLANK($AQ41), "", INDEX([2]SalmonProps!$A$2:$AA$10001,MATCH(1,($A41=[2]SalmonProps!$A$2:$A$10001)*(3=[2]SalmonProps!$C$2:$C$10001)*(1=[2]SalmonProps!$D$2:$D$10001)*("A2" = [2]SalmonProps!$B$2:$B$10001)*($AP41 = [2]SalmonProps!$F$2:$F$10001) *($AR41 = [2]SalmonProps!$G$2:$G$10001),0), 17))</f>
        <v>0.1958</v>
      </c>
      <c r="J41" s="164" t="str" cm="1">
        <f t="array" ref="J41">IF(ISBLANK($AQ41), "", INDEX([2]SalmonProps!$A$2:$AA$10001,MATCH(1,($A41=[2]SalmonProps!$A$2:$A$10001)*(1=[2]SalmonProps!$C$2:$C$10001)*(1=[2]SalmonProps!$D$2:$D$10001)*("A1" = [2]SalmonProps!$B$2:$B$10001)*($AP41 = [2]SalmonProps!$F$2:$F$10001) *($AR41 = [2]SalmonProps!$G$2:$G$10001),0), 19))</f>
        <v>NA</v>
      </c>
      <c r="K41" s="165" t="str" cm="1">
        <f t="array" ref="K41">IF(ISBLANK($AQ41), "", INDEX([2]SalmonProps!$A$2:$AA$10001,MATCH(1,($A41=[2]SalmonProps!$A$2:$A$10001)*(1=[2]SalmonProps!$C$2:$C$10001)*(2=[2]SalmonProps!$D$2:$D$10001)*("A1" = [2]SalmonProps!$B$2:$B$10001)*($AP41 = [2]SalmonProps!$F$2:$F$10001) *($AR41 = [2]SalmonProps!$G$2:$G$10001),0), 19))</f>
        <v>NA</v>
      </c>
      <c r="L41" s="165" t="str" cm="1">
        <f t="array" ref="L41">IF(ISBLANK($AQ41), "", INDEX([2]SalmonProps!$A$2:$AA$10001,MATCH(1,($A41=[2]SalmonProps!$A$2:$A$10001)*(1=[2]SalmonProps!$C$2:$C$10001)*("1&amp;2"=[2]SalmonProps!$D$2:$D$10001)*("A1" = [2]SalmonProps!$B$2:$B$10001)*($AP41 = [2]SalmonProps!$F$2:$F$10001) *($AR41 = [2]SalmonProps!$G$2:$G$10001),0), 19))</f>
        <v>NA</v>
      </c>
      <c r="M41" s="165" t="str" cm="1">
        <f t="array" ref="M41">IF(ISBLANK($AQ41), "", INDEX([2]SalmonProps!$A$2:$AA$10001,MATCH(1,($A41=[2]SalmonProps!$A$2:$A$10001)*(2=[2]SalmonProps!$C$2:$C$10001)*(3=[2]SalmonProps!$D$2:$D$10001)*("A1" = [2]SalmonProps!$B$2:$B$10001)*($AP41 = [2]SalmonProps!$F$2:$F$10001) *($AR41 = [2]SalmonProps!$G$2:$G$10001),0), 19))</f>
        <v>NA</v>
      </c>
      <c r="N41" s="181" t="str" cm="1">
        <f t="array" ref="N41">IF(ISBLANK($AQ41), "", INDEX([2]SalmonProps!$A$2:$AA$10001,MATCH(1,($A41=[2]SalmonProps!$A$2:$A$10001)*(3=[2]SalmonProps!$C$2:$C$10001)*(3=[2]SalmonProps!$D$2:$D$10001)*("A1" = [2]SalmonProps!$B$2:$B$10001)*($AP41 = [2]SalmonProps!$F$2:$F$10001) *($AR41 = [2]SalmonProps!$G$2:$G$10001),0), 19))</f>
        <v>NA</v>
      </c>
      <c r="O41" s="165" t="str" cm="1">
        <f t="array" ref="O41">IF(ISBLANK($AQ41), "", INDEX([2]SalmonProps!$A$2:$AA$10001,MATCH(1,($A41=[2]SalmonProps!$A$2:$A$10001)*(1=[2]SalmonProps!$C$2:$C$10001)*(1=[2]SalmonProps!$D$2:$D$10001)*("A2" = [2]SalmonProps!$B$2:$B$10001)*($AP41 = [2]SalmonProps!$F$2:$F$10001) *($AR41 = [2]SalmonProps!$G$2:$G$10001),0), 19))</f>
        <v>NA</v>
      </c>
      <c r="P41" s="165" t="str" cm="1">
        <f t="array" ref="P41">IF(ISBLANK($AQ41), "", INDEX([2]SalmonProps!$A$2:$AA$10001,MATCH(1,($A41=[2]SalmonProps!$A$2:$A$10001)*(2=[2]SalmonProps!$C$2:$C$10001)*(1=[2]SalmonProps!$D$2:$D$10001)*("A2" = [2]SalmonProps!$B$2:$B$10001)*($AP41 = [2]SalmonProps!$F$2:$F$10001) *($AR41 = [2]SalmonProps!$G$2:$G$10001),0), 19))</f>
        <v>NA</v>
      </c>
      <c r="Q41" s="168" t="str" cm="1">
        <f t="array" ref="Q41">IF(ISBLANK($AQ41), "", INDEX([2]SalmonProps!$A$2:$AA$10001,MATCH(1,($A41=[2]SalmonProps!$A$2:$A$10001)*(3=[2]SalmonProps!$C$2:$C$10001)*(1=[2]SalmonProps!$D$2:$D$10001)*("A2" = [2]SalmonProps!$B$2:$B$10001)*($AP41 = [2]SalmonProps!$F$2:$F$10001) *($AR41 = [2]SalmonProps!$G$2:$G$10001),0), 19))</f>
        <v>NA</v>
      </c>
      <c r="R41" s="164" cm="1">
        <f t="array" ref="R41">IF(ISBLANK($AQ41), "", INDEX([2]SalmonProps!$A$2:$AA$10001,MATCH(1,($A41=[2]SalmonProps!$A$2:$A$10001)*(1=[2]SalmonProps!$C$2:$C$10001)*(1=[2]SalmonProps!$D$2:$D$10001)*("A1" = [2]SalmonProps!$B$2:$B$10001)*($AP41 = [2]SalmonProps!$F$2:$F$10001) *($AR41 = [2]SalmonProps!$G$2:$G$10001),0), 18))</f>
        <v>7.0199999999999999E-2</v>
      </c>
      <c r="S41" s="165" cm="1">
        <f t="array" ref="S41">IF(ISBLANK($AQ41), "", INDEX([2]SalmonProps!$A$2:$AA$10001,MATCH(1,($A41=[2]SalmonProps!$A$2:$A$10001)*(1=[2]SalmonProps!$C$2:$C$10001)*(2=[2]SalmonProps!$D$2:$D$10001)*("A1" = [2]SalmonProps!$B$2:$B$10001)*($AP41 = [2]SalmonProps!$F$2:$F$10001) *($AR41 = [2]SalmonProps!$G$2:$G$10001),0), 18))</f>
        <v>0.1182</v>
      </c>
      <c r="T41" s="165" cm="1">
        <f t="array" ref="T41">IF(ISBLANK($AQ41), "", INDEX([2]SalmonProps!$A$2:$AA$10001,MATCH(1,($A41=[2]SalmonProps!$A$2:$A$10001)*(1=[2]SalmonProps!$C$2:$C$10001)*("1&amp;2"=[2]SalmonProps!$D$2:$D$10001)*("A1" = [2]SalmonProps!$B$2:$B$10001)*($AP41 = [2]SalmonProps!$F$2:$F$10001) *($AR41 = [2]SalmonProps!$G$2:$G$10001),0), 18))</f>
        <v>0.11700000000000001</v>
      </c>
      <c r="U41" s="165" cm="1">
        <f t="array" ref="U41">IF(ISBLANK($AQ41), "", INDEX([2]SalmonProps!$A$2:$AA$10001,MATCH(1,($A41=[2]SalmonProps!$A$2:$A$10001)*(2=[2]SalmonProps!$C$2:$C$10001)*(3=[2]SalmonProps!$D$2:$D$10001)*("A1" = [2]SalmonProps!$B$2:$B$10001)*($AP41 = [2]SalmonProps!$F$2:$F$10001) *($AR41 = [2]SalmonProps!$G$2:$G$10001),0), 18))</f>
        <v>0.24740000000000001</v>
      </c>
      <c r="V41" s="181" cm="1">
        <f t="array" ref="V41">IF(ISBLANK($AQ41), "", INDEX([2]SalmonProps!$A$2:$AA$10001,MATCH(1,($A41=[2]SalmonProps!$A$2:$A$10001)*(3=[2]SalmonProps!$C$2:$C$10001)*(3=[2]SalmonProps!$D$2:$D$10001)*("A1" = [2]SalmonProps!$B$2:$B$10001)*($AP41 = [2]SalmonProps!$F$2:$F$10001) *($AR41 = [2]SalmonProps!$G$2:$G$10001),0), 18))</f>
        <v>0.32669999999999999</v>
      </c>
      <c r="W41" s="180" cm="1">
        <f t="array" ref="W41">IF(ISBLANK($AQ41), "", INDEX([2]SalmonProps!$A$2:$AA$10001,MATCH(1,($A41=[2]SalmonProps!$A$2:$A$10001)*(1=[2]SalmonProps!$C$2:$C$10001)*(1=[2]SalmonProps!$D$2:$D$10001)*("A2" = [2]SalmonProps!$B$2:$B$10001)*($AP41 = [2]SalmonProps!$F$2:$F$10001) *($AR41 = [2]SalmonProps!$G$2:$G$10001),0), 18))</f>
        <v>7.6100000000000001E-2</v>
      </c>
      <c r="X41" s="165" cm="1">
        <f t="array" ref="X41">IF(ISBLANK($AQ41), "", INDEX([2]SalmonProps!$A$2:$AA$10001,MATCH(1,($A41=[2]SalmonProps!$A$2:$A$10001)*(2=[2]SalmonProps!$C$2:$C$10001)*(1=[2]SalmonProps!$D$2:$D$10001)*("A2" = [2]SalmonProps!$B$2:$B$10001)*($AP41 = [2]SalmonProps!$F$2:$F$10001) *($AR41 = [2]SalmonProps!$G$2:$G$10001),0), 18))</f>
        <v>2.9899999999999999E-2</v>
      </c>
      <c r="Y41" s="168" cm="1">
        <f t="array" ref="Y41">IF(ISBLANK($AQ41), "", INDEX([2]SalmonProps!$A$2:$AA$10001,MATCH(1,($A41=[2]SalmonProps!$A$2:$A$10001)*(3=[2]SalmonProps!$C$2:$C$10001)*(1=[2]SalmonProps!$D$2:$D$10001)*("A2" = [2]SalmonProps!$B$2:$B$10001)*($AP41 = [2]SalmonProps!$F$2:$F$10001) *($AR41 = [2]SalmonProps!$G$2:$G$10001),0), 18))</f>
        <v>0.3972</v>
      </c>
      <c r="Z41" s="164" cm="1">
        <f t="array" ref="Z41">IF(ISBLANK($AQ41), "", INDEX([2]SalmonProps!$A$2:$AA$10001,MATCH(1,($A41=[2]SalmonProps!$A$2:$A$10001)*(1=[2]SalmonProps!$C$2:$C$10001)*(1=[2]SalmonProps!$D$2:$D$10001)*("A1" = [2]SalmonProps!$B$2:$B$10001)*($AP41 = [2]SalmonProps!$F$2:$F$10001) *($AR41 = [2]SalmonProps!$G$2:$G$10001),0), 15))</f>
        <v>0.25490000000000002</v>
      </c>
      <c r="AA41" s="165" cm="1">
        <f t="array" ref="AA41">IF(ISBLANK($AQ41), "", INDEX([2]SalmonProps!$A$2:$AA$10001,MATCH(1,($A41=[2]SalmonProps!$A$2:$A$10001)*(1=[2]SalmonProps!$C$2:$C$10001)*(2=[2]SalmonProps!$D$2:$D$10001)*("A1" = [2]SalmonProps!$B$2:$B$10001)*($AP41 = [2]SalmonProps!$F$2:$F$10001) *($AR41 = [2]SalmonProps!$G$2:$G$10001),0), 15))</f>
        <v>0.25319999999999998</v>
      </c>
      <c r="AB41" s="165" cm="1">
        <f t="array" ref="AB41">IF(ISBLANK($AQ41), "", INDEX([2]SalmonProps!$A$2:$AA$10001,MATCH(1,($A41=[2]SalmonProps!$A$2:$A$10001)*(1=[2]SalmonProps!$C$2:$C$10001)*("1&amp;2"=[2]SalmonProps!$D$2:$D$10001)*("A1" = [2]SalmonProps!$B$2:$B$10001)*($AP41 = [2]SalmonProps!$F$2:$F$10001) *($AR41 = [2]SalmonProps!$G$2:$G$10001),0), 15))</f>
        <v>0.26300000000000001</v>
      </c>
      <c r="AC41" s="165" cm="1">
        <f t="array" ref="AC41">IF(ISBLANK($AQ41), "", INDEX([2]SalmonProps!$A$2:$AA$10001,MATCH(1,($A41=[2]SalmonProps!$A$2:$A$10001)*(2=[2]SalmonProps!$C$2:$C$10001)*(3=[2]SalmonProps!$D$2:$D$10001)*("A1" = [2]SalmonProps!$B$2:$B$10001)*($AP41 = [2]SalmonProps!$F$2:$F$10001) *($AR41 = [2]SalmonProps!$G$2:$G$10001),0), 15))</f>
        <v>0.6119</v>
      </c>
      <c r="AD41" s="181" cm="1">
        <f t="array" ref="AD41">IF(ISBLANK($AQ41), "", INDEX([2]SalmonProps!$A$2:$AA$10001,MATCH(1,($A41=[2]SalmonProps!$A$2:$A$10001)*(3=[2]SalmonProps!$C$2:$C$10001)*(3=[2]SalmonProps!$D$2:$D$10001)*("A1" = [2]SalmonProps!$B$2:$B$10001)*($AP41 = [2]SalmonProps!$F$2:$F$10001) *($AR41 = [2]SalmonProps!$G$2:$G$10001),0), 15))</f>
        <v>0.8296</v>
      </c>
      <c r="AE41" s="166" cm="1">
        <f t="array" ref="AE41">IF(ISBLANK($AQ41), "", INDEX([2]SalmonProps!$A$2:$AA$10001,MATCH(1,($A41=[2]SalmonProps!$A$2:$A$10001)*(1=[2]SalmonProps!$C$2:$C$10001)*(1=[2]SalmonProps!$D$2:$D$10001)*("A2" = [2]SalmonProps!$B$2:$B$10001)*($AP41 = [2]SalmonProps!$F$2:$F$10001) *($AR41 = [2]SalmonProps!$G$2:$G$10001),0), 15))</f>
        <v>9.9699999999999997E-2</v>
      </c>
      <c r="AF41" s="166" cm="1">
        <f t="array" ref="AF41">IF(ISBLANK($AQ41), "", INDEX([2]SalmonProps!$A$2:$AA$10001,MATCH(1,($A41=[2]SalmonProps!$A$2:$A$10001)*(2=[2]SalmonProps!$C$2:$C$10001)*(1=[2]SalmonProps!$D$2:$D$10001)*("A2" = [2]SalmonProps!$B$2:$B$10001)*($AP41 = [2]SalmonProps!$F$2:$F$10001) *($AR41 = [2]SalmonProps!$G$2:$G$10001),0), 15))</f>
        <v>0.16500000000000001</v>
      </c>
      <c r="AG41" s="167" cm="1">
        <f t="array" ref="AG41">IF(ISBLANK($AQ41), "", INDEX([2]SalmonProps!$A$2:$AA$10001,MATCH(1,($A41=[2]SalmonProps!$A$2:$A$10001)*(3=[2]SalmonProps!$C$2:$C$10001)*(1=[2]SalmonProps!$D$2:$D$10001)*("A2" = [2]SalmonProps!$B$2:$B$10001)*($AP41 = [2]SalmonProps!$F$2:$F$10001) *($AR41 = [2]SalmonProps!$G$2:$G$10001),0), 15))</f>
        <v>0.59299999999999997</v>
      </c>
      <c r="AH41" s="173" cm="1">
        <f t="array" ref="AH41">IF(ISBLANK($AQ41), "", INDEX([2]SalmonProps!$A$2:$AA$10001,MATCH(1,($A41=[2]SalmonProps!$A$2:$A$10001)*($AP41 = [2]SalmonProps!$F$2:$F$10001) *($AR41 = [2]SalmonProps!$G$2:$G$10001),0), 24))</f>
        <v>52.4</v>
      </c>
      <c r="AI41" s="183" cm="1">
        <f t="array" ref="AI41">IF(ISBLANK($AQ41), "", INDEX([2]SalmonProps!$A$2:$AA$10001,MATCH(1,($A41=[2]SalmonProps!$A$2:$A$10001)*($AP41 = [2]SalmonProps!$F$2:$F$10001) *($AR41 = [2]SalmonProps!$G$2:$G$10001),0), 25))</f>
        <v>6.8</v>
      </c>
      <c r="AJ41" s="174" cm="1">
        <f t="array" ref="AJ41">IF(ISBLANK($AQ41), "", INDEX([2]SalmonProps!$A$2:$AA$10001,MATCH(1,($A41=[2]SalmonProps!$A$2:$A$10001)*($AP41 = [2]SalmonProps!$F$2:$F$10001) *($AR41 = [2]SalmonProps!$G$2:$G$10001),0), 20))</f>
        <v>59.4</v>
      </c>
      <c r="AK41" s="183" cm="1">
        <f t="array" ref="AK41">IF(ISBLANK($AQ41), "", INDEX([2]SalmonProps!$A$2:$AA$10001,MATCH(1,($A41=[2]SalmonProps!$A$2:$A$10001)*($AP41 = [2]SalmonProps!$F$2:$F$10001) *($AR41 = [2]SalmonProps!$G$2:$G$10001),0), 21))</f>
        <v>4.8</v>
      </c>
      <c r="AL41" s="174" cm="1">
        <f t="array" ref="AL41">IF(ISBLANK($AQ41), "", INDEX([2]SalmonProps!$A$2:$AA$10001,MATCH(1,($A41=[2]SalmonProps!$A$2:$A$10001)*($AP41 = [2]SalmonProps!$F$2:$F$10001) *($AR41 = [2]SalmonProps!$G$2:$G$10001),0), 22))</f>
        <v>74.900000000000006</v>
      </c>
      <c r="AM41" s="183" cm="1">
        <f t="array" ref="AM41">IF(ISBLANK($AQ41), "", INDEX([2]SalmonProps!$A$2:$AA$10001,MATCH(1,($A41=[2]SalmonProps!$A$2:$A$10001)*($AP41 = [2]SalmonProps!$F$2:$F$10001) *($AR41 = [2]SalmonProps!$G$2:$G$10001),0), 23))</f>
        <v>7.6</v>
      </c>
      <c r="AN41" s="174" t="str" cm="1">
        <f t="array" ref="AN41">IF(ISBLANK($AQ41), "", INDEX([2]SalmonProps!$A$2:$AA$10001,MATCH(1,($A41=[2]SalmonProps!$A$2:$A$10001)*($AP41 = [2]SalmonProps!$F$2:$F$10001) *($AR41 = [2]SalmonProps!$G$2:$G$10001),0), 26))</f>
        <v>NA</v>
      </c>
      <c r="AO41" s="175" t="str" cm="1">
        <f t="array" ref="AO41">IF(ISBLANK($AQ41), "", INDEX([2]SalmonProps!$A$2:$AA$10001,MATCH(1,($A41=[2]SalmonProps!$A$2:$A$10001)*($AP41 = [2]SalmonProps!$F$2:$F$10001) *($AR41 = [2]SalmonProps!$G$2:$G$10001),0), 27))</f>
        <v>NA</v>
      </c>
      <c r="AP41" s="112">
        <v>4</v>
      </c>
      <c r="AQ41" s="112" t="s">
        <v>133</v>
      </c>
      <c r="AR41" s="112" t="str">
        <f t="shared" si="1"/>
        <v>Unweighted</v>
      </c>
    </row>
    <row r="42" spans="1:44" x14ac:dyDescent="0.3">
      <c r="A42" s="20">
        <f>'[1]Passage Estimates'!$A42</f>
        <v>45144</v>
      </c>
      <c r="B42" s="164" cm="1">
        <f t="array" ref="B42">IF(ISBLANK($AQ42), "", INDEX([2]SalmonProps!$A$2:$AA$10001,MATCH(1,($A42=[2]SalmonProps!$A$2:$A$10001)*(1=[2]SalmonProps!$C$2:$C$10001)*(1=[2]SalmonProps!$D$2:$D$10001)*("A1" = [2]SalmonProps!$B$2:$B$10001)*($AP42 = [2]SalmonProps!$F$2:$F$10001) *($AR42 = [2]SalmonProps!$G$2:$G$10001),0), 17))</f>
        <v>3.3500000000000002E-2</v>
      </c>
      <c r="C42" s="165" cm="1">
        <f t="array" ref="C42">IF(ISBLANK($AQ42), "", INDEX([2]SalmonProps!$A$2:$AA$10001,MATCH(1,($A42=[2]SalmonProps!$A$2:$A$10001)*(1=[2]SalmonProps!$C$2:$C$10001)*(2=[2]SalmonProps!$D$2:$D$10001)*("A1" = [2]SalmonProps!$B$2:$B$10001)*($AP42 = [2]SalmonProps!$F$2:$F$10001) *($AR42 = [2]SalmonProps!$G$2:$G$10001),0), 17))</f>
        <v>5.3499999999999999E-2</v>
      </c>
      <c r="D42" s="165" cm="1">
        <f t="array" ref="D42">IF(ISBLANK($AQ42), "", INDEX([2]SalmonProps!$A$2:$AA$10001,MATCH(1,($A42=[2]SalmonProps!$A$2:$A$10001)*(1=[2]SalmonProps!$C$2:$C$10001)*("1&amp;2"=[2]SalmonProps!$D$2:$D$10001)*("A1" = [2]SalmonProps!$B$2:$B$10001)*($AP42 = [2]SalmonProps!$F$2:$F$10001) *($AR42 = [2]SalmonProps!$G$2:$G$10001),0), 17))</f>
        <v>4.36E-2</v>
      </c>
      <c r="E42" s="181" cm="1">
        <f t="array" ref="E42">IF(ISBLANK($AQ42), "", INDEX([2]SalmonProps!$A$2:$AA$10001,MATCH(1,($A42=[2]SalmonProps!$A$2:$A$10001)*(2=[2]SalmonProps!$C$2:$C$10001)*(3=[2]SalmonProps!$D$2:$D$10001)*("A1" = [2]SalmonProps!$B$2:$B$10001)*($AP42 = [2]SalmonProps!$F$2:$F$10001) *($AR42 = [2]SalmonProps!$G$2:$G$10001),0), 17))</f>
        <v>0.27389999999999998</v>
      </c>
      <c r="F42" s="165" cm="1">
        <f t="array" ref="F42">IF(ISBLANK($AQ42), "", INDEX([2]SalmonProps!$A$2:$AA$10001,MATCH(1,($A42=[2]SalmonProps!$A$2:$A$10001)*(3=[2]SalmonProps!$C$2:$C$10001)*(3=[2]SalmonProps!$D$2:$D$10001)*("A1" = [2]SalmonProps!$B$2:$B$10001)*($AP42 = [2]SalmonProps!$F$2:$F$10001) *($AR42 = [2]SalmonProps!$G$2:$G$10001),0), 17))</f>
        <v>0.69589999999999996</v>
      </c>
      <c r="G42" s="165" cm="1">
        <f t="array" ref="G42">IF(ISBLANK($AQ42), "", INDEX([2]SalmonProps!$A$2:$AA$10001,MATCH(1,($A42=[2]SalmonProps!$A$2:$A$10001)*(1=[2]SalmonProps!$C$2:$C$10001)*(1=[2]SalmonProps!$D$2:$D$10001)*("A2" = [2]SalmonProps!$B$2:$B$10001)*($AP42 = [2]SalmonProps!$F$2:$F$10001) *($AR42 = [2]SalmonProps!$G$2:$G$10001),0), 17))</f>
        <v>0</v>
      </c>
      <c r="H42" s="166" cm="1">
        <f t="array" ref="H42">IF(ISBLANK($AQ42), "", INDEX([2]SalmonProps!$A$2:$AA$10001,MATCH(1,($A42=[2]SalmonProps!$A$2:$A$10001)*(2=[2]SalmonProps!$C$2:$C$10001)*(1=[2]SalmonProps!$D$2:$D$10001)*("A2" = [2]SalmonProps!$B$2:$B$10001)*($AP42 = [2]SalmonProps!$F$2:$F$10001) *($AR42 = [2]SalmonProps!$G$2:$G$10001),0), 17))</f>
        <v>4.8500000000000001E-2</v>
      </c>
      <c r="I42" s="167" cm="1">
        <f t="array" ref="I42">IF(ISBLANK($AQ42), "", INDEX([2]SalmonProps!$A$2:$AA$10001,MATCH(1,($A42=[2]SalmonProps!$A$2:$A$10001)*(3=[2]SalmonProps!$C$2:$C$10001)*(1=[2]SalmonProps!$D$2:$D$10001)*("A2" = [2]SalmonProps!$B$2:$B$10001)*($AP42 = [2]SalmonProps!$F$2:$F$10001) *($AR42 = [2]SalmonProps!$G$2:$G$10001),0), 17))</f>
        <v>0.1958</v>
      </c>
      <c r="J42" s="164" t="str" cm="1">
        <f t="array" ref="J42">IF(ISBLANK($AQ42), "", INDEX([2]SalmonProps!$A$2:$AA$10001,MATCH(1,($A42=[2]SalmonProps!$A$2:$A$10001)*(1=[2]SalmonProps!$C$2:$C$10001)*(1=[2]SalmonProps!$D$2:$D$10001)*("A1" = [2]SalmonProps!$B$2:$B$10001)*($AP42 = [2]SalmonProps!$F$2:$F$10001) *($AR42 = [2]SalmonProps!$G$2:$G$10001),0), 19))</f>
        <v>NA</v>
      </c>
      <c r="K42" s="165" t="str" cm="1">
        <f t="array" ref="K42">IF(ISBLANK($AQ42), "", INDEX([2]SalmonProps!$A$2:$AA$10001,MATCH(1,($A42=[2]SalmonProps!$A$2:$A$10001)*(1=[2]SalmonProps!$C$2:$C$10001)*(2=[2]SalmonProps!$D$2:$D$10001)*("A1" = [2]SalmonProps!$B$2:$B$10001)*($AP42 = [2]SalmonProps!$F$2:$F$10001) *($AR42 = [2]SalmonProps!$G$2:$G$10001),0), 19))</f>
        <v>NA</v>
      </c>
      <c r="L42" s="165" t="str" cm="1">
        <f t="array" ref="L42">IF(ISBLANK($AQ42), "", INDEX([2]SalmonProps!$A$2:$AA$10001,MATCH(1,($A42=[2]SalmonProps!$A$2:$A$10001)*(1=[2]SalmonProps!$C$2:$C$10001)*("1&amp;2"=[2]SalmonProps!$D$2:$D$10001)*("A1" = [2]SalmonProps!$B$2:$B$10001)*($AP42 = [2]SalmonProps!$F$2:$F$10001) *($AR42 = [2]SalmonProps!$G$2:$G$10001),0), 19))</f>
        <v>NA</v>
      </c>
      <c r="M42" s="165" t="str" cm="1">
        <f t="array" ref="M42">IF(ISBLANK($AQ42), "", INDEX([2]SalmonProps!$A$2:$AA$10001,MATCH(1,($A42=[2]SalmonProps!$A$2:$A$10001)*(2=[2]SalmonProps!$C$2:$C$10001)*(3=[2]SalmonProps!$D$2:$D$10001)*("A1" = [2]SalmonProps!$B$2:$B$10001)*($AP42 = [2]SalmonProps!$F$2:$F$10001) *($AR42 = [2]SalmonProps!$G$2:$G$10001),0), 19))</f>
        <v>NA</v>
      </c>
      <c r="N42" s="181" t="str" cm="1">
        <f t="array" ref="N42">IF(ISBLANK($AQ42), "", INDEX([2]SalmonProps!$A$2:$AA$10001,MATCH(1,($A42=[2]SalmonProps!$A$2:$A$10001)*(3=[2]SalmonProps!$C$2:$C$10001)*(3=[2]SalmonProps!$D$2:$D$10001)*("A1" = [2]SalmonProps!$B$2:$B$10001)*($AP42 = [2]SalmonProps!$F$2:$F$10001) *($AR42 = [2]SalmonProps!$G$2:$G$10001),0), 19))</f>
        <v>NA</v>
      </c>
      <c r="O42" s="165" t="str" cm="1">
        <f t="array" ref="O42">IF(ISBLANK($AQ42), "", INDEX([2]SalmonProps!$A$2:$AA$10001,MATCH(1,($A42=[2]SalmonProps!$A$2:$A$10001)*(1=[2]SalmonProps!$C$2:$C$10001)*(1=[2]SalmonProps!$D$2:$D$10001)*("A2" = [2]SalmonProps!$B$2:$B$10001)*($AP42 = [2]SalmonProps!$F$2:$F$10001) *($AR42 = [2]SalmonProps!$G$2:$G$10001),0), 19))</f>
        <v>NA</v>
      </c>
      <c r="P42" s="165" t="str" cm="1">
        <f t="array" ref="P42">IF(ISBLANK($AQ42), "", INDEX([2]SalmonProps!$A$2:$AA$10001,MATCH(1,($A42=[2]SalmonProps!$A$2:$A$10001)*(2=[2]SalmonProps!$C$2:$C$10001)*(1=[2]SalmonProps!$D$2:$D$10001)*("A2" = [2]SalmonProps!$B$2:$B$10001)*($AP42 = [2]SalmonProps!$F$2:$F$10001) *($AR42 = [2]SalmonProps!$G$2:$G$10001),0), 19))</f>
        <v>NA</v>
      </c>
      <c r="Q42" s="168" t="str" cm="1">
        <f t="array" ref="Q42">IF(ISBLANK($AQ42), "", INDEX([2]SalmonProps!$A$2:$AA$10001,MATCH(1,($A42=[2]SalmonProps!$A$2:$A$10001)*(3=[2]SalmonProps!$C$2:$C$10001)*(1=[2]SalmonProps!$D$2:$D$10001)*("A2" = [2]SalmonProps!$B$2:$B$10001)*($AP42 = [2]SalmonProps!$F$2:$F$10001) *($AR42 = [2]SalmonProps!$G$2:$G$10001),0), 19))</f>
        <v>NA</v>
      </c>
      <c r="R42" s="164" cm="1">
        <f t="array" ref="R42">IF(ISBLANK($AQ42), "", INDEX([2]SalmonProps!$A$2:$AA$10001,MATCH(1,($A42=[2]SalmonProps!$A$2:$A$10001)*(1=[2]SalmonProps!$C$2:$C$10001)*(1=[2]SalmonProps!$D$2:$D$10001)*("A1" = [2]SalmonProps!$B$2:$B$10001)*($AP42 = [2]SalmonProps!$F$2:$F$10001) *($AR42 = [2]SalmonProps!$G$2:$G$10001),0), 18))</f>
        <v>3.3300000000000003E-2</v>
      </c>
      <c r="S42" s="165" cm="1">
        <f t="array" ref="S42">IF(ISBLANK($AQ42), "", INDEX([2]SalmonProps!$A$2:$AA$10001,MATCH(1,($A42=[2]SalmonProps!$A$2:$A$10001)*(1=[2]SalmonProps!$C$2:$C$10001)*(2=[2]SalmonProps!$D$2:$D$10001)*("A1" = [2]SalmonProps!$B$2:$B$10001)*($AP42 = [2]SalmonProps!$F$2:$F$10001) *($AR42 = [2]SalmonProps!$G$2:$G$10001),0), 18))</f>
        <v>9.7799999999999998E-2</v>
      </c>
      <c r="T42" s="165" cm="1">
        <f t="array" ref="T42">IF(ISBLANK($AQ42), "", INDEX([2]SalmonProps!$A$2:$AA$10001,MATCH(1,($A42=[2]SalmonProps!$A$2:$A$10001)*(1=[2]SalmonProps!$C$2:$C$10001)*("1&amp;2"=[2]SalmonProps!$D$2:$D$10001)*("A1" = [2]SalmonProps!$B$2:$B$10001)*($AP42 = [2]SalmonProps!$F$2:$F$10001) *($AR42 = [2]SalmonProps!$G$2:$G$10001),0), 18))</f>
        <v>6.25E-2</v>
      </c>
      <c r="U42" s="165" cm="1">
        <f t="array" ref="U42">IF(ISBLANK($AQ42), "", INDEX([2]SalmonProps!$A$2:$AA$10001,MATCH(1,($A42=[2]SalmonProps!$A$2:$A$10001)*(2=[2]SalmonProps!$C$2:$C$10001)*(3=[2]SalmonProps!$D$2:$D$10001)*("A1" = [2]SalmonProps!$B$2:$B$10001)*($AP42 = [2]SalmonProps!$F$2:$F$10001) *($AR42 = [2]SalmonProps!$G$2:$G$10001),0), 18))</f>
        <v>1.89E-2</v>
      </c>
      <c r="V42" s="181" cm="1">
        <f t="array" ref="V42">IF(ISBLANK($AQ42), "", INDEX([2]SalmonProps!$A$2:$AA$10001,MATCH(1,($A42=[2]SalmonProps!$A$2:$A$10001)*(3=[2]SalmonProps!$C$2:$C$10001)*(3=[2]SalmonProps!$D$2:$D$10001)*("A1" = [2]SalmonProps!$B$2:$B$10001)*($AP42 = [2]SalmonProps!$F$2:$F$10001) *($AR42 = [2]SalmonProps!$G$2:$G$10001),0), 18))</f>
        <v>1.9599999999999999E-2</v>
      </c>
      <c r="W42" s="180" cm="1">
        <f t="array" ref="W42">IF(ISBLANK($AQ42), "", INDEX([2]SalmonProps!$A$2:$AA$10001,MATCH(1,($A42=[2]SalmonProps!$A$2:$A$10001)*(1=[2]SalmonProps!$C$2:$C$10001)*(1=[2]SalmonProps!$D$2:$D$10001)*("A2" = [2]SalmonProps!$B$2:$B$10001)*($AP42 = [2]SalmonProps!$F$2:$F$10001) *($AR42 = [2]SalmonProps!$G$2:$G$10001),0), 18))</f>
        <v>7.6100000000000001E-2</v>
      </c>
      <c r="X42" s="165" cm="1">
        <f t="array" ref="X42">IF(ISBLANK($AQ42), "", INDEX([2]SalmonProps!$A$2:$AA$10001,MATCH(1,($A42=[2]SalmonProps!$A$2:$A$10001)*(2=[2]SalmonProps!$C$2:$C$10001)*(1=[2]SalmonProps!$D$2:$D$10001)*("A2" = [2]SalmonProps!$B$2:$B$10001)*($AP42 = [2]SalmonProps!$F$2:$F$10001) *($AR42 = [2]SalmonProps!$G$2:$G$10001),0), 18))</f>
        <v>2.9899999999999999E-2</v>
      </c>
      <c r="Y42" s="168" cm="1">
        <f t="array" ref="Y42">IF(ISBLANK($AQ42), "", INDEX([2]SalmonProps!$A$2:$AA$10001,MATCH(1,($A42=[2]SalmonProps!$A$2:$A$10001)*(3=[2]SalmonProps!$C$2:$C$10001)*(1=[2]SalmonProps!$D$2:$D$10001)*("A2" = [2]SalmonProps!$B$2:$B$10001)*($AP42 = [2]SalmonProps!$F$2:$F$10001) *($AR42 = [2]SalmonProps!$G$2:$G$10001),0), 18))</f>
        <v>0.3972</v>
      </c>
      <c r="Z42" s="164" cm="1">
        <f t="array" ref="Z42">IF(ISBLANK($AQ42), "", INDEX([2]SalmonProps!$A$2:$AA$10001,MATCH(1,($A42=[2]SalmonProps!$A$2:$A$10001)*(1=[2]SalmonProps!$C$2:$C$10001)*(1=[2]SalmonProps!$D$2:$D$10001)*("A1" = [2]SalmonProps!$B$2:$B$10001)*($AP42 = [2]SalmonProps!$F$2:$F$10001) *($AR42 = [2]SalmonProps!$G$2:$G$10001),0), 15))</f>
        <v>0.26390000000000002</v>
      </c>
      <c r="AA42" s="165" cm="1">
        <f t="array" ref="AA42">IF(ISBLANK($AQ42), "", INDEX([2]SalmonProps!$A$2:$AA$10001,MATCH(1,($A42=[2]SalmonProps!$A$2:$A$10001)*(1=[2]SalmonProps!$C$2:$C$10001)*(2=[2]SalmonProps!$D$2:$D$10001)*("A1" = [2]SalmonProps!$B$2:$B$10001)*($AP42 = [2]SalmonProps!$F$2:$F$10001) *($AR42 = [2]SalmonProps!$G$2:$G$10001),0), 15))</f>
        <v>0.29509999999999997</v>
      </c>
      <c r="AB42" s="165" cm="1">
        <f t="array" ref="AB42">IF(ISBLANK($AQ42), "", INDEX([2]SalmonProps!$A$2:$AA$10001,MATCH(1,($A42=[2]SalmonProps!$A$2:$A$10001)*(1=[2]SalmonProps!$C$2:$C$10001)*("1&amp;2"=[2]SalmonProps!$D$2:$D$10001)*("A1" = [2]SalmonProps!$B$2:$B$10001)*($AP42 = [2]SalmonProps!$F$2:$F$10001) *($AR42 = [2]SalmonProps!$G$2:$G$10001),0), 15))</f>
        <v>0.27839999999999998</v>
      </c>
      <c r="AC42" s="165" cm="1">
        <f t="array" ref="AC42">IF(ISBLANK($AQ42), "", INDEX([2]SalmonProps!$A$2:$AA$10001,MATCH(1,($A42=[2]SalmonProps!$A$2:$A$10001)*(2=[2]SalmonProps!$C$2:$C$10001)*(3=[2]SalmonProps!$D$2:$D$10001)*("A1" = [2]SalmonProps!$B$2:$B$10001)*($AP42 = [2]SalmonProps!$F$2:$F$10001) *($AR42 = [2]SalmonProps!$G$2:$G$10001),0), 15))</f>
        <v>0.58160000000000001</v>
      </c>
      <c r="AD42" s="181" cm="1">
        <f t="array" ref="AD42">IF(ISBLANK($AQ42), "", INDEX([2]SalmonProps!$A$2:$AA$10001,MATCH(1,($A42=[2]SalmonProps!$A$2:$A$10001)*(3=[2]SalmonProps!$C$2:$C$10001)*(3=[2]SalmonProps!$D$2:$D$10001)*("A1" = [2]SalmonProps!$B$2:$B$10001)*($AP42 = [2]SalmonProps!$F$2:$F$10001) *($AR42 = [2]SalmonProps!$G$2:$G$10001),0), 15))</f>
        <v>0.81169999999999998</v>
      </c>
      <c r="AE42" s="166" cm="1">
        <f t="array" ref="AE42">IF(ISBLANK($AQ42), "", INDEX([2]SalmonProps!$A$2:$AA$10001,MATCH(1,($A42=[2]SalmonProps!$A$2:$A$10001)*(1=[2]SalmonProps!$C$2:$C$10001)*(1=[2]SalmonProps!$D$2:$D$10001)*("A2" = [2]SalmonProps!$B$2:$B$10001)*($AP42 = [2]SalmonProps!$F$2:$F$10001) *($AR42 = [2]SalmonProps!$G$2:$G$10001),0), 15))</f>
        <v>9.9699999999999997E-2</v>
      </c>
      <c r="AF42" s="166" cm="1">
        <f t="array" ref="AF42">IF(ISBLANK($AQ42), "", INDEX([2]SalmonProps!$A$2:$AA$10001,MATCH(1,($A42=[2]SalmonProps!$A$2:$A$10001)*(2=[2]SalmonProps!$C$2:$C$10001)*(1=[2]SalmonProps!$D$2:$D$10001)*("A2" = [2]SalmonProps!$B$2:$B$10001)*($AP42 = [2]SalmonProps!$F$2:$F$10001) *($AR42 = [2]SalmonProps!$G$2:$G$10001),0), 15))</f>
        <v>0.16500000000000001</v>
      </c>
      <c r="AG42" s="167" cm="1">
        <f t="array" ref="AG42">IF(ISBLANK($AQ42), "", INDEX([2]SalmonProps!$A$2:$AA$10001,MATCH(1,($A42=[2]SalmonProps!$A$2:$A$10001)*(3=[2]SalmonProps!$C$2:$C$10001)*(1=[2]SalmonProps!$D$2:$D$10001)*("A2" = [2]SalmonProps!$B$2:$B$10001)*($AP42 = [2]SalmonProps!$F$2:$F$10001) *($AR42 = [2]SalmonProps!$G$2:$G$10001),0), 15))</f>
        <v>0.59299999999999997</v>
      </c>
      <c r="AH42" s="173" cm="1">
        <f t="array" ref="AH42">IF(ISBLANK($AQ42), "", INDEX([2]SalmonProps!$A$2:$AA$10001,MATCH(1,($A42=[2]SalmonProps!$A$2:$A$10001)*($AP42 = [2]SalmonProps!$F$2:$F$10001) *($AR42 = [2]SalmonProps!$G$2:$G$10001),0), 24))</f>
        <v>52.4</v>
      </c>
      <c r="AI42" s="183" cm="1">
        <f t="array" ref="AI42">IF(ISBLANK($AQ42), "", INDEX([2]SalmonProps!$A$2:$AA$10001,MATCH(1,($A42=[2]SalmonProps!$A$2:$A$10001)*($AP42 = [2]SalmonProps!$F$2:$F$10001) *($AR42 = [2]SalmonProps!$G$2:$G$10001),0), 25))</f>
        <v>6.8</v>
      </c>
      <c r="AJ42" s="174" cm="1">
        <f t="array" ref="AJ42">IF(ISBLANK($AQ42), "", INDEX([2]SalmonProps!$A$2:$AA$10001,MATCH(1,($A42=[2]SalmonProps!$A$2:$A$10001)*($AP42 = [2]SalmonProps!$F$2:$F$10001) *($AR42 = [2]SalmonProps!$G$2:$G$10001),0), 20))</f>
        <v>59.4</v>
      </c>
      <c r="AK42" s="183" cm="1">
        <f t="array" ref="AK42">IF(ISBLANK($AQ42), "", INDEX([2]SalmonProps!$A$2:$AA$10001,MATCH(1,($A42=[2]SalmonProps!$A$2:$A$10001)*($AP42 = [2]SalmonProps!$F$2:$F$10001) *($AR42 = [2]SalmonProps!$G$2:$G$10001),0), 21))</f>
        <v>4.8</v>
      </c>
      <c r="AL42" s="174" cm="1">
        <f t="array" ref="AL42">IF(ISBLANK($AQ42), "", INDEX([2]SalmonProps!$A$2:$AA$10001,MATCH(1,($A42=[2]SalmonProps!$A$2:$A$10001)*($AP42 = [2]SalmonProps!$F$2:$F$10001) *($AR42 = [2]SalmonProps!$G$2:$G$10001),0), 22))</f>
        <v>74.900000000000006</v>
      </c>
      <c r="AM42" s="183" cm="1">
        <f t="array" ref="AM42">IF(ISBLANK($AQ42), "", INDEX([2]SalmonProps!$A$2:$AA$10001,MATCH(1,($A42=[2]SalmonProps!$A$2:$A$10001)*($AP42 = [2]SalmonProps!$F$2:$F$10001) *($AR42 = [2]SalmonProps!$G$2:$G$10001),0), 23))</f>
        <v>7.6</v>
      </c>
      <c r="AN42" s="174" t="str" cm="1">
        <f t="array" ref="AN42">IF(ISBLANK($AQ42), "", INDEX([2]SalmonProps!$A$2:$AA$10001,MATCH(1,($A42=[2]SalmonProps!$A$2:$A$10001)*($AP42 = [2]SalmonProps!$F$2:$F$10001) *($AR42 = [2]SalmonProps!$G$2:$G$10001),0), 26))</f>
        <v>NA</v>
      </c>
      <c r="AO42" s="175" t="str" cm="1">
        <f t="array" ref="AO42">IF(ISBLANK($AQ42), "", INDEX([2]SalmonProps!$A$2:$AA$10001,MATCH(1,($A42=[2]SalmonProps!$A$2:$A$10001)*($AP42 = [2]SalmonProps!$F$2:$F$10001) *($AR42 = [2]SalmonProps!$G$2:$G$10001),0), 27))</f>
        <v>NA</v>
      </c>
      <c r="AP42" s="112">
        <v>4</v>
      </c>
      <c r="AQ42" s="112" t="s">
        <v>133</v>
      </c>
      <c r="AR42" s="112" t="str">
        <f t="shared" si="1"/>
        <v>Unweighted</v>
      </c>
    </row>
    <row r="43" spans="1:44" x14ac:dyDescent="0.3">
      <c r="A43" s="20">
        <f>'[1]Passage Estimates'!$A43</f>
        <v>45145</v>
      </c>
      <c r="B43" s="164" cm="1">
        <f t="array" ref="B43">IF(ISBLANK($AQ43), "", INDEX([2]SalmonProps!$A$2:$AA$10001,MATCH(1,($A43=[2]SalmonProps!$A$2:$A$10001)*(1=[2]SalmonProps!$C$2:$C$10001)*(1=[2]SalmonProps!$D$2:$D$10001)*("A1" = [2]SalmonProps!$B$2:$B$10001)*($AP43 = [2]SalmonProps!$F$2:$F$10001) *($AR43 = [2]SalmonProps!$G$2:$G$10001),0), 17))</f>
        <v>5.33E-2</v>
      </c>
      <c r="C43" s="165" cm="1">
        <f t="array" ref="C43">IF(ISBLANK($AQ43), "", INDEX([2]SalmonProps!$A$2:$AA$10001,MATCH(1,($A43=[2]SalmonProps!$A$2:$A$10001)*(1=[2]SalmonProps!$C$2:$C$10001)*(2=[2]SalmonProps!$D$2:$D$10001)*("A1" = [2]SalmonProps!$B$2:$B$10001)*($AP43 = [2]SalmonProps!$F$2:$F$10001) *($AR43 = [2]SalmonProps!$G$2:$G$10001),0), 17))</f>
        <v>2.87E-2</v>
      </c>
      <c r="D43" s="165" cm="1">
        <f t="array" ref="D43">IF(ISBLANK($AQ43), "", INDEX([2]SalmonProps!$A$2:$AA$10001,MATCH(1,($A43=[2]SalmonProps!$A$2:$A$10001)*(1=[2]SalmonProps!$C$2:$C$10001)*("1&amp;2"=[2]SalmonProps!$D$2:$D$10001)*("A1" = [2]SalmonProps!$B$2:$B$10001)*($AP43 = [2]SalmonProps!$F$2:$F$10001) *($AR43 = [2]SalmonProps!$G$2:$G$10001),0), 17))</f>
        <v>4.1500000000000002E-2</v>
      </c>
      <c r="E43" s="181" cm="1">
        <f t="array" ref="E43">IF(ISBLANK($AQ43), "", INDEX([2]SalmonProps!$A$2:$AA$10001,MATCH(1,($A43=[2]SalmonProps!$A$2:$A$10001)*(2=[2]SalmonProps!$C$2:$C$10001)*(3=[2]SalmonProps!$D$2:$D$10001)*("A1" = [2]SalmonProps!$B$2:$B$10001)*($AP43 = [2]SalmonProps!$F$2:$F$10001) *($AR43 = [2]SalmonProps!$G$2:$G$10001),0), 17))</f>
        <v>0.31859999999999999</v>
      </c>
      <c r="F43" s="165" cm="1">
        <f t="array" ref="F43">IF(ISBLANK($AQ43), "", INDEX([2]SalmonProps!$A$2:$AA$10001,MATCH(1,($A43=[2]SalmonProps!$A$2:$A$10001)*(3=[2]SalmonProps!$C$2:$C$10001)*(3=[2]SalmonProps!$D$2:$D$10001)*("A1" = [2]SalmonProps!$B$2:$B$10001)*($AP43 = [2]SalmonProps!$F$2:$F$10001) *($AR43 = [2]SalmonProps!$G$2:$G$10001),0), 17))</f>
        <v>0.65780000000000005</v>
      </c>
      <c r="G43" s="165" cm="1">
        <f t="array" ref="G43">IF(ISBLANK($AQ43), "", INDEX([2]SalmonProps!$A$2:$AA$10001,MATCH(1,($A43=[2]SalmonProps!$A$2:$A$10001)*(1=[2]SalmonProps!$C$2:$C$10001)*(1=[2]SalmonProps!$D$2:$D$10001)*("A2" = [2]SalmonProps!$B$2:$B$10001)*($AP43 = [2]SalmonProps!$F$2:$F$10001) *($AR43 = [2]SalmonProps!$G$2:$G$10001),0), 17))</f>
        <v>2.2100000000000002E-2</v>
      </c>
      <c r="H43" s="166" cm="1">
        <f t="array" ref="H43">IF(ISBLANK($AQ43), "", INDEX([2]SalmonProps!$A$2:$AA$10001,MATCH(1,($A43=[2]SalmonProps!$A$2:$A$10001)*(2=[2]SalmonProps!$C$2:$C$10001)*(1=[2]SalmonProps!$D$2:$D$10001)*("A2" = [2]SalmonProps!$B$2:$B$10001)*($AP43 = [2]SalmonProps!$F$2:$F$10001) *($AR43 = [2]SalmonProps!$G$2:$G$10001),0), 17))</f>
        <v>0.2019</v>
      </c>
      <c r="I43" s="167" cm="1">
        <f t="array" ref="I43">IF(ISBLANK($AQ43), "", INDEX([2]SalmonProps!$A$2:$AA$10001,MATCH(1,($A43=[2]SalmonProps!$A$2:$A$10001)*(3=[2]SalmonProps!$C$2:$C$10001)*(1=[2]SalmonProps!$D$2:$D$10001)*("A2" = [2]SalmonProps!$B$2:$B$10001)*($AP43 = [2]SalmonProps!$F$2:$F$10001) *($AR43 = [2]SalmonProps!$G$2:$G$10001),0), 17))</f>
        <v>0.44879999999999998</v>
      </c>
      <c r="J43" s="164" t="str" cm="1">
        <f t="array" ref="J43">IF(ISBLANK($AQ43), "", INDEX([2]SalmonProps!$A$2:$AA$10001,MATCH(1,($A43=[2]SalmonProps!$A$2:$A$10001)*(1=[2]SalmonProps!$C$2:$C$10001)*(1=[2]SalmonProps!$D$2:$D$10001)*("A1" = [2]SalmonProps!$B$2:$B$10001)*($AP43 = [2]SalmonProps!$F$2:$F$10001) *($AR43 = [2]SalmonProps!$G$2:$G$10001),0), 19))</f>
        <v>NA</v>
      </c>
      <c r="K43" s="165" t="str" cm="1">
        <f t="array" ref="K43">IF(ISBLANK($AQ43), "", INDEX([2]SalmonProps!$A$2:$AA$10001,MATCH(1,($A43=[2]SalmonProps!$A$2:$A$10001)*(1=[2]SalmonProps!$C$2:$C$10001)*(2=[2]SalmonProps!$D$2:$D$10001)*("A1" = [2]SalmonProps!$B$2:$B$10001)*($AP43 = [2]SalmonProps!$F$2:$F$10001) *($AR43 = [2]SalmonProps!$G$2:$G$10001),0), 19))</f>
        <v>NA</v>
      </c>
      <c r="L43" s="165" t="str" cm="1">
        <f t="array" ref="L43">IF(ISBLANK($AQ43), "", INDEX([2]SalmonProps!$A$2:$AA$10001,MATCH(1,($A43=[2]SalmonProps!$A$2:$A$10001)*(1=[2]SalmonProps!$C$2:$C$10001)*("1&amp;2"=[2]SalmonProps!$D$2:$D$10001)*("A1" = [2]SalmonProps!$B$2:$B$10001)*($AP43 = [2]SalmonProps!$F$2:$F$10001) *($AR43 = [2]SalmonProps!$G$2:$G$10001),0), 19))</f>
        <v>NA</v>
      </c>
      <c r="M43" s="165" t="str" cm="1">
        <f t="array" ref="M43">IF(ISBLANK($AQ43), "", INDEX([2]SalmonProps!$A$2:$AA$10001,MATCH(1,($A43=[2]SalmonProps!$A$2:$A$10001)*(2=[2]SalmonProps!$C$2:$C$10001)*(3=[2]SalmonProps!$D$2:$D$10001)*("A1" = [2]SalmonProps!$B$2:$B$10001)*($AP43 = [2]SalmonProps!$F$2:$F$10001) *($AR43 = [2]SalmonProps!$G$2:$G$10001),0), 19))</f>
        <v>NA</v>
      </c>
      <c r="N43" s="181" t="str" cm="1">
        <f t="array" ref="N43">IF(ISBLANK($AQ43), "", INDEX([2]SalmonProps!$A$2:$AA$10001,MATCH(1,($A43=[2]SalmonProps!$A$2:$A$10001)*(3=[2]SalmonProps!$C$2:$C$10001)*(3=[2]SalmonProps!$D$2:$D$10001)*("A1" = [2]SalmonProps!$B$2:$B$10001)*($AP43 = [2]SalmonProps!$F$2:$F$10001) *($AR43 = [2]SalmonProps!$G$2:$G$10001),0), 19))</f>
        <v>NA</v>
      </c>
      <c r="O43" s="165" t="str" cm="1">
        <f t="array" ref="O43">IF(ISBLANK($AQ43), "", INDEX([2]SalmonProps!$A$2:$AA$10001,MATCH(1,($A43=[2]SalmonProps!$A$2:$A$10001)*(1=[2]SalmonProps!$C$2:$C$10001)*(1=[2]SalmonProps!$D$2:$D$10001)*("A2" = [2]SalmonProps!$B$2:$B$10001)*($AP43 = [2]SalmonProps!$F$2:$F$10001) *($AR43 = [2]SalmonProps!$G$2:$G$10001),0), 19))</f>
        <v>NA</v>
      </c>
      <c r="P43" s="165" t="str" cm="1">
        <f t="array" ref="P43">IF(ISBLANK($AQ43), "", INDEX([2]SalmonProps!$A$2:$AA$10001,MATCH(1,($A43=[2]SalmonProps!$A$2:$A$10001)*(2=[2]SalmonProps!$C$2:$C$10001)*(1=[2]SalmonProps!$D$2:$D$10001)*("A2" = [2]SalmonProps!$B$2:$B$10001)*($AP43 = [2]SalmonProps!$F$2:$F$10001) *($AR43 = [2]SalmonProps!$G$2:$G$10001),0), 19))</f>
        <v>NA</v>
      </c>
      <c r="Q43" s="168" t="str" cm="1">
        <f t="array" ref="Q43">IF(ISBLANK($AQ43), "", INDEX([2]SalmonProps!$A$2:$AA$10001,MATCH(1,($A43=[2]SalmonProps!$A$2:$A$10001)*(3=[2]SalmonProps!$C$2:$C$10001)*(1=[2]SalmonProps!$D$2:$D$10001)*("A2" = [2]SalmonProps!$B$2:$B$10001)*($AP43 = [2]SalmonProps!$F$2:$F$10001) *($AR43 = [2]SalmonProps!$G$2:$G$10001),0), 19))</f>
        <v>NA</v>
      </c>
      <c r="R43" s="164" cm="1">
        <f t="array" ref="R43">IF(ISBLANK($AQ43), "", INDEX([2]SalmonProps!$A$2:$AA$10001,MATCH(1,($A43=[2]SalmonProps!$A$2:$A$10001)*(1=[2]SalmonProps!$C$2:$C$10001)*(1=[2]SalmonProps!$D$2:$D$10001)*("A1" = [2]SalmonProps!$B$2:$B$10001)*($AP43 = [2]SalmonProps!$F$2:$F$10001) *($AR43 = [2]SalmonProps!$G$2:$G$10001),0), 18))</f>
        <v>5.33E-2</v>
      </c>
      <c r="S43" s="165" cm="1">
        <f t="array" ref="S43">IF(ISBLANK($AQ43), "", INDEX([2]SalmonProps!$A$2:$AA$10001,MATCH(1,($A43=[2]SalmonProps!$A$2:$A$10001)*(1=[2]SalmonProps!$C$2:$C$10001)*(2=[2]SalmonProps!$D$2:$D$10001)*("A1" = [2]SalmonProps!$B$2:$B$10001)*($AP43 = [2]SalmonProps!$F$2:$F$10001) *($AR43 = [2]SalmonProps!$G$2:$G$10001),0), 18))</f>
        <v>6.1600000000000002E-2</v>
      </c>
      <c r="T43" s="165" cm="1">
        <f t="array" ref="T43">IF(ISBLANK($AQ43), "", INDEX([2]SalmonProps!$A$2:$AA$10001,MATCH(1,($A43=[2]SalmonProps!$A$2:$A$10001)*(1=[2]SalmonProps!$C$2:$C$10001)*("1&amp;2"=[2]SalmonProps!$D$2:$D$10001)*("A1" = [2]SalmonProps!$B$2:$B$10001)*($AP43 = [2]SalmonProps!$F$2:$F$10001) *($AR43 = [2]SalmonProps!$G$2:$G$10001),0), 18))</f>
        <v>5.9200000000000003E-2</v>
      </c>
      <c r="U43" s="165" cm="1">
        <f t="array" ref="U43">IF(ISBLANK($AQ43), "", INDEX([2]SalmonProps!$A$2:$AA$10001,MATCH(1,($A43=[2]SalmonProps!$A$2:$A$10001)*(2=[2]SalmonProps!$C$2:$C$10001)*(3=[2]SalmonProps!$D$2:$D$10001)*("A1" = [2]SalmonProps!$B$2:$B$10001)*($AP43 = [2]SalmonProps!$F$2:$F$10001) *($AR43 = [2]SalmonProps!$G$2:$G$10001),0), 18))</f>
        <v>3.8600000000000002E-2</v>
      </c>
      <c r="V43" s="181" cm="1">
        <f t="array" ref="V43">IF(ISBLANK($AQ43), "", INDEX([2]SalmonProps!$A$2:$AA$10001,MATCH(1,($A43=[2]SalmonProps!$A$2:$A$10001)*(3=[2]SalmonProps!$C$2:$C$10001)*(3=[2]SalmonProps!$D$2:$D$10001)*("A1" = [2]SalmonProps!$B$2:$B$10001)*($AP43 = [2]SalmonProps!$F$2:$F$10001) *($AR43 = [2]SalmonProps!$G$2:$G$10001),0), 18))</f>
        <v>0</v>
      </c>
      <c r="W43" s="180" cm="1">
        <f t="array" ref="W43">IF(ISBLANK($AQ43), "", INDEX([2]SalmonProps!$A$2:$AA$10001,MATCH(1,($A43=[2]SalmonProps!$A$2:$A$10001)*(1=[2]SalmonProps!$C$2:$C$10001)*(1=[2]SalmonProps!$D$2:$D$10001)*("A2" = [2]SalmonProps!$B$2:$B$10001)*($AP43 = [2]SalmonProps!$F$2:$F$10001) *($AR43 = [2]SalmonProps!$G$2:$G$10001),0), 18))</f>
        <v>0.13550000000000001</v>
      </c>
      <c r="X43" s="165" cm="1">
        <f t="array" ref="X43">IF(ISBLANK($AQ43), "", INDEX([2]SalmonProps!$A$2:$AA$10001,MATCH(1,($A43=[2]SalmonProps!$A$2:$A$10001)*(2=[2]SalmonProps!$C$2:$C$10001)*(1=[2]SalmonProps!$D$2:$D$10001)*("A2" = [2]SalmonProps!$B$2:$B$10001)*($AP43 = [2]SalmonProps!$F$2:$F$10001) *($AR43 = [2]SalmonProps!$G$2:$G$10001),0), 18))</f>
        <v>0.2989</v>
      </c>
      <c r="Y43" s="168" cm="1">
        <f t="array" ref="Y43">IF(ISBLANK($AQ43), "", INDEX([2]SalmonProps!$A$2:$AA$10001,MATCH(1,($A43=[2]SalmonProps!$A$2:$A$10001)*(3=[2]SalmonProps!$C$2:$C$10001)*(1=[2]SalmonProps!$D$2:$D$10001)*("A2" = [2]SalmonProps!$B$2:$B$10001)*($AP43 = [2]SalmonProps!$F$2:$F$10001) *($AR43 = [2]SalmonProps!$G$2:$G$10001),0), 18))</f>
        <v>0.33939999999999998</v>
      </c>
      <c r="Z43" s="164" cm="1">
        <f t="array" ref="Z43">IF(ISBLANK($AQ43), "", INDEX([2]SalmonProps!$A$2:$AA$10001,MATCH(1,($A43=[2]SalmonProps!$A$2:$A$10001)*(1=[2]SalmonProps!$C$2:$C$10001)*(1=[2]SalmonProps!$D$2:$D$10001)*("A1" = [2]SalmonProps!$B$2:$B$10001)*($AP43 = [2]SalmonProps!$F$2:$F$10001) *($AR43 = [2]SalmonProps!$G$2:$G$10001),0), 15))</f>
        <v>0.25629999999999997</v>
      </c>
      <c r="AA43" s="165" cm="1">
        <f t="array" ref="AA43">IF(ISBLANK($AQ43), "", INDEX([2]SalmonProps!$A$2:$AA$10001,MATCH(1,($A43=[2]SalmonProps!$A$2:$A$10001)*(1=[2]SalmonProps!$C$2:$C$10001)*(2=[2]SalmonProps!$D$2:$D$10001)*("A1" = [2]SalmonProps!$B$2:$B$10001)*($AP43 = [2]SalmonProps!$F$2:$F$10001) *($AR43 = [2]SalmonProps!$G$2:$G$10001),0), 15))</f>
        <v>0.25850000000000001</v>
      </c>
      <c r="AB43" s="165" cm="1">
        <f t="array" ref="AB43">IF(ISBLANK($AQ43), "", INDEX([2]SalmonProps!$A$2:$AA$10001,MATCH(1,($A43=[2]SalmonProps!$A$2:$A$10001)*(1=[2]SalmonProps!$C$2:$C$10001)*("1&amp;2"=[2]SalmonProps!$D$2:$D$10001)*("A1" = [2]SalmonProps!$B$2:$B$10001)*($AP43 = [2]SalmonProps!$F$2:$F$10001) *($AR43 = [2]SalmonProps!$G$2:$G$10001),0), 15))</f>
        <v>0.2581</v>
      </c>
      <c r="AC43" s="165" cm="1">
        <f t="array" ref="AC43">IF(ISBLANK($AQ43), "", INDEX([2]SalmonProps!$A$2:$AA$10001,MATCH(1,($A43=[2]SalmonProps!$A$2:$A$10001)*(2=[2]SalmonProps!$C$2:$C$10001)*(3=[2]SalmonProps!$D$2:$D$10001)*("A1" = [2]SalmonProps!$B$2:$B$10001)*($AP43 = [2]SalmonProps!$F$2:$F$10001) *($AR43 = [2]SalmonProps!$G$2:$G$10001),0), 15))</f>
        <v>0.54590000000000005</v>
      </c>
      <c r="AD43" s="181" cm="1">
        <f t="array" ref="AD43">IF(ISBLANK($AQ43), "", INDEX([2]SalmonProps!$A$2:$AA$10001,MATCH(1,($A43=[2]SalmonProps!$A$2:$A$10001)*(3=[2]SalmonProps!$C$2:$C$10001)*(3=[2]SalmonProps!$D$2:$D$10001)*("A1" = [2]SalmonProps!$B$2:$B$10001)*($AP43 = [2]SalmonProps!$F$2:$F$10001) *($AR43 = [2]SalmonProps!$G$2:$G$10001),0), 15))</f>
        <v>0.83720000000000006</v>
      </c>
      <c r="AE43" s="166" cm="1">
        <f t="array" ref="AE43">IF(ISBLANK($AQ43), "", INDEX([2]SalmonProps!$A$2:$AA$10001,MATCH(1,($A43=[2]SalmonProps!$A$2:$A$10001)*(1=[2]SalmonProps!$C$2:$C$10001)*(1=[2]SalmonProps!$D$2:$D$10001)*("A2" = [2]SalmonProps!$B$2:$B$10001)*($AP43 = [2]SalmonProps!$F$2:$F$10001) *($AR43 = [2]SalmonProps!$G$2:$G$10001),0), 15))</f>
        <v>0.15759999999999999</v>
      </c>
      <c r="AF43" s="166" cm="1">
        <f t="array" ref="AF43">IF(ISBLANK($AQ43), "", INDEX([2]SalmonProps!$A$2:$AA$10001,MATCH(1,($A43=[2]SalmonProps!$A$2:$A$10001)*(2=[2]SalmonProps!$C$2:$C$10001)*(1=[2]SalmonProps!$D$2:$D$10001)*("A2" = [2]SalmonProps!$B$2:$B$10001)*($AP43 = [2]SalmonProps!$F$2:$F$10001) *($AR43 = [2]SalmonProps!$G$2:$G$10001),0), 15))</f>
        <v>0.50080000000000002</v>
      </c>
      <c r="AG43" s="167" cm="1">
        <f t="array" ref="AG43">IF(ISBLANK($AQ43), "", INDEX([2]SalmonProps!$A$2:$AA$10001,MATCH(1,($A43=[2]SalmonProps!$A$2:$A$10001)*(3=[2]SalmonProps!$C$2:$C$10001)*(1=[2]SalmonProps!$D$2:$D$10001)*("A2" = [2]SalmonProps!$B$2:$B$10001)*($AP43 = [2]SalmonProps!$F$2:$F$10001) *($AR43 = [2]SalmonProps!$G$2:$G$10001),0), 15))</f>
        <v>0.78820000000000001</v>
      </c>
      <c r="AH43" s="173" cm="1">
        <f t="array" ref="AH43">IF(ISBLANK($AQ43), "", INDEX([2]SalmonProps!$A$2:$AA$10001,MATCH(1,($A43=[2]SalmonProps!$A$2:$A$10001)*($AP43 = [2]SalmonProps!$F$2:$F$10001) *($AR43 = [2]SalmonProps!$G$2:$G$10001),0), 24))</f>
        <v>52.4</v>
      </c>
      <c r="AI43" s="183" cm="1">
        <f t="array" ref="AI43">IF(ISBLANK($AQ43), "", INDEX([2]SalmonProps!$A$2:$AA$10001,MATCH(1,($A43=[2]SalmonProps!$A$2:$A$10001)*($AP43 = [2]SalmonProps!$F$2:$F$10001) *($AR43 = [2]SalmonProps!$G$2:$G$10001),0), 25))</f>
        <v>6.8</v>
      </c>
      <c r="AJ43" s="174" cm="1">
        <f t="array" ref="AJ43">IF(ISBLANK($AQ43), "", INDEX([2]SalmonProps!$A$2:$AA$10001,MATCH(1,($A43=[2]SalmonProps!$A$2:$A$10001)*($AP43 = [2]SalmonProps!$F$2:$F$10001) *($AR43 = [2]SalmonProps!$G$2:$G$10001),0), 20))</f>
        <v>59.4</v>
      </c>
      <c r="AK43" s="183" cm="1">
        <f t="array" ref="AK43">IF(ISBLANK($AQ43), "", INDEX([2]SalmonProps!$A$2:$AA$10001,MATCH(1,($A43=[2]SalmonProps!$A$2:$A$10001)*($AP43 = [2]SalmonProps!$F$2:$F$10001) *($AR43 = [2]SalmonProps!$G$2:$G$10001),0), 21))</f>
        <v>4.8</v>
      </c>
      <c r="AL43" s="174" cm="1">
        <f t="array" ref="AL43">IF(ISBLANK($AQ43), "", INDEX([2]SalmonProps!$A$2:$AA$10001,MATCH(1,($A43=[2]SalmonProps!$A$2:$A$10001)*($AP43 = [2]SalmonProps!$F$2:$F$10001) *($AR43 = [2]SalmonProps!$G$2:$G$10001),0), 22))</f>
        <v>74.900000000000006</v>
      </c>
      <c r="AM43" s="183" cm="1">
        <f t="array" ref="AM43">IF(ISBLANK($AQ43), "", INDEX([2]SalmonProps!$A$2:$AA$10001,MATCH(1,($A43=[2]SalmonProps!$A$2:$A$10001)*($AP43 = [2]SalmonProps!$F$2:$F$10001) *($AR43 = [2]SalmonProps!$G$2:$G$10001),0), 23))</f>
        <v>7.6</v>
      </c>
      <c r="AN43" s="174" t="str" cm="1">
        <f t="array" ref="AN43">IF(ISBLANK($AQ43), "", INDEX([2]SalmonProps!$A$2:$AA$10001,MATCH(1,($A43=[2]SalmonProps!$A$2:$A$10001)*($AP43 = [2]SalmonProps!$F$2:$F$10001) *($AR43 = [2]SalmonProps!$G$2:$G$10001),0), 26))</f>
        <v>NA</v>
      </c>
      <c r="AO43" s="175" t="str" cm="1">
        <f t="array" ref="AO43">IF(ISBLANK($AQ43), "", INDEX([2]SalmonProps!$A$2:$AA$10001,MATCH(1,($A43=[2]SalmonProps!$A$2:$A$10001)*($AP43 = [2]SalmonProps!$F$2:$F$10001) *($AR43 = [2]SalmonProps!$G$2:$G$10001),0), 27))</f>
        <v>NA</v>
      </c>
      <c r="AP43" s="122">
        <v>4</v>
      </c>
      <c r="AQ43" s="112" t="s">
        <v>133</v>
      </c>
      <c r="AR43" s="112" t="str">
        <f t="shared" si="1"/>
        <v>Unweighted</v>
      </c>
    </row>
    <row r="44" spans="1:44" x14ac:dyDescent="0.3">
      <c r="A44" s="20">
        <f>'[1]Passage Estimates'!$A44</f>
        <v>45146</v>
      </c>
      <c r="B44" s="164" cm="1">
        <f t="array" ref="B44">IF(ISBLANK($AQ44), "", INDEX([2]SalmonProps!$A$2:$AA$10001,MATCH(1,($A44=[2]SalmonProps!$A$2:$A$10001)*(1=[2]SalmonProps!$C$2:$C$10001)*(1=[2]SalmonProps!$D$2:$D$10001)*("A1" = [2]SalmonProps!$B$2:$B$10001)*($AP44 = [2]SalmonProps!$F$2:$F$10001) *($AR44 = [2]SalmonProps!$G$2:$G$10001),0), 17))</f>
        <v>8.8999999999999999E-3</v>
      </c>
      <c r="C44" s="165" cm="1">
        <f t="array" ref="C44">IF(ISBLANK($AQ44), "", INDEX([2]SalmonProps!$A$2:$AA$10001,MATCH(1,($A44=[2]SalmonProps!$A$2:$A$10001)*(1=[2]SalmonProps!$C$2:$C$10001)*(2=[2]SalmonProps!$D$2:$D$10001)*("A1" = [2]SalmonProps!$B$2:$B$10001)*($AP44 = [2]SalmonProps!$F$2:$F$10001) *($AR44 = [2]SalmonProps!$G$2:$G$10001),0), 17))</f>
        <v>1.7000000000000001E-2</v>
      </c>
      <c r="D44" s="165" cm="1">
        <f t="array" ref="D44">IF(ISBLANK($AQ44), "", INDEX([2]SalmonProps!$A$2:$AA$10001,MATCH(1,($A44=[2]SalmonProps!$A$2:$A$10001)*(1=[2]SalmonProps!$C$2:$C$10001)*("1&amp;2"=[2]SalmonProps!$D$2:$D$10001)*("A1" = [2]SalmonProps!$B$2:$B$10001)*($AP44 = [2]SalmonProps!$F$2:$F$10001) *($AR44 = [2]SalmonProps!$G$2:$G$10001),0), 17))</f>
        <v>1.2800000000000001E-2</v>
      </c>
      <c r="E44" s="181" cm="1">
        <f t="array" ref="E44">IF(ISBLANK($AQ44), "", INDEX([2]SalmonProps!$A$2:$AA$10001,MATCH(1,($A44=[2]SalmonProps!$A$2:$A$10001)*(2=[2]SalmonProps!$C$2:$C$10001)*(3=[2]SalmonProps!$D$2:$D$10001)*("A1" = [2]SalmonProps!$B$2:$B$10001)*($AP44 = [2]SalmonProps!$F$2:$F$10001) *($AR44 = [2]SalmonProps!$G$2:$G$10001),0), 17))</f>
        <v>0.3246</v>
      </c>
      <c r="F44" s="165" cm="1">
        <f t="array" ref="F44">IF(ISBLANK($AQ44), "", INDEX([2]SalmonProps!$A$2:$AA$10001,MATCH(1,($A44=[2]SalmonProps!$A$2:$A$10001)*(3=[2]SalmonProps!$C$2:$C$10001)*(3=[2]SalmonProps!$D$2:$D$10001)*("A1" = [2]SalmonProps!$B$2:$B$10001)*($AP44 = [2]SalmonProps!$F$2:$F$10001) *($AR44 = [2]SalmonProps!$G$2:$G$10001),0), 17))</f>
        <v>0.6663</v>
      </c>
      <c r="G44" s="165" cm="1">
        <f t="array" ref="G44">IF(ISBLANK($AQ44), "", INDEX([2]SalmonProps!$A$2:$AA$10001,MATCH(1,($A44=[2]SalmonProps!$A$2:$A$10001)*(1=[2]SalmonProps!$C$2:$C$10001)*(1=[2]SalmonProps!$D$2:$D$10001)*("A2" = [2]SalmonProps!$B$2:$B$10001)*($AP44 = [2]SalmonProps!$F$2:$F$10001) *($AR44 = [2]SalmonProps!$G$2:$G$10001),0), 17))</f>
        <v>2.2100000000000002E-2</v>
      </c>
      <c r="H44" s="166" cm="1">
        <f t="array" ref="H44">IF(ISBLANK($AQ44), "", INDEX([2]SalmonProps!$A$2:$AA$10001,MATCH(1,($A44=[2]SalmonProps!$A$2:$A$10001)*(2=[2]SalmonProps!$C$2:$C$10001)*(1=[2]SalmonProps!$D$2:$D$10001)*("A2" = [2]SalmonProps!$B$2:$B$10001)*($AP44 = [2]SalmonProps!$F$2:$F$10001) *($AR44 = [2]SalmonProps!$G$2:$G$10001),0), 17))</f>
        <v>0.2019</v>
      </c>
      <c r="I44" s="167" cm="1">
        <f t="array" ref="I44">IF(ISBLANK($AQ44), "", INDEX([2]SalmonProps!$A$2:$AA$10001,MATCH(1,($A44=[2]SalmonProps!$A$2:$A$10001)*(3=[2]SalmonProps!$C$2:$C$10001)*(1=[2]SalmonProps!$D$2:$D$10001)*("A2" = [2]SalmonProps!$B$2:$B$10001)*($AP44 = [2]SalmonProps!$F$2:$F$10001) *($AR44 = [2]SalmonProps!$G$2:$G$10001),0), 17))</f>
        <v>0.44879999999999998</v>
      </c>
      <c r="J44" s="164" t="str" cm="1">
        <f t="array" ref="J44">IF(ISBLANK($AQ44), "", INDEX([2]SalmonProps!$A$2:$AA$10001,MATCH(1,($A44=[2]SalmonProps!$A$2:$A$10001)*(1=[2]SalmonProps!$C$2:$C$10001)*(1=[2]SalmonProps!$D$2:$D$10001)*("A1" = [2]SalmonProps!$B$2:$B$10001)*($AP44 = [2]SalmonProps!$F$2:$F$10001) *($AR44 = [2]SalmonProps!$G$2:$G$10001),0), 19))</f>
        <v>NA</v>
      </c>
      <c r="K44" s="165" t="str" cm="1">
        <f t="array" ref="K44">IF(ISBLANK($AQ44), "", INDEX([2]SalmonProps!$A$2:$AA$10001,MATCH(1,($A44=[2]SalmonProps!$A$2:$A$10001)*(1=[2]SalmonProps!$C$2:$C$10001)*(2=[2]SalmonProps!$D$2:$D$10001)*("A1" = [2]SalmonProps!$B$2:$B$10001)*($AP44 = [2]SalmonProps!$F$2:$F$10001) *($AR44 = [2]SalmonProps!$G$2:$G$10001),0), 19))</f>
        <v>NA</v>
      </c>
      <c r="L44" s="165" t="str" cm="1">
        <f t="array" ref="L44">IF(ISBLANK($AQ44), "", INDEX([2]SalmonProps!$A$2:$AA$10001,MATCH(1,($A44=[2]SalmonProps!$A$2:$A$10001)*(1=[2]SalmonProps!$C$2:$C$10001)*("1&amp;2"=[2]SalmonProps!$D$2:$D$10001)*("A1" = [2]SalmonProps!$B$2:$B$10001)*($AP44 = [2]SalmonProps!$F$2:$F$10001) *($AR44 = [2]SalmonProps!$G$2:$G$10001),0), 19))</f>
        <v>NA</v>
      </c>
      <c r="M44" s="165" t="str" cm="1">
        <f t="array" ref="M44">IF(ISBLANK($AQ44), "", INDEX([2]SalmonProps!$A$2:$AA$10001,MATCH(1,($A44=[2]SalmonProps!$A$2:$A$10001)*(2=[2]SalmonProps!$C$2:$C$10001)*(3=[2]SalmonProps!$D$2:$D$10001)*("A1" = [2]SalmonProps!$B$2:$B$10001)*($AP44 = [2]SalmonProps!$F$2:$F$10001) *($AR44 = [2]SalmonProps!$G$2:$G$10001),0), 19))</f>
        <v>NA</v>
      </c>
      <c r="N44" s="181" t="str" cm="1">
        <f t="array" ref="N44">IF(ISBLANK($AQ44), "", INDEX([2]SalmonProps!$A$2:$AA$10001,MATCH(1,($A44=[2]SalmonProps!$A$2:$A$10001)*(3=[2]SalmonProps!$C$2:$C$10001)*(3=[2]SalmonProps!$D$2:$D$10001)*("A1" = [2]SalmonProps!$B$2:$B$10001)*($AP44 = [2]SalmonProps!$F$2:$F$10001) *($AR44 = [2]SalmonProps!$G$2:$G$10001),0), 19))</f>
        <v>NA</v>
      </c>
      <c r="O44" s="165" t="str" cm="1">
        <f t="array" ref="O44">IF(ISBLANK($AQ44), "", INDEX([2]SalmonProps!$A$2:$AA$10001,MATCH(1,($A44=[2]SalmonProps!$A$2:$A$10001)*(1=[2]SalmonProps!$C$2:$C$10001)*(1=[2]SalmonProps!$D$2:$D$10001)*("A2" = [2]SalmonProps!$B$2:$B$10001)*($AP44 = [2]SalmonProps!$F$2:$F$10001) *($AR44 = [2]SalmonProps!$G$2:$G$10001),0), 19))</f>
        <v>NA</v>
      </c>
      <c r="P44" s="165" t="str" cm="1">
        <f t="array" ref="P44">IF(ISBLANK($AQ44), "", INDEX([2]SalmonProps!$A$2:$AA$10001,MATCH(1,($A44=[2]SalmonProps!$A$2:$A$10001)*(2=[2]SalmonProps!$C$2:$C$10001)*(1=[2]SalmonProps!$D$2:$D$10001)*("A2" = [2]SalmonProps!$B$2:$B$10001)*($AP44 = [2]SalmonProps!$F$2:$F$10001) *($AR44 = [2]SalmonProps!$G$2:$G$10001),0), 19))</f>
        <v>NA</v>
      </c>
      <c r="Q44" s="168" t="str" cm="1">
        <f t="array" ref="Q44">IF(ISBLANK($AQ44), "", INDEX([2]SalmonProps!$A$2:$AA$10001,MATCH(1,($A44=[2]SalmonProps!$A$2:$A$10001)*(3=[2]SalmonProps!$C$2:$C$10001)*(1=[2]SalmonProps!$D$2:$D$10001)*("A2" = [2]SalmonProps!$B$2:$B$10001)*($AP44 = [2]SalmonProps!$F$2:$F$10001) *($AR44 = [2]SalmonProps!$G$2:$G$10001),0), 19))</f>
        <v>NA</v>
      </c>
      <c r="R44" s="164" cm="1">
        <f t="array" ref="R44">IF(ISBLANK($AQ44), "", INDEX([2]SalmonProps!$A$2:$AA$10001,MATCH(1,($A44=[2]SalmonProps!$A$2:$A$10001)*(1=[2]SalmonProps!$C$2:$C$10001)*(1=[2]SalmonProps!$D$2:$D$10001)*("A1" = [2]SalmonProps!$B$2:$B$10001)*($AP44 = [2]SalmonProps!$F$2:$F$10001) *($AR44 = [2]SalmonProps!$G$2:$G$10001),0), 18))</f>
        <v>2.7799999999999998E-2</v>
      </c>
      <c r="S44" s="165" cm="1">
        <f t="array" ref="S44">IF(ISBLANK($AQ44), "", INDEX([2]SalmonProps!$A$2:$AA$10001,MATCH(1,($A44=[2]SalmonProps!$A$2:$A$10001)*(1=[2]SalmonProps!$C$2:$C$10001)*(2=[2]SalmonProps!$D$2:$D$10001)*("A1" = [2]SalmonProps!$B$2:$B$10001)*($AP44 = [2]SalmonProps!$F$2:$F$10001) *($AR44 = [2]SalmonProps!$G$2:$G$10001),0), 18))</f>
        <v>0.1211</v>
      </c>
      <c r="T44" s="165" cm="1">
        <f t="array" ref="T44">IF(ISBLANK($AQ44), "", INDEX([2]SalmonProps!$A$2:$AA$10001,MATCH(1,($A44=[2]SalmonProps!$A$2:$A$10001)*(1=[2]SalmonProps!$C$2:$C$10001)*("1&amp;2"=[2]SalmonProps!$D$2:$D$10001)*("A1" = [2]SalmonProps!$B$2:$B$10001)*($AP44 = [2]SalmonProps!$F$2:$F$10001) *($AR44 = [2]SalmonProps!$G$2:$G$10001),0), 18))</f>
        <v>7.1199999999999999E-2</v>
      </c>
      <c r="U44" s="165" cm="1">
        <f t="array" ref="U44">IF(ISBLANK($AQ44), "", INDEX([2]SalmonProps!$A$2:$AA$10001,MATCH(1,($A44=[2]SalmonProps!$A$2:$A$10001)*(2=[2]SalmonProps!$C$2:$C$10001)*(3=[2]SalmonProps!$D$2:$D$10001)*("A1" = [2]SalmonProps!$B$2:$B$10001)*($AP44 = [2]SalmonProps!$F$2:$F$10001) *($AR44 = [2]SalmonProps!$G$2:$G$10001),0), 18))</f>
        <v>0.1198</v>
      </c>
      <c r="V44" s="181" cm="1">
        <f t="array" ref="V44">IF(ISBLANK($AQ44), "", INDEX([2]SalmonProps!$A$2:$AA$10001,MATCH(1,($A44=[2]SalmonProps!$A$2:$A$10001)*(3=[2]SalmonProps!$C$2:$C$10001)*(3=[2]SalmonProps!$D$2:$D$10001)*("A1" = [2]SalmonProps!$B$2:$B$10001)*($AP44 = [2]SalmonProps!$F$2:$F$10001) *($AR44 = [2]SalmonProps!$G$2:$G$10001),0), 18))</f>
        <v>0.24210000000000001</v>
      </c>
      <c r="W44" s="180" cm="1">
        <f t="array" ref="W44">IF(ISBLANK($AQ44), "", INDEX([2]SalmonProps!$A$2:$AA$10001,MATCH(1,($A44=[2]SalmonProps!$A$2:$A$10001)*(1=[2]SalmonProps!$C$2:$C$10001)*(1=[2]SalmonProps!$D$2:$D$10001)*("A2" = [2]SalmonProps!$B$2:$B$10001)*($AP44 = [2]SalmonProps!$F$2:$F$10001) *($AR44 = [2]SalmonProps!$G$2:$G$10001),0), 18))</f>
        <v>0.13550000000000001</v>
      </c>
      <c r="X44" s="165" cm="1">
        <f t="array" ref="X44">IF(ISBLANK($AQ44), "", INDEX([2]SalmonProps!$A$2:$AA$10001,MATCH(1,($A44=[2]SalmonProps!$A$2:$A$10001)*(2=[2]SalmonProps!$C$2:$C$10001)*(1=[2]SalmonProps!$D$2:$D$10001)*("A2" = [2]SalmonProps!$B$2:$B$10001)*($AP44 = [2]SalmonProps!$F$2:$F$10001) *($AR44 = [2]SalmonProps!$G$2:$G$10001),0), 18))</f>
        <v>0.2989</v>
      </c>
      <c r="Y44" s="168" cm="1">
        <f t="array" ref="Y44">IF(ISBLANK($AQ44), "", INDEX([2]SalmonProps!$A$2:$AA$10001,MATCH(1,($A44=[2]SalmonProps!$A$2:$A$10001)*(3=[2]SalmonProps!$C$2:$C$10001)*(1=[2]SalmonProps!$D$2:$D$10001)*("A2" = [2]SalmonProps!$B$2:$B$10001)*($AP44 = [2]SalmonProps!$F$2:$F$10001) *($AR44 = [2]SalmonProps!$G$2:$G$10001),0), 18))</f>
        <v>0.33939999999999998</v>
      </c>
      <c r="Z44" s="164" cm="1">
        <f t="array" ref="Z44">IF(ISBLANK($AQ44), "", INDEX([2]SalmonProps!$A$2:$AA$10001,MATCH(1,($A44=[2]SalmonProps!$A$2:$A$10001)*(1=[2]SalmonProps!$C$2:$C$10001)*(1=[2]SalmonProps!$D$2:$D$10001)*("A1" = [2]SalmonProps!$B$2:$B$10001)*($AP44 = [2]SalmonProps!$F$2:$F$10001) *($AR44 = [2]SalmonProps!$G$2:$G$10001),0), 15))</f>
        <v>0.2319</v>
      </c>
      <c r="AA44" s="165" cm="1">
        <f t="array" ref="AA44">IF(ISBLANK($AQ44), "", INDEX([2]SalmonProps!$A$2:$AA$10001,MATCH(1,($A44=[2]SalmonProps!$A$2:$A$10001)*(1=[2]SalmonProps!$C$2:$C$10001)*(2=[2]SalmonProps!$D$2:$D$10001)*("A1" = [2]SalmonProps!$B$2:$B$10001)*($AP44 = [2]SalmonProps!$F$2:$F$10001) *($AR44 = [2]SalmonProps!$G$2:$G$10001),0), 15))</f>
        <v>0.33160000000000001</v>
      </c>
      <c r="AB44" s="165" cm="1">
        <f t="array" ref="AB44">IF(ISBLANK($AQ44), "", INDEX([2]SalmonProps!$A$2:$AA$10001,MATCH(1,($A44=[2]SalmonProps!$A$2:$A$10001)*(1=[2]SalmonProps!$C$2:$C$10001)*("1&amp;2"=[2]SalmonProps!$D$2:$D$10001)*("A1" = [2]SalmonProps!$B$2:$B$10001)*($AP44 = [2]SalmonProps!$F$2:$F$10001) *($AR44 = [2]SalmonProps!$G$2:$G$10001),0), 15))</f>
        <v>0.28260000000000002</v>
      </c>
      <c r="AC44" s="165" cm="1">
        <f t="array" ref="AC44">IF(ISBLANK($AQ44), "", INDEX([2]SalmonProps!$A$2:$AA$10001,MATCH(1,($A44=[2]SalmonProps!$A$2:$A$10001)*(2=[2]SalmonProps!$C$2:$C$10001)*(3=[2]SalmonProps!$D$2:$D$10001)*("A1" = [2]SalmonProps!$B$2:$B$10001)*($AP44 = [2]SalmonProps!$F$2:$F$10001) *($AR44 = [2]SalmonProps!$G$2:$G$10001),0), 15))</f>
        <v>0.59250000000000003</v>
      </c>
      <c r="AD44" s="181" cm="1">
        <f t="array" ref="AD44">IF(ISBLANK($AQ44), "", INDEX([2]SalmonProps!$A$2:$AA$10001,MATCH(1,($A44=[2]SalmonProps!$A$2:$A$10001)*(3=[2]SalmonProps!$C$2:$C$10001)*(3=[2]SalmonProps!$D$2:$D$10001)*("A1" = [2]SalmonProps!$B$2:$B$10001)*($AP44 = [2]SalmonProps!$F$2:$F$10001) *($AR44 = [2]SalmonProps!$G$2:$G$10001),0), 15))</f>
        <v>0.90839999999999999</v>
      </c>
      <c r="AE44" s="166" cm="1">
        <f t="array" ref="AE44">IF(ISBLANK($AQ44), "", INDEX([2]SalmonProps!$A$2:$AA$10001,MATCH(1,($A44=[2]SalmonProps!$A$2:$A$10001)*(1=[2]SalmonProps!$C$2:$C$10001)*(1=[2]SalmonProps!$D$2:$D$10001)*("A2" = [2]SalmonProps!$B$2:$B$10001)*($AP44 = [2]SalmonProps!$F$2:$F$10001) *($AR44 = [2]SalmonProps!$G$2:$G$10001),0), 15))</f>
        <v>0.15759999999999999</v>
      </c>
      <c r="AF44" s="166" cm="1">
        <f t="array" ref="AF44">IF(ISBLANK($AQ44), "", INDEX([2]SalmonProps!$A$2:$AA$10001,MATCH(1,($A44=[2]SalmonProps!$A$2:$A$10001)*(2=[2]SalmonProps!$C$2:$C$10001)*(1=[2]SalmonProps!$D$2:$D$10001)*("A2" = [2]SalmonProps!$B$2:$B$10001)*($AP44 = [2]SalmonProps!$F$2:$F$10001) *($AR44 = [2]SalmonProps!$G$2:$G$10001),0), 15))</f>
        <v>0.50080000000000002</v>
      </c>
      <c r="AG44" s="167" cm="1">
        <f t="array" ref="AG44">IF(ISBLANK($AQ44), "", INDEX([2]SalmonProps!$A$2:$AA$10001,MATCH(1,($A44=[2]SalmonProps!$A$2:$A$10001)*(3=[2]SalmonProps!$C$2:$C$10001)*(1=[2]SalmonProps!$D$2:$D$10001)*("A2" = [2]SalmonProps!$B$2:$B$10001)*($AP44 = [2]SalmonProps!$F$2:$F$10001) *($AR44 = [2]SalmonProps!$G$2:$G$10001),0), 15))</f>
        <v>0.78820000000000001</v>
      </c>
      <c r="AH44" s="173" cm="1">
        <f t="array" ref="AH44">IF(ISBLANK($AQ44), "", INDEX([2]SalmonProps!$A$2:$AA$10001,MATCH(1,($A44=[2]SalmonProps!$A$2:$A$10001)*($AP44 = [2]SalmonProps!$F$2:$F$10001) *($AR44 = [2]SalmonProps!$G$2:$G$10001),0), 24))</f>
        <v>52.4</v>
      </c>
      <c r="AI44" s="183" cm="1">
        <f t="array" ref="AI44">IF(ISBLANK($AQ44), "", INDEX([2]SalmonProps!$A$2:$AA$10001,MATCH(1,($A44=[2]SalmonProps!$A$2:$A$10001)*($AP44 = [2]SalmonProps!$F$2:$F$10001) *($AR44 = [2]SalmonProps!$G$2:$G$10001),0), 25))</f>
        <v>6.8</v>
      </c>
      <c r="AJ44" s="174" cm="1">
        <f t="array" ref="AJ44">IF(ISBLANK($AQ44), "", INDEX([2]SalmonProps!$A$2:$AA$10001,MATCH(1,($A44=[2]SalmonProps!$A$2:$A$10001)*($AP44 = [2]SalmonProps!$F$2:$F$10001) *($AR44 = [2]SalmonProps!$G$2:$G$10001),0), 20))</f>
        <v>59.4</v>
      </c>
      <c r="AK44" s="183" cm="1">
        <f t="array" ref="AK44">IF(ISBLANK($AQ44), "", INDEX([2]SalmonProps!$A$2:$AA$10001,MATCH(1,($A44=[2]SalmonProps!$A$2:$A$10001)*($AP44 = [2]SalmonProps!$F$2:$F$10001) *($AR44 = [2]SalmonProps!$G$2:$G$10001),0), 21))</f>
        <v>4.8</v>
      </c>
      <c r="AL44" s="174" cm="1">
        <f t="array" ref="AL44">IF(ISBLANK($AQ44), "", INDEX([2]SalmonProps!$A$2:$AA$10001,MATCH(1,($A44=[2]SalmonProps!$A$2:$A$10001)*($AP44 = [2]SalmonProps!$F$2:$F$10001) *($AR44 = [2]SalmonProps!$G$2:$G$10001),0), 22))</f>
        <v>74.900000000000006</v>
      </c>
      <c r="AM44" s="183" cm="1">
        <f t="array" ref="AM44">IF(ISBLANK($AQ44), "", INDEX([2]SalmonProps!$A$2:$AA$10001,MATCH(1,($A44=[2]SalmonProps!$A$2:$A$10001)*($AP44 = [2]SalmonProps!$F$2:$F$10001) *($AR44 = [2]SalmonProps!$G$2:$G$10001),0), 23))</f>
        <v>7.6</v>
      </c>
      <c r="AN44" s="174" t="str" cm="1">
        <f t="array" ref="AN44">IF(ISBLANK($AQ44), "", INDEX([2]SalmonProps!$A$2:$AA$10001,MATCH(1,($A44=[2]SalmonProps!$A$2:$A$10001)*($AP44 = [2]SalmonProps!$F$2:$F$10001) *($AR44 = [2]SalmonProps!$G$2:$G$10001),0), 26))</f>
        <v>NA</v>
      </c>
      <c r="AO44" s="175" t="str" cm="1">
        <f t="array" ref="AO44">IF(ISBLANK($AQ44), "", INDEX([2]SalmonProps!$A$2:$AA$10001,MATCH(1,($A44=[2]SalmonProps!$A$2:$A$10001)*($AP44 = [2]SalmonProps!$F$2:$F$10001) *($AR44 = [2]SalmonProps!$G$2:$G$10001),0), 27))</f>
        <v>NA</v>
      </c>
      <c r="AP44" s="112">
        <v>4</v>
      </c>
      <c r="AQ44" s="112" t="s">
        <v>133</v>
      </c>
      <c r="AR44" s="112" t="str">
        <f t="shared" si="1"/>
        <v>Unweighted</v>
      </c>
    </row>
    <row r="45" spans="1:44" x14ac:dyDescent="0.3">
      <c r="A45" s="20">
        <f>'[1]Passage Estimates'!$A45</f>
        <v>45147</v>
      </c>
      <c r="B45" s="164" cm="1">
        <f t="array" ref="B45">IF(ISBLANK($AQ45), "", INDEX([2]SalmonProps!$A$2:$AA$10001,MATCH(1,($A45=[2]SalmonProps!$A$2:$A$10001)*(1=[2]SalmonProps!$C$2:$C$10001)*(1=[2]SalmonProps!$D$2:$D$10001)*("A1" = [2]SalmonProps!$B$2:$B$10001)*($AP45 = [2]SalmonProps!$F$2:$F$10001) *($AR45 = [2]SalmonProps!$G$2:$G$10001),0), 17))</f>
        <v>1.0999999999999999E-2</v>
      </c>
      <c r="C45" s="165" cm="1">
        <f t="array" ref="C45">IF(ISBLANK($AQ45), "", INDEX([2]SalmonProps!$A$2:$AA$10001,MATCH(1,($A45=[2]SalmonProps!$A$2:$A$10001)*(1=[2]SalmonProps!$C$2:$C$10001)*(2=[2]SalmonProps!$D$2:$D$10001)*("A1" = [2]SalmonProps!$B$2:$B$10001)*($AP45 = [2]SalmonProps!$F$2:$F$10001) *($AR45 = [2]SalmonProps!$G$2:$G$10001),0), 17))</f>
        <v>2.5999999999999999E-2</v>
      </c>
      <c r="D45" s="165" cm="1">
        <f t="array" ref="D45">IF(ISBLANK($AQ45), "", INDEX([2]SalmonProps!$A$2:$AA$10001,MATCH(1,($A45=[2]SalmonProps!$A$2:$A$10001)*(1=[2]SalmonProps!$C$2:$C$10001)*("1&amp;2"=[2]SalmonProps!$D$2:$D$10001)*("A1" = [2]SalmonProps!$B$2:$B$10001)*($AP45 = [2]SalmonProps!$F$2:$F$10001) *($AR45 = [2]SalmonProps!$G$2:$G$10001),0), 17))</f>
        <v>2.0400000000000001E-2</v>
      </c>
      <c r="E45" s="181" cm="1">
        <f t="array" ref="E45">IF(ISBLANK($AQ45), "", INDEX([2]SalmonProps!$A$2:$AA$10001,MATCH(1,($A45=[2]SalmonProps!$A$2:$A$10001)*(2=[2]SalmonProps!$C$2:$C$10001)*(3=[2]SalmonProps!$D$2:$D$10001)*("A1" = [2]SalmonProps!$B$2:$B$10001)*($AP45 = [2]SalmonProps!$F$2:$F$10001) *($AR45 = [2]SalmonProps!$G$2:$G$10001),0), 17))</f>
        <v>0.1739</v>
      </c>
      <c r="F45" s="165" cm="1">
        <f t="array" ref="F45">IF(ISBLANK($AQ45), "", INDEX([2]SalmonProps!$A$2:$AA$10001,MATCH(1,($A45=[2]SalmonProps!$A$2:$A$10001)*(3=[2]SalmonProps!$C$2:$C$10001)*(3=[2]SalmonProps!$D$2:$D$10001)*("A1" = [2]SalmonProps!$B$2:$B$10001)*($AP45 = [2]SalmonProps!$F$2:$F$10001) *($AR45 = [2]SalmonProps!$G$2:$G$10001),0), 17))</f>
        <v>0.4698</v>
      </c>
      <c r="G45" s="165" cm="1">
        <f t="array" ref="G45">IF(ISBLANK($AQ45), "", INDEX([2]SalmonProps!$A$2:$AA$10001,MATCH(1,($A45=[2]SalmonProps!$A$2:$A$10001)*(1=[2]SalmonProps!$C$2:$C$10001)*(1=[2]SalmonProps!$D$2:$D$10001)*("A2" = [2]SalmonProps!$B$2:$B$10001)*($AP45 = [2]SalmonProps!$F$2:$F$10001) *($AR45 = [2]SalmonProps!$G$2:$G$10001),0), 17))</f>
        <v>1.72E-2</v>
      </c>
      <c r="H45" s="166" cm="1">
        <f t="array" ref="H45">IF(ISBLANK($AQ45), "", INDEX([2]SalmonProps!$A$2:$AA$10001,MATCH(1,($A45=[2]SalmonProps!$A$2:$A$10001)*(2=[2]SalmonProps!$C$2:$C$10001)*(1=[2]SalmonProps!$D$2:$D$10001)*("A2" = [2]SalmonProps!$B$2:$B$10001)*($AP45 = [2]SalmonProps!$F$2:$F$10001) *($AR45 = [2]SalmonProps!$G$2:$G$10001),0), 17))</f>
        <v>9.4500000000000001E-2</v>
      </c>
      <c r="I45" s="167" cm="1">
        <f t="array" ref="I45">IF(ISBLANK($AQ45), "", INDEX([2]SalmonProps!$A$2:$AA$10001,MATCH(1,($A45=[2]SalmonProps!$A$2:$A$10001)*(3=[2]SalmonProps!$C$2:$C$10001)*(1=[2]SalmonProps!$D$2:$D$10001)*("A2" = [2]SalmonProps!$B$2:$B$10001)*($AP45 = [2]SalmonProps!$F$2:$F$10001) *($AR45 = [2]SalmonProps!$G$2:$G$10001),0), 17))</f>
        <v>0.29139999999999999</v>
      </c>
      <c r="J45" s="164" t="str" cm="1">
        <f t="array" ref="J45">IF(ISBLANK($AQ45), "", INDEX([2]SalmonProps!$A$2:$AA$10001,MATCH(1,($A45=[2]SalmonProps!$A$2:$A$10001)*(1=[2]SalmonProps!$C$2:$C$10001)*(1=[2]SalmonProps!$D$2:$D$10001)*("A1" = [2]SalmonProps!$B$2:$B$10001)*($AP45 = [2]SalmonProps!$F$2:$F$10001) *($AR45 = [2]SalmonProps!$G$2:$G$10001),0), 19))</f>
        <v>NA</v>
      </c>
      <c r="K45" s="165" t="str" cm="1">
        <f t="array" ref="K45">IF(ISBLANK($AQ45), "", INDEX([2]SalmonProps!$A$2:$AA$10001,MATCH(1,($A45=[2]SalmonProps!$A$2:$A$10001)*(1=[2]SalmonProps!$C$2:$C$10001)*(2=[2]SalmonProps!$D$2:$D$10001)*("A1" = [2]SalmonProps!$B$2:$B$10001)*($AP45 = [2]SalmonProps!$F$2:$F$10001) *($AR45 = [2]SalmonProps!$G$2:$G$10001),0), 19))</f>
        <v>NA</v>
      </c>
      <c r="L45" s="165" t="str" cm="1">
        <f t="array" ref="L45">IF(ISBLANK($AQ45), "", INDEX([2]SalmonProps!$A$2:$AA$10001,MATCH(1,($A45=[2]SalmonProps!$A$2:$A$10001)*(1=[2]SalmonProps!$C$2:$C$10001)*("1&amp;2"=[2]SalmonProps!$D$2:$D$10001)*("A1" = [2]SalmonProps!$B$2:$B$10001)*($AP45 = [2]SalmonProps!$F$2:$F$10001) *($AR45 = [2]SalmonProps!$G$2:$G$10001),0), 19))</f>
        <v>NA</v>
      </c>
      <c r="M45" s="165" t="str" cm="1">
        <f t="array" ref="M45">IF(ISBLANK($AQ45), "", INDEX([2]SalmonProps!$A$2:$AA$10001,MATCH(1,($A45=[2]SalmonProps!$A$2:$A$10001)*(2=[2]SalmonProps!$C$2:$C$10001)*(3=[2]SalmonProps!$D$2:$D$10001)*("A1" = [2]SalmonProps!$B$2:$B$10001)*($AP45 = [2]SalmonProps!$F$2:$F$10001) *($AR45 = [2]SalmonProps!$G$2:$G$10001),0), 19))</f>
        <v>NA</v>
      </c>
      <c r="N45" s="181" t="str" cm="1">
        <f t="array" ref="N45">IF(ISBLANK($AQ45), "", INDEX([2]SalmonProps!$A$2:$AA$10001,MATCH(1,($A45=[2]SalmonProps!$A$2:$A$10001)*(3=[2]SalmonProps!$C$2:$C$10001)*(3=[2]SalmonProps!$D$2:$D$10001)*("A1" = [2]SalmonProps!$B$2:$B$10001)*($AP45 = [2]SalmonProps!$F$2:$F$10001) *($AR45 = [2]SalmonProps!$G$2:$G$10001),0), 19))</f>
        <v>NA</v>
      </c>
      <c r="O45" s="165" t="str" cm="1">
        <f t="array" ref="O45">IF(ISBLANK($AQ45), "", INDEX([2]SalmonProps!$A$2:$AA$10001,MATCH(1,($A45=[2]SalmonProps!$A$2:$A$10001)*(1=[2]SalmonProps!$C$2:$C$10001)*(1=[2]SalmonProps!$D$2:$D$10001)*("A2" = [2]SalmonProps!$B$2:$B$10001)*($AP45 = [2]SalmonProps!$F$2:$F$10001) *($AR45 = [2]SalmonProps!$G$2:$G$10001),0), 19))</f>
        <v>NA</v>
      </c>
      <c r="P45" s="165" t="str" cm="1">
        <f t="array" ref="P45">IF(ISBLANK($AQ45), "", INDEX([2]SalmonProps!$A$2:$AA$10001,MATCH(1,($A45=[2]SalmonProps!$A$2:$A$10001)*(2=[2]SalmonProps!$C$2:$C$10001)*(1=[2]SalmonProps!$D$2:$D$10001)*("A2" = [2]SalmonProps!$B$2:$B$10001)*($AP45 = [2]SalmonProps!$F$2:$F$10001) *($AR45 = [2]SalmonProps!$G$2:$G$10001),0), 19))</f>
        <v>NA</v>
      </c>
      <c r="Q45" s="168" t="str" cm="1">
        <f t="array" ref="Q45">IF(ISBLANK($AQ45), "", INDEX([2]SalmonProps!$A$2:$AA$10001,MATCH(1,($A45=[2]SalmonProps!$A$2:$A$10001)*(3=[2]SalmonProps!$C$2:$C$10001)*(1=[2]SalmonProps!$D$2:$D$10001)*("A2" = [2]SalmonProps!$B$2:$B$10001)*($AP45 = [2]SalmonProps!$F$2:$F$10001) *($AR45 = [2]SalmonProps!$G$2:$G$10001),0), 19))</f>
        <v>NA</v>
      </c>
      <c r="R45" s="164" cm="1">
        <f t="array" ref="R45">IF(ISBLANK($AQ45), "", INDEX([2]SalmonProps!$A$2:$AA$10001,MATCH(1,($A45=[2]SalmonProps!$A$2:$A$10001)*(1=[2]SalmonProps!$C$2:$C$10001)*(1=[2]SalmonProps!$D$2:$D$10001)*("A1" = [2]SalmonProps!$B$2:$B$10001)*($AP45 = [2]SalmonProps!$F$2:$F$10001) *($AR45 = [2]SalmonProps!$G$2:$G$10001),0), 18))</f>
        <v>9.6199999999999994E-2</v>
      </c>
      <c r="S45" s="165" cm="1">
        <f t="array" ref="S45">IF(ISBLANK($AQ45), "", INDEX([2]SalmonProps!$A$2:$AA$10001,MATCH(1,($A45=[2]SalmonProps!$A$2:$A$10001)*(1=[2]SalmonProps!$C$2:$C$10001)*(2=[2]SalmonProps!$D$2:$D$10001)*("A1" = [2]SalmonProps!$B$2:$B$10001)*($AP45 = [2]SalmonProps!$F$2:$F$10001) *($AR45 = [2]SalmonProps!$G$2:$G$10001),0), 18))</f>
        <v>7.3700000000000002E-2</v>
      </c>
      <c r="T45" s="165" cm="1">
        <f t="array" ref="T45">IF(ISBLANK($AQ45), "", INDEX([2]SalmonProps!$A$2:$AA$10001,MATCH(1,($A45=[2]SalmonProps!$A$2:$A$10001)*(1=[2]SalmonProps!$C$2:$C$10001)*("1&amp;2"=[2]SalmonProps!$D$2:$D$10001)*("A1" = [2]SalmonProps!$B$2:$B$10001)*($AP45 = [2]SalmonProps!$F$2:$F$10001) *($AR45 = [2]SalmonProps!$G$2:$G$10001),0), 18))</f>
        <v>8.3799999999999999E-2</v>
      </c>
      <c r="U45" s="165" cm="1">
        <f t="array" ref="U45">IF(ISBLANK($AQ45), "", INDEX([2]SalmonProps!$A$2:$AA$10001,MATCH(1,($A45=[2]SalmonProps!$A$2:$A$10001)*(2=[2]SalmonProps!$C$2:$C$10001)*(3=[2]SalmonProps!$D$2:$D$10001)*("A1" = [2]SalmonProps!$B$2:$B$10001)*($AP45 = [2]SalmonProps!$F$2:$F$10001) *($AR45 = [2]SalmonProps!$G$2:$G$10001),0), 18))</f>
        <v>0.30859999999999999</v>
      </c>
      <c r="V45" s="181" cm="1">
        <f t="array" ref="V45">IF(ISBLANK($AQ45), "", INDEX([2]SalmonProps!$A$2:$AA$10001,MATCH(1,($A45=[2]SalmonProps!$A$2:$A$10001)*(3=[2]SalmonProps!$C$2:$C$10001)*(3=[2]SalmonProps!$D$2:$D$10001)*("A1" = [2]SalmonProps!$B$2:$B$10001)*($AP45 = [2]SalmonProps!$F$2:$F$10001) *($AR45 = [2]SalmonProps!$G$2:$G$10001),0), 18))</f>
        <v>0.35920000000000002</v>
      </c>
      <c r="W45" s="180" cm="1">
        <f t="array" ref="W45">IF(ISBLANK($AQ45), "", INDEX([2]SalmonProps!$A$2:$AA$10001,MATCH(1,($A45=[2]SalmonProps!$A$2:$A$10001)*(1=[2]SalmonProps!$C$2:$C$10001)*(1=[2]SalmonProps!$D$2:$D$10001)*("A2" = [2]SalmonProps!$B$2:$B$10001)*($AP45 = [2]SalmonProps!$F$2:$F$10001) *($AR45 = [2]SalmonProps!$G$2:$G$10001),0), 18))</f>
        <v>9.0200000000000002E-2</v>
      </c>
      <c r="X45" s="165" cm="1">
        <f t="array" ref="X45">IF(ISBLANK($AQ45), "", INDEX([2]SalmonProps!$A$2:$AA$10001,MATCH(1,($A45=[2]SalmonProps!$A$2:$A$10001)*(2=[2]SalmonProps!$C$2:$C$10001)*(1=[2]SalmonProps!$D$2:$D$10001)*("A2" = [2]SalmonProps!$B$2:$B$10001)*($AP45 = [2]SalmonProps!$F$2:$F$10001) *($AR45 = [2]SalmonProps!$G$2:$G$10001),0), 18))</f>
        <v>0.26300000000000001</v>
      </c>
      <c r="Y45" s="168" cm="1">
        <f t="array" ref="Y45">IF(ISBLANK($AQ45), "", INDEX([2]SalmonProps!$A$2:$AA$10001,MATCH(1,($A45=[2]SalmonProps!$A$2:$A$10001)*(3=[2]SalmonProps!$C$2:$C$10001)*(1=[2]SalmonProps!$D$2:$D$10001)*("A2" = [2]SalmonProps!$B$2:$B$10001)*($AP45 = [2]SalmonProps!$F$2:$F$10001) *($AR45 = [2]SalmonProps!$G$2:$G$10001),0), 18))</f>
        <v>0.45150000000000001</v>
      </c>
      <c r="Z45" s="164" cm="1">
        <f t="array" ref="Z45">IF(ISBLANK($AQ45), "", INDEX([2]SalmonProps!$A$2:$AA$10001,MATCH(1,($A45=[2]SalmonProps!$A$2:$A$10001)*(1=[2]SalmonProps!$C$2:$C$10001)*(1=[2]SalmonProps!$D$2:$D$10001)*("A1" = [2]SalmonProps!$B$2:$B$10001)*($AP45 = [2]SalmonProps!$F$2:$F$10001) *($AR45 = [2]SalmonProps!$G$2:$G$10001),0), 15))</f>
        <v>0.20169999999999999</v>
      </c>
      <c r="AA45" s="165" cm="1">
        <f t="array" ref="AA45">IF(ISBLANK($AQ45), "", INDEX([2]SalmonProps!$A$2:$AA$10001,MATCH(1,($A45=[2]SalmonProps!$A$2:$A$10001)*(1=[2]SalmonProps!$C$2:$C$10001)*(2=[2]SalmonProps!$D$2:$D$10001)*("A1" = [2]SalmonProps!$B$2:$B$10001)*($AP45 = [2]SalmonProps!$F$2:$F$10001) *($AR45 = [2]SalmonProps!$G$2:$G$10001),0), 15))</f>
        <v>0.2356</v>
      </c>
      <c r="AB45" s="165" cm="1">
        <f t="array" ref="AB45">IF(ISBLANK($AQ45), "", INDEX([2]SalmonProps!$A$2:$AA$10001,MATCH(1,($A45=[2]SalmonProps!$A$2:$A$10001)*(1=[2]SalmonProps!$C$2:$C$10001)*("1&amp;2"=[2]SalmonProps!$D$2:$D$10001)*("A1" = [2]SalmonProps!$B$2:$B$10001)*($AP45 = [2]SalmonProps!$F$2:$F$10001) *($AR45 = [2]SalmonProps!$G$2:$G$10001),0), 15))</f>
        <v>0.21820000000000001</v>
      </c>
      <c r="AC45" s="165" cm="1">
        <f t="array" ref="AC45">IF(ISBLANK($AQ45), "", INDEX([2]SalmonProps!$A$2:$AA$10001,MATCH(1,($A45=[2]SalmonProps!$A$2:$A$10001)*(2=[2]SalmonProps!$C$2:$C$10001)*(3=[2]SalmonProps!$D$2:$D$10001)*("A1" = [2]SalmonProps!$B$2:$B$10001)*($AP45 = [2]SalmonProps!$F$2:$F$10001) *($AR45 = [2]SalmonProps!$G$2:$G$10001),0), 15))</f>
        <v>0.62760000000000005</v>
      </c>
      <c r="AD45" s="181" cm="1">
        <f t="array" ref="AD45">IF(ISBLANK($AQ45), "", INDEX([2]SalmonProps!$A$2:$AA$10001,MATCH(1,($A45=[2]SalmonProps!$A$2:$A$10001)*(3=[2]SalmonProps!$C$2:$C$10001)*(3=[2]SalmonProps!$D$2:$D$10001)*("A1" = [2]SalmonProps!$B$2:$B$10001)*($AP45 = [2]SalmonProps!$F$2:$F$10001) *($AR45 = [2]SalmonProps!$G$2:$G$10001),0), 15))</f>
        <v>0.87239999999999995</v>
      </c>
      <c r="AE45" s="166" cm="1">
        <f t="array" ref="AE45">IF(ISBLANK($AQ45), "", INDEX([2]SalmonProps!$A$2:$AA$10001,MATCH(1,($A45=[2]SalmonProps!$A$2:$A$10001)*(1=[2]SalmonProps!$C$2:$C$10001)*(1=[2]SalmonProps!$D$2:$D$10001)*("A2" = [2]SalmonProps!$B$2:$B$10001)*($AP45 = [2]SalmonProps!$F$2:$F$10001) *($AR45 = [2]SalmonProps!$G$2:$G$10001),0), 15))</f>
        <v>0.12139999999999999</v>
      </c>
      <c r="AF45" s="166" cm="1">
        <f t="array" ref="AF45">IF(ISBLANK($AQ45), "", INDEX([2]SalmonProps!$A$2:$AA$10001,MATCH(1,($A45=[2]SalmonProps!$A$2:$A$10001)*(2=[2]SalmonProps!$C$2:$C$10001)*(1=[2]SalmonProps!$D$2:$D$10001)*("A2" = [2]SalmonProps!$B$2:$B$10001)*($AP45 = [2]SalmonProps!$F$2:$F$10001) *($AR45 = [2]SalmonProps!$G$2:$G$10001),0), 15))</f>
        <v>0.39229999999999998</v>
      </c>
      <c r="AG45" s="167" cm="1">
        <f t="array" ref="AG45">IF(ISBLANK($AQ45), "", INDEX([2]SalmonProps!$A$2:$AA$10001,MATCH(1,($A45=[2]SalmonProps!$A$2:$A$10001)*(3=[2]SalmonProps!$C$2:$C$10001)*(1=[2]SalmonProps!$D$2:$D$10001)*("A2" = [2]SalmonProps!$B$2:$B$10001)*($AP45 = [2]SalmonProps!$F$2:$F$10001) *($AR45 = [2]SalmonProps!$G$2:$G$10001),0), 15))</f>
        <v>0.7429</v>
      </c>
      <c r="AH45" s="173" cm="1">
        <f t="array" ref="AH45">IF(ISBLANK($AQ45), "", INDEX([2]SalmonProps!$A$2:$AA$10001,MATCH(1,($A45=[2]SalmonProps!$A$2:$A$10001)*($AP45 = [2]SalmonProps!$F$2:$F$10001) *($AR45 = [2]SalmonProps!$G$2:$G$10001),0), 24))</f>
        <v>52.4</v>
      </c>
      <c r="AI45" s="183" cm="1">
        <f t="array" ref="AI45">IF(ISBLANK($AQ45), "", INDEX([2]SalmonProps!$A$2:$AA$10001,MATCH(1,($A45=[2]SalmonProps!$A$2:$A$10001)*($AP45 = [2]SalmonProps!$F$2:$F$10001) *($AR45 = [2]SalmonProps!$G$2:$G$10001),0), 25))</f>
        <v>6.8</v>
      </c>
      <c r="AJ45" s="174" cm="1">
        <f t="array" ref="AJ45">IF(ISBLANK($AQ45), "", INDEX([2]SalmonProps!$A$2:$AA$10001,MATCH(1,($A45=[2]SalmonProps!$A$2:$A$10001)*($AP45 = [2]SalmonProps!$F$2:$F$10001) *($AR45 = [2]SalmonProps!$G$2:$G$10001),0), 20))</f>
        <v>59.4</v>
      </c>
      <c r="AK45" s="183" cm="1">
        <f t="array" ref="AK45">IF(ISBLANK($AQ45), "", INDEX([2]SalmonProps!$A$2:$AA$10001,MATCH(1,($A45=[2]SalmonProps!$A$2:$A$10001)*($AP45 = [2]SalmonProps!$F$2:$F$10001) *($AR45 = [2]SalmonProps!$G$2:$G$10001),0), 21))</f>
        <v>4.8</v>
      </c>
      <c r="AL45" s="174" cm="1">
        <f t="array" ref="AL45">IF(ISBLANK($AQ45), "", INDEX([2]SalmonProps!$A$2:$AA$10001,MATCH(1,($A45=[2]SalmonProps!$A$2:$A$10001)*($AP45 = [2]SalmonProps!$F$2:$F$10001) *($AR45 = [2]SalmonProps!$G$2:$G$10001),0), 22))</f>
        <v>74.900000000000006</v>
      </c>
      <c r="AM45" s="183" cm="1">
        <f t="array" ref="AM45">IF(ISBLANK($AQ45), "", INDEX([2]SalmonProps!$A$2:$AA$10001,MATCH(1,($A45=[2]SalmonProps!$A$2:$A$10001)*($AP45 = [2]SalmonProps!$F$2:$F$10001) *($AR45 = [2]SalmonProps!$G$2:$G$10001),0), 23))</f>
        <v>7.6</v>
      </c>
      <c r="AN45" s="174" t="str" cm="1">
        <f t="array" ref="AN45">IF(ISBLANK($AQ45), "", INDEX([2]SalmonProps!$A$2:$AA$10001,MATCH(1,($A45=[2]SalmonProps!$A$2:$A$10001)*($AP45 = [2]SalmonProps!$F$2:$F$10001) *($AR45 = [2]SalmonProps!$G$2:$G$10001),0), 26))</f>
        <v>NA</v>
      </c>
      <c r="AO45" s="175" t="str" cm="1">
        <f t="array" ref="AO45">IF(ISBLANK($AQ45), "", INDEX([2]SalmonProps!$A$2:$AA$10001,MATCH(1,($A45=[2]SalmonProps!$A$2:$A$10001)*($AP45 = [2]SalmonProps!$F$2:$F$10001) *($AR45 = [2]SalmonProps!$G$2:$G$10001),0), 27))</f>
        <v>NA</v>
      </c>
      <c r="AP45" s="112">
        <v>4</v>
      </c>
      <c r="AQ45" s="112" t="s">
        <v>133</v>
      </c>
      <c r="AR45" s="112" t="str">
        <f t="shared" si="1"/>
        <v>Unweighted</v>
      </c>
    </row>
    <row r="46" spans="1:44" x14ac:dyDescent="0.3">
      <c r="A46" s="20">
        <f>'[1]Passage Estimates'!$A46</f>
        <v>45148</v>
      </c>
      <c r="B46" s="164" cm="1">
        <f t="array" ref="B46">IF(ISBLANK($AQ46), "", INDEX([2]SalmonProps!$A$2:$AA$10001,MATCH(1,($A46=[2]SalmonProps!$A$2:$A$10001)*(1=[2]SalmonProps!$C$2:$C$10001)*(1=[2]SalmonProps!$D$2:$D$10001)*("A1" = [2]SalmonProps!$B$2:$B$10001)*($AP46 = [2]SalmonProps!$F$2:$F$10001) *($AR46 = [2]SalmonProps!$G$2:$G$10001),0), 17))</f>
        <v>6.4000000000000003E-3</v>
      </c>
      <c r="C46" s="165" cm="1">
        <f t="array" ref="C46">IF(ISBLANK($AQ46), "", INDEX([2]SalmonProps!$A$2:$AA$10001,MATCH(1,($A46=[2]SalmonProps!$A$2:$A$10001)*(1=[2]SalmonProps!$C$2:$C$10001)*(2=[2]SalmonProps!$D$2:$D$10001)*("A1" = [2]SalmonProps!$B$2:$B$10001)*($AP46 = [2]SalmonProps!$F$2:$F$10001) *($AR46 = [2]SalmonProps!$G$2:$G$10001),0), 17))</f>
        <v>2.8E-3</v>
      </c>
      <c r="D46" s="165" cm="1">
        <f t="array" ref="D46">IF(ISBLANK($AQ46), "", INDEX([2]SalmonProps!$A$2:$AA$10001,MATCH(1,($A46=[2]SalmonProps!$A$2:$A$10001)*(1=[2]SalmonProps!$C$2:$C$10001)*("1&amp;2"=[2]SalmonProps!$D$2:$D$10001)*("A1" = [2]SalmonProps!$B$2:$B$10001)*($AP46 = [2]SalmonProps!$F$2:$F$10001) *($AR46 = [2]SalmonProps!$G$2:$G$10001),0), 17))</f>
        <v>4.4999999999999997E-3</v>
      </c>
      <c r="E46" s="181" cm="1">
        <f t="array" ref="E46">IF(ISBLANK($AQ46), "", INDEX([2]SalmonProps!$A$2:$AA$10001,MATCH(1,($A46=[2]SalmonProps!$A$2:$A$10001)*(2=[2]SalmonProps!$C$2:$C$10001)*(3=[2]SalmonProps!$D$2:$D$10001)*("A1" = [2]SalmonProps!$B$2:$B$10001)*($AP46 = [2]SalmonProps!$F$2:$F$10001) *($AR46 = [2]SalmonProps!$G$2:$G$10001),0), 17))</f>
        <v>0.21010000000000001</v>
      </c>
      <c r="F46" s="165" cm="1">
        <f t="array" ref="F46">IF(ISBLANK($AQ46), "", INDEX([2]SalmonProps!$A$2:$AA$10001,MATCH(1,($A46=[2]SalmonProps!$A$2:$A$10001)*(3=[2]SalmonProps!$C$2:$C$10001)*(3=[2]SalmonProps!$D$2:$D$10001)*("A1" = [2]SalmonProps!$B$2:$B$10001)*($AP46 = [2]SalmonProps!$F$2:$F$10001) *($AR46 = [2]SalmonProps!$G$2:$G$10001),0), 17))</f>
        <v>0.37440000000000001</v>
      </c>
      <c r="G46" s="165" cm="1">
        <f t="array" ref="G46">IF(ISBLANK($AQ46), "", INDEX([2]SalmonProps!$A$2:$AA$10001,MATCH(1,($A46=[2]SalmonProps!$A$2:$A$10001)*(1=[2]SalmonProps!$C$2:$C$10001)*(1=[2]SalmonProps!$D$2:$D$10001)*("A2" = [2]SalmonProps!$B$2:$B$10001)*($AP46 = [2]SalmonProps!$F$2:$F$10001) *($AR46 = [2]SalmonProps!$G$2:$G$10001),0), 17))</f>
        <v>1.72E-2</v>
      </c>
      <c r="H46" s="166" cm="1">
        <f t="array" ref="H46">IF(ISBLANK($AQ46), "", INDEX([2]SalmonProps!$A$2:$AA$10001,MATCH(1,($A46=[2]SalmonProps!$A$2:$A$10001)*(2=[2]SalmonProps!$C$2:$C$10001)*(1=[2]SalmonProps!$D$2:$D$10001)*("A2" = [2]SalmonProps!$B$2:$B$10001)*($AP46 = [2]SalmonProps!$F$2:$F$10001) *($AR46 = [2]SalmonProps!$G$2:$G$10001),0), 17))</f>
        <v>9.4500000000000001E-2</v>
      </c>
      <c r="I46" s="167" cm="1">
        <f t="array" ref="I46">IF(ISBLANK($AQ46), "", INDEX([2]SalmonProps!$A$2:$AA$10001,MATCH(1,($A46=[2]SalmonProps!$A$2:$A$10001)*(3=[2]SalmonProps!$C$2:$C$10001)*(1=[2]SalmonProps!$D$2:$D$10001)*("A2" = [2]SalmonProps!$B$2:$B$10001)*($AP46 = [2]SalmonProps!$F$2:$F$10001) *($AR46 = [2]SalmonProps!$G$2:$G$10001),0), 17))</f>
        <v>0.29139999999999999</v>
      </c>
      <c r="J46" s="164" t="str" cm="1">
        <f t="array" ref="J46">IF(ISBLANK($AQ46), "", INDEX([2]SalmonProps!$A$2:$AA$10001,MATCH(1,($A46=[2]SalmonProps!$A$2:$A$10001)*(1=[2]SalmonProps!$C$2:$C$10001)*(1=[2]SalmonProps!$D$2:$D$10001)*("A1" = [2]SalmonProps!$B$2:$B$10001)*($AP46 = [2]SalmonProps!$F$2:$F$10001) *($AR46 = [2]SalmonProps!$G$2:$G$10001),0), 19))</f>
        <v>NA</v>
      </c>
      <c r="K46" s="172" t="str" cm="1">
        <f t="array" ref="K46">IF(ISBLANK($AQ46), "", INDEX([2]SalmonProps!$A$2:$AA$10001,MATCH(1,($A46=[2]SalmonProps!$A$2:$A$10001)*(1=[2]SalmonProps!$C$2:$C$10001)*(2=[2]SalmonProps!$D$2:$D$10001)*("A1" = [2]SalmonProps!$B$2:$B$10001)*($AP46 = [2]SalmonProps!$F$2:$F$10001) *($AR46 = [2]SalmonProps!$G$2:$G$10001),0), 19))</f>
        <v>NA</v>
      </c>
      <c r="L46" s="165" t="str" cm="1">
        <f t="array" ref="L46">IF(ISBLANK($AQ46), "", INDEX([2]SalmonProps!$A$2:$AA$10001,MATCH(1,($A46=[2]SalmonProps!$A$2:$A$10001)*(1=[2]SalmonProps!$C$2:$C$10001)*("1&amp;2"=[2]SalmonProps!$D$2:$D$10001)*("A1" = [2]SalmonProps!$B$2:$B$10001)*($AP46 = [2]SalmonProps!$F$2:$F$10001) *($AR46 = [2]SalmonProps!$G$2:$G$10001),0), 19))</f>
        <v>NA</v>
      </c>
      <c r="M46" s="165" t="str" cm="1">
        <f t="array" ref="M46">IF(ISBLANK($AQ46), "", INDEX([2]SalmonProps!$A$2:$AA$10001,MATCH(1,($A46=[2]SalmonProps!$A$2:$A$10001)*(2=[2]SalmonProps!$C$2:$C$10001)*(3=[2]SalmonProps!$D$2:$D$10001)*("A1" = [2]SalmonProps!$B$2:$B$10001)*($AP46 = [2]SalmonProps!$F$2:$F$10001) *($AR46 = [2]SalmonProps!$G$2:$G$10001),0), 19))</f>
        <v>NA</v>
      </c>
      <c r="N46" s="181" t="str" cm="1">
        <f t="array" ref="N46">IF(ISBLANK($AQ46), "", INDEX([2]SalmonProps!$A$2:$AA$10001,MATCH(1,($A46=[2]SalmonProps!$A$2:$A$10001)*(3=[2]SalmonProps!$C$2:$C$10001)*(3=[2]SalmonProps!$D$2:$D$10001)*("A1" = [2]SalmonProps!$B$2:$B$10001)*($AP46 = [2]SalmonProps!$F$2:$F$10001) *($AR46 = [2]SalmonProps!$G$2:$G$10001),0), 19))</f>
        <v>NA</v>
      </c>
      <c r="O46" s="165" t="str" cm="1">
        <f t="array" ref="O46">IF(ISBLANK($AQ46), "", INDEX([2]SalmonProps!$A$2:$AA$10001,MATCH(1,($A46=[2]SalmonProps!$A$2:$A$10001)*(1=[2]SalmonProps!$C$2:$C$10001)*(1=[2]SalmonProps!$D$2:$D$10001)*("A2" = [2]SalmonProps!$B$2:$B$10001)*($AP46 = [2]SalmonProps!$F$2:$F$10001) *($AR46 = [2]SalmonProps!$G$2:$G$10001),0), 19))</f>
        <v>NA</v>
      </c>
      <c r="P46" s="165" t="str" cm="1">
        <f t="array" ref="P46">IF(ISBLANK($AQ46), "", INDEX([2]SalmonProps!$A$2:$AA$10001,MATCH(1,($A46=[2]SalmonProps!$A$2:$A$10001)*(2=[2]SalmonProps!$C$2:$C$10001)*(1=[2]SalmonProps!$D$2:$D$10001)*("A2" = [2]SalmonProps!$B$2:$B$10001)*($AP46 = [2]SalmonProps!$F$2:$F$10001) *($AR46 = [2]SalmonProps!$G$2:$G$10001),0), 19))</f>
        <v>NA</v>
      </c>
      <c r="Q46" s="168" t="str" cm="1">
        <f t="array" ref="Q46">IF(ISBLANK($AQ46), "", INDEX([2]SalmonProps!$A$2:$AA$10001,MATCH(1,($A46=[2]SalmonProps!$A$2:$A$10001)*(3=[2]SalmonProps!$C$2:$C$10001)*(1=[2]SalmonProps!$D$2:$D$10001)*("A2" = [2]SalmonProps!$B$2:$B$10001)*($AP46 = [2]SalmonProps!$F$2:$F$10001) *($AR46 = [2]SalmonProps!$G$2:$G$10001),0), 19))</f>
        <v>NA</v>
      </c>
      <c r="R46" s="164" cm="1">
        <f t="array" ref="R46">IF(ISBLANK($AQ46), "", INDEX([2]SalmonProps!$A$2:$AA$10001,MATCH(1,($A46=[2]SalmonProps!$A$2:$A$10001)*(1=[2]SalmonProps!$C$2:$C$10001)*(1=[2]SalmonProps!$D$2:$D$10001)*("A1" = [2]SalmonProps!$B$2:$B$10001)*($AP46 = [2]SalmonProps!$F$2:$F$10001) *($AR46 = [2]SalmonProps!$G$2:$G$10001),0), 18))</f>
        <v>0.1419</v>
      </c>
      <c r="S46" s="165" cm="1">
        <f t="array" ref="S46">IF(ISBLANK($AQ46), "", INDEX([2]SalmonProps!$A$2:$AA$10001,MATCH(1,($A46=[2]SalmonProps!$A$2:$A$10001)*(1=[2]SalmonProps!$C$2:$C$10001)*(2=[2]SalmonProps!$D$2:$D$10001)*("A1" = [2]SalmonProps!$B$2:$B$10001)*($AP46 = [2]SalmonProps!$F$2:$F$10001) *($AR46 = [2]SalmonProps!$G$2:$G$10001),0), 18))</f>
        <v>0.15310000000000001</v>
      </c>
      <c r="T46" s="165" cm="1">
        <f t="array" ref="T46">IF(ISBLANK($AQ46), "", INDEX([2]SalmonProps!$A$2:$AA$10001,MATCH(1,($A46=[2]SalmonProps!$A$2:$A$10001)*(1=[2]SalmonProps!$C$2:$C$10001)*("1&amp;2"=[2]SalmonProps!$D$2:$D$10001)*("A1" = [2]SalmonProps!$B$2:$B$10001)*($AP46 = [2]SalmonProps!$F$2:$F$10001) *($AR46 = [2]SalmonProps!$G$2:$G$10001),0), 18))</f>
        <v>0.14149999999999999</v>
      </c>
      <c r="U46" s="165" cm="1">
        <f t="array" ref="U46">IF(ISBLANK($AQ46), "", INDEX([2]SalmonProps!$A$2:$AA$10001,MATCH(1,($A46=[2]SalmonProps!$A$2:$A$10001)*(2=[2]SalmonProps!$C$2:$C$10001)*(3=[2]SalmonProps!$D$2:$D$10001)*("A1" = [2]SalmonProps!$B$2:$B$10001)*($AP46 = [2]SalmonProps!$F$2:$F$10001) *($AR46 = [2]SalmonProps!$G$2:$G$10001),0), 18))</f>
        <v>0.1138</v>
      </c>
      <c r="V46" s="181" cm="1">
        <f t="array" ref="V46">IF(ISBLANK($AQ46), "", INDEX([2]SalmonProps!$A$2:$AA$10001,MATCH(1,($A46=[2]SalmonProps!$A$2:$A$10001)*(3=[2]SalmonProps!$C$2:$C$10001)*(3=[2]SalmonProps!$D$2:$D$10001)*("A1" = [2]SalmonProps!$B$2:$B$10001)*($AP46 = [2]SalmonProps!$F$2:$F$10001) *($AR46 = [2]SalmonProps!$G$2:$G$10001),0), 18))</f>
        <v>0.34250000000000003</v>
      </c>
      <c r="W46" s="180" cm="1">
        <f t="array" ref="W46">IF(ISBLANK($AQ46), "", INDEX([2]SalmonProps!$A$2:$AA$10001,MATCH(1,($A46=[2]SalmonProps!$A$2:$A$10001)*(1=[2]SalmonProps!$C$2:$C$10001)*(1=[2]SalmonProps!$D$2:$D$10001)*("A2" = [2]SalmonProps!$B$2:$B$10001)*($AP46 = [2]SalmonProps!$F$2:$F$10001) *($AR46 = [2]SalmonProps!$G$2:$G$10001),0), 18))</f>
        <v>9.0200000000000002E-2</v>
      </c>
      <c r="X46" s="165" cm="1">
        <f t="array" ref="X46">IF(ISBLANK($AQ46), "", INDEX([2]SalmonProps!$A$2:$AA$10001,MATCH(1,($A46=[2]SalmonProps!$A$2:$A$10001)*(2=[2]SalmonProps!$C$2:$C$10001)*(1=[2]SalmonProps!$D$2:$D$10001)*("A2" = [2]SalmonProps!$B$2:$B$10001)*($AP46 = [2]SalmonProps!$F$2:$F$10001) *($AR46 = [2]SalmonProps!$G$2:$G$10001),0), 18))</f>
        <v>0.26300000000000001</v>
      </c>
      <c r="Y46" s="168" cm="1">
        <f t="array" ref="Y46">IF(ISBLANK($AQ46), "", INDEX([2]SalmonProps!$A$2:$AA$10001,MATCH(1,($A46=[2]SalmonProps!$A$2:$A$10001)*(3=[2]SalmonProps!$C$2:$C$10001)*(1=[2]SalmonProps!$D$2:$D$10001)*("A2" = [2]SalmonProps!$B$2:$B$10001)*($AP46 = [2]SalmonProps!$F$2:$F$10001) *($AR46 = [2]SalmonProps!$G$2:$G$10001),0), 18))</f>
        <v>0.45150000000000001</v>
      </c>
      <c r="Z46" s="164" cm="1">
        <f t="array" ref="Z46">IF(ISBLANK($AQ46), "", INDEX([2]SalmonProps!$A$2:$AA$10001,MATCH(1,($A46=[2]SalmonProps!$A$2:$A$10001)*(1=[2]SalmonProps!$C$2:$C$10001)*(1=[2]SalmonProps!$D$2:$D$10001)*("A1" = [2]SalmonProps!$B$2:$B$10001)*($AP46 = [2]SalmonProps!$F$2:$F$10001) *($AR46 = [2]SalmonProps!$G$2:$G$10001),0), 15))</f>
        <v>0.314</v>
      </c>
      <c r="AA46" s="165" cm="1">
        <f t="array" ref="AA46">IF(ISBLANK($AQ46), "", INDEX([2]SalmonProps!$A$2:$AA$10001,MATCH(1,($A46=[2]SalmonProps!$A$2:$A$10001)*(1=[2]SalmonProps!$C$2:$C$10001)*(2=[2]SalmonProps!$D$2:$D$10001)*("A1" = [2]SalmonProps!$B$2:$B$10001)*($AP46 = [2]SalmonProps!$F$2:$F$10001) *($AR46 = [2]SalmonProps!$G$2:$G$10001),0), 15))</f>
        <v>0.55130000000000001</v>
      </c>
      <c r="AB46" s="165" cm="1">
        <f t="array" ref="AB46">IF(ISBLANK($AQ46), "", INDEX([2]SalmonProps!$A$2:$AA$10001,MATCH(1,($A46=[2]SalmonProps!$A$2:$A$10001)*(1=[2]SalmonProps!$C$2:$C$10001)*("1&amp;2"=[2]SalmonProps!$D$2:$D$10001)*("A1" = [2]SalmonProps!$B$2:$B$10001)*($AP46 = [2]SalmonProps!$F$2:$F$10001) *($AR46 = [2]SalmonProps!$G$2:$G$10001),0), 15))</f>
        <v>0.43369999999999997</v>
      </c>
      <c r="AC46" s="165" cm="1">
        <f t="array" ref="AC46">IF(ISBLANK($AQ46), "", INDEX([2]SalmonProps!$A$2:$AA$10001,MATCH(1,($A46=[2]SalmonProps!$A$2:$A$10001)*(2=[2]SalmonProps!$C$2:$C$10001)*(3=[2]SalmonProps!$D$2:$D$10001)*("A1" = [2]SalmonProps!$B$2:$B$10001)*($AP46 = [2]SalmonProps!$F$2:$F$10001) *($AR46 = [2]SalmonProps!$G$2:$G$10001),0), 15))</f>
        <v>0.8286</v>
      </c>
      <c r="AD46" s="181" cm="1">
        <f t="array" ref="AD46">IF(ISBLANK($AQ46), "", INDEX([2]SalmonProps!$A$2:$AA$10001,MATCH(1,($A46=[2]SalmonProps!$A$2:$A$10001)*(3=[2]SalmonProps!$C$2:$C$10001)*(3=[2]SalmonProps!$D$2:$D$10001)*("A1" = [2]SalmonProps!$B$2:$B$10001)*($AP46 = [2]SalmonProps!$F$2:$F$10001) *($AR46 = [2]SalmonProps!$G$2:$G$10001),0), 15))</f>
        <v>0.85619999999999996</v>
      </c>
      <c r="AE46" s="166" cm="1">
        <f t="array" ref="AE46">IF(ISBLANK($AQ46), "", INDEX([2]SalmonProps!$A$2:$AA$10001,MATCH(1,($A46=[2]SalmonProps!$A$2:$A$10001)*(1=[2]SalmonProps!$C$2:$C$10001)*(1=[2]SalmonProps!$D$2:$D$10001)*("A2" = [2]SalmonProps!$B$2:$B$10001)*($AP46 = [2]SalmonProps!$F$2:$F$10001) *($AR46 = [2]SalmonProps!$G$2:$G$10001),0), 15))</f>
        <v>0.12139999999999999</v>
      </c>
      <c r="AF46" s="166" cm="1">
        <f t="array" ref="AF46">IF(ISBLANK($AQ46), "", INDEX([2]SalmonProps!$A$2:$AA$10001,MATCH(1,($A46=[2]SalmonProps!$A$2:$A$10001)*(2=[2]SalmonProps!$C$2:$C$10001)*(1=[2]SalmonProps!$D$2:$D$10001)*("A2" = [2]SalmonProps!$B$2:$B$10001)*($AP46 = [2]SalmonProps!$F$2:$F$10001) *($AR46 = [2]SalmonProps!$G$2:$G$10001),0), 15))</f>
        <v>0.39229999999999998</v>
      </c>
      <c r="AG46" s="167" cm="1">
        <f t="array" ref="AG46">IF(ISBLANK($AQ46), "", INDEX([2]SalmonProps!$A$2:$AA$10001,MATCH(1,($A46=[2]SalmonProps!$A$2:$A$10001)*(3=[2]SalmonProps!$C$2:$C$10001)*(1=[2]SalmonProps!$D$2:$D$10001)*("A2" = [2]SalmonProps!$B$2:$B$10001)*($AP46 = [2]SalmonProps!$F$2:$F$10001) *($AR46 = [2]SalmonProps!$G$2:$G$10001),0), 15))</f>
        <v>0.7429</v>
      </c>
      <c r="AH46" s="173" cm="1">
        <f t="array" ref="AH46">IF(ISBLANK($AQ46), "", INDEX([2]SalmonProps!$A$2:$AA$10001,MATCH(1,($A46=[2]SalmonProps!$A$2:$A$10001)*($AP46 = [2]SalmonProps!$F$2:$F$10001) *($AR46 = [2]SalmonProps!$G$2:$G$10001),0), 24))</f>
        <v>51.9</v>
      </c>
      <c r="AI46" s="183" cm="1">
        <f t="array" ref="AI46">IF(ISBLANK($AQ46), "", INDEX([2]SalmonProps!$A$2:$AA$10001,MATCH(1,($A46=[2]SalmonProps!$A$2:$A$10001)*($AP46 = [2]SalmonProps!$F$2:$F$10001) *($AR46 = [2]SalmonProps!$G$2:$G$10001),0), 25))</f>
        <v>6.7</v>
      </c>
      <c r="AJ46" s="174" cm="1">
        <f t="array" ref="AJ46">IF(ISBLANK($AQ46), "", INDEX([2]SalmonProps!$A$2:$AA$10001,MATCH(1,($A46=[2]SalmonProps!$A$2:$A$10001)*($AP46 = [2]SalmonProps!$F$2:$F$10001) *($AR46 = [2]SalmonProps!$G$2:$G$10001),0), 20))</f>
        <v>59.4</v>
      </c>
      <c r="AK46" s="183" cm="1">
        <f t="array" ref="AK46">IF(ISBLANK($AQ46), "", INDEX([2]SalmonProps!$A$2:$AA$10001,MATCH(1,($A46=[2]SalmonProps!$A$2:$A$10001)*($AP46 = [2]SalmonProps!$F$2:$F$10001) *($AR46 = [2]SalmonProps!$G$2:$G$10001),0), 21))</f>
        <v>4.8</v>
      </c>
      <c r="AL46" s="174" cm="1">
        <f t="array" ref="AL46">IF(ISBLANK($AQ46), "", INDEX([2]SalmonProps!$A$2:$AA$10001,MATCH(1,($A46=[2]SalmonProps!$A$2:$A$10001)*($AP46 = [2]SalmonProps!$F$2:$F$10001) *($AR46 = [2]SalmonProps!$G$2:$G$10001),0), 22))</f>
        <v>74.900000000000006</v>
      </c>
      <c r="AM46" s="183" cm="1">
        <f t="array" ref="AM46">IF(ISBLANK($AQ46), "", INDEX([2]SalmonProps!$A$2:$AA$10001,MATCH(1,($A46=[2]SalmonProps!$A$2:$A$10001)*($AP46 = [2]SalmonProps!$F$2:$F$10001) *($AR46 = [2]SalmonProps!$G$2:$G$10001),0), 23))</f>
        <v>7.6</v>
      </c>
      <c r="AN46" s="174" t="str" cm="1">
        <f t="array" ref="AN46">IF(ISBLANK($AQ46), "", INDEX([2]SalmonProps!$A$2:$AA$10001,MATCH(1,($A46=[2]SalmonProps!$A$2:$A$10001)*($AP46 = [2]SalmonProps!$F$2:$F$10001) *($AR46 = [2]SalmonProps!$G$2:$G$10001),0), 26))</f>
        <v>NA</v>
      </c>
      <c r="AO46" s="175" t="str" cm="1">
        <f t="array" ref="AO46">IF(ISBLANK($AQ46), "", INDEX([2]SalmonProps!$A$2:$AA$10001,MATCH(1,($A46=[2]SalmonProps!$A$2:$A$10001)*($AP46 = [2]SalmonProps!$F$2:$F$10001) *($AR46 = [2]SalmonProps!$G$2:$G$10001),0), 27))</f>
        <v>NA</v>
      </c>
      <c r="AP46" s="112">
        <v>4</v>
      </c>
      <c r="AQ46" s="112" t="s">
        <v>133</v>
      </c>
      <c r="AR46" s="112" t="str">
        <f t="shared" si="1"/>
        <v>Unweighted</v>
      </c>
    </row>
    <row r="47" spans="1:44" x14ac:dyDescent="0.3">
      <c r="A47" s="20">
        <f>'[1]Passage Estimates'!$A47</f>
        <v>45149</v>
      </c>
      <c r="B47" s="164" cm="1">
        <f t="array" ref="B47">IF(ISBLANK($AQ47), "", INDEX([2]SalmonProps!$A$2:$AA$10001,MATCH(1,($A47=[2]SalmonProps!$A$2:$A$10001)*(1=[2]SalmonProps!$C$2:$C$10001)*(1=[2]SalmonProps!$D$2:$D$10001)*("A1" = [2]SalmonProps!$B$2:$B$10001)*($AP47 = [2]SalmonProps!$F$2:$F$10001) *($AR47 = [2]SalmonProps!$G$2:$G$10001),0), 17))</f>
        <v>9.7999999999999997E-3</v>
      </c>
      <c r="C47" s="165" cm="1">
        <f t="array" ref="C47">IF(ISBLANK($AQ47), "", INDEX([2]SalmonProps!$A$2:$AA$10001,MATCH(1,($A47=[2]SalmonProps!$A$2:$A$10001)*(1=[2]SalmonProps!$C$2:$C$10001)*(2=[2]SalmonProps!$D$2:$D$10001)*("A1" = [2]SalmonProps!$B$2:$B$10001)*($AP47 = [2]SalmonProps!$F$2:$F$10001) *($AR47 = [2]SalmonProps!$G$2:$G$10001),0), 17))</f>
        <v>4.1599999999999998E-2</v>
      </c>
      <c r="D47" s="165" cm="1">
        <f t="array" ref="D47">IF(ISBLANK($AQ47), "", INDEX([2]SalmonProps!$A$2:$AA$10001,MATCH(1,($A47=[2]SalmonProps!$A$2:$A$10001)*(1=[2]SalmonProps!$C$2:$C$10001)*("1&amp;2"=[2]SalmonProps!$D$2:$D$10001)*("A1" = [2]SalmonProps!$B$2:$B$10001)*($AP47 = [2]SalmonProps!$F$2:$F$10001) *($AR47 = [2]SalmonProps!$G$2:$G$10001),0), 17))</f>
        <v>2.8899999999999999E-2</v>
      </c>
      <c r="E47" s="181" cm="1">
        <f t="array" ref="E47">IF(ISBLANK($AQ47), "", INDEX([2]SalmonProps!$A$2:$AA$10001,MATCH(1,($A47=[2]SalmonProps!$A$2:$A$10001)*(2=[2]SalmonProps!$C$2:$C$10001)*(3=[2]SalmonProps!$D$2:$D$10001)*("A1" = [2]SalmonProps!$B$2:$B$10001)*($AP47 = [2]SalmonProps!$F$2:$F$10001) *($AR47 = [2]SalmonProps!$G$2:$G$10001),0), 17))</f>
        <v>0.34250000000000003</v>
      </c>
      <c r="F47" s="165" cm="1">
        <f t="array" ref="F47">IF(ISBLANK($AQ47), "", INDEX([2]SalmonProps!$A$2:$AA$10001,MATCH(1,($A47=[2]SalmonProps!$A$2:$A$10001)*(3=[2]SalmonProps!$C$2:$C$10001)*(3=[2]SalmonProps!$D$2:$D$10001)*("A1" = [2]SalmonProps!$B$2:$B$10001)*($AP47 = [2]SalmonProps!$F$2:$F$10001) *($AR47 = [2]SalmonProps!$G$2:$G$10001),0), 17))</f>
        <v>0.56969999999999998</v>
      </c>
      <c r="G47" s="165" cm="1">
        <f t="array" ref="G47">IF(ISBLANK($AQ47), "", INDEX([2]SalmonProps!$A$2:$AA$10001,MATCH(1,($A47=[2]SalmonProps!$A$2:$A$10001)*(1=[2]SalmonProps!$C$2:$C$10001)*(1=[2]SalmonProps!$D$2:$D$10001)*("A2" = [2]SalmonProps!$B$2:$B$10001)*($AP47 = [2]SalmonProps!$F$2:$F$10001) *($AR47 = [2]SalmonProps!$G$2:$G$10001),0), 17))</f>
        <v>4.9000000000000002E-2</v>
      </c>
      <c r="H47" s="166" cm="1">
        <f t="array" ref="H47">IF(ISBLANK($AQ47), "", INDEX([2]SalmonProps!$A$2:$AA$10001,MATCH(1,($A47=[2]SalmonProps!$A$2:$A$10001)*(2=[2]SalmonProps!$C$2:$C$10001)*(1=[2]SalmonProps!$D$2:$D$10001)*("A2" = [2]SalmonProps!$B$2:$B$10001)*($AP47 = [2]SalmonProps!$F$2:$F$10001) *($AR47 = [2]SalmonProps!$G$2:$G$10001),0), 17))</f>
        <v>0.1037</v>
      </c>
      <c r="I47" s="167" cm="1">
        <f t="array" ref="I47">IF(ISBLANK($AQ47), "", INDEX([2]SalmonProps!$A$2:$AA$10001,MATCH(1,($A47=[2]SalmonProps!$A$2:$A$10001)*(3=[2]SalmonProps!$C$2:$C$10001)*(1=[2]SalmonProps!$D$2:$D$10001)*("A2" = [2]SalmonProps!$B$2:$B$10001)*($AP47 = [2]SalmonProps!$F$2:$F$10001) *($AR47 = [2]SalmonProps!$G$2:$G$10001),0), 17))</f>
        <v>9.1800000000000007E-2</v>
      </c>
      <c r="J47" s="164" t="str" cm="1">
        <f t="array" ref="J47">IF(ISBLANK($AQ47), "", INDEX([2]SalmonProps!$A$2:$AA$10001,MATCH(1,($A47=[2]SalmonProps!$A$2:$A$10001)*(1=[2]SalmonProps!$C$2:$C$10001)*(1=[2]SalmonProps!$D$2:$D$10001)*("A1" = [2]SalmonProps!$B$2:$B$10001)*($AP47 = [2]SalmonProps!$F$2:$F$10001) *($AR47 = [2]SalmonProps!$G$2:$G$10001),0), 19))</f>
        <v>NA</v>
      </c>
      <c r="K47" s="165" t="str" cm="1">
        <f t="array" ref="K47">IF(ISBLANK($AQ47), "", INDEX([2]SalmonProps!$A$2:$AA$10001,MATCH(1,($A47=[2]SalmonProps!$A$2:$A$10001)*(1=[2]SalmonProps!$C$2:$C$10001)*(2=[2]SalmonProps!$D$2:$D$10001)*("A1" = [2]SalmonProps!$B$2:$B$10001)*($AP47 = [2]SalmonProps!$F$2:$F$10001) *($AR47 = [2]SalmonProps!$G$2:$G$10001),0), 19))</f>
        <v>NA</v>
      </c>
      <c r="L47" s="165" t="str" cm="1">
        <f t="array" ref="L47">IF(ISBLANK($AQ47), "", INDEX([2]SalmonProps!$A$2:$AA$10001,MATCH(1,($A47=[2]SalmonProps!$A$2:$A$10001)*(1=[2]SalmonProps!$C$2:$C$10001)*("1&amp;2"=[2]SalmonProps!$D$2:$D$10001)*("A1" = [2]SalmonProps!$B$2:$B$10001)*($AP47 = [2]SalmonProps!$F$2:$F$10001) *($AR47 = [2]SalmonProps!$G$2:$G$10001),0), 19))</f>
        <v>NA</v>
      </c>
      <c r="M47" s="165" t="str" cm="1">
        <f t="array" ref="M47">IF(ISBLANK($AQ47), "", INDEX([2]SalmonProps!$A$2:$AA$10001,MATCH(1,($A47=[2]SalmonProps!$A$2:$A$10001)*(2=[2]SalmonProps!$C$2:$C$10001)*(3=[2]SalmonProps!$D$2:$D$10001)*("A1" = [2]SalmonProps!$B$2:$B$10001)*($AP47 = [2]SalmonProps!$F$2:$F$10001) *($AR47 = [2]SalmonProps!$G$2:$G$10001),0), 19))</f>
        <v>NA</v>
      </c>
      <c r="N47" s="181" t="str" cm="1">
        <f t="array" ref="N47">IF(ISBLANK($AQ47), "", INDEX([2]SalmonProps!$A$2:$AA$10001,MATCH(1,($A47=[2]SalmonProps!$A$2:$A$10001)*(3=[2]SalmonProps!$C$2:$C$10001)*(3=[2]SalmonProps!$D$2:$D$10001)*("A1" = [2]SalmonProps!$B$2:$B$10001)*($AP47 = [2]SalmonProps!$F$2:$F$10001) *($AR47 = [2]SalmonProps!$G$2:$G$10001),0), 19))</f>
        <v>NA</v>
      </c>
      <c r="O47" s="165" t="str" cm="1">
        <f t="array" ref="O47">IF(ISBLANK($AQ47), "", INDEX([2]SalmonProps!$A$2:$AA$10001,MATCH(1,($A47=[2]SalmonProps!$A$2:$A$10001)*(1=[2]SalmonProps!$C$2:$C$10001)*(1=[2]SalmonProps!$D$2:$D$10001)*("A2" = [2]SalmonProps!$B$2:$B$10001)*($AP47 = [2]SalmonProps!$F$2:$F$10001) *($AR47 = [2]SalmonProps!$G$2:$G$10001),0), 19))</f>
        <v>NA</v>
      </c>
      <c r="P47" s="165" t="str" cm="1">
        <f t="array" ref="P47">IF(ISBLANK($AQ47), "", INDEX([2]SalmonProps!$A$2:$AA$10001,MATCH(1,($A47=[2]SalmonProps!$A$2:$A$10001)*(2=[2]SalmonProps!$C$2:$C$10001)*(1=[2]SalmonProps!$D$2:$D$10001)*("A2" = [2]SalmonProps!$B$2:$B$10001)*($AP47 = [2]SalmonProps!$F$2:$F$10001) *($AR47 = [2]SalmonProps!$G$2:$G$10001),0), 19))</f>
        <v>NA</v>
      </c>
      <c r="Q47" s="168" t="str" cm="1">
        <f t="array" ref="Q47">IF(ISBLANK($AQ47), "", INDEX([2]SalmonProps!$A$2:$AA$10001,MATCH(1,($A47=[2]SalmonProps!$A$2:$A$10001)*(3=[2]SalmonProps!$C$2:$C$10001)*(1=[2]SalmonProps!$D$2:$D$10001)*("A2" = [2]SalmonProps!$B$2:$B$10001)*($AP47 = [2]SalmonProps!$F$2:$F$10001) *($AR47 = [2]SalmonProps!$G$2:$G$10001),0), 19))</f>
        <v>NA</v>
      </c>
      <c r="R47" s="164" cm="1">
        <f t="array" ref="R47">IF(ISBLANK($AQ47), "", INDEX([2]SalmonProps!$A$2:$AA$10001,MATCH(1,($A47=[2]SalmonProps!$A$2:$A$10001)*(1=[2]SalmonProps!$C$2:$C$10001)*(1=[2]SalmonProps!$D$2:$D$10001)*("A1" = [2]SalmonProps!$B$2:$B$10001)*($AP47 = [2]SalmonProps!$F$2:$F$10001) *($AR47 = [2]SalmonProps!$G$2:$G$10001),0), 18))</f>
        <v>6.3500000000000001E-2</v>
      </c>
      <c r="S47" s="165" cm="1">
        <f t="array" ref="S47">IF(ISBLANK($AQ47), "", INDEX([2]SalmonProps!$A$2:$AA$10001,MATCH(1,($A47=[2]SalmonProps!$A$2:$A$10001)*(1=[2]SalmonProps!$C$2:$C$10001)*(2=[2]SalmonProps!$D$2:$D$10001)*("A1" = [2]SalmonProps!$B$2:$B$10001)*($AP47 = [2]SalmonProps!$F$2:$F$10001) *($AR47 = [2]SalmonProps!$G$2:$G$10001),0), 18))</f>
        <v>0.1145</v>
      </c>
      <c r="T47" s="165" cm="1">
        <f t="array" ref="T47">IF(ISBLANK($AQ47), "", INDEX([2]SalmonProps!$A$2:$AA$10001,MATCH(1,($A47=[2]SalmonProps!$A$2:$A$10001)*(1=[2]SalmonProps!$C$2:$C$10001)*("1&amp;2"=[2]SalmonProps!$D$2:$D$10001)*("A1" = [2]SalmonProps!$B$2:$B$10001)*($AP47 = [2]SalmonProps!$F$2:$F$10001) *($AR47 = [2]SalmonProps!$G$2:$G$10001),0), 18))</f>
        <v>9.0999999999999998E-2</v>
      </c>
      <c r="U47" s="165" cm="1">
        <f t="array" ref="U47">IF(ISBLANK($AQ47), "", INDEX([2]SalmonProps!$A$2:$AA$10001,MATCH(1,($A47=[2]SalmonProps!$A$2:$A$10001)*(2=[2]SalmonProps!$C$2:$C$10001)*(3=[2]SalmonProps!$D$2:$D$10001)*("A1" = [2]SalmonProps!$B$2:$B$10001)*($AP47 = [2]SalmonProps!$F$2:$F$10001) *($AR47 = [2]SalmonProps!$G$2:$G$10001),0), 18))</f>
        <v>0.2117</v>
      </c>
      <c r="V47" s="181" cm="1">
        <f t="array" ref="V47">IF(ISBLANK($AQ47), "", INDEX([2]SalmonProps!$A$2:$AA$10001,MATCH(1,($A47=[2]SalmonProps!$A$2:$A$10001)*(3=[2]SalmonProps!$C$2:$C$10001)*(3=[2]SalmonProps!$D$2:$D$10001)*("A1" = [2]SalmonProps!$B$2:$B$10001)*($AP47 = [2]SalmonProps!$F$2:$F$10001) *($AR47 = [2]SalmonProps!$G$2:$G$10001),0), 18))</f>
        <v>0.37340000000000001</v>
      </c>
      <c r="W47" s="180" cm="1">
        <f t="array" ref="W47">IF(ISBLANK($AQ47), "", INDEX([2]SalmonProps!$A$2:$AA$10001,MATCH(1,($A47=[2]SalmonProps!$A$2:$A$10001)*(1=[2]SalmonProps!$C$2:$C$10001)*(1=[2]SalmonProps!$D$2:$D$10001)*("A2" = [2]SalmonProps!$B$2:$B$10001)*($AP47 = [2]SalmonProps!$F$2:$F$10001) *($AR47 = [2]SalmonProps!$G$2:$G$10001),0), 18))</f>
        <v>1.7299999999999999E-2</v>
      </c>
      <c r="X47" s="165" cm="1">
        <f t="array" ref="X47">IF(ISBLANK($AQ47), "", INDEX([2]SalmonProps!$A$2:$AA$10001,MATCH(1,($A47=[2]SalmonProps!$A$2:$A$10001)*(2=[2]SalmonProps!$C$2:$C$10001)*(1=[2]SalmonProps!$D$2:$D$10001)*("A2" = [2]SalmonProps!$B$2:$B$10001)*($AP47 = [2]SalmonProps!$F$2:$F$10001) *($AR47 = [2]SalmonProps!$G$2:$G$10001),0), 18))</f>
        <v>9.8000000000000004E-2</v>
      </c>
      <c r="Y47" s="168" cm="1">
        <f t="array" ref="Y47">IF(ISBLANK($AQ47), "", INDEX([2]SalmonProps!$A$2:$AA$10001,MATCH(1,($A47=[2]SalmonProps!$A$2:$A$10001)*(3=[2]SalmonProps!$C$2:$C$10001)*(1=[2]SalmonProps!$D$2:$D$10001)*("A2" = [2]SalmonProps!$B$2:$B$10001)*($AP47 = [2]SalmonProps!$F$2:$F$10001) *($AR47 = [2]SalmonProps!$G$2:$G$10001),0), 18))</f>
        <v>0.52039999999999997</v>
      </c>
      <c r="Z47" s="164" cm="1">
        <f t="array" ref="Z47">IF(ISBLANK($AQ47), "", INDEX([2]SalmonProps!$A$2:$AA$10001,MATCH(1,($A47=[2]SalmonProps!$A$2:$A$10001)*(1=[2]SalmonProps!$C$2:$C$10001)*(1=[2]SalmonProps!$D$2:$D$10001)*("A1" = [2]SalmonProps!$B$2:$B$10001)*($AP47 = [2]SalmonProps!$F$2:$F$10001) *($AR47 = [2]SalmonProps!$G$2:$G$10001),0), 15))</f>
        <v>0.1762</v>
      </c>
      <c r="AA47" s="165" cm="1">
        <f t="array" ref="AA47">IF(ISBLANK($AQ47), "", INDEX([2]SalmonProps!$A$2:$AA$10001,MATCH(1,($A47=[2]SalmonProps!$A$2:$A$10001)*(1=[2]SalmonProps!$C$2:$C$10001)*(2=[2]SalmonProps!$D$2:$D$10001)*("A1" = [2]SalmonProps!$B$2:$B$10001)*($AP47 = [2]SalmonProps!$F$2:$F$10001) *($AR47 = [2]SalmonProps!$G$2:$G$10001),0), 15))</f>
        <v>0.3629</v>
      </c>
      <c r="AB47" s="165" cm="1">
        <f t="array" ref="AB47">IF(ISBLANK($AQ47), "", INDEX([2]SalmonProps!$A$2:$AA$10001,MATCH(1,($A47=[2]SalmonProps!$A$2:$A$10001)*(1=[2]SalmonProps!$C$2:$C$10001)*("1&amp;2"=[2]SalmonProps!$D$2:$D$10001)*("A1" = [2]SalmonProps!$B$2:$B$10001)*($AP47 = [2]SalmonProps!$F$2:$F$10001) *($AR47 = [2]SalmonProps!$G$2:$G$10001),0), 15))</f>
        <v>0.28110000000000002</v>
      </c>
      <c r="AC47" s="165" cm="1">
        <f t="array" ref="AC47">IF(ISBLANK($AQ47), "", INDEX([2]SalmonProps!$A$2:$AA$10001,MATCH(1,($A47=[2]SalmonProps!$A$2:$A$10001)*(2=[2]SalmonProps!$C$2:$C$10001)*(3=[2]SalmonProps!$D$2:$D$10001)*("A1" = [2]SalmonProps!$B$2:$B$10001)*($AP47 = [2]SalmonProps!$F$2:$F$10001) *($AR47 = [2]SalmonProps!$G$2:$G$10001),0), 15))</f>
        <v>0.70630000000000004</v>
      </c>
      <c r="AD47" s="181" cm="1">
        <f t="array" ref="AD47">IF(ISBLANK($AQ47), "", INDEX([2]SalmonProps!$A$2:$AA$10001,MATCH(1,($A47=[2]SalmonProps!$A$2:$A$10001)*(3=[2]SalmonProps!$C$2:$C$10001)*(3=[2]SalmonProps!$D$2:$D$10001)*("A1" = [2]SalmonProps!$B$2:$B$10001)*($AP47 = [2]SalmonProps!$F$2:$F$10001) *($AR47 = [2]SalmonProps!$G$2:$G$10001),0), 15))</f>
        <v>0.94310000000000005</v>
      </c>
      <c r="AE47" s="166" cm="1">
        <f t="array" ref="AE47">IF(ISBLANK($AQ47), "", INDEX([2]SalmonProps!$A$2:$AA$10001,MATCH(1,($A47=[2]SalmonProps!$A$2:$A$10001)*(1=[2]SalmonProps!$C$2:$C$10001)*(1=[2]SalmonProps!$D$2:$D$10001)*("A2" = [2]SalmonProps!$B$2:$B$10001)*($AP47 = [2]SalmonProps!$F$2:$F$10001) *($AR47 = [2]SalmonProps!$G$2:$G$10001),0), 15))</f>
        <v>0.1638</v>
      </c>
      <c r="AF47" s="166" cm="1">
        <f t="array" ref="AF47">IF(ISBLANK($AQ47), "", INDEX([2]SalmonProps!$A$2:$AA$10001,MATCH(1,($A47=[2]SalmonProps!$A$2:$A$10001)*(2=[2]SalmonProps!$C$2:$C$10001)*(1=[2]SalmonProps!$D$2:$D$10001)*("A2" = [2]SalmonProps!$B$2:$B$10001)*($AP47 = [2]SalmonProps!$F$2:$F$10001) *($AR47 = [2]SalmonProps!$G$2:$G$10001),0), 15))</f>
        <v>0.30009999999999998</v>
      </c>
      <c r="AG47" s="167" cm="1">
        <f t="array" ref="AG47">IF(ISBLANK($AQ47), "", INDEX([2]SalmonProps!$A$2:$AA$10001,MATCH(1,($A47=[2]SalmonProps!$A$2:$A$10001)*(3=[2]SalmonProps!$C$2:$C$10001)*(1=[2]SalmonProps!$D$2:$D$10001)*("A2" = [2]SalmonProps!$B$2:$B$10001)*($AP47 = [2]SalmonProps!$F$2:$F$10001) *($AR47 = [2]SalmonProps!$G$2:$G$10001),0), 15))</f>
        <v>0.61219999999999997</v>
      </c>
      <c r="AH47" s="173" cm="1">
        <f t="array" ref="AH47">IF(ISBLANK($AQ47), "", INDEX([2]SalmonProps!$A$2:$AA$10001,MATCH(1,($A47=[2]SalmonProps!$A$2:$A$10001)*($AP47 = [2]SalmonProps!$F$2:$F$10001) *($AR47 = [2]SalmonProps!$G$2:$G$10001),0), 24))</f>
        <v>51.9</v>
      </c>
      <c r="AI47" s="183" cm="1">
        <f t="array" ref="AI47">IF(ISBLANK($AQ47), "", INDEX([2]SalmonProps!$A$2:$AA$10001,MATCH(1,($A47=[2]SalmonProps!$A$2:$A$10001)*($AP47 = [2]SalmonProps!$F$2:$F$10001) *($AR47 = [2]SalmonProps!$G$2:$G$10001),0), 25))</f>
        <v>6.7</v>
      </c>
      <c r="AJ47" s="174" cm="1">
        <f t="array" ref="AJ47">IF(ISBLANK($AQ47), "", INDEX([2]SalmonProps!$A$2:$AA$10001,MATCH(1,($A47=[2]SalmonProps!$A$2:$A$10001)*($AP47 = [2]SalmonProps!$F$2:$F$10001) *($AR47 = [2]SalmonProps!$G$2:$G$10001),0), 20))</f>
        <v>59.3</v>
      </c>
      <c r="AK47" s="183" cm="1">
        <f t="array" ref="AK47">IF(ISBLANK($AQ47), "", INDEX([2]SalmonProps!$A$2:$AA$10001,MATCH(1,($A47=[2]SalmonProps!$A$2:$A$10001)*($AP47 = [2]SalmonProps!$F$2:$F$10001) *($AR47 = [2]SalmonProps!$G$2:$G$10001),0), 21))</f>
        <v>4.8</v>
      </c>
      <c r="AL47" s="174" cm="1">
        <f t="array" ref="AL47">IF(ISBLANK($AQ47), "", INDEX([2]SalmonProps!$A$2:$AA$10001,MATCH(1,($A47=[2]SalmonProps!$A$2:$A$10001)*($AP47 = [2]SalmonProps!$F$2:$F$10001) *($AR47 = [2]SalmonProps!$G$2:$G$10001),0), 22))</f>
        <v>75.3</v>
      </c>
      <c r="AM47" s="183" cm="1">
        <f t="array" ref="AM47">IF(ISBLANK($AQ47), "", INDEX([2]SalmonProps!$A$2:$AA$10001,MATCH(1,($A47=[2]SalmonProps!$A$2:$A$10001)*($AP47 = [2]SalmonProps!$F$2:$F$10001) *($AR47 = [2]SalmonProps!$G$2:$G$10001),0), 23))</f>
        <v>7.6</v>
      </c>
      <c r="AN47" s="174" t="str" cm="1">
        <f t="array" ref="AN47">IF(ISBLANK($AQ47), "", INDEX([2]SalmonProps!$A$2:$AA$10001,MATCH(1,($A47=[2]SalmonProps!$A$2:$A$10001)*($AP47 = [2]SalmonProps!$F$2:$F$10001) *($AR47 = [2]SalmonProps!$G$2:$G$10001),0), 26))</f>
        <v>NA</v>
      </c>
      <c r="AO47" s="175" t="str" cm="1">
        <f t="array" ref="AO47">IF(ISBLANK($AQ47), "", INDEX([2]SalmonProps!$A$2:$AA$10001,MATCH(1,($A47=[2]SalmonProps!$A$2:$A$10001)*($AP47 = [2]SalmonProps!$F$2:$F$10001) *($AR47 = [2]SalmonProps!$G$2:$G$10001),0), 27))</f>
        <v>NA</v>
      </c>
      <c r="AP47" s="112">
        <v>4</v>
      </c>
      <c r="AQ47" s="112" t="s">
        <v>133</v>
      </c>
      <c r="AR47" s="112" t="str">
        <f t="shared" si="1"/>
        <v>Unweighted</v>
      </c>
    </row>
    <row r="48" spans="1:44" x14ac:dyDescent="0.3">
      <c r="A48" s="20">
        <f>'[1]Passage Estimates'!$A48</f>
        <v>45150</v>
      </c>
      <c r="B48" s="164" cm="1">
        <f t="array" ref="B48">IF(ISBLANK($AQ48), "", INDEX([2]SalmonProps!$A$2:$AA$10001,MATCH(1,($A48=[2]SalmonProps!$A$2:$A$10001)*(1=[2]SalmonProps!$C$2:$C$10001)*(1=[2]SalmonProps!$D$2:$D$10001)*("A1" = [2]SalmonProps!$B$2:$B$10001)*($AP48 = [2]SalmonProps!$F$2:$F$10001) *($AR48 = [2]SalmonProps!$G$2:$G$10001),0), 17))</f>
        <v>1.5800000000000002E-2</v>
      </c>
      <c r="C48" s="165" cm="1">
        <f t="array" ref="C48">IF(ISBLANK($AQ48), "", INDEX([2]SalmonProps!$A$2:$AA$10001,MATCH(1,($A48=[2]SalmonProps!$A$2:$A$10001)*(1=[2]SalmonProps!$C$2:$C$10001)*(2=[2]SalmonProps!$D$2:$D$10001)*("A1" = [2]SalmonProps!$B$2:$B$10001)*($AP48 = [2]SalmonProps!$F$2:$F$10001) *($AR48 = [2]SalmonProps!$G$2:$G$10001),0), 17))</f>
        <v>2.4E-2</v>
      </c>
      <c r="D48" s="165" cm="1">
        <f t="array" ref="D48">IF(ISBLANK($AQ48), "", INDEX([2]SalmonProps!$A$2:$AA$10001,MATCH(1,($A48=[2]SalmonProps!$A$2:$A$10001)*(1=[2]SalmonProps!$C$2:$C$10001)*("1&amp;2"=[2]SalmonProps!$D$2:$D$10001)*("A1" = [2]SalmonProps!$B$2:$B$10001)*($AP48 = [2]SalmonProps!$F$2:$F$10001) *($AR48 = [2]SalmonProps!$G$2:$G$10001),0), 17))</f>
        <v>1.9800000000000002E-2</v>
      </c>
      <c r="E48" s="181" cm="1">
        <f t="array" ref="E48">IF(ISBLANK($AQ48), "", INDEX([2]SalmonProps!$A$2:$AA$10001,MATCH(1,($A48=[2]SalmonProps!$A$2:$A$10001)*(2=[2]SalmonProps!$C$2:$C$10001)*(3=[2]SalmonProps!$D$2:$D$10001)*("A1" = [2]SalmonProps!$B$2:$B$10001)*($AP48 = [2]SalmonProps!$F$2:$F$10001) *($AR48 = [2]SalmonProps!$G$2:$G$10001),0), 17))</f>
        <v>0.27289999999999998</v>
      </c>
      <c r="F48" s="165" cm="1">
        <f t="array" ref="F48">IF(ISBLANK($AQ48), "", INDEX([2]SalmonProps!$A$2:$AA$10001,MATCH(1,($A48=[2]SalmonProps!$A$2:$A$10001)*(3=[2]SalmonProps!$C$2:$C$10001)*(3=[2]SalmonProps!$D$2:$D$10001)*("A1" = [2]SalmonProps!$B$2:$B$10001)*($AP48 = [2]SalmonProps!$F$2:$F$10001) *($AR48 = [2]SalmonProps!$G$2:$G$10001),0), 17))</f>
        <v>0.4597</v>
      </c>
      <c r="G48" s="165" cm="1">
        <f t="array" ref="G48">IF(ISBLANK($AQ48), "", INDEX([2]SalmonProps!$A$2:$AA$10001,MATCH(1,($A48=[2]SalmonProps!$A$2:$A$10001)*(1=[2]SalmonProps!$C$2:$C$10001)*(1=[2]SalmonProps!$D$2:$D$10001)*("A2" = [2]SalmonProps!$B$2:$B$10001)*($AP48 = [2]SalmonProps!$F$2:$F$10001) *($AR48 = [2]SalmonProps!$G$2:$G$10001),0), 17))</f>
        <v>4.9000000000000002E-2</v>
      </c>
      <c r="H48" s="166" cm="1">
        <f t="array" ref="H48">IF(ISBLANK($AQ48), "", INDEX([2]SalmonProps!$A$2:$AA$10001,MATCH(1,($A48=[2]SalmonProps!$A$2:$A$10001)*(2=[2]SalmonProps!$C$2:$C$10001)*(1=[2]SalmonProps!$D$2:$D$10001)*("A2" = [2]SalmonProps!$B$2:$B$10001)*($AP48 = [2]SalmonProps!$F$2:$F$10001) *($AR48 = [2]SalmonProps!$G$2:$G$10001),0), 17))</f>
        <v>0.1037</v>
      </c>
      <c r="I48" s="167" cm="1">
        <f t="array" ref="I48">IF(ISBLANK($AQ48), "", INDEX([2]SalmonProps!$A$2:$AA$10001,MATCH(1,($A48=[2]SalmonProps!$A$2:$A$10001)*(3=[2]SalmonProps!$C$2:$C$10001)*(1=[2]SalmonProps!$D$2:$D$10001)*("A2" = [2]SalmonProps!$B$2:$B$10001)*($AP48 = [2]SalmonProps!$F$2:$F$10001) *($AR48 = [2]SalmonProps!$G$2:$G$10001),0), 17))</f>
        <v>9.1800000000000007E-2</v>
      </c>
      <c r="J48" s="164" t="str" cm="1">
        <f t="array" ref="J48">IF(ISBLANK($AQ48), "", INDEX([2]SalmonProps!$A$2:$AA$10001,MATCH(1,($A48=[2]SalmonProps!$A$2:$A$10001)*(1=[2]SalmonProps!$C$2:$C$10001)*(1=[2]SalmonProps!$D$2:$D$10001)*("A1" = [2]SalmonProps!$B$2:$B$10001)*($AP48 = [2]SalmonProps!$F$2:$F$10001) *($AR48 = [2]SalmonProps!$G$2:$G$10001),0), 19))</f>
        <v>NA</v>
      </c>
      <c r="K48" s="165" t="str" cm="1">
        <f t="array" ref="K48">IF(ISBLANK($AQ48), "", INDEX([2]SalmonProps!$A$2:$AA$10001,MATCH(1,($A48=[2]SalmonProps!$A$2:$A$10001)*(1=[2]SalmonProps!$C$2:$C$10001)*(2=[2]SalmonProps!$D$2:$D$10001)*("A1" = [2]SalmonProps!$B$2:$B$10001)*($AP48 = [2]SalmonProps!$F$2:$F$10001) *($AR48 = [2]SalmonProps!$G$2:$G$10001),0), 19))</f>
        <v>NA</v>
      </c>
      <c r="L48" s="165" t="str" cm="1">
        <f t="array" ref="L48">IF(ISBLANK($AQ48), "", INDEX([2]SalmonProps!$A$2:$AA$10001,MATCH(1,($A48=[2]SalmonProps!$A$2:$A$10001)*(1=[2]SalmonProps!$C$2:$C$10001)*("1&amp;2"=[2]SalmonProps!$D$2:$D$10001)*("A1" = [2]SalmonProps!$B$2:$B$10001)*($AP48 = [2]SalmonProps!$F$2:$F$10001) *($AR48 = [2]SalmonProps!$G$2:$G$10001),0), 19))</f>
        <v>NA</v>
      </c>
      <c r="M48" s="165" t="str" cm="1">
        <f t="array" ref="M48">IF(ISBLANK($AQ48), "", INDEX([2]SalmonProps!$A$2:$AA$10001,MATCH(1,($A48=[2]SalmonProps!$A$2:$A$10001)*(2=[2]SalmonProps!$C$2:$C$10001)*(3=[2]SalmonProps!$D$2:$D$10001)*("A1" = [2]SalmonProps!$B$2:$B$10001)*($AP48 = [2]SalmonProps!$F$2:$F$10001) *($AR48 = [2]SalmonProps!$G$2:$G$10001),0), 19))</f>
        <v>NA</v>
      </c>
      <c r="N48" s="181" t="str" cm="1">
        <f t="array" ref="N48">IF(ISBLANK($AQ48), "", INDEX([2]SalmonProps!$A$2:$AA$10001,MATCH(1,($A48=[2]SalmonProps!$A$2:$A$10001)*(3=[2]SalmonProps!$C$2:$C$10001)*(3=[2]SalmonProps!$D$2:$D$10001)*("A1" = [2]SalmonProps!$B$2:$B$10001)*($AP48 = [2]SalmonProps!$F$2:$F$10001) *($AR48 = [2]SalmonProps!$G$2:$G$10001),0), 19))</f>
        <v>NA</v>
      </c>
      <c r="O48" s="165" t="str" cm="1">
        <f t="array" ref="O48">IF(ISBLANK($AQ48), "", INDEX([2]SalmonProps!$A$2:$AA$10001,MATCH(1,($A48=[2]SalmonProps!$A$2:$A$10001)*(1=[2]SalmonProps!$C$2:$C$10001)*(1=[2]SalmonProps!$D$2:$D$10001)*("A2" = [2]SalmonProps!$B$2:$B$10001)*($AP48 = [2]SalmonProps!$F$2:$F$10001) *($AR48 = [2]SalmonProps!$G$2:$G$10001),0), 19))</f>
        <v>NA</v>
      </c>
      <c r="P48" s="165" t="str" cm="1">
        <f t="array" ref="P48">IF(ISBLANK($AQ48), "", INDEX([2]SalmonProps!$A$2:$AA$10001,MATCH(1,($A48=[2]SalmonProps!$A$2:$A$10001)*(2=[2]SalmonProps!$C$2:$C$10001)*(1=[2]SalmonProps!$D$2:$D$10001)*("A2" = [2]SalmonProps!$B$2:$B$10001)*($AP48 = [2]SalmonProps!$F$2:$F$10001) *($AR48 = [2]SalmonProps!$G$2:$G$10001),0), 19))</f>
        <v>NA</v>
      </c>
      <c r="Q48" s="168" t="str" cm="1">
        <f t="array" ref="Q48">IF(ISBLANK($AQ48), "", INDEX([2]SalmonProps!$A$2:$AA$10001,MATCH(1,($A48=[2]SalmonProps!$A$2:$A$10001)*(3=[2]SalmonProps!$C$2:$C$10001)*(1=[2]SalmonProps!$D$2:$D$10001)*("A2" = [2]SalmonProps!$B$2:$B$10001)*($AP48 = [2]SalmonProps!$F$2:$F$10001) *($AR48 = [2]SalmonProps!$G$2:$G$10001),0), 19))</f>
        <v>NA</v>
      </c>
      <c r="R48" s="164" cm="1">
        <f t="array" ref="R48">IF(ISBLANK($AQ48), "", INDEX([2]SalmonProps!$A$2:$AA$10001,MATCH(1,($A48=[2]SalmonProps!$A$2:$A$10001)*(1=[2]SalmonProps!$C$2:$C$10001)*(1=[2]SalmonProps!$D$2:$D$10001)*("A1" = [2]SalmonProps!$B$2:$B$10001)*($AP48 = [2]SalmonProps!$F$2:$F$10001) *($AR48 = [2]SalmonProps!$G$2:$G$10001),0), 18))</f>
        <v>0.1167</v>
      </c>
      <c r="S48" s="165" cm="1">
        <f t="array" ref="S48">IF(ISBLANK($AQ48), "", INDEX([2]SalmonProps!$A$2:$AA$10001,MATCH(1,($A48=[2]SalmonProps!$A$2:$A$10001)*(1=[2]SalmonProps!$C$2:$C$10001)*(2=[2]SalmonProps!$D$2:$D$10001)*("A1" = [2]SalmonProps!$B$2:$B$10001)*($AP48 = [2]SalmonProps!$F$2:$F$10001) *($AR48 = [2]SalmonProps!$G$2:$G$10001),0), 18))</f>
        <v>0.12640000000000001</v>
      </c>
      <c r="T48" s="165" cm="1">
        <f t="array" ref="T48">IF(ISBLANK($AQ48), "", INDEX([2]SalmonProps!$A$2:$AA$10001,MATCH(1,($A48=[2]SalmonProps!$A$2:$A$10001)*(1=[2]SalmonProps!$C$2:$C$10001)*("1&amp;2"=[2]SalmonProps!$D$2:$D$10001)*("A1" = [2]SalmonProps!$B$2:$B$10001)*($AP48 = [2]SalmonProps!$F$2:$F$10001) *($AR48 = [2]SalmonProps!$G$2:$G$10001),0), 18))</f>
        <v>0.1134</v>
      </c>
      <c r="U48" s="165" cm="1">
        <f t="array" ref="U48">IF(ISBLANK($AQ48), "", INDEX([2]SalmonProps!$A$2:$AA$10001,MATCH(1,($A48=[2]SalmonProps!$A$2:$A$10001)*(2=[2]SalmonProps!$C$2:$C$10001)*(3=[2]SalmonProps!$D$2:$D$10001)*("A1" = [2]SalmonProps!$B$2:$B$10001)*($AP48 = [2]SalmonProps!$F$2:$F$10001) *($AR48 = [2]SalmonProps!$G$2:$G$10001),0), 18))</f>
        <v>0.17829999999999999</v>
      </c>
      <c r="V48" s="181" cm="1">
        <f t="array" ref="V48">IF(ISBLANK($AQ48), "", INDEX([2]SalmonProps!$A$2:$AA$10001,MATCH(1,($A48=[2]SalmonProps!$A$2:$A$10001)*(3=[2]SalmonProps!$C$2:$C$10001)*(3=[2]SalmonProps!$D$2:$D$10001)*("A1" = [2]SalmonProps!$B$2:$B$10001)*($AP48 = [2]SalmonProps!$F$2:$F$10001) *($AR48 = [2]SalmonProps!$G$2:$G$10001),0), 18))</f>
        <v>0.37319999999999998</v>
      </c>
      <c r="W48" s="180" cm="1">
        <f t="array" ref="W48">IF(ISBLANK($AQ48), "", INDEX([2]SalmonProps!$A$2:$AA$10001,MATCH(1,($A48=[2]SalmonProps!$A$2:$A$10001)*(1=[2]SalmonProps!$C$2:$C$10001)*(1=[2]SalmonProps!$D$2:$D$10001)*("A2" = [2]SalmonProps!$B$2:$B$10001)*($AP48 = [2]SalmonProps!$F$2:$F$10001) *($AR48 = [2]SalmonProps!$G$2:$G$10001),0), 18))</f>
        <v>1.7299999999999999E-2</v>
      </c>
      <c r="X48" s="165" cm="1">
        <f t="array" ref="X48">IF(ISBLANK($AQ48), "", INDEX([2]SalmonProps!$A$2:$AA$10001,MATCH(1,($A48=[2]SalmonProps!$A$2:$A$10001)*(2=[2]SalmonProps!$C$2:$C$10001)*(1=[2]SalmonProps!$D$2:$D$10001)*("A2" = [2]SalmonProps!$B$2:$B$10001)*($AP48 = [2]SalmonProps!$F$2:$F$10001) *($AR48 = [2]SalmonProps!$G$2:$G$10001),0), 18))</f>
        <v>9.8000000000000004E-2</v>
      </c>
      <c r="Y48" s="168" cm="1">
        <f t="array" ref="Y48">IF(ISBLANK($AQ48), "", INDEX([2]SalmonProps!$A$2:$AA$10001,MATCH(1,($A48=[2]SalmonProps!$A$2:$A$10001)*(3=[2]SalmonProps!$C$2:$C$10001)*(1=[2]SalmonProps!$D$2:$D$10001)*("A2" = [2]SalmonProps!$B$2:$B$10001)*($AP48 = [2]SalmonProps!$F$2:$F$10001) *($AR48 = [2]SalmonProps!$G$2:$G$10001),0), 18))</f>
        <v>0.52039999999999997</v>
      </c>
      <c r="Z48" s="164" cm="1">
        <f t="array" ref="Z48">IF(ISBLANK($AQ48), "", INDEX([2]SalmonProps!$A$2:$AA$10001,MATCH(1,($A48=[2]SalmonProps!$A$2:$A$10001)*(1=[2]SalmonProps!$C$2:$C$10001)*(1=[2]SalmonProps!$D$2:$D$10001)*("A1" = [2]SalmonProps!$B$2:$B$10001)*($AP48 = [2]SalmonProps!$F$2:$F$10001) *($AR48 = [2]SalmonProps!$G$2:$G$10001),0), 15))</f>
        <v>0.27750000000000002</v>
      </c>
      <c r="AA48" s="165" cm="1">
        <f t="array" ref="AA48">IF(ISBLANK($AQ48), "", INDEX([2]SalmonProps!$A$2:$AA$10001,MATCH(1,($A48=[2]SalmonProps!$A$2:$A$10001)*(1=[2]SalmonProps!$C$2:$C$10001)*(2=[2]SalmonProps!$D$2:$D$10001)*("A1" = [2]SalmonProps!$B$2:$B$10001)*($AP48 = [2]SalmonProps!$F$2:$F$10001) *($AR48 = [2]SalmonProps!$G$2:$G$10001),0), 15))</f>
        <v>0.3463</v>
      </c>
      <c r="AB48" s="165" cm="1">
        <f t="array" ref="AB48">IF(ISBLANK($AQ48), "", INDEX([2]SalmonProps!$A$2:$AA$10001,MATCH(1,($A48=[2]SalmonProps!$A$2:$A$10001)*(1=[2]SalmonProps!$C$2:$C$10001)*("1&amp;2"=[2]SalmonProps!$D$2:$D$10001)*("A1" = [2]SalmonProps!$B$2:$B$10001)*($AP48 = [2]SalmonProps!$F$2:$F$10001) *($AR48 = [2]SalmonProps!$G$2:$G$10001),0), 15))</f>
        <v>0.31059999999999999</v>
      </c>
      <c r="AC48" s="165" cm="1">
        <f t="array" ref="AC48">IF(ISBLANK($AQ48), "", INDEX([2]SalmonProps!$A$2:$AA$10001,MATCH(1,($A48=[2]SalmonProps!$A$2:$A$10001)*(2=[2]SalmonProps!$C$2:$C$10001)*(3=[2]SalmonProps!$D$2:$D$10001)*("A1" = [2]SalmonProps!$B$2:$B$10001)*($AP48 = [2]SalmonProps!$F$2:$F$10001) *($AR48 = [2]SalmonProps!$G$2:$G$10001),0), 15))</f>
        <v>0.52659999999999996</v>
      </c>
      <c r="AD48" s="181" cm="1">
        <f t="array" ref="AD48">IF(ISBLANK($AQ48), "", INDEX([2]SalmonProps!$A$2:$AA$10001,MATCH(1,($A48=[2]SalmonProps!$A$2:$A$10001)*(3=[2]SalmonProps!$C$2:$C$10001)*(3=[2]SalmonProps!$D$2:$D$10001)*("A1" = [2]SalmonProps!$B$2:$B$10001)*($AP48 = [2]SalmonProps!$F$2:$F$10001) *($AR48 = [2]SalmonProps!$G$2:$G$10001),0), 15))</f>
        <v>0.83289999999999997</v>
      </c>
      <c r="AE48" s="166" cm="1">
        <f t="array" ref="AE48">IF(ISBLANK($AQ48), "", INDEX([2]SalmonProps!$A$2:$AA$10001,MATCH(1,($A48=[2]SalmonProps!$A$2:$A$10001)*(1=[2]SalmonProps!$C$2:$C$10001)*(1=[2]SalmonProps!$D$2:$D$10001)*("A2" = [2]SalmonProps!$B$2:$B$10001)*($AP48 = [2]SalmonProps!$F$2:$F$10001) *($AR48 = [2]SalmonProps!$G$2:$G$10001),0), 15))</f>
        <v>0.1638</v>
      </c>
      <c r="AF48" s="166" cm="1">
        <f t="array" ref="AF48">IF(ISBLANK($AQ48), "", INDEX([2]SalmonProps!$A$2:$AA$10001,MATCH(1,($A48=[2]SalmonProps!$A$2:$A$10001)*(2=[2]SalmonProps!$C$2:$C$10001)*(1=[2]SalmonProps!$D$2:$D$10001)*("A2" = [2]SalmonProps!$B$2:$B$10001)*($AP48 = [2]SalmonProps!$F$2:$F$10001) *($AR48 = [2]SalmonProps!$G$2:$G$10001),0), 15))</f>
        <v>0.30009999999999998</v>
      </c>
      <c r="AG48" s="167" cm="1">
        <f t="array" ref="AG48">IF(ISBLANK($AQ48), "", INDEX([2]SalmonProps!$A$2:$AA$10001,MATCH(1,($A48=[2]SalmonProps!$A$2:$A$10001)*(3=[2]SalmonProps!$C$2:$C$10001)*(1=[2]SalmonProps!$D$2:$D$10001)*("A2" = [2]SalmonProps!$B$2:$B$10001)*($AP48 = [2]SalmonProps!$F$2:$F$10001) *($AR48 = [2]SalmonProps!$G$2:$G$10001),0), 15))</f>
        <v>0.61219999999999997</v>
      </c>
      <c r="AH48" s="173" cm="1">
        <f t="array" ref="AH48">IF(ISBLANK($AQ48), "", INDEX([2]SalmonProps!$A$2:$AA$10001,MATCH(1,($A48=[2]SalmonProps!$A$2:$A$10001)*($AP48 = [2]SalmonProps!$F$2:$F$10001) *($AR48 = [2]SalmonProps!$G$2:$G$10001),0), 24))</f>
        <v>51.9</v>
      </c>
      <c r="AI48" s="183" cm="1">
        <f t="array" ref="AI48">IF(ISBLANK($AQ48), "", INDEX([2]SalmonProps!$A$2:$AA$10001,MATCH(1,($A48=[2]SalmonProps!$A$2:$A$10001)*($AP48 = [2]SalmonProps!$F$2:$F$10001) *($AR48 = [2]SalmonProps!$G$2:$G$10001),0), 25))</f>
        <v>6.7</v>
      </c>
      <c r="AJ48" s="174" cm="1">
        <f t="array" ref="AJ48">IF(ISBLANK($AQ48), "", INDEX([2]SalmonProps!$A$2:$AA$10001,MATCH(1,($A48=[2]SalmonProps!$A$2:$A$10001)*($AP48 = [2]SalmonProps!$F$2:$F$10001) *($AR48 = [2]SalmonProps!$G$2:$G$10001),0), 20))</f>
        <v>59.3</v>
      </c>
      <c r="AK48" s="183" cm="1">
        <f t="array" ref="AK48">IF(ISBLANK($AQ48), "", INDEX([2]SalmonProps!$A$2:$AA$10001,MATCH(1,($A48=[2]SalmonProps!$A$2:$A$10001)*($AP48 = [2]SalmonProps!$F$2:$F$10001) *($AR48 = [2]SalmonProps!$G$2:$G$10001),0), 21))</f>
        <v>4.8</v>
      </c>
      <c r="AL48" s="174" cm="1">
        <f t="array" ref="AL48">IF(ISBLANK($AQ48), "", INDEX([2]SalmonProps!$A$2:$AA$10001,MATCH(1,($A48=[2]SalmonProps!$A$2:$A$10001)*($AP48 = [2]SalmonProps!$F$2:$F$10001) *($AR48 = [2]SalmonProps!$G$2:$G$10001),0), 22))</f>
        <v>75.3</v>
      </c>
      <c r="AM48" s="183" cm="1">
        <f t="array" ref="AM48">IF(ISBLANK($AQ48), "", INDEX([2]SalmonProps!$A$2:$AA$10001,MATCH(1,($A48=[2]SalmonProps!$A$2:$A$10001)*($AP48 = [2]SalmonProps!$F$2:$F$10001) *($AR48 = [2]SalmonProps!$G$2:$G$10001),0), 23))</f>
        <v>7.6</v>
      </c>
      <c r="AN48" s="174" t="str" cm="1">
        <f t="array" ref="AN48">IF(ISBLANK($AQ48), "", INDEX([2]SalmonProps!$A$2:$AA$10001,MATCH(1,($A48=[2]SalmonProps!$A$2:$A$10001)*($AP48 = [2]SalmonProps!$F$2:$F$10001) *($AR48 = [2]SalmonProps!$G$2:$G$10001),0), 26))</f>
        <v>NA</v>
      </c>
      <c r="AO48" s="175" t="str" cm="1">
        <f t="array" ref="AO48">IF(ISBLANK($AQ48), "", INDEX([2]SalmonProps!$A$2:$AA$10001,MATCH(1,($A48=[2]SalmonProps!$A$2:$A$10001)*($AP48 = [2]SalmonProps!$F$2:$F$10001) *($AR48 = [2]SalmonProps!$G$2:$G$10001),0), 27))</f>
        <v>NA</v>
      </c>
      <c r="AP48" s="112">
        <v>4</v>
      </c>
      <c r="AQ48" s="112" t="s">
        <v>133</v>
      </c>
      <c r="AR48" s="112" t="str">
        <f t="shared" si="1"/>
        <v>Unweighted</v>
      </c>
    </row>
    <row r="49" spans="1:44" x14ac:dyDescent="0.3">
      <c r="A49" s="20">
        <f>'[1]Passage Estimates'!$A49</f>
        <v>45151</v>
      </c>
      <c r="B49" s="164" cm="1">
        <f t="array" ref="B49">IF(ISBLANK($AQ49), "", INDEX([2]SalmonProps!$A$2:$AA$10001,MATCH(1,($A49=[2]SalmonProps!$A$2:$A$10001)*(1=[2]SalmonProps!$C$2:$C$10001)*(1=[2]SalmonProps!$D$2:$D$10001)*("A1" = [2]SalmonProps!$B$2:$B$10001)*($AP49 = [2]SalmonProps!$F$2:$F$10001) *($AR49 = [2]SalmonProps!$G$2:$G$10001),0), 17))</f>
        <v>4.7100000000000003E-2</v>
      </c>
      <c r="C49" s="165" cm="1">
        <f t="array" ref="C49">IF(ISBLANK($AQ49), "", INDEX([2]SalmonProps!$A$2:$AA$10001,MATCH(1,($A49=[2]SalmonProps!$A$2:$A$10001)*(1=[2]SalmonProps!$C$2:$C$10001)*(2=[2]SalmonProps!$D$2:$D$10001)*("A1" = [2]SalmonProps!$B$2:$B$10001)*($AP49 = [2]SalmonProps!$F$2:$F$10001) *($AR49 = [2]SalmonProps!$G$2:$G$10001),0), 17))</f>
        <v>5.3800000000000001E-2</v>
      </c>
      <c r="D49" s="165" cm="1">
        <f t="array" ref="D49">IF(ISBLANK($AQ49), "", INDEX([2]SalmonProps!$A$2:$AA$10001,MATCH(1,($A49=[2]SalmonProps!$A$2:$A$10001)*(1=[2]SalmonProps!$C$2:$C$10001)*("1&amp;2"=[2]SalmonProps!$D$2:$D$10001)*("A1" = [2]SalmonProps!$B$2:$B$10001)*($AP49 = [2]SalmonProps!$F$2:$F$10001) *($AR49 = [2]SalmonProps!$G$2:$G$10001),0), 17))</f>
        <v>0.05</v>
      </c>
      <c r="E49" s="181" cm="1">
        <f t="array" ref="E49">IF(ISBLANK($AQ49), "", INDEX([2]SalmonProps!$A$2:$AA$10001,MATCH(1,($A49=[2]SalmonProps!$A$2:$A$10001)*(2=[2]SalmonProps!$C$2:$C$10001)*(3=[2]SalmonProps!$D$2:$D$10001)*("A1" = [2]SalmonProps!$B$2:$B$10001)*($AP49 = [2]SalmonProps!$F$2:$F$10001) *($AR49 = [2]SalmonProps!$G$2:$G$10001),0), 17))</f>
        <v>0.2427</v>
      </c>
      <c r="F49" s="165" cm="1">
        <f t="array" ref="F49">IF(ISBLANK($AQ49), "", INDEX([2]SalmonProps!$A$2:$AA$10001,MATCH(1,($A49=[2]SalmonProps!$A$2:$A$10001)*(3=[2]SalmonProps!$C$2:$C$10001)*(3=[2]SalmonProps!$D$2:$D$10001)*("A1" = [2]SalmonProps!$B$2:$B$10001)*($AP49 = [2]SalmonProps!$F$2:$F$10001) *($AR49 = [2]SalmonProps!$G$2:$G$10001),0), 17))</f>
        <v>0.7238</v>
      </c>
      <c r="G49" s="165" cm="1">
        <f t="array" ref="G49">IF(ISBLANK($AQ49), "", INDEX([2]SalmonProps!$A$2:$AA$10001,MATCH(1,($A49=[2]SalmonProps!$A$2:$A$10001)*(1=[2]SalmonProps!$C$2:$C$10001)*(1=[2]SalmonProps!$D$2:$D$10001)*("A2" = [2]SalmonProps!$B$2:$B$10001)*($AP49 = [2]SalmonProps!$F$2:$F$10001) *($AR49 = [2]SalmonProps!$G$2:$G$10001),0), 17))</f>
        <v>0.1002</v>
      </c>
      <c r="H49" s="166" cm="1">
        <f t="array" ref="H49">IF(ISBLANK($AQ49), "", INDEX([2]SalmonProps!$A$2:$AA$10001,MATCH(1,($A49=[2]SalmonProps!$A$2:$A$10001)*(2=[2]SalmonProps!$C$2:$C$10001)*(1=[2]SalmonProps!$D$2:$D$10001)*("A2" = [2]SalmonProps!$B$2:$B$10001)*($AP49 = [2]SalmonProps!$F$2:$F$10001) *($AR49 = [2]SalmonProps!$G$2:$G$10001),0), 17))</f>
        <v>0.31159999999999999</v>
      </c>
      <c r="I49" s="167" cm="1">
        <f t="array" ref="I49">IF(ISBLANK($AQ49), "", INDEX([2]SalmonProps!$A$2:$AA$10001,MATCH(1,($A49=[2]SalmonProps!$A$2:$A$10001)*(3=[2]SalmonProps!$C$2:$C$10001)*(1=[2]SalmonProps!$D$2:$D$10001)*("A2" = [2]SalmonProps!$B$2:$B$10001)*($AP49 = [2]SalmonProps!$F$2:$F$10001) *($AR49 = [2]SalmonProps!$G$2:$G$10001),0), 17))</f>
        <v>0.50670000000000004</v>
      </c>
      <c r="J49" s="164" t="str" cm="1">
        <f t="array" ref="J49">IF(ISBLANK($AQ49), "", INDEX([2]SalmonProps!$A$2:$AA$10001,MATCH(1,($A49=[2]SalmonProps!$A$2:$A$10001)*(1=[2]SalmonProps!$C$2:$C$10001)*(1=[2]SalmonProps!$D$2:$D$10001)*("A1" = [2]SalmonProps!$B$2:$B$10001)*($AP49 = [2]SalmonProps!$F$2:$F$10001) *($AR49 = [2]SalmonProps!$G$2:$G$10001),0), 19))</f>
        <v>NA</v>
      </c>
      <c r="K49" s="165" t="str" cm="1">
        <f t="array" ref="K49">IF(ISBLANK($AQ49), "", INDEX([2]SalmonProps!$A$2:$AA$10001,MATCH(1,($A49=[2]SalmonProps!$A$2:$A$10001)*(1=[2]SalmonProps!$C$2:$C$10001)*(2=[2]SalmonProps!$D$2:$D$10001)*("A1" = [2]SalmonProps!$B$2:$B$10001)*($AP49 = [2]SalmonProps!$F$2:$F$10001) *($AR49 = [2]SalmonProps!$G$2:$G$10001),0), 19))</f>
        <v>NA</v>
      </c>
      <c r="L49" s="165" t="str" cm="1">
        <f t="array" ref="L49">IF(ISBLANK($AQ49), "", INDEX([2]SalmonProps!$A$2:$AA$10001,MATCH(1,($A49=[2]SalmonProps!$A$2:$A$10001)*(1=[2]SalmonProps!$C$2:$C$10001)*("1&amp;2"=[2]SalmonProps!$D$2:$D$10001)*("A1" = [2]SalmonProps!$B$2:$B$10001)*($AP49 = [2]SalmonProps!$F$2:$F$10001) *($AR49 = [2]SalmonProps!$G$2:$G$10001),0), 19))</f>
        <v>NA</v>
      </c>
      <c r="M49" s="165" t="str" cm="1">
        <f t="array" ref="M49">IF(ISBLANK($AQ49), "", INDEX([2]SalmonProps!$A$2:$AA$10001,MATCH(1,($A49=[2]SalmonProps!$A$2:$A$10001)*(2=[2]SalmonProps!$C$2:$C$10001)*(3=[2]SalmonProps!$D$2:$D$10001)*("A1" = [2]SalmonProps!$B$2:$B$10001)*($AP49 = [2]SalmonProps!$F$2:$F$10001) *($AR49 = [2]SalmonProps!$G$2:$G$10001),0), 19))</f>
        <v>NA</v>
      </c>
      <c r="N49" s="181" t="str" cm="1">
        <f t="array" ref="N49">IF(ISBLANK($AQ49), "", INDEX([2]SalmonProps!$A$2:$AA$10001,MATCH(1,($A49=[2]SalmonProps!$A$2:$A$10001)*(3=[2]SalmonProps!$C$2:$C$10001)*(3=[2]SalmonProps!$D$2:$D$10001)*("A1" = [2]SalmonProps!$B$2:$B$10001)*($AP49 = [2]SalmonProps!$F$2:$F$10001) *($AR49 = [2]SalmonProps!$G$2:$G$10001),0), 19))</f>
        <v>NA</v>
      </c>
      <c r="O49" s="165" t="str" cm="1">
        <f t="array" ref="O49">IF(ISBLANK($AQ49), "", INDEX([2]SalmonProps!$A$2:$AA$10001,MATCH(1,($A49=[2]SalmonProps!$A$2:$A$10001)*(1=[2]SalmonProps!$C$2:$C$10001)*(1=[2]SalmonProps!$D$2:$D$10001)*("A2" = [2]SalmonProps!$B$2:$B$10001)*($AP49 = [2]SalmonProps!$F$2:$F$10001) *($AR49 = [2]SalmonProps!$G$2:$G$10001),0), 19))</f>
        <v>NA</v>
      </c>
      <c r="P49" s="165" t="str" cm="1">
        <f t="array" ref="P49">IF(ISBLANK($AQ49), "", INDEX([2]SalmonProps!$A$2:$AA$10001,MATCH(1,($A49=[2]SalmonProps!$A$2:$A$10001)*(2=[2]SalmonProps!$C$2:$C$10001)*(1=[2]SalmonProps!$D$2:$D$10001)*("A2" = [2]SalmonProps!$B$2:$B$10001)*($AP49 = [2]SalmonProps!$F$2:$F$10001) *($AR49 = [2]SalmonProps!$G$2:$G$10001),0), 19))</f>
        <v>NA</v>
      </c>
      <c r="Q49" s="168" t="str" cm="1">
        <f t="array" ref="Q49">IF(ISBLANK($AQ49), "", INDEX([2]SalmonProps!$A$2:$AA$10001,MATCH(1,($A49=[2]SalmonProps!$A$2:$A$10001)*(3=[2]SalmonProps!$C$2:$C$10001)*(1=[2]SalmonProps!$D$2:$D$10001)*("A2" = [2]SalmonProps!$B$2:$B$10001)*($AP49 = [2]SalmonProps!$F$2:$F$10001) *($AR49 = [2]SalmonProps!$G$2:$G$10001),0), 19))</f>
        <v>NA</v>
      </c>
      <c r="R49" s="164" cm="1">
        <f t="array" ref="R49">IF(ISBLANK($AQ49), "", INDEX([2]SalmonProps!$A$2:$AA$10001,MATCH(1,($A49=[2]SalmonProps!$A$2:$A$10001)*(1=[2]SalmonProps!$C$2:$C$10001)*(1=[2]SalmonProps!$D$2:$D$10001)*("A1" = [2]SalmonProps!$B$2:$B$10001)*($AP49 = [2]SalmonProps!$F$2:$F$10001) *($AR49 = [2]SalmonProps!$G$2:$G$10001),0), 18))</f>
        <v>0.17599999999999999</v>
      </c>
      <c r="S49" s="165" cm="1">
        <f t="array" ref="S49">IF(ISBLANK($AQ49), "", INDEX([2]SalmonProps!$A$2:$AA$10001,MATCH(1,($A49=[2]SalmonProps!$A$2:$A$10001)*(1=[2]SalmonProps!$C$2:$C$10001)*(2=[2]SalmonProps!$D$2:$D$10001)*("A1" = [2]SalmonProps!$B$2:$B$10001)*($AP49 = [2]SalmonProps!$F$2:$F$10001) *($AR49 = [2]SalmonProps!$G$2:$G$10001),0), 18))</f>
        <v>8.6099999999999996E-2</v>
      </c>
      <c r="T49" s="165" cm="1">
        <f t="array" ref="T49">IF(ISBLANK($AQ49), "", INDEX([2]SalmonProps!$A$2:$AA$10001,MATCH(1,($A49=[2]SalmonProps!$A$2:$A$10001)*(1=[2]SalmonProps!$C$2:$C$10001)*("1&amp;2"=[2]SalmonProps!$D$2:$D$10001)*("A1" = [2]SalmonProps!$B$2:$B$10001)*($AP49 = [2]SalmonProps!$F$2:$F$10001) *($AR49 = [2]SalmonProps!$G$2:$G$10001),0), 18))</f>
        <v>0.1105</v>
      </c>
      <c r="U49" s="165" cm="1">
        <f t="array" ref="U49">IF(ISBLANK($AQ49), "", INDEX([2]SalmonProps!$A$2:$AA$10001,MATCH(1,($A49=[2]SalmonProps!$A$2:$A$10001)*(2=[2]SalmonProps!$C$2:$C$10001)*(3=[2]SalmonProps!$D$2:$D$10001)*("A1" = [2]SalmonProps!$B$2:$B$10001)*($AP49 = [2]SalmonProps!$F$2:$F$10001) *($AR49 = [2]SalmonProps!$G$2:$G$10001),0), 18))</f>
        <v>0</v>
      </c>
      <c r="V49" s="181" cm="1">
        <f t="array" ref="V49">IF(ISBLANK($AQ49), "", INDEX([2]SalmonProps!$A$2:$AA$10001,MATCH(1,($A49=[2]SalmonProps!$A$2:$A$10001)*(3=[2]SalmonProps!$C$2:$C$10001)*(3=[2]SalmonProps!$D$2:$D$10001)*("A1" = [2]SalmonProps!$B$2:$B$10001)*($AP49 = [2]SalmonProps!$F$2:$F$10001) *($AR49 = [2]SalmonProps!$G$2:$G$10001),0), 18))</f>
        <v>0.23849999999999999</v>
      </c>
      <c r="W49" s="180" cm="1">
        <f t="array" ref="W49">IF(ISBLANK($AQ49), "", INDEX([2]SalmonProps!$A$2:$AA$10001,MATCH(1,($A49=[2]SalmonProps!$A$2:$A$10001)*(1=[2]SalmonProps!$C$2:$C$10001)*(1=[2]SalmonProps!$D$2:$D$10001)*("A2" = [2]SalmonProps!$B$2:$B$10001)*($AP49 = [2]SalmonProps!$F$2:$F$10001) *($AR49 = [2]SalmonProps!$G$2:$G$10001),0), 18))</f>
        <v>0.1116</v>
      </c>
      <c r="X49" s="165" cm="1">
        <f t="array" ref="X49">IF(ISBLANK($AQ49), "", INDEX([2]SalmonProps!$A$2:$AA$10001,MATCH(1,($A49=[2]SalmonProps!$A$2:$A$10001)*(2=[2]SalmonProps!$C$2:$C$10001)*(1=[2]SalmonProps!$D$2:$D$10001)*("A2" = [2]SalmonProps!$B$2:$B$10001)*($AP49 = [2]SalmonProps!$F$2:$F$10001) *($AR49 = [2]SalmonProps!$G$2:$G$10001),0), 18))</f>
        <v>4.2299999999999997E-2</v>
      </c>
      <c r="Y49" s="168" cm="1">
        <f t="array" ref="Y49">IF(ISBLANK($AQ49), "", INDEX([2]SalmonProps!$A$2:$AA$10001,MATCH(1,($A49=[2]SalmonProps!$A$2:$A$10001)*(3=[2]SalmonProps!$C$2:$C$10001)*(1=[2]SalmonProps!$D$2:$D$10001)*("A2" = [2]SalmonProps!$B$2:$B$10001)*($AP49 = [2]SalmonProps!$F$2:$F$10001) *($AR49 = [2]SalmonProps!$G$2:$G$10001),0), 18))</f>
        <v>0.34239999999999998</v>
      </c>
      <c r="Z49" s="164" cm="1">
        <f t="array" ref="Z49">IF(ISBLANK($AQ49), "", INDEX([2]SalmonProps!$A$2:$AA$10001,MATCH(1,($A49=[2]SalmonProps!$A$2:$A$10001)*(1=[2]SalmonProps!$C$2:$C$10001)*(1=[2]SalmonProps!$D$2:$D$10001)*("A1" = [2]SalmonProps!$B$2:$B$10001)*($AP49 = [2]SalmonProps!$F$2:$F$10001) *($AR49 = [2]SalmonProps!$G$2:$G$10001),0), 15))</f>
        <v>0.27650000000000002</v>
      </c>
      <c r="AA49" s="165" cm="1">
        <f t="array" ref="AA49">IF(ISBLANK($AQ49), "", INDEX([2]SalmonProps!$A$2:$AA$10001,MATCH(1,($A49=[2]SalmonProps!$A$2:$A$10001)*(1=[2]SalmonProps!$C$2:$C$10001)*(2=[2]SalmonProps!$D$2:$D$10001)*("A1" = [2]SalmonProps!$B$2:$B$10001)*($AP49 = [2]SalmonProps!$F$2:$F$10001) *($AR49 = [2]SalmonProps!$G$2:$G$10001),0), 15))</f>
        <v>0.33960000000000001</v>
      </c>
      <c r="AB49" s="165" cm="1">
        <f t="array" ref="AB49">IF(ISBLANK($AQ49), "", INDEX([2]SalmonProps!$A$2:$AA$10001,MATCH(1,($A49=[2]SalmonProps!$A$2:$A$10001)*(1=[2]SalmonProps!$C$2:$C$10001)*("1&amp;2"=[2]SalmonProps!$D$2:$D$10001)*("A1" = [2]SalmonProps!$B$2:$B$10001)*($AP49 = [2]SalmonProps!$F$2:$F$10001) *($AR49 = [2]SalmonProps!$G$2:$G$10001),0), 15))</f>
        <v>0.3029</v>
      </c>
      <c r="AC49" s="165" cm="1">
        <f t="array" ref="AC49">IF(ISBLANK($AQ49), "", INDEX([2]SalmonProps!$A$2:$AA$10001,MATCH(1,($A49=[2]SalmonProps!$A$2:$A$10001)*(2=[2]SalmonProps!$C$2:$C$10001)*(3=[2]SalmonProps!$D$2:$D$10001)*("A1" = [2]SalmonProps!$B$2:$B$10001)*($AP49 = [2]SalmonProps!$F$2:$F$10001) *($AR49 = [2]SalmonProps!$G$2:$G$10001),0), 15))</f>
        <v>0.56410000000000005</v>
      </c>
      <c r="AD49" s="181" cm="1">
        <f t="array" ref="AD49">IF(ISBLANK($AQ49), "", INDEX([2]SalmonProps!$A$2:$AA$10001,MATCH(1,($A49=[2]SalmonProps!$A$2:$A$10001)*(3=[2]SalmonProps!$C$2:$C$10001)*(3=[2]SalmonProps!$D$2:$D$10001)*("A1" = [2]SalmonProps!$B$2:$B$10001)*($AP49 = [2]SalmonProps!$F$2:$F$10001) *($AR49 = [2]SalmonProps!$G$2:$G$10001),0), 15))</f>
        <v>0.96230000000000004</v>
      </c>
      <c r="AE49" s="166" cm="1">
        <f t="array" ref="AE49">IF(ISBLANK($AQ49), "", INDEX([2]SalmonProps!$A$2:$AA$10001,MATCH(1,($A49=[2]SalmonProps!$A$2:$A$10001)*(1=[2]SalmonProps!$C$2:$C$10001)*(1=[2]SalmonProps!$D$2:$D$10001)*("A2" = [2]SalmonProps!$B$2:$B$10001)*($AP49 = [2]SalmonProps!$F$2:$F$10001) *($AR49 = [2]SalmonProps!$G$2:$G$10001),0), 15))</f>
        <v>0.39290000000000003</v>
      </c>
      <c r="AF49" s="166" cm="1">
        <f t="array" ref="AF49">IF(ISBLANK($AQ49), "", INDEX([2]SalmonProps!$A$2:$AA$10001,MATCH(1,($A49=[2]SalmonProps!$A$2:$A$10001)*(2=[2]SalmonProps!$C$2:$C$10001)*(1=[2]SalmonProps!$D$2:$D$10001)*("A2" = [2]SalmonProps!$B$2:$B$10001)*($AP49 = [2]SalmonProps!$F$2:$F$10001) *($AR49 = [2]SalmonProps!$G$2:$G$10001),0), 15))</f>
        <v>0.46939999999999998</v>
      </c>
      <c r="AG49" s="167" cm="1">
        <f t="array" ref="AG49">IF(ISBLANK($AQ49), "", INDEX([2]SalmonProps!$A$2:$AA$10001,MATCH(1,($A49=[2]SalmonProps!$A$2:$A$10001)*(3=[2]SalmonProps!$C$2:$C$10001)*(1=[2]SalmonProps!$D$2:$D$10001)*("A2" = [2]SalmonProps!$B$2:$B$10001)*($AP49 = [2]SalmonProps!$F$2:$F$10001) *($AR49 = [2]SalmonProps!$G$2:$G$10001),0), 15))</f>
        <v>0.84909999999999997</v>
      </c>
      <c r="AH49" s="173" cm="1">
        <f t="array" ref="AH49">IF(ISBLANK($AQ49), "", INDEX([2]SalmonProps!$A$2:$AA$10001,MATCH(1,($A49=[2]SalmonProps!$A$2:$A$10001)*($AP49 = [2]SalmonProps!$F$2:$F$10001) *($AR49 = [2]SalmonProps!$G$2:$G$10001),0), 24))</f>
        <v>51.9</v>
      </c>
      <c r="AI49" s="183" cm="1">
        <f t="array" ref="AI49">IF(ISBLANK($AQ49), "", INDEX([2]SalmonProps!$A$2:$AA$10001,MATCH(1,($A49=[2]SalmonProps!$A$2:$A$10001)*($AP49 = [2]SalmonProps!$F$2:$F$10001) *($AR49 = [2]SalmonProps!$G$2:$G$10001),0), 25))</f>
        <v>6.7</v>
      </c>
      <c r="AJ49" s="174" cm="1">
        <f t="array" ref="AJ49">IF(ISBLANK($AQ49), "", INDEX([2]SalmonProps!$A$2:$AA$10001,MATCH(1,($A49=[2]SalmonProps!$A$2:$A$10001)*($AP49 = [2]SalmonProps!$F$2:$F$10001) *($AR49 = [2]SalmonProps!$G$2:$G$10001),0), 20))</f>
        <v>59.3</v>
      </c>
      <c r="AK49" s="183" cm="1">
        <f t="array" ref="AK49">IF(ISBLANK($AQ49), "", INDEX([2]SalmonProps!$A$2:$AA$10001,MATCH(1,($A49=[2]SalmonProps!$A$2:$A$10001)*($AP49 = [2]SalmonProps!$F$2:$F$10001) *($AR49 = [2]SalmonProps!$G$2:$G$10001),0), 21))</f>
        <v>4.8</v>
      </c>
      <c r="AL49" s="174" cm="1">
        <f t="array" ref="AL49">IF(ISBLANK($AQ49), "", INDEX([2]SalmonProps!$A$2:$AA$10001,MATCH(1,($A49=[2]SalmonProps!$A$2:$A$10001)*($AP49 = [2]SalmonProps!$F$2:$F$10001) *($AR49 = [2]SalmonProps!$G$2:$G$10001),0), 22))</f>
        <v>75.3</v>
      </c>
      <c r="AM49" s="183" cm="1">
        <f t="array" ref="AM49">IF(ISBLANK($AQ49), "", INDEX([2]SalmonProps!$A$2:$AA$10001,MATCH(1,($A49=[2]SalmonProps!$A$2:$A$10001)*($AP49 = [2]SalmonProps!$F$2:$F$10001) *($AR49 = [2]SalmonProps!$G$2:$G$10001),0), 23))</f>
        <v>7.6</v>
      </c>
      <c r="AN49" s="174" t="str" cm="1">
        <f t="array" ref="AN49">IF(ISBLANK($AQ49), "", INDEX([2]SalmonProps!$A$2:$AA$10001,MATCH(1,($A49=[2]SalmonProps!$A$2:$A$10001)*($AP49 = [2]SalmonProps!$F$2:$F$10001) *($AR49 = [2]SalmonProps!$G$2:$G$10001),0), 26))</f>
        <v>NA</v>
      </c>
      <c r="AO49" s="175" t="str" cm="1">
        <f t="array" ref="AO49">IF(ISBLANK($AQ49), "", INDEX([2]SalmonProps!$A$2:$AA$10001,MATCH(1,($A49=[2]SalmonProps!$A$2:$A$10001)*($AP49 = [2]SalmonProps!$F$2:$F$10001) *($AR49 = [2]SalmonProps!$G$2:$G$10001),0), 27))</f>
        <v>NA</v>
      </c>
      <c r="AP49" s="112">
        <v>4</v>
      </c>
      <c r="AQ49" s="112" t="s">
        <v>133</v>
      </c>
      <c r="AR49" s="112" t="str">
        <f t="shared" si="1"/>
        <v>Unweighted</v>
      </c>
    </row>
    <row r="50" spans="1:44" x14ac:dyDescent="0.3">
      <c r="A50" s="20">
        <f>'[1]Passage Estimates'!$A50</f>
        <v>45152</v>
      </c>
      <c r="B50" s="164" cm="1">
        <f t="array" ref="B50">IF(ISBLANK($AQ50), "", INDEX([2]SalmonProps!$A$2:$AA$10001,MATCH(1,($A50=[2]SalmonProps!$A$2:$A$10001)*(1=[2]SalmonProps!$C$2:$C$10001)*(1=[2]SalmonProps!$D$2:$D$10001)*("A1" = [2]SalmonProps!$B$2:$B$10001)*($AP50 = [2]SalmonProps!$F$2:$F$10001) *($AR50 = [2]SalmonProps!$G$2:$G$10001),0), 17))</f>
        <v>8.0999999999999996E-3</v>
      </c>
      <c r="C50" s="165" cm="1">
        <f t="array" ref="C50">IF(ISBLANK($AQ50), "", INDEX([2]SalmonProps!$A$2:$AA$10001,MATCH(1,($A50=[2]SalmonProps!$A$2:$A$10001)*(1=[2]SalmonProps!$C$2:$C$10001)*(2=[2]SalmonProps!$D$2:$D$10001)*("A1" = [2]SalmonProps!$B$2:$B$10001)*($AP50 = [2]SalmonProps!$F$2:$F$10001) *($AR50 = [2]SalmonProps!$G$2:$G$10001),0), 17))</f>
        <v>7.8100000000000003E-2</v>
      </c>
      <c r="D50" s="165" cm="1">
        <f t="array" ref="D50">IF(ISBLANK($AQ50), "", INDEX([2]SalmonProps!$A$2:$AA$10001,MATCH(1,($A50=[2]SalmonProps!$A$2:$A$10001)*(1=[2]SalmonProps!$C$2:$C$10001)*("1&amp;2"=[2]SalmonProps!$D$2:$D$10001)*("A1" = [2]SalmonProps!$B$2:$B$10001)*($AP50 = [2]SalmonProps!$F$2:$F$10001) *($AR50 = [2]SalmonProps!$G$2:$G$10001),0), 17))</f>
        <v>4.3900000000000002E-2</v>
      </c>
      <c r="E50" s="181" cm="1">
        <f t="array" ref="E50">IF(ISBLANK($AQ50), "", INDEX([2]SalmonProps!$A$2:$AA$10001,MATCH(1,($A50=[2]SalmonProps!$A$2:$A$10001)*(2=[2]SalmonProps!$C$2:$C$10001)*(3=[2]SalmonProps!$D$2:$D$10001)*("A1" = [2]SalmonProps!$B$2:$B$10001)*($AP50 = [2]SalmonProps!$F$2:$F$10001) *($AR50 = [2]SalmonProps!$G$2:$G$10001),0), 17))</f>
        <v>0.32919999999999999</v>
      </c>
      <c r="F50" s="165" cm="1">
        <f t="array" ref="F50">IF(ISBLANK($AQ50), "", INDEX([2]SalmonProps!$A$2:$AA$10001,MATCH(1,($A50=[2]SalmonProps!$A$2:$A$10001)*(3=[2]SalmonProps!$C$2:$C$10001)*(3=[2]SalmonProps!$D$2:$D$10001)*("A1" = [2]SalmonProps!$B$2:$B$10001)*($AP50 = [2]SalmonProps!$F$2:$F$10001) *($AR50 = [2]SalmonProps!$G$2:$G$10001),0), 17))</f>
        <v>0.64590000000000003</v>
      </c>
      <c r="G50" s="165" cm="1">
        <f t="array" ref="G50">IF(ISBLANK($AQ50), "", INDEX([2]SalmonProps!$A$2:$AA$10001,MATCH(1,($A50=[2]SalmonProps!$A$2:$A$10001)*(1=[2]SalmonProps!$C$2:$C$10001)*(1=[2]SalmonProps!$D$2:$D$10001)*("A2" = [2]SalmonProps!$B$2:$B$10001)*($AP50 = [2]SalmonProps!$F$2:$F$10001) *($AR50 = [2]SalmonProps!$G$2:$G$10001),0), 17))</f>
        <v>0.1002</v>
      </c>
      <c r="H50" s="166" cm="1">
        <f t="array" ref="H50">IF(ISBLANK($AQ50), "", INDEX([2]SalmonProps!$A$2:$AA$10001,MATCH(1,($A50=[2]SalmonProps!$A$2:$A$10001)*(2=[2]SalmonProps!$C$2:$C$10001)*(1=[2]SalmonProps!$D$2:$D$10001)*("A2" = [2]SalmonProps!$B$2:$B$10001)*($AP50 = [2]SalmonProps!$F$2:$F$10001) *($AR50 = [2]SalmonProps!$G$2:$G$10001),0), 17))</f>
        <v>0.31159999999999999</v>
      </c>
      <c r="I50" s="167" cm="1">
        <f t="array" ref="I50">IF(ISBLANK($AQ50), "", INDEX([2]SalmonProps!$A$2:$AA$10001,MATCH(1,($A50=[2]SalmonProps!$A$2:$A$10001)*(3=[2]SalmonProps!$C$2:$C$10001)*(1=[2]SalmonProps!$D$2:$D$10001)*("A2" = [2]SalmonProps!$B$2:$B$10001)*($AP50 = [2]SalmonProps!$F$2:$F$10001) *($AR50 = [2]SalmonProps!$G$2:$G$10001),0), 17))</f>
        <v>0.50670000000000004</v>
      </c>
      <c r="J50" s="164" t="str" cm="1">
        <f t="array" ref="J50">IF(ISBLANK($AQ50), "", INDEX([2]SalmonProps!$A$2:$AA$10001,MATCH(1,($A50=[2]SalmonProps!$A$2:$A$10001)*(1=[2]SalmonProps!$C$2:$C$10001)*(1=[2]SalmonProps!$D$2:$D$10001)*("A1" = [2]SalmonProps!$B$2:$B$10001)*($AP50 = [2]SalmonProps!$F$2:$F$10001) *($AR50 = [2]SalmonProps!$G$2:$G$10001),0), 19))</f>
        <v>NA</v>
      </c>
      <c r="K50" s="165" t="str" cm="1">
        <f t="array" ref="K50">IF(ISBLANK($AQ50), "", INDEX([2]SalmonProps!$A$2:$AA$10001,MATCH(1,($A50=[2]SalmonProps!$A$2:$A$10001)*(1=[2]SalmonProps!$C$2:$C$10001)*(2=[2]SalmonProps!$D$2:$D$10001)*("A1" = [2]SalmonProps!$B$2:$B$10001)*($AP50 = [2]SalmonProps!$F$2:$F$10001) *($AR50 = [2]SalmonProps!$G$2:$G$10001),0), 19))</f>
        <v>NA</v>
      </c>
      <c r="L50" s="165" t="str" cm="1">
        <f t="array" ref="L50">IF(ISBLANK($AQ50), "", INDEX([2]SalmonProps!$A$2:$AA$10001,MATCH(1,($A50=[2]SalmonProps!$A$2:$A$10001)*(1=[2]SalmonProps!$C$2:$C$10001)*("1&amp;2"=[2]SalmonProps!$D$2:$D$10001)*("A1" = [2]SalmonProps!$B$2:$B$10001)*($AP50 = [2]SalmonProps!$F$2:$F$10001) *($AR50 = [2]SalmonProps!$G$2:$G$10001),0), 19))</f>
        <v>NA</v>
      </c>
      <c r="M50" s="165" t="str" cm="1">
        <f t="array" ref="M50">IF(ISBLANK($AQ50), "", INDEX([2]SalmonProps!$A$2:$AA$10001,MATCH(1,($A50=[2]SalmonProps!$A$2:$A$10001)*(2=[2]SalmonProps!$C$2:$C$10001)*(3=[2]SalmonProps!$D$2:$D$10001)*("A1" = [2]SalmonProps!$B$2:$B$10001)*($AP50 = [2]SalmonProps!$F$2:$F$10001) *($AR50 = [2]SalmonProps!$G$2:$G$10001),0), 19))</f>
        <v>NA</v>
      </c>
      <c r="N50" s="181" t="str" cm="1">
        <f t="array" ref="N50">IF(ISBLANK($AQ50), "", INDEX([2]SalmonProps!$A$2:$AA$10001,MATCH(1,($A50=[2]SalmonProps!$A$2:$A$10001)*(3=[2]SalmonProps!$C$2:$C$10001)*(3=[2]SalmonProps!$D$2:$D$10001)*("A1" = [2]SalmonProps!$B$2:$B$10001)*($AP50 = [2]SalmonProps!$F$2:$F$10001) *($AR50 = [2]SalmonProps!$G$2:$G$10001),0), 19))</f>
        <v>NA</v>
      </c>
      <c r="O50" s="165" t="str" cm="1">
        <f t="array" ref="O50">IF(ISBLANK($AQ50), "", INDEX([2]SalmonProps!$A$2:$AA$10001,MATCH(1,($A50=[2]SalmonProps!$A$2:$A$10001)*(1=[2]SalmonProps!$C$2:$C$10001)*(1=[2]SalmonProps!$D$2:$D$10001)*("A2" = [2]SalmonProps!$B$2:$B$10001)*($AP50 = [2]SalmonProps!$F$2:$F$10001) *($AR50 = [2]SalmonProps!$G$2:$G$10001),0), 19))</f>
        <v>NA</v>
      </c>
      <c r="P50" s="165" t="str" cm="1">
        <f t="array" ref="P50">IF(ISBLANK($AQ50), "", INDEX([2]SalmonProps!$A$2:$AA$10001,MATCH(1,($A50=[2]SalmonProps!$A$2:$A$10001)*(2=[2]SalmonProps!$C$2:$C$10001)*(1=[2]SalmonProps!$D$2:$D$10001)*("A2" = [2]SalmonProps!$B$2:$B$10001)*($AP50 = [2]SalmonProps!$F$2:$F$10001) *($AR50 = [2]SalmonProps!$G$2:$G$10001),0), 19))</f>
        <v>NA</v>
      </c>
      <c r="Q50" s="168" t="str" cm="1">
        <f t="array" ref="Q50">IF(ISBLANK($AQ50), "", INDEX([2]SalmonProps!$A$2:$AA$10001,MATCH(1,($A50=[2]SalmonProps!$A$2:$A$10001)*(3=[2]SalmonProps!$C$2:$C$10001)*(1=[2]SalmonProps!$D$2:$D$10001)*("A2" = [2]SalmonProps!$B$2:$B$10001)*($AP50 = [2]SalmonProps!$F$2:$F$10001) *($AR50 = [2]SalmonProps!$G$2:$G$10001),0), 19))</f>
        <v>NA</v>
      </c>
      <c r="R50" s="164" cm="1">
        <f t="array" ref="R50">IF(ISBLANK($AQ50), "", INDEX([2]SalmonProps!$A$2:$AA$10001,MATCH(1,($A50=[2]SalmonProps!$A$2:$A$10001)*(1=[2]SalmonProps!$C$2:$C$10001)*(1=[2]SalmonProps!$D$2:$D$10001)*("A1" = [2]SalmonProps!$B$2:$B$10001)*($AP50 = [2]SalmonProps!$F$2:$F$10001) *($AR50 = [2]SalmonProps!$G$2:$G$10001),0), 18))</f>
        <v>0.11210000000000001</v>
      </c>
      <c r="S50" s="165" cm="1">
        <f t="array" ref="S50">IF(ISBLANK($AQ50), "", INDEX([2]SalmonProps!$A$2:$AA$10001,MATCH(1,($A50=[2]SalmonProps!$A$2:$A$10001)*(1=[2]SalmonProps!$C$2:$C$10001)*(2=[2]SalmonProps!$D$2:$D$10001)*("A1" = [2]SalmonProps!$B$2:$B$10001)*($AP50 = [2]SalmonProps!$F$2:$F$10001) *($AR50 = [2]SalmonProps!$G$2:$G$10001),0), 18))</f>
        <v>7.3000000000000001E-3</v>
      </c>
      <c r="T50" s="165" cm="1">
        <f t="array" ref="T50">IF(ISBLANK($AQ50), "", INDEX([2]SalmonProps!$A$2:$AA$10001,MATCH(1,($A50=[2]SalmonProps!$A$2:$A$10001)*(1=[2]SalmonProps!$C$2:$C$10001)*("1&amp;2"=[2]SalmonProps!$D$2:$D$10001)*("A1" = [2]SalmonProps!$B$2:$B$10001)*($AP50 = [2]SalmonProps!$F$2:$F$10001) *($AR50 = [2]SalmonProps!$G$2:$G$10001),0), 18))</f>
        <v>5.3699999999999998E-2</v>
      </c>
      <c r="U50" s="165" cm="1">
        <f t="array" ref="U50">IF(ISBLANK($AQ50), "", INDEX([2]SalmonProps!$A$2:$AA$10001,MATCH(1,($A50=[2]SalmonProps!$A$2:$A$10001)*(2=[2]SalmonProps!$C$2:$C$10001)*(3=[2]SalmonProps!$D$2:$D$10001)*("A1" = [2]SalmonProps!$B$2:$B$10001)*($AP50 = [2]SalmonProps!$F$2:$F$10001) *($AR50 = [2]SalmonProps!$G$2:$G$10001),0), 18))</f>
        <v>0.2477</v>
      </c>
      <c r="V50" s="181" cm="1">
        <f t="array" ref="V50">IF(ISBLANK($AQ50), "", INDEX([2]SalmonProps!$A$2:$AA$10001,MATCH(1,($A50=[2]SalmonProps!$A$2:$A$10001)*(3=[2]SalmonProps!$C$2:$C$10001)*(3=[2]SalmonProps!$D$2:$D$10001)*("A1" = [2]SalmonProps!$B$2:$B$10001)*($AP50 = [2]SalmonProps!$F$2:$F$10001) *($AR50 = [2]SalmonProps!$G$2:$G$10001),0), 18))</f>
        <v>0.25569999999999998</v>
      </c>
      <c r="W50" s="180" cm="1">
        <f t="array" ref="W50">IF(ISBLANK($AQ50), "", INDEX([2]SalmonProps!$A$2:$AA$10001,MATCH(1,($A50=[2]SalmonProps!$A$2:$A$10001)*(1=[2]SalmonProps!$C$2:$C$10001)*(1=[2]SalmonProps!$D$2:$D$10001)*("A2" = [2]SalmonProps!$B$2:$B$10001)*($AP50 = [2]SalmonProps!$F$2:$F$10001) *($AR50 = [2]SalmonProps!$G$2:$G$10001),0), 18))</f>
        <v>0.1116</v>
      </c>
      <c r="X50" s="165" cm="1">
        <f t="array" ref="X50">IF(ISBLANK($AQ50), "", INDEX([2]SalmonProps!$A$2:$AA$10001,MATCH(1,($A50=[2]SalmonProps!$A$2:$A$10001)*(2=[2]SalmonProps!$C$2:$C$10001)*(1=[2]SalmonProps!$D$2:$D$10001)*("A2" = [2]SalmonProps!$B$2:$B$10001)*($AP50 = [2]SalmonProps!$F$2:$F$10001) *($AR50 = [2]SalmonProps!$G$2:$G$10001),0), 18))</f>
        <v>4.2299999999999997E-2</v>
      </c>
      <c r="Y50" s="168" cm="1">
        <f t="array" ref="Y50">IF(ISBLANK($AQ50), "", INDEX([2]SalmonProps!$A$2:$AA$10001,MATCH(1,($A50=[2]SalmonProps!$A$2:$A$10001)*(3=[2]SalmonProps!$C$2:$C$10001)*(1=[2]SalmonProps!$D$2:$D$10001)*("A2" = [2]SalmonProps!$B$2:$B$10001)*($AP50 = [2]SalmonProps!$F$2:$F$10001) *($AR50 = [2]SalmonProps!$G$2:$G$10001),0), 18))</f>
        <v>0.34239999999999998</v>
      </c>
      <c r="Z50" s="164" cm="1">
        <f t="array" ref="Z50">IF(ISBLANK($AQ50), "", INDEX([2]SalmonProps!$A$2:$AA$10001,MATCH(1,($A50=[2]SalmonProps!$A$2:$A$10001)*(1=[2]SalmonProps!$C$2:$C$10001)*(1=[2]SalmonProps!$D$2:$D$10001)*("A1" = [2]SalmonProps!$B$2:$B$10001)*($AP50 = [2]SalmonProps!$F$2:$F$10001) *($AR50 = [2]SalmonProps!$G$2:$G$10001),0), 15))</f>
        <v>0.3574</v>
      </c>
      <c r="AA50" s="165" cm="1">
        <f t="array" ref="AA50">IF(ISBLANK($AQ50), "", INDEX([2]SalmonProps!$A$2:$AA$10001,MATCH(1,($A50=[2]SalmonProps!$A$2:$A$10001)*(1=[2]SalmonProps!$C$2:$C$10001)*(2=[2]SalmonProps!$D$2:$D$10001)*("A1" = [2]SalmonProps!$B$2:$B$10001)*($AP50 = [2]SalmonProps!$F$2:$F$10001) *($AR50 = [2]SalmonProps!$G$2:$G$10001),0), 15))</f>
        <v>0.3705</v>
      </c>
      <c r="AB50" s="165" cm="1">
        <f t="array" ref="AB50">IF(ISBLANK($AQ50), "", INDEX([2]SalmonProps!$A$2:$AA$10001,MATCH(1,($A50=[2]SalmonProps!$A$2:$A$10001)*(1=[2]SalmonProps!$C$2:$C$10001)*("1&amp;2"=[2]SalmonProps!$D$2:$D$10001)*("A1" = [2]SalmonProps!$B$2:$B$10001)*($AP50 = [2]SalmonProps!$F$2:$F$10001) *($AR50 = [2]SalmonProps!$G$2:$G$10001),0), 15))</f>
        <v>0.36299999999999999</v>
      </c>
      <c r="AC50" s="165" cm="1">
        <f t="array" ref="AC50">IF(ISBLANK($AQ50), "", INDEX([2]SalmonProps!$A$2:$AA$10001,MATCH(1,($A50=[2]SalmonProps!$A$2:$A$10001)*(2=[2]SalmonProps!$C$2:$C$10001)*(3=[2]SalmonProps!$D$2:$D$10001)*("A1" = [2]SalmonProps!$B$2:$B$10001)*($AP50 = [2]SalmonProps!$F$2:$F$10001) *($AR50 = [2]SalmonProps!$G$2:$G$10001),0), 15))</f>
        <v>0.81330000000000002</v>
      </c>
      <c r="AD50" s="181" cm="1">
        <f t="array" ref="AD50">IF(ISBLANK($AQ50), "", INDEX([2]SalmonProps!$A$2:$AA$10001,MATCH(1,($A50=[2]SalmonProps!$A$2:$A$10001)*(3=[2]SalmonProps!$C$2:$C$10001)*(3=[2]SalmonProps!$D$2:$D$10001)*("A1" = [2]SalmonProps!$B$2:$B$10001)*($AP50 = [2]SalmonProps!$F$2:$F$10001) *($AR50 = [2]SalmonProps!$G$2:$G$10001),0), 15))</f>
        <v>0.95199999999999996</v>
      </c>
      <c r="AE50" s="166" cm="1">
        <f t="array" ref="AE50">IF(ISBLANK($AQ50), "", INDEX([2]SalmonProps!$A$2:$AA$10001,MATCH(1,($A50=[2]SalmonProps!$A$2:$A$10001)*(1=[2]SalmonProps!$C$2:$C$10001)*(1=[2]SalmonProps!$D$2:$D$10001)*("A2" = [2]SalmonProps!$B$2:$B$10001)*($AP50 = [2]SalmonProps!$F$2:$F$10001) *($AR50 = [2]SalmonProps!$G$2:$G$10001),0), 15))</f>
        <v>0.39290000000000003</v>
      </c>
      <c r="AF50" s="166" cm="1">
        <f t="array" ref="AF50">IF(ISBLANK($AQ50), "", INDEX([2]SalmonProps!$A$2:$AA$10001,MATCH(1,($A50=[2]SalmonProps!$A$2:$A$10001)*(2=[2]SalmonProps!$C$2:$C$10001)*(1=[2]SalmonProps!$D$2:$D$10001)*("A2" = [2]SalmonProps!$B$2:$B$10001)*($AP50 = [2]SalmonProps!$F$2:$F$10001) *($AR50 = [2]SalmonProps!$G$2:$G$10001),0), 15))</f>
        <v>0.46939999999999998</v>
      </c>
      <c r="AG50" s="167" cm="1">
        <f t="array" ref="AG50">IF(ISBLANK($AQ50), "", INDEX([2]SalmonProps!$A$2:$AA$10001,MATCH(1,($A50=[2]SalmonProps!$A$2:$A$10001)*(3=[2]SalmonProps!$C$2:$C$10001)*(1=[2]SalmonProps!$D$2:$D$10001)*("A2" = [2]SalmonProps!$B$2:$B$10001)*($AP50 = [2]SalmonProps!$F$2:$F$10001) *($AR50 = [2]SalmonProps!$G$2:$G$10001),0), 15))</f>
        <v>0.84909999999999997</v>
      </c>
      <c r="AH50" s="173" cm="1">
        <f t="array" ref="AH50">IF(ISBLANK($AQ50), "", INDEX([2]SalmonProps!$A$2:$AA$10001,MATCH(1,($A50=[2]SalmonProps!$A$2:$A$10001)*($AP50 = [2]SalmonProps!$F$2:$F$10001) *($AR50 = [2]SalmonProps!$G$2:$G$10001),0), 24))</f>
        <v>51.9</v>
      </c>
      <c r="AI50" s="183" cm="1">
        <f t="array" ref="AI50">IF(ISBLANK($AQ50), "", INDEX([2]SalmonProps!$A$2:$AA$10001,MATCH(1,($A50=[2]SalmonProps!$A$2:$A$10001)*($AP50 = [2]SalmonProps!$F$2:$F$10001) *($AR50 = [2]SalmonProps!$G$2:$G$10001),0), 25))</f>
        <v>6.7</v>
      </c>
      <c r="AJ50" s="174" cm="1">
        <f t="array" ref="AJ50">IF(ISBLANK($AQ50), "", INDEX([2]SalmonProps!$A$2:$AA$10001,MATCH(1,($A50=[2]SalmonProps!$A$2:$A$10001)*($AP50 = [2]SalmonProps!$F$2:$F$10001) *($AR50 = [2]SalmonProps!$G$2:$G$10001),0), 20))</f>
        <v>59.3</v>
      </c>
      <c r="AK50" s="183" cm="1">
        <f t="array" ref="AK50">IF(ISBLANK($AQ50), "", INDEX([2]SalmonProps!$A$2:$AA$10001,MATCH(1,($A50=[2]SalmonProps!$A$2:$A$10001)*($AP50 = [2]SalmonProps!$F$2:$F$10001) *($AR50 = [2]SalmonProps!$G$2:$G$10001),0), 21))</f>
        <v>4.8</v>
      </c>
      <c r="AL50" s="174" cm="1">
        <f t="array" ref="AL50">IF(ISBLANK($AQ50), "", INDEX([2]SalmonProps!$A$2:$AA$10001,MATCH(1,($A50=[2]SalmonProps!$A$2:$A$10001)*($AP50 = [2]SalmonProps!$F$2:$F$10001) *($AR50 = [2]SalmonProps!$G$2:$G$10001),0), 22))</f>
        <v>75.3</v>
      </c>
      <c r="AM50" s="183" cm="1">
        <f t="array" ref="AM50">IF(ISBLANK($AQ50), "", INDEX([2]SalmonProps!$A$2:$AA$10001,MATCH(1,($A50=[2]SalmonProps!$A$2:$A$10001)*($AP50 = [2]SalmonProps!$F$2:$F$10001) *($AR50 = [2]SalmonProps!$G$2:$G$10001),0), 23))</f>
        <v>7.6</v>
      </c>
      <c r="AN50" s="174" t="str" cm="1">
        <f t="array" ref="AN50">IF(ISBLANK($AQ50), "", INDEX([2]SalmonProps!$A$2:$AA$10001,MATCH(1,($A50=[2]SalmonProps!$A$2:$A$10001)*($AP50 = [2]SalmonProps!$F$2:$F$10001) *($AR50 = [2]SalmonProps!$G$2:$G$10001),0), 26))</f>
        <v>NA</v>
      </c>
      <c r="AO50" s="175" t="str" cm="1">
        <f t="array" ref="AO50">IF(ISBLANK($AQ50), "", INDEX([2]SalmonProps!$A$2:$AA$10001,MATCH(1,($A50=[2]SalmonProps!$A$2:$A$10001)*($AP50 = [2]SalmonProps!$F$2:$F$10001) *($AR50 = [2]SalmonProps!$G$2:$G$10001),0), 27))</f>
        <v>NA</v>
      </c>
      <c r="AP50" s="112">
        <v>4</v>
      </c>
      <c r="AQ50" s="112" t="s">
        <v>133</v>
      </c>
      <c r="AR50" s="112" t="str">
        <f t="shared" si="1"/>
        <v>Unweighted</v>
      </c>
    </row>
    <row r="51" spans="1:44" x14ac:dyDescent="0.3">
      <c r="A51" s="20">
        <f>'[1]Passage Estimates'!$A51</f>
        <v>45153</v>
      </c>
      <c r="B51" s="164" cm="1">
        <f t="array" ref="B51">IF(ISBLANK($AQ51), "", INDEX([2]SalmonProps!$A$2:$AA$10001,MATCH(1,($A51=[2]SalmonProps!$A$2:$A$10001)*(1=[2]SalmonProps!$C$2:$C$10001)*(1=[2]SalmonProps!$D$2:$D$10001)*("A1" = [2]SalmonProps!$B$2:$B$10001)*($AP51 = [2]SalmonProps!$F$2:$F$10001) *($AR51 = [2]SalmonProps!$G$2:$G$10001),0), 17))</f>
        <v>5.9799999999999999E-2</v>
      </c>
      <c r="C51" s="165" cm="1">
        <f t="array" ref="C51">IF(ISBLANK($AQ51), "", INDEX([2]SalmonProps!$A$2:$AA$10001,MATCH(1,($A51=[2]SalmonProps!$A$2:$A$10001)*(1=[2]SalmonProps!$C$2:$C$10001)*(2=[2]SalmonProps!$D$2:$D$10001)*("A1" = [2]SalmonProps!$B$2:$B$10001)*($AP51 = [2]SalmonProps!$F$2:$F$10001) *($AR51 = [2]SalmonProps!$G$2:$G$10001),0), 17))</f>
        <v>3.5499999999999997E-2</v>
      </c>
      <c r="D51" s="165" cm="1">
        <f t="array" ref="D51">IF(ISBLANK($AQ51), "", INDEX([2]SalmonProps!$A$2:$AA$10001,MATCH(1,($A51=[2]SalmonProps!$A$2:$A$10001)*(1=[2]SalmonProps!$C$2:$C$10001)*("1&amp;2"=[2]SalmonProps!$D$2:$D$10001)*("A1" = [2]SalmonProps!$B$2:$B$10001)*($AP51 = [2]SalmonProps!$F$2:$F$10001) *($AR51 = [2]SalmonProps!$G$2:$G$10001),0), 17))</f>
        <v>5.28E-2</v>
      </c>
      <c r="E51" s="181" cm="1">
        <f t="array" ref="E51">IF(ISBLANK($AQ51), "", INDEX([2]SalmonProps!$A$2:$AA$10001,MATCH(1,($A51=[2]SalmonProps!$A$2:$A$10001)*(2=[2]SalmonProps!$C$2:$C$10001)*(3=[2]SalmonProps!$D$2:$D$10001)*("A1" = [2]SalmonProps!$B$2:$B$10001)*($AP51 = [2]SalmonProps!$F$2:$F$10001) *($AR51 = [2]SalmonProps!$G$2:$G$10001),0), 17))</f>
        <v>0.22939999999999999</v>
      </c>
      <c r="F51" s="165" cm="1">
        <f t="array" ref="F51">IF(ISBLANK($AQ51), "", INDEX([2]SalmonProps!$A$2:$AA$10001,MATCH(1,($A51=[2]SalmonProps!$A$2:$A$10001)*(3=[2]SalmonProps!$C$2:$C$10001)*(3=[2]SalmonProps!$D$2:$D$10001)*("A1" = [2]SalmonProps!$B$2:$B$10001)*($AP51 = [2]SalmonProps!$F$2:$F$10001) *($AR51 = [2]SalmonProps!$G$2:$G$10001),0), 17))</f>
        <v>0.53949999999999998</v>
      </c>
      <c r="G51" s="165" cm="1">
        <f t="array" ref="G51">IF(ISBLANK($AQ51), "", INDEX([2]SalmonProps!$A$2:$AA$10001,MATCH(1,($A51=[2]SalmonProps!$A$2:$A$10001)*(1=[2]SalmonProps!$C$2:$C$10001)*(1=[2]SalmonProps!$D$2:$D$10001)*("A2" = [2]SalmonProps!$B$2:$B$10001)*($AP51 = [2]SalmonProps!$F$2:$F$10001) *($AR51 = [2]SalmonProps!$G$2:$G$10001),0), 17))</f>
        <v>5.8299999999999998E-2</v>
      </c>
      <c r="H51" s="166" cm="1">
        <f t="array" ref="H51">IF(ISBLANK($AQ51), "", INDEX([2]SalmonProps!$A$2:$AA$10001,MATCH(1,($A51=[2]SalmonProps!$A$2:$A$10001)*(2=[2]SalmonProps!$C$2:$C$10001)*(1=[2]SalmonProps!$D$2:$D$10001)*("A2" = [2]SalmonProps!$B$2:$B$10001)*($AP51 = [2]SalmonProps!$F$2:$F$10001) *($AR51 = [2]SalmonProps!$G$2:$G$10001),0), 17))</f>
        <v>0.1618</v>
      </c>
      <c r="I51" s="167" cm="1">
        <f t="array" ref="I51">IF(ISBLANK($AQ51), "", INDEX([2]SalmonProps!$A$2:$AA$10001,MATCH(1,($A51=[2]SalmonProps!$A$2:$A$10001)*(3=[2]SalmonProps!$C$2:$C$10001)*(1=[2]SalmonProps!$D$2:$D$10001)*("A2" = [2]SalmonProps!$B$2:$B$10001)*($AP51 = [2]SalmonProps!$F$2:$F$10001) *($AR51 = [2]SalmonProps!$G$2:$G$10001),0), 17))</f>
        <v>0.3659</v>
      </c>
      <c r="J51" s="164" t="str" cm="1">
        <f t="array" ref="J51">IF(ISBLANK($AQ51), "", INDEX([2]SalmonProps!$A$2:$AA$10001,MATCH(1,($A51=[2]SalmonProps!$A$2:$A$10001)*(1=[2]SalmonProps!$C$2:$C$10001)*(1=[2]SalmonProps!$D$2:$D$10001)*("A1" = [2]SalmonProps!$B$2:$B$10001)*($AP51 = [2]SalmonProps!$F$2:$F$10001) *($AR51 = [2]SalmonProps!$G$2:$G$10001),0), 19))</f>
        <v>NA</v>
      </c>
      <c r="K51" s="165" t="str" cm="1">
        <f t="array" ref="K51">IF(ISBLANK($AQ51), "", INDEX([2]SalmonProps!$A$2:$AA$10001,MATCH(1,($A51=[2]SalmonProps!$A$2:$A$10001)*(1=[2]SalmonProps!$C$2:$C$10001)*(2=[2]SalmonProps!$D$2:$D$10001)*("A1" = [2]SalmonProps!$B$2:$B$10001)*($AP51 = [2]SalmonProps!$F$2:$F$10001) *($AR51 = [2]SalmonProps!$G$2:$G$10001),0), 19))</f>
        <v>NA</v>
      </c>
      <c r="L51" s="165" t="str" cm="1">
        <f t="array" ref="L51">IF(ISBLANK($AQ51), "", INDEX([2]SalmonProps!$A$2:$AA$10001,MATCH(1,($A51=[2]SalmonProps!$A$2:$A$10001)*(1=[2]SalmonProps!$C$2:$C$10001)*("1&amp;2"=[2]SalmonProps!$D$2:$D$10001)*("A1" = [2]SalmonProps!$B$2:$B$10001)*($AP51 = [2]SalmonProps!$F$2:$F$10001) *($AR51 = [2]SalmonProps!$G$2:$G$10001),0), 19))</f>
        <v>NA</v>
      </c>
      <c r="M51" s="165" t="str" cm="1">
        <f t="array" ref="M51">IF(ISBLANK($AQ51), "", INDEX([2]SalmonProps!$A$2:$AA$10001,MATCH(1,($A51=[2]SalmonProps!$A$2:$A$10001)*(2=[2]SalmonProps!$C$2:$C$10001)*(3=[2]SalmonProps!$D$2:$D$10001)*("A1" = [2]SalmonProps!$B$2:$B$10001)*($AP51 = [2]SalmonProps!$F$2:$F$10001) *($AR51 = [2]SalmonProps!$G$2:$G$10001),0), 19))</f>
        <v>NA</v>
      </c>
      <c r="N51" s="181" t="str" cm="1">
        <f t="array" ref="N51">IF(ISBLANK($AQ51), "", INDEX([2]SalmonProps!$A$2:$AA$10001,MATCH(1,($A51=[2]SalmonProps!$A$2:$A$10001)*(3=[2]SalmonProps!$C$2:$C$10001)*(3=[2]SalmonProps!$D$2:$D$10001)*("A1" = [2]SalmonProps!$B$2:$B$10001)*($AP51 = [2]SalmonProps!$F$2:$F$10001) *($AR51 = [2]SalmonProps!$G$2:$G$10001),0), 19))</f>
        <v>NA</v>
      </c>
      <c r="O51" s="165" t="str" cm="1">
        <f t="array" ref="O51">IF(ISBLANK($AQ51), "", INDEX([2]SalmonProps!$A$2:$AA$10001,MATCH(1,($A51=[2]SalmonProps!$A$2:$A$10001)*(1=[2]SalmonProps!$C$2:$C$10001)*(1=[2]SalmonProps!$D$2:$D$10001)*("A2" = [2]SalmonProps!$B$2:$B$10001)*($AP51 = [2]SalmonProps!$F$2:$F$10001) *($AR51 = [2]SalmonProps!$G$2:$G$10001),0), 19))</f>
        <v>NA</v>
      </c>
      <c r="P51" s="165" t="str" cm="1">
        <f t="array" ref="P51">IF(ISBLANK($AQ51), "", INDEX([2]SalmonProps!$A$2:$AA$10001,MATCH(1,($A51=[2]SalmonProps!$A$2:$A$10001)*(2=[2]SalmonProps!$C$2:$C$10001)*(1=[2]SalmonProps!$D$2:$D$10001)*("A2" = [2]SalmonProps!$B$2:$B$10001)*($AP51 = [2]SalmonProps!$F$2:$F$10001) *($AR51 = [2]SalmonProps!$G$2:$G$10001),0), 19))</f>
        <v>NA</v>
      </c>
      <c r="Q51" s="168" t="str" cm="1">
        <f t="array" ref="Q51">IF(ISBLANK($AQ51), "", INDEX([2]SalmonProps!$A$2:$AA$10001,MATCH(1,($A51=[2]SalmonProps!$A$2:$A$10001)*(3=[2]SalmonProps!$C$2:$C$10001)*(1=[2]SalmonProps!$D$2:$D$10001)*("A2" = [2]SalmonProps!$B$2:$B$10001)*($AP51 = [2]SalmonProps!$F$2:$F$10001) *($AR51 = [2]SalmonProps!$G$2:$G$10001),0), 19))</f>
        <v>NA</v>
      </c>
      <c r="R51" s="164" cm="1">
        <f t="array" ref="R51">IF(ISBLANK($AQ51), "", INDEX([2]SalmonProps!$A$2:$AA$10001,MATCH(1,($A51=[2]SalmonProps!$A$2:$A$10001)*(1=[2]SalmonProps!$C$2:$C$10001)*(1=[2]SalmonProps!$D$2:$D$10001)*("A1" = [2]SalmonProps!$B$2:$B$10001)*($AP51 = [2]SalmonProps!$F$2:$F$10001) *($AR51 = [2]SalmonProps!$G$2:$G$10001),0), 18))</f>
        <v>8.4400000000000003E-2</v>
      </c>
      <c r="S51" s="165" cm="1">
        <f t="array" ref="S51">IF(ISBLANK($AQ51), "", INDEX([2]SalmonProps!$A$2:$AA$10001,MATCH(1,($A51=[2]SalmonProps!$A$2:$A$10001)*(1=[2]SalmonProps!$C$2:$C$10001)*(2=[2]SalmonProps!$D$2:$D$10001)*("A1" = [2]SalmonProps!$B$2:$B$10001)*($AP51 = [2]SalmonProps!$F$2:$F$10001) *($AR51 = [2]SalmonProps!$G$2:$G$10001),0), 18))</f>
        <v>0</v>
      </c>
      <c r="T51" s="165" cm="1">
        <f t="array" ref="T51">IF(ISBLANK($AQ51), "", INDEX([2]SalmonProps!$A$2:$AA$10001,MATCH(1,($A51=[2]SalmonProps!$A$2:$A$10001)*(1=[2]SalmonProps!$C$2:$C$10001)*("1&amp;2"=[2]SalmonProps!$D$2:$D$10001)*("A1" = [2]SalmonProps!$B$2:$B$10001)*($AP51 = [2]SalmonProps!$F$2:$F$10001) *($AR51 = [2]SalmonProps!$G$2:$G$10001),0), 18))</f>
        <v>3.85E-2</v>
      </c>
      <c r="U51" s="165" cm="1">
        <f t="array" ref="U51">IF(ISBLANK($AQ51), "", INDEX([2]SalmonProps!$A$2:$AA$10001,MATCH(1,($A51=[2]SalmonProps!$A$2:$A$10001)*(2=[2]SalmonProps!$C$2:$C$10001)*(3=[2]SalmonProps!$D$2:$D$10001)*("A1" = [2]SalmonProps!$B$2:$B$10001)*($AP51 = [2]SalmonProps!$F$2:$F$10001) *($AR51 = [2]SalmonProps!$G$2:$G$10001),0), 18))</f>
        <v>0.23080000000000001</v>
      </c>
      <c r="V51" s="181" cm="1">
        <f t="array" ref="V51">IF(ISBLANK($AQ51), "", INDEX([2]SalmonProps!$A$2:$AA$10001,MATCH(1,($A51=[2]SalmonProps!$A$2:$A$10001)*(3=[2]SalmonProps!$C$2:$C$10001)*(3=[2]SalmonProps!$D$2:$D$10001)*("A1" = [2]SalmonProps!$B$2:$B$10001)*($AP51 = [2]SalmonProps!$F$2:$F$10001) *($AR51 = [2]SalmonProps!$G$2:$G$10001),0), 18))</f>
        <v>0.26390000000000002</v>
      </c>
      <c r="W51" s="180" cm="1">
        <f t="array" ref="W51">IF(ISBLANK($AQ51), "", INDEX([2]SalmonProps!$A$2:$AA$10001,MATCH(1,($A51=[2]SalmonProps!$A$2:$A$10001)*(1=[2]SalmonProps!$C$2:$C$10001)*(1=[2]SalmonProps!$D$2:$D$10001)*("A2" = [2]SalmonProps!$B$2:$B$10001)*($AP51 = [2]SalmonProps!$F$2:$F$10001) *($AR51 = [2]SalmonProps!$G$2:$G$10001),0), 18))</f>
        <v>5.3699999999999998E-2</v>
      </c>
      <c r="X51" s="165" cm="1">
        <f t="array" ref="X51">IF(ISBLANK($AQ51), "", INDEX([2]SalmonProps!$A$2:$AA$10001,MATCH(1,($A51=[2]SalmonProps!$A$2:$A$10001)*(2=[2]SalmonProps!$C$2:$C$10001)*(1=[2]SalmonProps!$D$2:$D$10001)*("A2" = [2]SalmonProps!$B$2:$B$10001)*($AP51 = [2]SalmonProps!$F$2:$F$10001) *($AR51 = [2]SalmonProps!$G$2:$G$10001),0), 18))</f>
        <v>5.0299999999999997E-2</v>
      </c>
      <c r="Y51" s="168" cm="1">
        <f t="array" ref="Y51">IF(ISBLANK($AQ51), "", INDEX([2]SalmonProps!$A$2:$AA$10001,MATCH(1,($A51=[2]SalmonProps!$A$2:$A$10001)*(3=[2]SalmonProps!$C$2:$C$10001)*(1=[2]SalmonProps!$D$2:$D$10001)*("A2" = [2]SalmonProps!$B$2:$B$10001)*($AP51 = [2]SalmonProps!$F$2:$F$10001) *($AR51 = [2]SalmonProps!$G$2:$G$10001),0), 18))</f>
        <v>0.2477</v>
      </c>
      <c r="Z51" s="164" cm="1">
        <f t="array" ref="Z51">IF(ISBLANK($AQ51), "", INDEX([2]SalmonProps!$A$2:$AA$10001,MATCH(1,($A51=[2]SalmonProps!$A$2:$A$10001)*(1=[2]SalmonProps!$C$2:$C$10001)*(1=[2]SalmonProps!$D$2:$D$10001)*("A1" = [2]SalmonProps!$B$2:$B$10001)*($AP51 = [2]SalmonProps!$F$2:$F$10001) *($AR51 = [2]SalmonProps!$G$2:$G$10001),0), 15))</f>
        <v>0.31109999999999999</v>
      </c>
      <c r="AA51" s="165" cm="1">
        <f t="array" ref="AA51">IF(ISBLANK($AQ51), "", INDEX([2]SalmonProps!$A$2:$AA$10001,MATCH(1,($A51=[2]SalmonProps!$A$2:$A$10001)*(1=[2]SalmonProps!$C$2:$C$10001)*(2=[2]SalmonProps!$D$2:$D$10001)*("A1" = [2]SalmonProps!$B$2:$B$10001)*($AP51 = [2]SalmonProps!$F$2:$F$10001) *($AR51 = [2]SalmonProps!$G$2:$G$10001),0), 15))</f>
        <v>0.39650000000000002</v>
      </c>
      <c r="AB51" s="165" cm="1">
        <f t="array" ref="AB51">IF(ISBLANK($AQ51), "", INDEX([2]SalmonProps!$A$2:$AA$10001,MATCH(1,($A51=[2]SalmonProps!$A$2:$A$10001)*(1=[2]SalmonProps!$C$2:$C$10001)*("1&amp;2"=[2]SalmonProps!$D$2:$D$10001)*("A1" = [2]SalmonProps!$B$2:$B$10001)*($AP51 = [2]SalmonProps!$F$2:$F$10001) *($AR51 = [2]SalmonProps!$G$2:$G$10001),0), 15))</f>
        <v>0.35749999999999998</v>
      </c>
      <c r="AC51" s="165" cm="1">
        <f t="array" ref="AC51">IF(ISBLANK($AQ51), "", INDEX([2]SalmonProps!$A$2:$AA$10001,MATCH(1,($A51=[2]SalmonProps!$A$2:$A$10001)*(2=[2]SalmonProps!$C$2:$C$10001)*(3=[2]SalmonProps!$D$2:$D$10001)*("A1" = [2]SalmonProps!$B$2:$B$10001)*($AP51 = [2]SalmonProps!$F$2:$F$10001) *($AR51 = [2]SalmonProps!$G$2:$G$10001),0), 15))</f>
        <v>0.70630000000000004</v>
      </c>
      <c r="AD51" s="181" cm="1">
        <f t="array" ref="AD51">IF(ISBLANK($AQ51), "", INDEX([2]SalmonProps!$A$2:$AA$10001,MATCH(1,($A51=[2]SalmonProps!$A$2:$A$10001)*(3=[2]SalmonProps!$C$2:$C$10001)*(3=[2]SalmonProps!$D$2:$D$10001)*("A1" = [2]SalmonProps!$B$2:$B$10001)*($AP51 = [2]SalmonProps!$F$2:$F$10001) *($AR51 = [2]SalmonProps!$G$2:$G$10001),0), 15))</f>
        <v>0.85970000000000002</v>
      </c>
      <c r="AE51" s="166" cm="1">
        <f t="array" ref="AE51">IF(ISBLANK($AQ51), "", INDEX([2]SalmonProps!$A$2:$AA$10001,MATCH(1,($A51=[2]SalmonProps!$A$2:$A$10001)*(1=[2]SalmonProps!$C$2:$C$10001)*(1=[2]SalmonProps!$D$2:$D$10001)*("A2" = [2]SalmonProps!$B$2:$B$10001)*($AP51 = [2]SalmonProps!$F$2:$F$10001) *($AR51 = [2]SalmonProps!$G$2:$G$10001),0), 15))</f>
        <v>0.2041</v>
      </c>
      <c r="AF51" s="166" cm="1">
        <f t="array" ref="AF51">IF(ISBLANK($AQ51), "", INDEX([2]SalmonProps!$A$2:$AA$10001,MATCH(1,($A51=[2]SalmonProps!$A$2:$A$10001)*(2=[2]SalmonProps!$C$2:$C$10001)*(1=[2]SalmonProps!$D$2:$D$10001)*("A2" = [2]SalmonProps!$B$2:$B$10001)*($AP51 = [2]SalmonProps!$F$2:$F$10001) *($AR51 = [2]SalmonProps!$G$2:$G$10001),0), 15))</f>
        <v>0.39610000000000001</v>
      </c>
      <c r="AG51" s="167" cm="1">
        <f t="array" ref="AG51">IF(ISBLANK($AQ51), "", INDEX([2]SalmonProps!$A$2:$AA$10001,MATCH(1,($A51=[2]SalmonProps!$A$2:$A$10001)*(3=[2]SalmonProps!$C$2:$C$10001)*(1=[2]SalmonProps!$D$2:$D$10001)*("A2" = [2]SalmonProps!$B$2:$B$10001)*($AP51 = [2]SalmonProps!$F$2:$F$10001) *($AR51 = [2]SalmonProps!$G$2:$G$10001),0), 15))</f>
        <v>0.64959999999999996</v>
      </c>
      <c r="AH51" s="173" cm="1">
        <f t="array" ref="AH51">IF(ISBLANK($AQ51), "", INDEX([2]SalmonProps!$A$2:$AA$10001,MATCH(1,($A51=[2]SalmonProps!$A$2:$A$10001)*($AP51 = [2]SalmonProps!$F$2:$F$10001) *($AR51 = [2]SalmonProps!$G$2:$G$10001),0), 24))</f>
        <v>51.8</v>
      </c>
      <c r="AI51" s="183" cm="1">
        <f t="array" ref="AI51">IF(ISBLANK($AQ51), "", INDEX([2]SalmonProps!$A$2:$AA$10001,MATCH(1,($A51=[2]SalmonProps!$A$2:$A$10001)*($AP51 = [2]SalmonProps!$F$2:$F$10001) *($AR51 = [2]SalmonProps!$G$2:$G$10001),0), 25))</f>
        <v>6.7</v>
      </c>
      <c r="AJ51" s="174" cm="1">
        <f t="array" ref="AJ51">IF(ISBLANK($AQ51), "", INDEX([2]SalmonProps!$A$2:$AA$10001,MATCH(1,($A51=[2]SalmonProps!$A$2:$A$10001)*($AP51 = [2]SalmonProps!$F$2:$F$10001) *($AR51 = [2]SalmonProps!$G$2:$G$10001),0), 20))</f>
        <v>59</v>
      </c>
      <c r="AK51" s="183" cm="1">
        <f t="array" ref="AK51">IF(ISBLANK($AQ51), "", INDEX([2]SalmonProps!$A$2:$AA$10001,MATCH(1,($A51=[2]SalmonProps!$A$2:$A$10001)*($AP51 = [2]SalmonProps!$F$2:$F$10001) *($AR51 = [2]SalmonProps!$G$2:$G$10001),0), 21))</f>
        <v>4.8</v>
      </c>
      <c r="AL51" s="174" cm="1">
        <f t="array" ref="AL51">IF(ISBLANK($AQ51), "", INDEX([2]SalmonProps!$A$2:$AA$10001,MATCH(1,($A51=[2]SalmonProps!$A$2:$A$10001)*($AP51 = [2]SalmonProps!$F$2:$F$10001) *($AR51 = [2]SalmonProps!$G$2:$G$10001),0), 22))</f>
        <v>75.400000000000006</v>
      </c>
      <c r="AM51" s="183" cm="1">
        <f t="array" ref="AM51">IF(ISBLANK($AQ51), "", INDEX([2]SalmonProps!$A$2:$AA$10001,MATCH(1,($A51=[2]SalmonProps!$A$2:$A$10001)*($AP51 = [2]SalmonProps!$F$2:$F$10001) *($AR51 = [2]SalmonProps!$G$2:$G$10001),0), 23))</f>
        <v>7.6</v>
      </c>
      <c r="AN51" s="174" t="str" cm="1">
        <f t="array" ref="AN51">IF(ISBLANK($AQ51), "", INDEX([2]SalmonProps!$A$2:$AA$10001,MATCH(1,($A51=[2]SalmonProps!$A$2:$A$10001)*($AP51 = [2]SalmonProps!$F$2:$F$10001) *($AR51 = [2]SalmonProps!$G$2:$G$10001),0), 26))</f>
        <v>NA</v>
      </c>
      <c r="AO51" s="175" t="str" cm="1">
        <f t="array" ref="AO51">IF(ISBLANK($AQ51), "", INDEX([2]SalmonProps!$A$2:$AA$10001,MATCH(1,($A51=[2]SalmonProps!$A$2:$A$10001)*($AP51 = [2]SalmonProps!$F$2:$F$10001) *($AR51 = [2]SalmonProps!$G$2:$G$10001),0), 27))</f>
        <v>NA</v>
      </c>
      <c r="AP51" s="112">
        <v>4</v>
      </c>
      <c r="AQ51" s="112" t="s">
        <v>133</v>
      </c>
      <c r="AR51" s="112" t="str">
        <f t="shared" si="1"/>
        <v>Unweighted</v>
      </c>
    </row>
    <row r="52" spans="1:44" x14ac:dyDescent="0.3">
      <c r="A52" s="20">
        <f>'[1]Passage Estimates'!$A52</f>
        <v>45154</v>
      </c>
      <c r="B52" s="164" cm="1">
        <f t="array" ref="B52">IF(ISBLANK($AQ52), "", INDEX([2]SalmonProps!$A$2:$AA$10001,MATCH(1,($A52=[2]SalmonProps!$A$2:$A$10001)*(1=[2]SalmonProps!$C$2:$C$10001)*(1=[2]SalmonProps!$D$2:$D$10001)*("A1" = [2]SalmonProps!$B$2:$B$10001)*($AP52 = [2]SalmonProps!$F$2:$F$10001) *($AR52 = [2]SalmonProps!$G$2:$G$10001),0), 17))</f>
        <v>4.3299999999999998E-2</v>
      </c>
      <c r="C52" s="165" cm="1">
        <f t="array" ref="C52">IF(ISBLANK($AQ52), "", INDEX([2]SalmonProps!$A$2:$AA$10001,MATCH(1,($A52=[2]SalmonProps!$A$2:$A$10001)*(1=[2]SalmonProps!$C$2:$C$10001)*(2=[2]SalmonProps!$D$2:$D$10001)*("A1" = [2]SalmonProps!$B$2:$B$10001)*($AP52 = [2]SalmonProps!$F$2:$F$10001) *($AR52 = [2]SalmonProps!$G$2:$G$10001),0), 17))</f>
        <v>4.58E-2</v>
      </c>
      <c r="D52" s="165" cm="1">
        <f t="array" ref="D52">IF(ISBLANK($AQ52), "", INDEX([2]SalmonProps!$A$2:$AA$10001,MATCH(1,($A52=[2]SalmonProps!$A$2:$A$10001)*(1=[2]SalmonProps!$C$2:$C$10001)*("1&amp;2"=[2]SalmonProps!$D$2:$D$10001)*("A1" = [2]SalmonProps!$B$2:$B$10001)*($AP52 = [2]SalmonProps!$F$2:$F$10001) *($AR52 = [2]SalmonProps!$G$2:$G$10001),0), 17))</f>
        <v>4.6899999999999997E-2</v>
      </c>
      <c r="E52" s="181" cm="1">
        <f t="array" ref="E52">IF(ISBLANK($AQ52), "", INDEX([2]SalmonProps!$A$2:$AA$10001,MATCH(1,($A52=[2]SalmonProps!$A$2:$A$10001)*(2=[2]SalmonProps!$C$2:$C$10001)*(3=[2]SalmonProps!$D$2:$D$10001)*("A1" = [2]SalmonProps!$B$2:$B$10001)*($AP52 = [2]SalmonProps!$F$2:$F$10001) *($AR52 = [2]SalmonProps!$G$2:$G$10001),0), 17))</f>
        <v>0.2437</v>
      </c>
      <c r="F52" s="165" cm="1">
        <f t="array" ref="F52">IF(ISBLANK($AQ52), "", INDEX([2]SalmonProps!$A$2:$AA$10001,MATCH(1,($A52=[2]SalmonProps!$A$2:$A$10001)*(3=[2]SalmonProps!$C$2:$C$10001)*(3=[2]SalmonProps!$D$2:$D$10001)*("A1" = [2]SalmonProps!$B$2:$B$10001)*($AP52 = [2]SalmonProps!$F$2:$F$10001) *($AR52 = [2]SalmonProps!$G$2:$G$10001),0), 17))</f>
        <v>0.44679999999999997</v>
      </c>
      <c r="G52" s="165" cm="1">
        <f t="array" ref="G52">IF(ISBLANK($AQ52), "", INDEX([2]SalmonProps!$A$2:$AA$10001,MATCH(1,($A52=[2]SalmonProps!$A$2:$A$10001)*(1=[2]SalmonProps!$C$2:$C$10001)*(1=[2]SalmonProps!$D$2:$D$10001)*("A2" = [2]SalmonProps!$B$2:$B$10001)*($AP52 = [2]SalmonProps!$F$2:$F$10001) *($AR52 = [2]SalmonProps!$G$2:$G$10001),0), 17))</f>
        <v>5.8299999999999998E-2</v>
      </c>
      <c r="H52" s="166" cm="1">
        <f t="array" ref="H52">IF(ISBLANK($AQ52), "", INDEX([2]SalmonProps!$A$2:$AA$10001,MATCH(1,($A52=[2]SalmonProps!$A$2:$A$10001)*(2=[2]SalmonProps!$C$2:$C$10001)*(1=[2]SalmonProps!$D$2:$D$10001)*("A2" = [2]SalmonProps!$B$2:$B$10001)*($AP52 = [2]SalmonProps!$F$2:$F$10001) *($AR52 = [2]SalmonProps!$G$2:$G$10001),0), 17))</f>
        <v>0.1618</v>
      </c>
      <c r="I52" s="167" cm="1">
        <f t="array" ref="I52">IF(ISBLANK($AQ52), "", INDEX([2]SalmonProps!$A$2:$AA$10001,MATCH(1,($A52=[2]SalmonProps!$A$2:$A$10001)*(3=[2]SalmonProps!$C$2:$C$10001)*(1=[2]SalmonProps!$D$2:$D$10001)*("A2" = [2]SalmonProps!$B$2:$B$10001)*($AP52 = [2]SalmonProps!$F$2:$F$10001) *($AR52 = [2]SalmonProps!$G$2:$G$10001),0), 17))</f>
        <v>0.3659</v>
      </c>
      <c r="J52" s="164" t="str" cm="1">
        <f t="array" ref="J52">IF(ISBLANK($AQ52), "", INDEX([2]SalmonProps!$A$2:$AA$10001,MATCH(1,($A52=[2]SalmonProps!$A$2:$A$10001)*(1=[2]SalmonProps!$C$2:$C$10001)*(1=[2]SalmonProps!$D$2:$D$10001)*("A1" = [2]SalmonProps!$B$2:$B$10001)*($AP52 = [2]SalmonProps!$F$2:$F$10001) *($AR52 = [2]SalmonProps!$G$2:$G$10001),0), 19))</f>
        <v>NA</v>
      </c>
      <c r="K52" s="165" t="str" cm="1">
        <f t="array" ref="K52">IF(ISBLANK($AQ52), "", INDEX([2]SalmonProps!$A$2:$AA$10001,MATCH(1,($A52=[2]SalmonProps!$A$2:$A$10001)*(1=[2]SalmonProps!$C$2:$C$10001)*(2=[2]SalmonProps!$D$2:$D$10001)*("A1" = [2]SalmonProps!$B$2:$B$10001)*($AP52 = [2]SalmonProps!$F$2:$F$10001) *($AR52 = [2]SalmonProps!$G$2:$G$10001),0), 19))</f>
        <v>NA</v>
      </c>
      <c r="L52" s="165" t="str" cm="1">
        <f t="array" ref="L52">IF(ISBLANK($AQ52), "", INDEX([2]SalmonProps!$A$2:$AA$10001,MATCH(1,($A52=[2]SalmonProps!$A$2:$A$10001)*(1=[2]SalmonProps!$C$2:$C$10001)*("1&amp;2"=[2]SalmonProps!$D$2:$D$10001)*("A1" = [2]SalmonProps!$B$2:$B$10001)*($AP52 = [2]SalmonProps!$F$2:$F$10001) *($AR52 = [2]SalmonProps!$G$2:$G$10001),0), 19))</f>
        <v>NA</v>
      </c>
      <c r="M52" s="165" t="str" cm="1">
        <f t="array" ref="M52">IF(ISBLANK($AQ52), "", INDEX([2]SalmonProps!$A$2:$AA$10001,MATCH(1,($A52=[2]SalmonProps!$A$2:$A$10001)*(2=[2]SalmonProps!$C$2:$C$10001)*(3=[2]SalmonProps!$D$2:$D$10001)*("A1" = [2]SalmonProps!$B$2:$B$10001)*($AP52 = [2]SalmonProps!$F$2:$F$10001) *($AR52 = [2]SalmonProps!$G$2:$G$10001),0), 19))</f>
        <v>NA</v>
      </c>
      <c r="N52" s="181" t="str" cm="1">
        <f t="array" ref="N52">IF(ISBLANK($AQ52), "", INDEX([2]SalmonProps!$A$2:$AA$10001,MATCH(1,($A52=[2]SalmonProps!$A$2:$A$10001)*(3=[2]SalmonProps!$C$2:$C$10001)*(3=[2]SalmonProps!$D$2:$D$10001)*("A1" = [2]SalmonProps!$B$2:$B$10001)*($AP52 = [2]SalmonProps!$F$2:$F$10001) *($AR52 = [2]SalmonProps!$G$2:$G$10001),0), 19))</f>
        <v>NA</v>
      </c>
      <c r="O52" s="165" t="str" cm="1">
        <f t="array" ref="O52">IF(ISBLANK($AQ52), "", INDEX([2]SalmonProps!$A$2:$AA$10001,MATCH(1,($A52=[2]SalmonProps!$A$2:$A$10001)*(1=[2]SalmonProps!$C$2:$C$10001)*(1=[2]SalmonProps!$D$2:$D$10001)*("A2" = [2]SalmonProps!$B$2:$B$10001)*($AP52 = [2]SalmonProps!$F$2:$F$10001) *($AR52 = [2]SalmonProps!$G$2:$G$10001),0), 19))</f>
        <v>NA</v>
      </c>
      <c r="P52" s="165" t="str" cm="1">
        <f t="array" ref="P52">IF(ISBLANK($AQ52), "", INDEX([2]SalmonProps!$A$2:$AA$10001,MATCH(1,($A52=[2]SalmonProps!$A$2:$A$10001)*(2=[2]SalmonProps!$C$2:$C$10001)*(1=[2]SalmonProps!$D$2:$D$10001)*("A2" = [2]SalmonProps!$B$2:$B$10001)*($AP52 = [2]SalmonProps!$F$2:$F$10001) *($AR52 = [2]SalmonProps!$G$2:$G$10001),0), 19))</f>
        <v>NA</v>
      </c>
      <c r="Q52" s="168" t="str" cm="1">
        <f t="array" ref="Q52">IF(ISBLANK($AQ52), "", INDEX([2]SalmonProps!$A$2:$AA$10001,MATCH(1,($A52=[2]SalmonProps!$A$2:$A$10001)*(3=[2]SalmonProps!$C$2:$C$10001)*(1=[2]SalmonProps!$D$2:$D$10001)*("A2" = [2]SalmonProps!$B$2:$B$10001)*($AP52 = [2]SalmonProps!$F$2:$F$10001) *($AR52 = [2]SalmonProps!$G$2:$G$10001),0), 19))</f>
        <v>NA</v>
      </c>
      <c r="R52" s="164" cm="1">
        <f t="array" ref="R52">IF(ISBLANK($AQ52), "", INDEX([2]SalmonProps!$A$2:$AA$10001,MATCH(1,($A52=[2]SalmonProps!$A$2:$A$10001)*(1=[2]SalmonProps!$C$2:$C$10001)*(1=[2]SalmonProps!$D$2:$D$10001)*("A1" = [2]SalmonProps!$B$2:$B$10001)*($AP52 = [2]SalmonProps!$F$2:$F$10001) *($AR52 = [2]SalmonProps!$G$2:$G$10001),0), 18))</f>
        <v>0</v>
      </c>
      <c r="S52" s="165" cm="1">
        <f t="array" ref="S52">IF(ISBLANK($AQ52), "", INDEX([2]SalmonProps!$A$2:$AA$10001,MATCH(1,($A52=[2]SalmonProps!$A$2:$A$10001)*(1=[2]SalmonProps!$C$2:$C$10001)*(2=[2]SalmonProps!$D$2:$D$10001)*("A1" = [2]SalmonProps!$B$2:$B$10001)*($AP52 = [2]SalmonProps!$F$2:$F$10001) *($AR52 = [2]SalmonProps!$G$2:$G$10001),0), 18))</f>
        <v>0.1055</v>
      </c>
      <c r="T52" s="165" cm="1">
        <f t="array" ref="T52">IF(ISBLANK($AQ52), "", INDEX([2]SalmonProps!$A$2:$AA$10001,MATCH(1,($A52=[2]SalmonProps!$A$2:$A$10001)*(1=[2]SalmonProps!$C$2:$C$10001)*("1&amp;2"=[2]SalmonProps!$D$2:$D$10001)*("A1" = [2]SalmonProps!$B$2:$B$10001)*($AP52 = [2]SalmonProps!$F$2:$F$10001) *($AR52 = [2]SalmonProps!$G$2:$G$10001),0), 18))</f>
        <v>2.8000000000000001E-2</v>
      </c>
      <c r="U52" s="165" cm="1">
        <f t="array" ref="U52">IF(ISBLANK($AQ52), "", INDEX([2]SalmonProps!$A$2:$AA$10001,MATCH(1,($A52=[2]SalmonProps!$A$2:$A$10001)*(2=[2]SalmonProps!$C$2:$C$10001)*(3=[2]SalmonProps!$D$2:$D$10001)*("A1" = [2]SalmonProps!$B$2:$B$10001)*($AP52 = [2]SalmonProps!$F$2:$F$10001) *($AR52 = [2]SalmonProps!$G$2:$G$10001),0), 18))</f>
        <v>0.30159999999999998</v>
      </c>
      <c r="V52" s="181" cm="1">
        <f t="array" ref="V52">IF(ISBLANK($AQ52), "", INDEX([2]SalmonProps!$A$2:$AA$10001,MATCH(1,($A52=[2]SalmonProps!$A$2:$A$10001)*(3=[2]SalmonProps!$C$2:$C$10001)*(3=[2]SalmonProps!$D$2:$D$10001)*("A1" = [2]SalmonProps!$B$2:$B$10001)*($AP52 = [2]SalmonProps!$F$2:$F$10001) *($AR52 = [2]SalmonProps!$G$2:$G$10001),0), 18))</f>
        <v>0.28760000000000002</v>
      </c>
      <c r="W52" s="180" cm="1">
        <f t="array" ref="W52">IF(ISBLANK($AQ52), "", INDEX([2]SalmonProps!$A$2:$AA$10001,MATCH(1,($A52=[2]SalmonProps!$A$2:$A$10001)*(1=[2]SalmonProps!$C$2:$C$10001)*(1=[2]SalmonProps!$D$2:$D$10001)*("A2" = [2]SalmonProps!$B$2:$B$10001)*($AP52 = [2]SalmonProps!$F$2:$F$10001) *($AR52 = [2]SalmonProps!$G$2:$G$10001),0), 18))</f>
        <v>5.3699999999999998E-2</v>
      </c>
      <c r="X52" s="165" cm="1">
        <f t="array" ref="X52">IF(ISBLANK($AQ52), "", INDEX([2]SalmonProps!$A$2:$AA$10001,MATCH(1,($A52=[2]SalmonProps!$A$2:$A$10001)*(2=[2]SalmonProps!$C$2:$C$10001)*(1=[2]SalmonProps!$D$2:$D$10001)*("A2" = [2]SalmonProps!$B$2:$B$10001)*($AP52 = [2]SalmonProps!$F$2:$F$10001) *($AR52 = [2]SalmonProps!$G$2:$G$10001),0), 18))</f>
        <v>5.0299999999999997E-2</v>
      </c>
      <c r="Y52" s="168" cm="1">
        <f t="array" ref="Y52">IF(ISBLANK($AQ52), "", INDEX([2]SalmonProps!$A$2:$AA$10001,MATCH(1,($A52=[2]SalmonProps!$A$2:$A$10001)*(3=[2]SalmonProps!$C$2:$C$10001)*(1=[2]SalmonProps!$D$2:$D$10001)*("A2" = [2]SalmonProps!$B$2:$B$10001)*($AP52 = [2]SalmonProps!$F$2:$F$10001) *($AR52 = [2]SalmonProps!$G$2:$G$10001),0), 18))</f>
        <v>0.2477</v>
      </c>
      <c r="Z52" s="164" cm="1">
        <f t="array" ref="Z52">IF(ISBLANK($AQ52), "", INDEX([2]SalmonProps!$A$2:$AA$10001,MATCH(1,($A52=[2]SalmonProps!$A$2:$A$10001)*(1=[2]SalmonProps!$C$2:$C$10001)*(1=[2]SalmonProps!$D$2:$D$10001)*("A1" = [2]SalmonProps!$B$2:$B$10001)*($AP52 = [2]SalmonProps!$F$2:$F$10001) *($AR52 = [2]SalmonProps!$G$2:$G$10001),0), 15))</f>
        <v>0.2258</v>
      </c>
      <c r="AA52" s="165" cm="1">
        <f t="array" ref="AA52">IF(ISBLANK($AQ52), "", INDEX([2]SalmonProps!$A$2:$AA$10001,MATCH(1,($A52=[2]SalmonProps!$A$2:$A$10001)*(1=[2]SalmonProps!$C$2:$C$10001)*(2=[2]SalmonProps!$D$2:$D$10001)*("A1" = [2]SalmonProps!$B$2:$B$10001)*($AP52 = [2]SalmonProps!$F$2:$F$10001) *($AR52 = [2]SalmonProps!$G$2:$G$10001),0), 15))</f>
        <v>0.42130000000000001</v>
      </c>
      <c r="AB52" s="165" cm="1">
        <f t="array" ref="AB52">IF(ISBLANK($AQ52), "", INDEX([2]SalmonProps!$A$2:$AA$10001,MATCH(1,($A52=[2]SalmonProps!$A$2:$A$10001)*(1=[2]SalmonProps!$C$2:$C$10001)*("1&amp;2"=[2]SalmonProps!$D$2:$D$10001)*("A1" = [2]SalmonProps!$B$2:$B$10001)*($AP52 = [2]SalmonProps!$F$2:$F$10001) *($AR52 = [2]SalmonProps!$G$2:$G$10001),0), 15))</f>
        <v>0.31940000000000002</v>
      </c>
      <c r="AC52" s="165" cm="1">
        <f t="array" ref="AC52">IF(ISBLANK($AQ52), "", INDEX([2]SalmonProps!$A$2:$AA$10001,MATCH(1,($A52=[2]SalmonProps!$A$2:$A$10001)*(2=[2]SalmonProps!$C$2:$C$10001)*(3=[2]SalmonProps!$D$2:$D$10001)*("A1" = [2]SalmonProps!$B$2:$B$10001)*($AP52 = [2]SalmonProps!$F$2:$F$10001) *($AR52 = [2]SalmonProps!$G$2:$G$10001),0), 15))</f>
        <v>0.73860000000000003</v>
      </c>
      <c r="AD52" s="181" cm="1">
        <f t="array" ref="AD52">IF(ISBLANK($AQ52), "", INDEX([2]SalmonProps!$A$2:$AA$10001,MATCH(1,($A52=[2]SalmonProps!$A$2:$A$10001)*(3=[2]SalmonProps!$C$2:$C$10001)*(3=[2]SalmonProps!$D$2:$D$10001)*("A1" = [2]SalmonProps!$B$2:$B$10001)*($AP52 = [2]SalmonProps!$F$2:$F$10001) *($AR52 = [2]SalmonProps!$G$2:$G$10001),0), 15))</f>
        <v>0.88090000000000002</v>
      </c>
      <c r="AE52" s="166" cm="1">
        <f t="array" ref="AE52">IF(ISBLANK($AQ52), "", INDEX([2]SalmonProps!$A$2:$AA$10001,MATCH(1,($A52=[2]SalmonProps!$A$2:$A$10001)*(1=[2]SalmonProps!$C$2:$C$10001)*(1=[2]SalmonProps!$D$2:$D$10001)*("A2" = [2]SalmonProps!$B$2:$B$10001)*($AP52 = [2]SalmonProps!$F$2:$F$10001) *($AR52 = [2]SalmonProps!$G$2:$G$10001),0), 15))</f>
        <v>0.2041</v>
      </c>
      <c r="AF52" s="166" cm="1">
        <f t="array" ref="AF52">IF(ISBLANK($AQ52), "", INDEX([2]SalmonProps!$A$2:$AA$10001,MATCH(1,($A52=[2]SalmonProps!$A$2:$A$10001)*(2=[2]SalmonProps!$C$2:$C$10001)*(1=[2]SalmonProps!$D$2:$D$10001)*("A2" = [2]SalmonProps!$B$2:$B$10001)*($AP52 = [2]SalmonProps!$F$2:$F$10001) *($AR52 = [2]SalmonProps!$G$2:$G$10001),0), 15))</f>
        <v>0.39610000000000001</v>
      </c>
      <c r="AG52" s="167" cm="1">
        <f t="array" ref="AG52">IF(ISBLANK($AQ52), "", INDEX([2]SalmonProps!$A$2:$AA$10001,MATCH(1,($A52=[2]SalmonProps!$A$2:$A$10001)*(3=[2]SalmonProps!$C$2:$C$10001)*(1=[2]SalmonProps!$D$2:$D$10001)*("A2" = [2]SalmonProps!$B$2:$B$10001)*($AP52 = [2]SalmonProps!$F$2:$F$10001) *($AR52 = [2]SalmonProps!$G$2:$G$10001),0), 15))</f>
        <v>0.64959999999999996</v>
      </c>
      <c r="AH52" s="173" cm="1">
        <f t="array" ref="AH52">IF(ISBLANK($AQ52), "", INDEX([2]SalmonProps!$A$2:$AA$10001,MATCH(1,($A52=[2]SalmonProps!$A$2:$A$10001)*($AP52 = [2]SalmonProps!$F$2:$F$10001) *($AR52 = [2]SalmonProps!$G$2:$G$10001),0), 24))</f>
        <v>51.8</v>
      </c>
      <c r="AI52" s="183" cm="1">
        <f t="array" ref="AI52">IF(ISBLANK($AQ52), "", INDEX([2]SalmonProps!$A$2:$AA$10001,MATCH(1,($A52=[2]SalmonProps!$A$2:$A$10001)*($AP52 = [2]SalmonProps!$F$2:$F$10001) *($AR52 = [2]SalmonProps!$G$2:$G$10001),0), 25))</f>
        <v>6.7</v>
      </c>
      <c r="AJ52" s="174" cm="1">
        <f t="array" ref="AJ52">IF(ISBLANK($AQ52), "", INDEX([2]SalmonProps!$A$2:$AA$10001,MATCH(1,($A52=[2]SalmonProps!$A$2:$A$10001)*($AP52 = [2]SalmonProps!$F$2:$F$10001) *($AR52 = [2]SalmonProps!$G$2:$G$10001),0), 20))</f>
        <v>59</v>
      </c>
      <c r="AK52" s="183" cm="1">
        <f t="array" ref="AK52">IF(ISBLANK($AQ52), "", INDEX([2]SalmonProps!$A$2:$AA$10001,MATCH(1,($A52=[2]SalmonProps!$A$2:$A$10001)*($AP52 = [2]SalmonProps!$F$2:$F$10001) *($AR52 = [2]SalmonProps!$G$2:$G$10001),0), 21))</f>
        <v>4.8</v>
      </c>
      <c r="AL52" s="174" cm="1">
        <f t="array" ref="AL52">IF(ISBLANK($AQ52), "", INDEX([2]SalmonProps!$A$2:$AA$10001,MATCH(1,($A52=[2]SalmonProps!$A$2:$A$10001)*($AP52 = [2]SalmonProps!$F$2:$F$10001) *($AR52 = [2]SalmonProps!$G$2:$G$10001),0), 22))</f>
        <v>75.400000000000006</v>
      </c>
      <c r="AM52" s="183" cm="1">
        <f t="array" ref="AM52">IF(ISBLANK($AQ52), "", INDEX([2]SalmonProps!$A$2:$AA$10001,MATCH(1,($A52=[2]SalmonProps!$A$2:$A$10001)*($AP52 = [2]SalmonProps!$F$2:$F$10001) *($AR52 = [2]SalmonProps!$G$2:$G$10001),0), 23))</f>
        <v>7.6</v>
      </c>
      <c r="AN52" s="174" t="str" cm="1">
        <f t="array" ref="AN52">IF(ISBLANK($AQ52), "", INDEX([2]SalmonProps!$A$2:$AA$10001,MATCH(1,($A52=[2]SalmonProps!$A$2:$A$10001)*($AP52 = [2]SalmonProps!$F$2:$F$10001) *($AR52 = [2]SalmonProps!$G$2:$G$10001),0), 26))</f>
        <v>NA</v>
      </c>
      <c r="AO52" s="175" t="str" cm="1">
        <f t="array" ref="AO52">IF(ISBLANK($AQ52), "", INDEX([2]SalmonProps!$A$2:$AA$10001,MATCH(1,($A52=[2]SalmonProps!$A$2:$A$10001)*($AP52 = [2]SalmonProps!$F$2:$F$10001) *($AR52 = [2]SalmonProps!$G$2:$G$10001),0), 27))</f>
        <v>NA</v>
      </c>
      <c r="AP52" s="112">
        <v>4</v>
      </c>
      <c r="AQ52" s="112" t="s">
        <v>133</v>
      </c>
      <c r="AR52" s="112" t="str">
        <f t="shared" si="1"/>
        <v>Unweighted</v>
      </c>
    </row>
    <row r="53" spans="1:44" x14ac:dyDescent="0.3">
      <c r="A53" s="20">
        <f>'[1]Passage Estimates'!$A53</f>
        <v>45155</v>
      </c>
      <c r="B53" s="164" cm="1">
        <f t="array" ref="B53">IF(ISBLANK($AQ53), "", INDEX([2]SalmonProps!$A$2:$AA$10001,MATCH(1,($A53=[2]SalmonProps!$A$2:$A$10001)*(1=[2]SalmonProps!$C$2:$C$10001)*(1=[2]SalmonProps!$D$2:$D$10001)*("A1" = [2]SalmonProps!$B$2:$B$10001)*($AP53 = [2]SalmonProps!$F$2:$F$10001) *($AR53 = [2]SalmonProps!$G$2:$G$10001),0), 17))</f>
        <v>2.2200000000000001E-2</v>
      </c>
      <c r="C53" s="165" cm="1">
        <f t="array" ref="C53">IF(ISBLANK($AQ53), "", INDEX([2]SalmonProps!$A$2:$AA$10001,MATCH(1,($A53=[2]SalmonProps!$A$2:$A$10001)*(1=[2]SalmonProps!$C$2:$C$10001)*(2=[2]SalmonProps!$D$2:$D$10001)*("A1" = [2]SalmonProps!$B$2:$B$10001)*($AP53 = [2]SalmonProps!$F$2:$F$10001) *($AR53 = [2]SalmonProps!$G$2:$G$10001),0), 17))</f>
        <v>3.7199999999999997E-2</v>
      </c>
      <c r="D53" s="165" cm="1">
        <f t="array" ref="D53">IF(ISBLANK($AQ53), "", INDEX([2]SalmonProps!$A$2:$AA$10001,MATCH(1,($A53=[2]SalmonProps!$A$2:$A$10001)*(1=[2]SalmonProps!$C$2:$C$10001)*("1&amp;2"=[2]SalmonProps!$D$2:$D$10001)*("A1" = [2]SalmonProps!$B$2:$B$10001)*($AP53 = [2]SalmonProps!$F$2:$F$10001) *($AR53 = [2]SalmonProps!$G$2:$G$10001),0), 17))</f>
        <v>3.0800000000000001E-2</v>
      </c>
      <c r="E53" s="181" cm="1">
        <f t="array" ref="E53">IF(ISBLANK($AQ53), "", INDEX([2]SalmonProps!$A$2:$AA$10001,MATCH(1,($A53=[2]SalmonProps!$A$2:$A$10001)*(2=[2]SalmonProps!$C$2:$C$10001)*(3=[2]SalmonProps!$D$2:$D$10001)*("A1" = [2]SalmonProps!$B$2:$B$10001)*($AP53 = [2]SalmonProps!$F$2:$F$10001) *($AR53 = [2]SalmonProps!$G$2:$G$10001),0), 17))</f>
        <v>0.2059</v>
      </c>
      <c r="F53" s="165" cm="1">
        <f t="array" ref="F53">IF(ISBLANK($AQ53), "", INDEX([2]SalmonProps!$A$2:$AA$10001,MATCH(1,($A53=[2]SalmonProps!$A$2:$A$10001)*(3=[2]SalmonProps!$C$2:$C$10001)*(3=[2]SalmonProps!$D$2:$D$10001)*("A1" = [2]SalmonProps!$B$2:$B$10001)*($AP53 = [2]SalmonProps!$F$2:$F$10001) *($AR53 = [2]SalmonProps!$G$2:$G$10001),0), 17))</f>
        <v>0.4</v>
      </c>
      <c r="G53" s="165" cm="1">
        <f t="array" ref="G53">IF(ISBLANK($AQ53), "", INDEX([2]SalmonProps!$A$2:$AA$10001,MATCH(1,($A53=[2]SalmonProps!$A$2:$A$10001)*(1=[2]SalmonProps!$C$2:$C$10001)*(1=[2]SalmonProps!$D$2:$D$10001)*("A2" = [2]SalmonProps!$B$2:$B$10001)*($AP53 = [2]SalmonProps!$F$2:$F$10001) *($AR53 = [2]SalmonProps!$G$2:$G$10001),0), 17))</f>
        <v>5.4100000000000002E-2</v>
      </c>
      <c r="H53" s="166" cm="1">
        <f t="array" ref="H53">IF(ISBLANK($AQ53), "", INDEX([2]SalmonProps!$A$2:$AA$10001,MATCH(1,($A53=[2]SalmonProps!$A$2:$A$10001)*(2=[2]SalmonProps!$C$2:$C$10001)*(1=[2]SalmonProps!$D$2:$D$10001)*("A2" = [2]SalmonProps!$B$2:$B$10001)*($AP53 = [2]SalmonProps!$F$2:$F$10001) *($AR53 = [2]SalmonProps!$G$2:$G$10001),0), 17))</f>
        <v>0.1203</v>
      </c>
      <c r="I53" s="167" cm="1">
        <f t="array" ref="I53">IF(ISBLANK($AQ53), "", INDEX([2]SalmonProps!$A$2:$AA$10001,MATCH(1,($A53=[2]SalmonProps!$A$2:$A$10001)*(3=[2]SalmonProps!$C$2:$C$10001)*(1=[2]SalmonProps!$D$2:$D$10001)*("A2" = [2]SalmonProps!$B$2:$B$10001)*($AP53 = [2]SalmonProps!$F$2:$F$10001) *($AR53 = [2]SalmonProps!$G$2:$G$10001),0), 17))</f>
        <v>0.30320000000000003</v>
      </c>
      <c r="J53" s="164" t="str" cm="1">
        <f t="array" ref="J53">IF(ISBLANK($AQ53), "", INDEX([2]SalmonProps!$A$2:$AA$10001,MATCH(1,($A53=[2]SalmonProps!$A$2:$A$10001)*(1=[2]SalmonProps!$C$2:$C$10001)*(1=[2]SalmonProps!$D$2:$D$10001)*("A1" = [2]SalmonProps!$B$2:$B$10001)*($AP53 = [2]SalmonProps!$F$2:$F$10001) *($AR53 = [2]SalmonProps!$G$2:$G$10001),0), 19))</f>
        <v>NA</v>
      </c>
      <c r="K53" s="165" t="str" cm="1">
        <f t="array" ref="K53">IF(ISBLANK($AQ53), "", INDEX([2]SalmonProps!$A$2:$AA$10001,MATCH(1,($A53=[2]SalmonProps!$A$2:$A$10001)*(1=[2]SalmonProps!$C$2:$C$10001)*(2=[2]SalmonProps!$D$2:$D$10001)*("A1" = [2]SalmonProps!$B$2:$B$10001)*($AP53 = [2]SalmonProps!$F$2:$F$10001) *($AR53 = [2]SalmonProps!$G$2:$G$10001),0), 19))</f>
        <v>NA</v>
      </c>
      <c r="L53" s="165" t="str" cm="1">
        <f t="array" ref="L53">IF(ISBLANK($AQ53), "", INDEX([2]SalmonProps!$A$2:$AA$10001,MATCH(1,($A53=[2]SalmonProps!$A$2:$A$10001)*(1=[2]SalmonProps!$C$2:$C$10001)*("1&amp;2"=[2]SalmonProps!$D$2:$D$10001)*("A1" = [2]SalmonProps!$B$2:$B$10001)*($AP53 = [2]SalmonProps!$F$2:$F$10001) *($AR53 = [2]SalmonProps!$G$2:$G$10001),0), 19))</f>
        <v>NA</v>
      </c>
      <c r="M53" s="165" t="str" cm="1">
        <f t="array" ref="M53">IF(ISBLANK($AQ53), "", INDEX([2]SalmonProps!$A$2:$AA$10001,MATCH(1,($A53=[2]SalmonProps!$A$2:$A$10001)*(2=[2]SalmonProps!$C$2:$C$10001)*(3=[2]SalmonProps!$D$2:$D$10001)*("A1" = [2]SalmonProps!$B$2:$B$10001)*($AP53 = [2]SalmonProps!$F$2:$F$10001) *($AR53 = [2]SalmonProps!$G$2:$G$10001),0), 19))</f>
        <v>NA</v>
      </c>
      <c r="N53" s="181" t="str" cm="1">
        <f t="array" ref="N53">IF(ISBLANK($AQ53), "", INDEX([2]SalmonProps!$A$2:$AA$10001,MATCH(1,($A53=[2]SalmonProps!$A$2:$A$10001)*(3=[2]SalmonProps!$C$2:$C$10001)*(3=[2]SalmonProps!$D$2:$D$10001)*("A1" = [2]SalmonProps!$B$2:$B$10001)*($AP53 = [2]SalmonProps!$F$2:$F$10001) *($AR53 = [2]SalmonProps!$G$2:$G$10001),0), 19))</f>
        <v>NA</v>
      </c>
      <c r="O53" s="165" t="str" cm="1">
        <f t="array" ref="O53">IF(ISBLANK($AQ53), "", INDEX([2]SalmonProps!$A$2:$AA$10001,MATCH(1,($A53=[2]SalmonProps!$A$2:$A$10001)*(1=[2]SalmonProps!$C$2:$C$10001)*(1=[2]SalmonProps!$D$2:$D$10001)*("A2" = [2]SalmonProps!$B$2:$B$10001)*($AP53 = [2]SalmonProps!$F$2:$F$10001) *($AR53 = [2]SalmonProps!$G$2:$G$10001),0), 19))</f>
        <v>NA</v>
      </c>
      <c r="P53" s="165" t="str" cm="1">
        <f t="array" ref="P53">IF(ISBLANK($AQ53), "", INDEX([2]SalmonProps!$A$2:$AA$10001,MATCH(1,($A53=[2]SalmonProps!$A$2:$A$10001)*(2=[2]SalmonProps!$C$2:$C$10001)*(1=[2]SalmonProps!$D$2:$D$10001)*("A2" = [2]SalmonProps!$B$2:$B$10001)*($AP53 = [2]SalmonProps!$F$2:$F$10001) *($AR53 = [2]SalmonProps!$G$2:$G$10001),0), 19))</f>
        <v>NA</v>
      </c>
      <c r="Q53" s="168" t="str" cm="1">
        <f t="array" ref="Q53">IF(ISBLANK($AQ53), "", INDEX([2]SalmonProps!$A$2:$AA$10001,MATCH(1,($A53=[2]SalmonProps!$A$2:$A$10001)*(3=[2]SalmonProps!$C$2:$C$10001)*(1=[2]SalmonProps!$D$2:$D$10001)*("A2" = [2]SalmonProps!$B$2:$B$10001)*($AP53 = [2]SalmonProps!$F$2:$F$10001) *($AR53 = [2]SalmonProps!$G$2:$G$10001),0), 19))</f>
        <v>NA</v>
      </c>
      <c r="R53" s="164" cm="1">
        <f t="array" ref="R53">IF(ISBLANK($AQ53), "", INDEX([2]SalmonProps!$A$2:$AA$10001,MATCH(1,($A53=[2]SalmonProps!$A$2:$A$10001)*(1=[2]SalmonProps!$C$2:$C$10001)*(1=[2]SalmonProps!$D$2:$D$10001)*("A1" = [2]SalmonProps!$B$2:$B$10001)*($AP53 = [2]SalmonProps!$F$2:$F$10001) *($AR53 = [2]SalmonProps!$G$2:$G$10001),0), 18))</f>
        <v>7.3700000000000002E-2</v>
      </c>
      <c r="S53" s="165" cm="1">
        <f t="array" ref="S53">IF(ISBLANK($AQ53), "", INDEX([2]SalmonProps!$A$2:$AA$10001,MATCH(1,($A53=[2]SalmonProps!$A$2:$A$10001)*(1=[2]SalmonProps!$C$2:$C$10001)*(2=[2]SalmonProps!$D$2:$D$10001)*("A1" = [2]SalmonProps!$B$2:$B$10001)*($AP53 = [2]SalmonProps!$F$2:$F$10001) *($AR53 = [2]SalmonProps!$G$2:$G$10001),0), 18))</f>
        <v>0.1333</v>
      </c>
      <c r="T53" s="165" cm="1">
        <f t="array" ref="T53">IF(ISBLANK($AQ53), "", INDEX([2]SalmonProps!$A$2:$AA$10001,MATCH(1,($A53=[2]SalmonProps!$A$2:$A$10001)*(1=[2]SalmonProps!$C$2:$C$10001)*("1&amp;2"=[2]SalmonProps!$D$2:$D$10001)*("A1" = [2]SalmonProps!$B$2:$B$10001)*($AP53 = [2]SalmonProps!$F$2:$F$10001) *($AR53 = [2]SalmonProps!$G$2:$G$10001),0), 18))</f>
        <v>0.1166</v>
      </c>
      <c r="U53" s="165" cm="1">
        <f t="array" ref="U53">IF(ISBLANK($AQ53), "", INDEX([2]SalmonProps!$A$2:$AA$10001,MATCH(1,($A53=[2]SalmonProps!$A$2:$A$10001)*(2=[2]SalmonProps!$C$2:$C$10001)*(3=[2]SalmonProps!$D$2:$D$10001)*("A1" = [2]SalmonProps!$B$2:$B$10001)*($AP53 = [2]SalmonProps!$F$2:$F$10001) *($AR53 = [2]SalmonProps!$G$2:$G$10001),0), 18))</f>
        <v>0.3614</v>
      </c>
      <c r="V53" s="181" cm="1">
        <f t="array" ref="V53">IF(ISBLANK($AQ53), "", INDEX([2]SalmonProps!$A$2:$AA$10001,MATCH(1,($A53=[2]SalmonProps!$A$2:$A$10001)*(3=[2]SalmonProps!$C$2:$C$10001)*(3=[2]SalmonProps!$D$2:$D$10001)*("A1" = [2]SalmonProps!$B$2:$B$10001)*($AP53 = [2]SalmonProps!$F$2:$F$10001) *($AR53 = [2]SalmonProps!$G$2:$G$10001),0), 18))</f>
        <v>0.41889999999999999</v>
      </c>
      <c r="W53" s="180" cm="1">
        <f t="array" ref="W53">IF(ISBLANK($AQ53), "", INDEX([2]SalmonProps!$A$2:$AA$10001,MATCH(1,($A53=[2]SalmonProps!$A$2:$A$10001)*(1=[2]SalmonProps!$C$2:$C$10001)*(1=[2]SalmonProps!$D$2:$D$10001)*("A2" = [2]SalmonProps!$B$2:$B$10001)*($AP53 = [2]SalmonProps!$F$2:$F$10001) *($AR53 = [2]SalmonProps!$G$2:$G$10001),0), 18))</f>
        <v>0.29070000000000001</v>
      </c>
      <c r="X53" s="165" cm="1">
        <f t="array" ref="X53">IF(ISBLANK($AQ53), "", INDEX([2]SalmonProps!$A$2:$AA$10001,MATCH(1,($A53=[2]SalmonProps!$A$2:$A$10001)*(2=[2]SalmonProps!$C$2:$C$10001)*(1=[2]SalmonProps!$D$2:$D$10001)*("A2" = [2]SalmonProps!$B$2:$B$10001)*($AP53 = [2]SalmonProps!$F$2:$F$10001) *($AR53 = [2]SalmonProps!$G$2:$G$10001),0), 18))</f>
        <v>0.39069999999999999</v>
      </c>
      <c r="Y53" s="168" cm="1">
        <f t="array" ref="Y53">IF(ISBLANK($AQ53), "", INDEX([2]SalmonProps!$A$2:$AA$10001,MATCH(1,($A53=[2]SalmonProps!$A$2:$A$10001)*(3=[2]SalmonProps!$C$2:$C$10001)*(1=[2]SalmonProps!$D$2:$D$10001)*("A2" = [2]SalmonProps!$B$2:$B$10001)*($AP53 = [2]SalmonProps!$F$2:$F$10001) *($AR53 = [2]SalmonProps!$G$2:$G$10001),0), 18))</f>
        <v>0.52900000000000003</v>
      </c>
      <c r="Z53" s="164" cm="1">
        <f t="array" ref="Z53">IF(ISBLANK($AQ53), "", INDEX([2]SalmonProps!$A$2:$AA$10001,MATCH(1,($A53=[2]SalmonProps!$A$2:$A$10001)*(1=[2]SalmonProps!$C$2:$C$10001)*(1=[2]SalmonProps!$D$2:$D$10001)*("A1" = [2]SalmonProps!$B$2:$B$10001)*($AP53 = [2]SalmonProps!$F$2:$F$10001) *($AR53 = [2]SalmonProps!$G$2:$G$10001),0), 15))</f>
        <v>0.31209999999999999</v>
      </c>
      <c r="AA53" s="165" cm="1">
        <f t="array" ref="AA53">IF(ISBLANK($AQ53), "", INDEX([2]SalmonProps!$A$2:$AA$10001,MATCH(1,($A53=[2]SalmonProps!$A$2:$A$10001)*(1=[2]SalmonProps!$C$2:$C$10001)*(2=[2]SalmonProps!$D$2:$D$10001)*("A1" = [2]SalmonProps!$B$2:$B$10001)*($AP53 = [2]SalmonProps!$F$2:$F$10001) *($AR53 = [2]SalmonProps!$G$2:$G$10001),0), 15))</f>
        <v>0.45929999999999999</v>
      </c>
      <c r="AB53" s="165" cm="1">
        <f t="array" ref="AB53">IF(ISBLANK($AQ53), "", INDEX([2]SalmonProps!$A$2:$AA$10001,MATCH(1,($A53=[2]SalmonProps!$A$2:$A$10001)*(1=[2]SalmonProps!$C$2:$C$10001)*("1&amp;2"=[2]SalmonProps!$D$2:$D$10001)*("A1" = [2]SalmonProps!$B$2:$B$10001)*($AP53 = [2]SalmonProps!$F$2:$F$10001) *($AR53 = [2]SalmonProps!$G$2:$G$10001),0), 15))</f>
        <v>0.4</v>
      </c>
      <c r="AC53" s="165" cm="1">
        <f t="array" ref="AC53">IF(ISBLANK($AQ53), "", INDEX([2]SalmonProps!$A$2:$AA$10001,MATCH(1,($A53=[2]SalmonProps!$A$2:$A$10001)*(2=[2]SalmonProps!$C$2:$C$10001)*(3=[2]SalmonProps!$D$2:$D$10001)*("A1" = [2]SalmonProps!$B$2:$B$10001)*($AP53 = [2]SalmonProps!$F$2:$F$10001) *($AR53 = [2]SalmonProps!$G$2:$G$10001),0), 15))</f>
        <v>0.77090000000000003</v>
      </c>
      <c r="AD53" s="181" cm="1">
        <f t="array" ref="AD53">IF(ISBLANK($AQ53), "", INDEX([2]SalmonProps!$A$2:$AA$10001,MATCH(1,($A53=[2]SalmonProps!$A$2:$A$10001)*(3=[2]SalmonProps!$C$2:$C$10001)*(3=[2]SalmonProps!$D$2:$D$10001)*("A1" = [2]SalmonProps!$B$2:$B$10001)*($AP53 = [2]SalmonProps!$F$2:$F$10001) *($AR53 = [2]SalmonProps!$G$2:$G$10001),0), 15))</f>
        <v>0.95489999999999997</v>
      </c>
      <c r="AE53" s="166" cm="1">
        <f t="array" ref="AE53">IF(ISBLANK($AQ53), "", INDEX([2]SalmonProps!$A$2:$AA$10001,MATCH(1,($A53=[2]SalmonProps!$A$2:$A$10001)*(1=[2]SalmonProps!$C$2:$C$10001)*(1=[2]SalmonProps!$D$2:$D$10001)*("A2" = [2]SalmonProps!$B$2:$B$10001)*($AP53 = [2]SalmonProps!$F$2:$F$10001) *($AR53 = [2]SalmonProps!$G$2:$G$10001),0), 15))</f>
        <v>0.42320000000000002</v>
      </c>
      <c r="AF53" s="166" cm="1">
        <f t="array" ref="AF53">IF(ISBLANK($AQ53), "", INDEX([2]SalmonProps!$A$2:$AA$10001,MATCH(1,($A53=[2]SalmonProps!$A$2:$A$10001)*(2=[2]SalmonProps!$C$2:$C$10001)*(1=[2]SalmonProps!$D$2:$D$10001)*("A2" = [2]SalmonProps!$B$2:$B$10001)*($AP53 = [2]SalmonProps!$F$2:$F$10001) *($AR53 = [2]SalmonProps!$G$2:$G$10001),0), 15))</f>
        <v>0.66469999999999996</v>
      </c>
      <c r="AG53" s="167" cm="1">
        <f t="array" ref="AG53">IF(ISBLANK($AQ53), "", INDEX([2]SalmonProps!$A$2:$AA$10001,MATCH(1,($A53=[2]SalmonProps!$A$2:$A$10001)*(3=[2]SalmonProps!$C$2:$C$10001)*(1=[2]SalmonProps!$D$2:$D$10001)*("A2" = [2]SalmonProps!$B$2:$B$10001)*($AP53 = [2]SalmonProps!$F$2:$F$10001) *($AR53 = [2]SalmonProps!$G$2:$G$10001),0), 15))</f>
        <v>0.86029999999999995</v>
      </c>
      <c r="AH53" s="173" cm="1">
        <f t="array" ref="AH53">IF(ISBLANK($AQ53), "", INDEX([2]SalmonProps!$A$2:$AA$10001,MATCH(1,($A53=[2]SalmonProps!$A$2:$A$10001)*($AP53 = [2]SalmonProps!$F$2:$F$10001) *($AR53 = [2]SalmonProps!$G$2:$G$10001),0), 24))</f>
        <v>51.6</v>
      </c>
      <c r="AI53" s="183" cm="1">
        <f t="array" ref="AI53">IF(ISBLANK($AQ53), "", INDEX([2]SalmonProps!$A$2:$AA$10001,MATCH(1,($A53=[2]SalmonProps!$A$2:$A$10001)*($AP53 = [2]SalmonProps!$F$2:$F$10001) *($AR53 = [2]SalmonProps!$G$2:$G$10001),0), 25))</f>
        <v>6.7</v>
      </c>
      <c r="AJ53" s="174" cm="1">
        <f t="array" ref="AJ53">IF(ISBLANK($AQ53), "", INDEX([2]SalmonProps!$A$2:$AA$10001,MATCH(1,($A53=[2]SalmonProps!$A$2:$A$10001)*($AP53 = [2]SalmonProps!$F$2:$F$10001) *($AR53 = [2]SalmonProps!$G$2:$G$10001),0), 20))</f>
        <v>59</v>
      </c>
      <c r="AK53" s="183" cm="1">
        <f t="array" ref="AK53">IF(ISBLANK($AQ53), "", INDEX([2]SalmonProps!$A$2:$AA$10001,MATCH(1,($A53=[2]SalmonProps!$A$2:$A$10001)*($AP53 = [2]SalmonProps!$F$2:$F$10001) *($AR53 = [2]SalmonProps!$G$2:$G$10001),0), 21))</f>
        <v>4.8</v>
      </c>
      <c r="AL53" s="174" cm="1">
        <f t="array" ref="AL53">IF(ISBLANK($AQ53), "", INDEX([2]SalmonProps!$A$2:$AA$10001,MATCH(1,($A53=[2]SalmonProps!$A$2:$A$10001)*($AP53 = [2]SalmonProps!$F$2:$F$10001) *($AR53 = [2]SalmonProps!$G$2:$G$10001),0), 22))</f>
        <v>75.400000000000006</v>
      </c>
      <c r="AM53" s="183" cm="1">
        <f t="array" ref="AM53">IF(ISBLANK($AQ53), "", INDEX([2]SalmonProps!$A$2:$AA$10001,MATCH(1,($A53=[2]SalmonProps!$A$2:$A$10001)*($AP53 = [2]SalmonProps!$F$2:$F$10001) *($AR53 = [2]SalmonProps!$G$2:$G$10001),0), 23))</f>
        <v>7.6</v>
      </c>
      <c r="AN53" s="174" t="str" cm="1">
        <f t="array" ref="AN53">IF(ISBLANK($AQ53), "", INDEX([2]SalmonProps!$A$2:$AA$10001,MATCH(1,($A53=[2]SalmonProps!$A$2:$A$10001)*($AP53 = [2]SalmonProps!$F$2:$F$10001) *($AR53 = [2]SalmonProps!$G$2:$G$10001),0), 26))</f>
        <v>NA</v>
      </c>
      <c r="AO53" s="175" t="str" cm="1">
        <f t="array" ref="AO53">IF(ISBLANK($AQ53), "", INDEX([2]SalmonProps!$A$2:$AA$10001,MATCH(1,($A53=[2]SalmonProps!$A$2:$A$10001)*($AP53 = [2]SalmonProps!$F$2:$F$10001) *($AR53 = [2]SalmonProps!$G$2:$G$10001),0), 27))</f>
        <v>NA</v>
      </c>
      <c r="AP53" s="112">
        <v>4</v>
      </c>
      <c r="AQ53" s="112" t="s">
        <v>133</v>
      </c>
      <c r="AR53" s="112" t="str">
        <f t="shared" si="1"/>
        <v>Unweighted</v>
      </c>
    </row>
    <row r="54" spans="1:44" x14ac:dyDescent="0.3">
      <c r="A54" s="20">
        <f>'[1]Passage Estimates'!$A54</f>
        <v>45156</v>
      </c>
      <c r="B54" s="164" cm="1">
        <f t="array" ref="B54">IF(ISBLANK($AQ54), "", INDEX([2]SalmonProps!$A$2:$AA$10001,MATCH(1,($A54=[2]SalmonProps!$A$2:$A$10001)*(1=[2]SalmonProps!$C$2:$C$10001)*(1=[2]SalmonProps!$D$2:$D$10001)*("A1" = [2]SalmonProps!$B$2:$B$10001)*($AP54 = [2]SalmonProps!$F$2:$F$10001) *($AR54 = [2]SalmonProps!$G$2:$G$10001),0), 17))</f>
        <v>5.74E-2</v>
      </c>
      <c r="C54" s="165" cm="1">
        <f t="array" ref="C54">IF(ISBLANK($AQ54), "", INDEX([2]SalmonProps!$A$2:$AA$10001,MATCH(1,($A54=[2]SalmonProps!$A$2:$A$10001)*(1=[2]SalmonProps!$C$2:$C$10001)*(2=[2]SalmonProps!$D$2:$D$10001)*("A1" = [2]SalmonProps!$B$2:$B$10001)*($AP54 = [2]SalmonProps!$F$2:$F$10001) *($AR54 = [2]SalmonProps!$G$2:$G$10001),0), 17))</f>
        <v>3.5099999999999999E-2</v>
      </c>
      <c r="D54" s="165" cm="1">
        <f t="array" ref="D54">IF(ISBLANK($AQ54), "", INDEX([2]SalmonProps!$A$2:$AA$10001,MATCH(1,($A54=[2]SalmonProps!$A$2:$A$10001)*(1=[2]SalmonProps!$C$2:$C$10001)*("1&amp;2"=[2]SalmonProps!$D$2:$D$10001)*("A1" = [2]SalmonProps!$B$2:$B$10001)*($AP54 = [2]SalmonProps!$F$2:$F$10001) *($AR54 = [2]SalmonProps!$G$2:$G$10001),0), 17))</f>
        <v>4.2900000000000001E-2</v>
      </c>
      <c r="E54" s="181" cm="1">
        <f t="array" ref="E54">IF(ISBLANK($AQ54), "", INDEX([2]SalmonProps!$A$2:$AA$10001,MATCH(1,($A54=[2]SalmonProps!$A$2:$A$10001)*(2=[2]SalmonProps!$C$2:$C$10001)*(3=[2]SalmonProps!$D$2:$D$10001)*("A1" = [2]SalmonProps!$B$2:$B$10001)*($AP54 = [2]SalmonProps!$F$2:$F$10001) *($AR54 = [2]SalmonProps!$G$2:$G$10001),0), 17))</f>
        <v>0.2661</v>
      </c>
      <c r="F54" s="165" cm="1">
        <f t="array" ref="F54">IF(ISBLANK($AQ54), "", INDEX([2]SalmonProps!$A$2:$AA$10001,MATCH(1,($A54=[2]SalmonProps!$A$2:$A$10001)*(3=[2]SalmonProps!$C$2:$C$10001)*(3=[2]SalmonProps!$D$2:$D$10001)*("A1" = [2]SalmonProps!$B$2:$B$10001)*($AP54 = [2]SalmonProps!$F$2:$F$10001) *($AR54 = [2]SalmonProps!$G$2:$G$10001),0), 17))</f>
        <v>0.48180000000000001</v>
      </c>
      <c r="G54" s="165" cm="1">
        <f t="array" ref="G54">IF(ISBLANK($AQ54), "", INDEX([2]SalmonProps!$A$2:$AA$10001,MATCH(1,($A54=[2]SalmonProps!$A$2:$A$10001)*(1=[2]SalmonProps!$C$2:$C$10001)*(1=[2]SalmonProps!$D$2:$D$10001)*("A2" = [2]SalmonProps!$B$2:$B$10001)*($AP54 = [2]SalmonProps!$F$2:$F$10001) *($AR54 = [2]SalmonProps!$G$2:$G$10001),0), 17))</f>
        <v>5.4100000000000002E-2</v>
      </c>
      <c r="H54" s="166" cm="1">
        <f t="array" ref="H54">IF(ISBLANK($AQ54), "", INDEX([2]SalmonProps!$A$2:$AA$10001,MATCH(1,($A54=[2]SalmonProps!$A$2:$A$10001)*(2=[2]SalmonProps!$C$2:$C$10001)*(1=[2]SalmonProps!$D$2:$D$10001)*("A2" = [2]SalmonProps!$B$2:$B$10001)*($AP54 = [2]SalmonProps!$F$2:$F$10001) *($AR54 = [2]SalmonProps!$G$2:$G$10001),0), 17))</f>
        <v>0.1203</v>
      </c>
      <c r="I54" s="167" cm="1">
        <f t="array" ref="I54">IF(ISBLANK($AQ54), "", INDEX([2]SalmonProps!$A$2:$AA$10001,MATCH(1,($A54=[2]SalmonProps!$A$2:$A$10001)*(3=[2]SalmonProps!$C$2:$C$10001)*(1=[2]SalmonProps!$D$2:$D$10001)*("A2" = [2]SalmonProps!$B$2:$B$10001)*($AP54 = [2]SalmonProps!$F$2:$F$10001) *($AR54 = [2]SalmonProps!$G$2:$G$10001),0), 17))</f>
        <v>0.30320000000000003</v>
      </c>
      <c r="J54" s="164" t="str" cm="1">
        <f t="array" ref="J54">IF(ISBLANK($AQ54), "", INDEX([2]SalmonProps!$A$2:$AA$10001,MATCH(1,($A54=[2]SalmonProps!$A$2:$A$10001)*(1=[2]SalmonProps!$C$2:$C$10001)*(1=[2]SalmonProps!$D$2:$D$10001)*("A1" = [2]SalmonProps!$B$2:$B$10001)*($AP54 = [2]SalmonProps!$F$2:$F$10001) *($AR54 = [2]SalmonProps!$G$2:$G$10001),0), 19))</f>
        <v>NA</v>
      </c>
      <c r="K54" s="165" t="str" cm="1">
        <f t="array" ref="K54">IF(ISBLANK($AQ54), "", INDEX([2]SalmonProps!$A$2:$AA$10001,MATCH(1,($A54=[2]SalmonProps!$A$2:$A$10001)*(1=[2]SalmonProps!$C$2:$C$10001)*(2=[2]SalmonProps!$D$2:$D$10001)*("A1" = [2]SalmonProps!$B$2:$B$10001)*($AP54 = [2]SalmonProps!$F$2:$F$10001) *($AR54 = [2]SalmonProps!$G$2:$G$10001),0), 19))</f>
        <v>NA</v>
      </c>
      <c r="L54" s="165" t="str" cm="1">
        <f t="array" ref="L54">IF(ISBLANK($AQ54), "", INDEX([2]SalmonProps!$A$2:$AA$10001,MATCH(1,($A54=[2]SalmonProps!$A$2:$A$10001)*(1=[2]SalmonProps!$C$2:$C$10001)*("1&amp;2"=[2]SalmonProps!$D$2:$D$10001)*("A1" = [2]SalmonProps!$B$2:$B$10001)*($AP54 = [2]SalmonProps!$F$2:$F$10001) *($AR54 = [2]SalmonProps!$G$2:$G$10001),0), 19))</f>
        <v>NA</v>
      </c>
      <c r="M54" s="165" t="str" cm="1">
        <f t="array" ref="M54">IF(ISBLANK($AQ54), "", INDEX([2]SalmonProps!$A$2:$AA$10001,MATCH(1,($A54=[2]SalmonProps!$A$2:$A$10001)*(2=[2]SalmonProps!$C$2:$C$10001)*(3=[2]SalmonProps!$D$2:$D$10001)*("A1" = [2]SalmonProps!$B$2:$B$10001)*($AP54 = [2]SalmonProps!$F$2:$F$10001) *($AR54 = [2]SalmonProps!$G$2:$G$10001),0), 19))</f>
        <v>NA</v>
      </c>
      <c r="N54" s="181" t="str" cm="1">
        <f t="array" ref="N54">IF(ISBLANK($AQ54), "", INDEX([2]SalmonProps!$A$2:$AA$10001,MATCH(1,($A54=[2]SalmonProps!$A$2:$A$10001)*(3=[2]SalmonProps!$C$2:$C$10001)*(3=[2]SalmonProps!$D$2:$D$10001)*("A1" = [2]SalmonProps!$B$2:$B$10001)*($AP54 = [2]SalmonProps!$F$2:$F$10001) *($AR54 = [2]SalmonProps!$G$2:$G$10001),0), 19))</f>
        <v>NA</v>
      </c>
      <c r="O54" s="165" t="str" cm="1">
        <f t="array" ref="O54">IF(ISBLANK($AQ54), "", INDEX([2]SalmonProps!$A$2:$AA$10001,MATCH(1,($A54=[2]SalmonProps!$A$2:$A$10001)*(1=[2]SalmonProps!$C$2:$C$10001)*(1=[2]SalmonProps!$D$2:$D$10001)*("A2" = [2]SalmonProps!$B$2:$B$10001)*($AP54 = [2]SalmonProps!$F$2:$F$10001) *($AR54 = [2]SalmonProps!$G$2:$G$10001),0), 19))</f>
        <v>NA</v>
      </c>
      <c r="P54" s="165" t="str" cm="1">
        <f t="array" ref="P54">IF(ISBLANK($AQ54), "", INDEX([2]SalmonProps!$A$2:$AA$10001,MATCH(1,($A54=[2]SalmonProps!$A$2:$A$10001)*(2=[2]SalmonProps!$C$2:$C$10001)*(1=[2]SalmonProps!$D$2:$D$10001)*("A2" = [2]SalmonProps!$B$2:$B$10001)*($AP54 = [2]SalmonProps!$F$2:$F$10001) *($AR54 = [2]SalmonProps!$G$2:$G$10001),0), 19))</f>
        <v>NA</v>
      </c>
      <c r="Q54" s="168" t="str" cm="1">
        <f t="array" ref="Q54">IF(ISBLANK($AQ54), "", INDEX([2]SalmonProps!$A$2:$AA$10001,MATCH(1,($A54=[2]SalmonProps!$A$2:$A$10001)*(3=[2]SalmonProps!$C$2:$C$10001)*(1=[2]SalmonProps!$D$2:$D$10001)*("A2" = [2]SalmonProps!$B$2:$B$10001)*($AP54 = [2]SalmonProps!$F$2:$F$10001) *($AR54 = [2]SalmonProps!$G$2:$G$10001),0), 19))</f>
        <v>NA</v>
      </c>
      <c r="R54" s="164" cm="1">
        <f t="array" ref="R54">IF(ISBLANK($AQ54), "", INDEX([2]SalmonProps!$A$2:$AA$10001,MATCH(1,($A54=[2]SalmonProps!$A$2:$A$10001)*(1=[2]SalmonProps!$C$2:$C$10001)*(1=[2]SalmonProps!$D$2:$D$10001)*("A1" = [2]SalmonProps!$B$2:$B$10001)*($AP54 = [2]SalmonProps!$F$2:$F$10001) *($AR54 = [2]SalmonProps!$G$2:$G$10001),0), 18))</f>
        <v>0.15260000000000001</v>
      </c>
      <c r="S54" s="165" cm="1">
        <f t="array" ref="S54">IF(ISBLANK($AQ54), "", INDEX([2]SalmonProps!$A$2:$AA$10001,MATCH(1,($A54=[2]SalmonProps!$A$2:$A$10001)*(1=[2]SalmonProps!$C$2:$C$10001)*(2=[2]SalmonProps!$D$2:$D$10001)*("A1" = [2]SalmonProps!$B$2:$B$10001)*($AP54 = [2]SalmonProps!$F$2:$F$10001) *($AR54 = [2]SalmonProps!$G$2:$G$10001),0), 18))</f>
        <v>0.1341</v>
      </c>
      <c r="T54" s="165" cm="1">
        <f t="array" ref="T54">IF(ISBLANK($AQ54), "", INDEX([2]SalmonProps!$A$2:$AA$10001,MATCH(1,($A54=[2]SalmonProps!$A$2:$A$10001)*(1=[2]SalmonProps!$C$2:$C$10001)*("1&amp;2"=[2]SalmonProps!$D$2:$D$10001)*("A1" = [2]SalmonProps!$B$2:$B$10001)*($AP54 = [2]SalmonProps!$F$2:$F$10001) *($AR54 = [2]SalmonProps!$G$2:$G$10001),0), 18))</f>
        <v>0.14050000000000001</v>
      </c>
      <c r="U54" s="165" cm="1">
        <f t="array" ref="U54">IF(ISBLANK($AQ54), "", INDEX([2]SalmonProps!$A$2:$AA$10001,MATCH(1,($A54=[2]SalmonProps!$A$2:$A$10001)*(2=[2]SalmonProps!$C$2:$C$10001)*(3=[2]SalmonProps!$D$2:$D$10001)*("A1" = [2]SalmonProps!$B$2:$B$10001)*($AP54 = [2]SalmonProps!$F$2:$F$10001) *($AR54 = [2]SalmonProps!$G$2:$G$10001),0), 18))</f>
        <v>0.15870000000000001</v>
      </c>
      <c r="V54" s="181" cm="1">
        <f t="array" ref="V54">IF(ISBLANK($AQ54), "", INDEX([2]SalmonProps!$A$2:$AA$10001,MATCH(1,($A54=[2]SalmonProps!$A$2:$A$10001)*(3=[2]SalmonProps!$C$2:$C$10001)*(3=[2]SalmonProps!$D$2:$D$10001)*("A1" = [2]SalmonProps!$B$2:$B$10001)*($AP54 = [2]SalmonProps!$F$2:$F$10001) *($AR54 = [2]SalmonProps!$G$2:$G$10001),0), 18))</f>
        <v>0</v>
      </c>
      <c r="W54" s="180" cm="1">
        <f t="array" ref="W54">IF(ISBLANK($AQ54), "", INDEX([2]SalmonProps!$A$2:$AA$10001,MATCH(1,($A54=[2]SalmonProps!$A$2:$A$10001)*(1=[2]SalmonProps!$C$2:$C$10001)*(1=[2]SalmonProps!$D$2:$D$10001)*("A2" = [2]SalmonProps!$B$2:$B$10001)*($AP54 = [2]SalmonProps!$F$2:$F$10001) *($AR54 = [2]SalmonProps!$G$2:$G$10001),0), 18))</f>
        <v>0.29070000000000001</v>
      </c>
      <c r="X54" s="165" cm="1">
        <f t="array" ref="X54">IF(ISBLANK($AQ54), "", INDEX([2]SalmonProps!$A$2:$AA$10001,MATCH(1,($A54=[2]SalmonProps!$A$2:$A$10001)*(2=[2]SalmonProps!$C$2:$C$10001)*(1=[2]SalmonProps!$D$2:$D$10001)*("A2" = [2]SalmonProps!$B$2:$B$10001)*($AP54 = [2]SalmonProps!$F$2:$F$10001) *($AR54 = [2]SalmonProps!$G$2:$G$10001),0), 18))</f>
        <v>0.39069999999999999</v>
      </c>
      <c r="Y54" s="168" cm="1">
        <f t="array" ref="Y54">IF(ISBLANK($AQ54), "", INDEX([2]SalmonProps!$A$2:$AA$10001,MATCH(1,($A54=[2]SalmonProps!$A$2:$A$10001)*(3=[2]SalmonProps!$C$2:$C$10001)*(1=[2]SalmonProps!$D$2:$D$10001)*("A2" = [2]SalmonProps!$B$2:$B$10001)*($AP54 = [2]SalmonProps!$F$2:$F$10001) *($AR54 = [2]SalmonProps!$G$2:$G$10001),0), 18))</f>
        <v>0.52900000000000003</v>
      </c>
      <c r="Z54" s="164" cm="1">
        <f t="array" ref="Z54">IF(ISBLANK($AQ54), "", INDEX([2]SalmonProps!$A$2:$AA$10001,MATCH(1,($A54=[2]SalmonProps!$A$2:$A$10001)*(1=[2]SalmonProps!$C$2:$C$10001)*(1=[2]SalmonProps!$D$2:$D$10001)*("A1" = [2]SalmonProps!$B$2:$B$10001)*($AP54 = [2]SalmonProps!$F$2:$F$10001) *($AR54 = [2]SalmonProps!$G$2:$G$10001),0), 15))</f>
        <v>0.39800000000000002</v>
      </c>
      <c r="AA54" s="165" cm="1">
        <f t="array" ref="AA54">IF(ISBLANK($AQ54), "", INDEX([2]SalmonProps!$A$2:$AA$10001,MATCH(1,($A54=[2]SalmonProps!$A$2:$A$10001)*(1=[2]SalmonProps!$C$2:$C$10001)*(2=[2]SalmonProps!$D$2:$D$10001)*("A1" = [2]SalmonProps!$B$2:$B$10001)*($AP54 = [2]SalmonProps!$F$2:$F$10001) *($AR54 = [2]SalmonProps!$G$2:$G$10001),0), 15))</f>
        <v>0.41649999999999998</v>
      </c>
      <c r="AB54" s="165" cm="1">
        <f t="array" ref="AB54">IF(ISBLANK($AQ54), "", INDEX([2]SalmonProps!$A$2:$AA$10001,MATCH(1,($A54=[2]SalmonProps!$A$2:$A$10001)*(1=[2]SalmonProps!$C$2:$C$10001)*("1&amp;2"=[2]SalmonProps!$D$2:$D$10001)*("A1" = [2]SalmonProps!$B$2:$B$10001)*($AP54 = [2]SalmonProps!$F$2:$F$10001) *($AR54 = [2]SalmonProps!$G$2:$G$10001),0), 15))</f>
        <v>0.40860000000000002</v>
      </c>
      <c r="AC54" s="165" cm="1">
        <f t="array" ref="AC54">IF(ISBLANK($AQ54), "", INDEX([2]SalmonProps!$A$2:$AA$10001,MATCH(1,($A54=[2]SalmonProps!$A$2:$A$10001)*(2=[2]SalmonProps!$C$2:$C$10001)*(3=[2]SalmonProps!$D$2:$D$10001)*("A1" = [2]SalmonProps!$B$2:$B$10001)*($AP54 = [2]SalmonProps!$F$2:$F$10001) *($AR54 = [2]SalmonProps!$G$2:$G$10001),0), 15))</f>
        <v>0.77790000000000004</v>
      </c>
      <c r="AD54" s="181" cm="1">
        <f t="array" ref="AD54">IF(ISBLANK($AQ54), "", INDEX([2]SalmonProps!$A$2:$AA$10001,MATCH(1,($A54=[2]SalmonProps!$A$2:$A$10001)*(3=[2]SalmonProps!$C$2:$C$10001)*(3=[2]SalmonProps!$D$2:$D$10001)*("A1" = [2]SalmonProps!$B$2:$B$10001)*($AP54 = [2]SalmonProps!$F$2:$F$10001) *($AR54 = [2]SalmonProps!$G$2:$G$10001),0), 15))</f>
        <v>0.80030000000000001</v>
      </c>
      <c r="AE54" s="166" cm="1">
        <f t="array" ref="AE54">IF(ISBLANK($AQ54), "", INDEX([2]SalmonProps!$A$2:$AA$10001,MATCH(1,($A54=[2]SalmonProps!$A$2:$A$10001)*(1=[2]SalmonProps!$C$2:$C$10001)*(1=[2]SalmonProps!$D$2:$D$10001)*("A2" = [2]SalmonProps!$B$2:$B$10001)*($AP54 = [2]SalmonProps!$F$2:$F$10001) *($AR54 = [2]SalmonProps!$G$2:$G$10001),0), 15))</f>
        <v>0.42320000000000002</v>
      </c>
      <c r="AF54" s="166" cm="1">
        <f t="array" ref="AF54">IF(ISBLANK($AQ54), "", INDEX([2]SalmonProps!$A$2:$AA$10001,MATCH(1,($A54=[2]SalmonProps!$A$2:$A$10001)*(2=[2]SalmonProps!$C$2:$C$10001)*(1=[2]SalmonProps!$D$2:$D$10001)*("A2" = [2]SalmonProps!$B$2:$B$10001)*($AP54 = [2]SalmonProps!$F$2:$F$10001) *($AR54 = [2]SalmonProps!$G$2:$G$10001),0), 15))</f>
        <v>0.66469999999999996</v>
      </c>
      <c r="AG54" s="167" cm="1">
        <f t="array" ref="AG54">IF(ISBLANK($AQ54), "", INDEX([2]SalmonProps!$A$2:$AA$10001,MATCH(1,($A54=[2]SalmonProps!$A$2:$A$10001)*(3=[2]SalmonProps!$C$2:$C$10001)*(1=[2]SalmonProps!$D$2:$D$10001)*("A2" = [2]SalmonProps!$B$2:$B$10001)*($AP54 = [2]SalmonProps!$F$2:$F$10001) *($AR54 = [2]SalmonProps!$G$2:$G$10001),0), 15))</f>
        <v>0.86029999999999995</v>
      </c>
      <c r="AH54" s="173" cm="1">
        <f t="array" ref="AH54">IF(ISBLANK($AQ54), "", INDEX([2]SalmonProps!$A$2:$AA$10001,MATCH(1,($A54=[2]SalmonProps!$A$2:$A$10001)*($AP54 = [2]SalmonProps!$F$2:$F$10001) *($AR54 = [2]SalmonProps!$G$2:$G$10001),0), 24))</f>
        <v>51.6</v>
      </c>
      <c r="AI54" s="183" cm="1">
        <f t="array" ref="AI54">IF(ISBLANK($AQ54), "", INDEX([2]SalmonProps!$A$2:$AA$10001,MATCH(1,($A54=[2]SalmonProps!$A$2:$A$10001)*($AP54 = [2]SalmonProps!$F$2:$F$10001) *($AR54 = [2]SalmonProps!$G$2:$G$10001),0), 25))</f>
        <v>6.7</v>
      </c>
      <c r="AJ54" s="174" cm="1">
        <f t="array" ref="AJ54">IF(ISBLANK($AQ54), "", INDEX([2]SalmonProps!$A$2:$AA$10001,MATCH(1,($A54=[2]SalmonProps!$A$2:$A$10001)*($AP54 = [2]SalmonProps!$F$2:$F$10001) *($AR54 = [2]SalmonProps!$G$2:$G$10001),0), 20))</f>
        <v>59</v>
      </c>
      <c r="AK54" s="183" cm="1">
        <f t="array" ref="AK54">IF(ISBLANK($AQ54), "", INDEX([2]SalmonProps!$A$2:$AA$10001,MATCH(1,($A54=[2]SalmonProps!$A$2:$A$10001)*($AP54 = [2]SalmonProps!$F$2:$F$10001) *($AR54 = [2]SalmonProps!$G$2:$G$10001),0), 21))</f>
        <v>4.8</v>
      </c>
      <c r="AL54" s="174" cm="1">
        <f t="array" ref="AL54">IF(ISBLANK($AQ54), "", INDEX([2]SalmonProps!$A$2:$AA$10001,MATCH(1,($A54=[2]SalmonProps!$A$2:$A$10001)*($AP54 = [2]SalmonProps!$F$2:$F$10001) *($AR54 = [2]SalmonProps!$G$2:$G$10001),0), 22))</f>
        <v>75.400000000000006</v>
      </c>
      <c r="AM54" s="183" cm="1">
        <f t="array" ref="AM54">IF(ISBLANK($AQ54), "", INDEX([2]SalmonProps!$A$2:$AA$10001,MATCH(1,($A54=[2]SalmonProps!$A$2:$A$10001)*($AP54 = [2]SalmonProps!$F$2:$F$10001) *($AR54 = [2]SalmonProps!$G$2:$G$10001),0), 23))</f>
        <v>7.6</v>
      </c>
      <c r="AN54" s="174" t="str" cm="1">
        <f t="array" ref="AN54">IF(ISBLANK($AQ54), "", INDEX([2]SalmonProps!$A$2:$AA$10001,MATCH(1,($A54=[2]SalmonProps!$A$2:$A$10001)*($AP54 = [2]SalmonProps!$F$2:$F$10001) *($AR54 = [2]SalmonProps!$G$2:$G$10001),0), 26))</f>
        <v>NA</v>
      </c>
      <c r="AO54" s="175" t="str" cm="1">
        <f t="array" ref="AO54">IF(ISBLANK($AQ54), "", INDEX([2]SalmonProps!$A$2:$AA$10001,MATCH(1,($A54=[2]SalmonProps!$A$2:$A$10001)*($AP54 = [2]SalmonProps!$F$2:$F$10001) *($AR54 = [2]SalmonProps!$G$2:$G$10001),0), 27))</f>
        <v>NA</v>
      </c>
      <c r="AP54" s="112">
        <v>4</v>
      </c>
      <c r="AQ54" s="112" t="s">
        <v>133</v>
      </c>
      <c r="AR54" s="112" t="str">
        <f t="shared" si="1"/>
        <v>Unweighted</v>
      </c>
    </row>
    <row r="55" spans="1:44" x14ac:dyDescent="0.3">
      <c r="A55" s="20">
        <f>'[1]Passage Estimates'!$A55</f>
        <v>45157</v>
      </c>
      <c r="B55" s="164" cm="1">
        <f t="array" ref="B55">IF(ISBLANK($AQ55), "", INDEX([2]SalmonProps!$A$2:$AA$10001,MATCH(1,($A55=[2]SalmonProps!$A$2:$A$10001)*(1=[2]SalmonProps!$C$2:$C$10001)*(1=[2]SalmonProps!$D$2:$D$10001)*("A1" = [2]SalmonProps!$B$2:$B$10001)*($AP55 = [2]SalmonProps!$F$2:$F$10001) *($AR55 = [2]SalmonProps!$G$2:$G$10001),0), 17))</f>
        <v>4.8999999999999998E-3</v>
      </c>
      <c r="C55" s="165" cm="1">
        <f t="array" ref="C55">IF(ISBLANK($AQ55), "", INDEX([2]SalmonProps!$A$2:$AA$10001,MATCH(1,($A55=[2]SalmonProps!$A$2:$A$10001)*(1=[2]SalmonProps!$C$2:$C$10001)*(2=[2]SalmonProps!$D$2:$D$10001)*("A1" = [2]SalmonProps!$B$2:$B$10001)*($AP55 = [2]SalmonProps!$F$2:$F$10001) *($AR55 = [2]SalmonProps!$G$2:$G$10001),0), 17))</f>
        <v>5.0500000000000003E-2</v>
      </c>
      <c r="D55" s="165" cm="1">
        <f t="array" ref="D55">IF(ISBLANK($AQ55), "", INDEX([2]SalmonProps!$A$2:$AA$10001,MATCH(1,($A55=[2]SalmonProps!$A$2:$A$10001)*(1=[2]SalmonProps!$C$2:$C$10001)*("1&amp;2"=[2]SalmonProps!$D$2:$D$10001)*("A1" = [2]SalmonProps!$B$2:$B$10001)*($AP55 = [2]SalmonProps!$F$2:$F$10001) *($AR55 = [2]SalmonProps!$G$2:$G$10001),0), 17))</f>
        <v>2.8500000000000001E-2</v>
      </c>
      <c r="E55" s="181" cm="1">
        <f t="array" ref="E55">IF(ISBLANK($AQ55), "", INDEX([2]SalmonProps!$A$2:$AA$10001,MATCH(1,($A55=[2]SalmonProps!$A$2:$A$10001)*(2=[2]SalmonProps!$C$2:$C$10001)*(3=[2]SalmonProps!$D$2:$D$10001)*("A1" = [2]SalmonProps!$B$2:$B$10001)*($AP55 = [2]SalmonProps!$F$2:$F$10001) *($AR55 = [2]SalmonProps!$G$2:$G$10001),0), 17))</f>
        <v>0.15939999999999999</v>
      </c>
      <c r="F55" s="165" cm="1">
        <f t="array" ref="F55">IF(ISBLANK($AQ55), "", INDEX([2]SalmonProps!$A$2:$AA$10001,MATCH(1,($A55=[2]SalmonProps!$A$2:$A$10001)*(3=[2]SalmonProps!$C$2:$C$10001)*(3=[2]SalmonProps!$D$2:$D$10001)*("A1" = [2]SalmonProps!$B$2:$B$10001)*($AP55 = [2]SalmonProps!$F$2:$F$10001) *($AR55 = [2]SalmonProps!$G$2:$G$10001),0), 17))</f>
        <v>0.42949999999999999</v>
      </c>
      <c r="G55" s="165" cm="1">
        <f t="array" ref="G55">IF(ISBLANK($AQ55), "", INDEX([2]SalmonProps!$A$2:$AA$10001,MATCH(1,($A55=[2]SalmonProps!$A$2:$A$10001)*(1=[2]SalmonProps!$C$2:$C$10001)*(1=[2]SalmonProps!$D$2:$D$10001)*("A2" = [2]SalmonProps!$B$2:$B$10001)*($AP55 = [2]SalmonProps!$F$2:$F$10001) *($AR55 = [2]SalmonProps!$G$2:$G$10001),0), 17))</f>
        <v>8.7800000000000003E-2</v>
      </c>
      <c r="H55" s="166" cm="1">
        <f t="array" ref="H55">IF(ISBLANK($AQ55), "", INDEX([2]SalmonProps!$A$2:$AA$10001,MATCH(1,($A55=[2]SalmonProps!$A$2:$A$10001)*(2=[2]SalmonProps!$C$2:$C$10001)*(1=[2]SalmonProps!$D$2:$D$10001)*("A2" = [2]SalmonProps!$B$2:$B$10001)*($AP55 = [2]SalmonProps!$F$2:$F$10001) *($AR55 = [2]SalmonProps!$G$2:$G$10001),0), 17))</f>
        <v>0.29139999999999999</v>
      </c>
      <c r="I55" s="167" cm="1">
        <f t="array" ref="I55">IF(ISBLANK($AQ55), "", INDEX([2]SalmonProps!$A$2:$AA$10001,MATCH(1,($A55=[2]SalmonProps!$A$2:$A$10001)*(3=[2]SalmonProps!$C$2:$C$10001)*(1=[2]SalmonProps!$D$2:$D$10001)*("A2" = [2]SalmonProps!$B$2:$B$10001)*($AP55 = [2]SalmonProps!$F$2:$F$10001) *($AR55 = [2]SalmonProps!$G$2:$G$10001),0), 17))</f>
        <v>0.52480000000000004</v>
      </c>
      <c r="J55" s="164" t="str" cm="1">
        <f t="array" ref="J55">IF(ISBLANK($AQ55), "", INDEX([2]SalmonProps!$A$2:$AA$10001,MATCH(1,($A55=[2]SalmonProps!$A$2:$A$10001)*(1=[2]SalmonProps!$C$2:$C$10001)*(1=[2]SalmonProps!$D$2:$D$10001)*("A1" = [2]SalmonProps!$B$2:$B$10001)*($AP55 = [2]SalmonProps!$F$2:$F$10001) *($AR55 = [2]SalmonProps!$G$2:$G$10001),0), 19))</f>
        <v>NA</v>
      </c>
      <c r="K55" s="165" t="str" cm="1">
        <f t="array" ref="K55">IF(ISBLANK($AQ55), "", INDEX([2]SalmonProps!$A$2:$AA$10001,MATCH(1,($A55=[2]SalmonProps!$A$2:$A$10001)*(1=[2]SalmonProps!$C$2:$C$10001)*(2=[2]SalmonProps!$D$2:$D$10001)*("A1" = [2]SalmonProps!$B$2:$B$10001)*($AP55 = [2]SalmonProps!$F$2:$F$10001) *($AR55 = [2]SalmonProps!$G$2:$G$10001),0), 19))</f>
        <v>NA</v>
      </c>
      <c r="L55" s="165" t="str" cm="1">
        <f t="array" ref="L55">IF(ISBLANK($AQ55), "", INDEX([2]SalmonProps!$A$2:$AA$10001,MATCH(1,($A55=[2]SalmonProps!$A$2:$A$10001)*(1=[2]SalmonProps!$C$2:$C$10001)*("1&amp;2"=[2]SalmonProps!$D$2:$D$10001)*("A1" = [2]SalmonProps!$B$2:$B$10001)*($AP55 = [2]SalmonProps!$F$2:$F$10001) *($AR55 = [2]SalmonProps!$G$2:$G$10001),0), 19))</f>
        <v>NA</v>
      </c>
      <c r="M55" s="165" t="str" cm="1">
        <f t="array" ref="M55">IF(ISBLANK($AQ55), "", INDEX([2]SalmonProps!$A$2:$AA$10001,MATCH(1,($A55=[2]SalmonProps!$A$2:$A$10001)*(2=[2]SalmonProps!$C$2:$C$10001)*(3=[2]SalmonProps!$D$2:$D$10001)*("A1" = [2]SalmonProps!$B$2:$B$10001)*($AP55 = [2]SalmonProps!$F$2:$F$10001) *($AR55 = [2]SalmonProps!$G$2:$G$10001),0), 19))</f>
        <v>NA</v>
      </c>
      <c r="N55" s="181" t="str" cm="1">
        <f t="array" ref="N55">IF(ISBLANK($AQ55), "", INDEX([2]SalmonProps!$A$2:$AA$10001,MATCH(1,($A55=[2]SalmonProps!$A$2:$A$10001)*(3=[2]SalmonProps!$C$2:$C$10001)*(3=[2]SalmonProps!$D$2:$D$10001)*("A1" = [2]SalmonProps!$B$2:$B$10001)*($AP55 = [2]SalmonProps!$F$2:$F$10001) *($AR55 = [2]SalmonProps!$G$2:$G$10001),0), 19))</f>
        <v>NA</v>
      </c>
      <c r="O55" s="165" t="str" cm="1">
        <f t="array" ref="O55">IF(ISBLANK($AQ55), "", INDEX([2]SalmonProps!$A$2:$AA$10001,MATCH(1,($A55=[2]SalmonProps!$A$2:$A$10001)*(1=[2]SalmonProps!$C$2:$C$10001)*(1=[2]SalmonProps!$D$2:$D$10001)*("A2" = [2]SalmonProps!$B$2:$B$10001)*($AP55 = [2]SalmonProps!$F$2:$F$10001) *($AR55 = [2]SalmonProps!$G$2:$G$10001),0), 19))</f>
        <v>NA</v>
      </c>
      <c r="P55" s="165" t="str" cm="1">
        <f t="array" ref="P55">IF(ISBLANK($AQ55), "", INDEX([2]SalmonProps!$A$2:$AA$10001,MATCH(1,($A55=[2]SalmonProps!$A$2:$A$10001)*(2=[2]SalmonProps!$C$2:$C$10001)*(1=[2]SalmonProps!$D$2:$D$10001)*("A2" = [2]SalmonProps!$B$2:$B$10001)*($AP55 = [2]SalmonProps!$F$2:$F$10001) *($AR55 = [2]SalmonProps!$G$2:$G$10001),0), 19))</f>
        <v>NA</v>
      </c>
      <c r="Q55" s="168" t="str" cm="1">
        <f t="array" ref="Q55">IF(ISBLANK($AQ55), "", INDEX([2]SalmonProps!$A$2:$AA$10001,MATCH(1,($A55=[2]SalmonProps!$A$2:$A$10001)*(3=[2]SalmonProps!$C$2:$C$10001)*(1=[2]SalmonProps!$D$2:$D$10001)*("A2" = [2]SalmonProps!$B$2:$B$10001)*($AP55 = [2]SalmonProps!$F$2:$F$10001) *($AR55 = [2]SalmonProps!$G$2:$G$10001),0), 19))</f>
        <v>NA</v>
      </c>
      <c r="R55" s="164" cm="1">
        <f t="array" ref="R55">IF(ISBLANK($AQ55), "", INDEX([2]SalmonProps!$A$2:$AA$10001,MATCH(1,($A55=[2]SalmonProps!$A$2:$A$10001)*(1=[2]SalmonProps!$C$2:$C$10001)*(1=[2]SalmonProps!$D$2:$D$10001)*("A1" = [2]SalmonProps!$B$2:$B$10001)*($AP55 = [2]SalmonProps!$F$2:$F$10001) *($AR55 = [2]SalmonProps!$G$2:$G$10001),0), 18))</f>
        <v>0.1638</v>
      </c>
      <c r="S55" s="165" cm="1">
        <f t="array" ref="S55">IF(ISBLANK($AQ55), "", INDEX([2]SalmonProps!$A$2:$AA$10001,MATCH(1,($A55=[2]SalmonProps!$A$2:$A$10001)*(1=[2]SalmonProps!$C$2:$C$10001)*(2=[2]SalmonProps!$D$2:$D$10001)*("A1" = [2]SalmonProps!$B$2:$B$10001)*($AP55 = [2]SalmonProps!$F$2:$F$10001) *($AR55 = [2]SalmonProps!$G$2:$G$10001),0), 18))</f>
        <v>0.17480000000000001</v>
      </c>
      <c r="T55" s="165" cm="1">
        <f t="array" ref="T55">IF(ISBLANK($AQ55), "", INDEX([2]SalmonProps!$A$2:$AA$10001,MATCH(1,($A55=[2]SalmonProps!$A$2:$A$10001)*(1=[2]SalmonProps!$C$2:$C$10001)*("1&amp;2"=[2]SalmonProps!$D$2:$D$10001)*("A1" = [2]SalmonProps!$B$2:$B$10001)*($AP55 = [2]SalmonProps!$F$2:$F$10001) *($AR55 = [2]SalmonProps!$G$2:$G$10001),0), 18))</f>
        <v>0.16969999999999999</v>
      </c>
      <c r="U55" s="165" cm="1">
        <f t="array" ref="U55">IF(ISBLANK($AQ55), "", INDEX([2]SalmonProps!$A$2:$AA$10001,MATCH(1,($A55=[2]SalmonProps!$A$2:$A$10001)*(2=[2]SalmonProps!$C$2:$C$10001)*(3=[2]SalmonProps!$D$2:$D$10001)*("A1" = [2]SalmonProps!$B$2:$B$10001)*($AP55 = [2]SalmonProps!$F$2:$F$10001) *($AR55 = [2]SalmonProps!$G$2:$G$10001),0), 18))</f>
        <v>0.13270000000000001</v>
      </c>
      <c r="V55" s="181" cm="1">
        <f t="array" ref="V55">IF(ISBLANK($AQ55), "", INDEX([2]SalmonProps!$A$2:$AA$10001,MATCH(1,($A55=[2]SalmonProps!$A$2:$A$10001)*(3=[2]SalmonProps!$C$2:$C$10001)*(3=[2]SalmonProps!$D$2:$D$10001)*("A1" = [2]SalmonProps!$B$2:$B$10001)*($AP55 = [2]SalmonProps!$F$2:$F$10001) *($AR55 = [2]SalmonProps!$G$2:$G$10001),0), 18))</f>
        <v>9.8299999999999998E-2</v>
      </c>
      <c r="W55" s="180" cm="1">
        <f t="array" ref="W55">IF(ISBLANK($AQ55), "", INDEX([2]SalmonProps!$A$2:$AA$10001,MATCH(1,($A55=[2]SalmonProps!$A$2:$A$10001)*(1=[2]SalmonProps!$C$2:$C$10001)*(1=[2]SalmonProps!$D$2:$D$10001)*("A2" = [2]SalmonProps!$B$2:$B$10001)*($AP55 = [2]SalmonProps!$F$2:$F$10001) *($AR55 = [2]SalmonProps!$G$2:$G$10001),0), 18))</f>
        <v>0.18379999999999999</v>
      </c>
      <c r="X55" s="165" cm="1">
        <f t="array" ref="X55">IF(ISBLANK($AQ55), "", INDEX([2]SalmonProps!$A$2:$AA$10001,MATCH(1,($A55=[2]SalmonProps!$A$2:$A$10001)*(2=[2]SalmonProps!$C$2:$C$10001)*(1=[2]SalmonProps!$D$2:$D$10001)*("A2" = [2]SalmonProps!$B$2:$B$10001)*($AP55 = [2]SalmonProps!$F$2:$F$10001) *($AR55 = [2]SalmonProps!$G$2:$G$10001),0), 18))</f>
        <v>0.2117</v>
      </c>
      <c r="Y55" s="168" cm="1">
        <f t="array" ref="Y55">IF(ISBLANK($AQ55), "", INDEX([2]SalmonProps!$A$2:$AA$10001,MATCH(1,($A55=[2]SalmonProps!$A$2:$A$10001)*(3=[2]SalmonProps!$C$2:$C$10001)*(1=[2]SalmonProps!$D$2:$D$10001)*("A2" = [2]SalmonProps!$B$2:$B$10001)*($AP55 = [2]SalmonProps!$F$2:$F$10001) *($AR55 = [2]SalmonProps!$G$2:$G$10001),0), 18))</f>
        <v>0.41909999999999997</v>
      </c>
      <c r="Z55" s="164" cm="1">
        <f t="array" ref="Z55">IF(ISBLANK($AQ55), "", INDEX([2]SalmonProps!$A$2:$AA$10001,MATCH(1,($A55=[2]SalmonProps!$A$2:$A$10001)*(1=[2]SalmonProps!$C$2:$C$10001)*(1=[2]SalmonProps!$D$2:$D$10001)*("A1" = [2]SalmonProps!$B$2:$B$10001)*($AP55 = [2]SalmonProps!$F$2:$F$10001) *($AR55 = [2]SalmonProps!$G$2:$G$10001),0), 15))</f>
        <v>0.28610000000000002</v>
      </c>
      <c r="AA55" s="165" cm="1">
        <f t="array" ref="AA55">IF(ISBLANK($AQ55), "", INDEX([2]SalmonProps!$A$2:$AA$10001,MATCH(1,($A55=[2]SalmonProps!$A$2:$A$10001)*(1=[2]SalmonProps!$C$2:$C$10001)*(2=[2]SalmonProps!$D$2:$D$10001)*("A1" = [2]SalmonProps!$B$2:$B$10001)*($AP55 = [2]SalmonProps!$F$2:$F$10001) *($AR55 = [2]SalmonProps!$G$2:$G$10001),0), 15))</f>
        <v>0.3846</v>
      </c>
      <c r="AB55" s="165" cm="1">
        <f t="array" ref="AB55">IF(ISBLANK($AQ55), "", INDEX([2]SalmonProps!$A$2:$AA$10001,MATCH(1,($A55=[2]SalmonProps!$A$2:$A$10001)*(1=[2]SalmonProps!$C$2:$C$10001)*("1&amp;2"=[2]SalmonProps!$D$2:$D$10001)*("A1" = [2]SalmonProps!$B$2:$B$10001)*($AP55 = [2]SalmonProps!$F$2:$F$10001) *($AR55 = [2]SalmonProps!$G$2:$G$10001),0), 15))</f>
        <v>0.33360000000000001</v>
      </c>
      <c r="AC55" s="165" cm="1">
        <f t="array" ref="AC55">IF(ISBLANK($AQ55), "", INDEX([2]SalmonProps!$A$2:$AA$10001,MATCH(1,($A55=[2]SalmonProps!$A$2:$A$10001)*(2=[2]SalmonProps!$C$2:$C$10001)*(3=[2]SalmonProps!$D$2:$D$10001)*("A1" = [2]SalmonProps!$B$2:$B$10001)*($AP55 = [2]SalmonProps!$F$2:$F$10001) *($AR55 = [2]SalmonProps!$G$2:$G$10001),0), 15))</f>
        <v>0.82489999999999997</v>
      </c>
      <c r="AD55" s="181" cm="1">
        <f t="array" ref="AD55">IF(ISBLANK($AQ55), "", INDEX([2]SalmonProps!$A$2:$AA$10001,MATCH(1,($A55=[2]SalmonProps!$A$2:$A$10001)*(3=[2]SalmonProps!$C$2:$C$10001)*(3=[2]SalmonProps!$D$2:$D$10001)*("A1" = [2]SalmonProps!$B$2:$B$10001)*($AP55 = [2]SalmonProps!$F$2:$F$10001) *($AR55 = [2]SalmonProps!$G$2:$G$10001),0), 15))</f>
        <v>0.67159999999999997</v>
      </c>
      <c r="AE55" s="166" cm="1">
        <f t="array" ref="AE55">IF(ISBLANK($AQ55), "", INDEX([2]SalmonProps!$A$2:$AA$10001,MATCH(1,($A55=[2]SalmonProps!$A$2:$A$10001)*(1=[2]SalmonProps!$C$2:$C$10001)*(1=[2]SalmonProps!$D$2:$D$10001)*("A2" = [2]SalmonProps!$B$2:$B$10001)*($AP55 = [2]SalmonProps!$F$2:$F$10001) *($AR55 = [2]SalmonProps!$G$2:$G$10001),0), 15))</f>
        <v>0.53010000000000002</v>
      </c>
      <c r="AF55" s="166" cm="1">
        <f t="array" ref="AF55">IF(ISBLANK($AQ55), "", INDEX([2]SalmonProps!$A$2:$AA$10001,MATCH(1,($A55=[2]SalmonProps!$A$2:$A$10001)*(2=[2]SalmonProps!$C$2:$C$10001)*(1=[2]SalmonProps!$D$2:$D$10001)*("A2" = [2]SalmonProps!$B$2:$B$10001)*($AP55 = [2]SalmonProps!$F$2:$F$10001) *($AR55 = [2]SalmonProps!$G$2:$G$10001),0), 15))</f>
        <v>0.74580000000000002</v>
      </c>
      <c r="AG55" s="167" cm="1">
        <f t="array" ref="AG55">IF(ISBLANK($AQ55), "", INDEX([2]SalmonProps!$A$2:$AA$10001,MATCH(1,($A55=[2]SalmonProps!$A$2:$A$10001)*(3=[2]SalmonProps!$C$2:$C$10001)*(1=[2]SalmonProps!$D$2:$D$10001)*("A2" = [2]SalmonProps!$B$2:$B$10001)*($AP55 = [2]SalmonProps!$F$2:$F$10001) *($AR55 = [2]SalmonProps!$G$2:$G$10001),0), 15))</f>
        <v>0.94389999999999996</v>
      </c>
      <c r="AH55" s="173" cm="1">
        <f t="array" ref="AH55">IF(ISBLANK($AQ55), "", INDEX([2]SalmonProps!$A$2:$AA$10001,MATCH(1,($A55=[2]SalmonProps!$A$2:$A$10001)*($AP55 = [2]SalmonProps!$F$2:$F$10001) *($AR55 = [2]SalmonProps!$G$2:$G$10001),0), 24))</f>
        <v>52</v>
      </c>
      <c r="AI55" s="183" cm="1">
        <f t="array" ref="AI55">IF(ISBLANK($AQ55), "", INDEX([2]SalmonProps!$A$2:$AA$10001,MATCH(1,($A55=[2]SalmonProps!$A$2:$A$10001)*($AP55 = [2]SalmonProps!$F$2:$F$10001) *($AR55 = [2]SalmonProps!$G$2:$G$10001),0), 25))</f>
        <v>6.8</v>
      </c>
      <c r="AJ55" s="174" cm="1">
        <f t="array" ref="AJ55">IF(ISBLANK($AQ55), "", INDEX([2]SalmonProps!$A$2:$AA$10001,MATCH(1,($A55=[2]SalmonProps!$A$2:$A$10001)*($AP55 = [2]SalmonProps!$F$2:$F$10001) *($AR55 = [2]SalmonProps!$G$2:$G$10001),0), 20))</f>
        <v>59</v>
      </c>
      <c r="AK55" s="183" cm="1">
        <f t="array" ref="AK55">IF(ISBLANK($AQ55), "", INDEX([2]SalmonProps!$A$2:$AA$10001,MATCH(1,($A55=[2]SalmonProps!$A$2:$A$10001)*($AP55 = [2]SalmonProps!$F$2:$F$10001) *($AR55 = [2]SalmonProps!$G$2:$G$10001),0), 21))</f>
        <v>4.8</v>
      </c>
      <c r="AL55" s="174" cm="1">
        <f t="array" ref="AL55">IF(ISBLANK($AQ55), "", INDEX([2]SalmonProps!$A$2:$AA$10001,MATCH(1,($A55=[2]SalmonProps!$A$2:$A$10001)*($AP55 = [2]SalmonProps!$F$2:$F$10001) *($AR55 = [2]SalmonProps!$G$2:$G$10001),0), 22))</f>
        <v>75.400000000000006</v>
      </c>
      <c r="AM55" s="183" cm="1">
        <f t="array" ref="AM55">IF(ISBLANK($AQ55), "", INDEX([2]SalmonProps!$A$2:$AA$10001,MATCH(1,($A55=[2]SalmonProps!$A$2:$A$10001)*($AP55 = [2]SalmonProps!$F$2:$F$10001) *($AR55 = [2]SalmonProps!$G$2:$G$10001),0), 23))</f>
        <v>7.6</v>
      </c>
      <c r="AN55" s="174" t="str" cm="1">
        <f t="array" ref="AN55">IF(ISBLANK($AQ55), "", INDEX([2]SalmonProps!$A$2:$AA$10001,MATCH(1,($A55=[2]SalmonProps!$A$2:$A$10001)*($AP55 = [2]SalmonProps!$F$2:$F$10001) *($AR55 = [2]SalmonProps!$G$2:$G$10001),0), 26))</f>
        <v>NA</v>
      </c>
      <c r="AO55" s="175" t="str" cm="1">
        <f t="array" ref="AO55">IF(ISBLANK($AQ55), "", INDEX([2]SalmonProps!$A$2:$AA$10001,MATCH(1,($A55=[2]SalmonProps!$A$2:$A$10001)*($AP55 = [2]SalmonProps!$F$2:$F$10001) *($AR55 = [2]SalmonProps!$G$2:$G$10001),0), 27))</f>
        <v>NA</v>
      </c>
      <c r="AP55" s="112">
        <v>4</v>
      </c>
      <c r="AQ55" s="112" t="s">
        <v>133</v>
      </c>
      <c r="AR55" s="112" t="str">
        <f t="shared" si="1"/>
        <v>Unweighted</v>
      </c>
    </row>
    <row r="56" spans="1:44" x14ac:dyDescent="0.3">
      <c r="A56" s="20">
        <f>'[1]Passage Estimates'!$A56</f>
        <v>45158</v>
      </c>
      <c r="B56" s="164" cm="1">
        <f t="array" ref="B56">IF(ISBLANK($AQ56), "", INDEX([2]SalmonProps!$A$2:$AA$10001,MATCH(1,($A56=[2]SalmonProps!$A$2:$A$10001)*(1=[2]SalmonProps!$C$2:$C$10001)*(1=[2]SalmonProps!$D$2:$D$10001)*("A1" = [2]SalmonProps!$B$2:$B$10001)*($AP56 = [2]SalmonProps!$F$2:$F$10001) *($AR56 = [2]SalmonProps!$G$2:$G$10001),0), 17))</f>
        <v>9.5500000000000002E-2</v>
      </c>
      <c r="C56" s="165" cm="1">
        <f t="array" ref="C56">IF(ISBLANK($AQ56), "", INDEX([2]SalmonProps!$A$2:$AA$10001,MATCH(1,($A56=[2]SalmonProps!$A$2:$A$10001)*(1=[2]SalmonProps!$C$2:$C$10001)*(2=[2]SalmonProps!$D$2:$D$10001)*("A1" = [2]SalmonProps!$B$2:$B$10001)*($AP56 = [2]SalmonProps!$F$2:$F$10001) *($AR56 = [2]SalmonProps!$G$2:$G$10001),0), 17))</f>
        <v>5.9499999999999997E-2</v>
      </c>
      <c r="D56" s="165" cm="1">
        <f t="array" ref="D56">IF(ISBLANK($AQ56), "", INDEX([2]SalmonProps!$A$2:$AA$10001,MATCH(1,($A56=[2]SalmonProps!$A$2:$A$10001)*(1=[2]SalmonProps!$C$2:$C$10001)*("1&amp;2"=[2]SalmonProps!$D$2:$D$10001)*("A1" = [2]SalmonProps!$B$2:$B$10001)*($AP56 = [2]SalmonProps!$F$2:$F$10001) *($AR56 = [2]SalmonProps!$G$2:$G$10001),0), 17))</f>
        <v>7.4999999999999997E-2</v>
      </c>
      <c r="E56" s="181" cm="1">
        <f t="array" ref="E56">IF(ISBLANK($AQ56), "", INDEX([2]SalmonProps!$A$2:$AA$10001,MATCH(1,($A56=[2]SalmonProps!$A$2:$A$10001)*(2=[2]SalmonProps!$C$2:$C$10001)*(3=[2]SalmonProps!$D$2:$D$10001)*("A1" = [2]SalmonProps!$B$2:$B$10001)*($AP56 = [2]SalmonProps!$F$2:$F$10001) *($AR56 = [2]SalmonProps!$G$2:$G$10001),0), 17))</f>
        <v>0.29830000000000001</v>
      </c>
      <c r="F56" s="165" cm="1">
        <f t="array" ref="F56">IF(ISBLANK($AQ56), "", INDEX([2]SalmonProps!$A$2:$AA$10001,MATCH(1,($A56=[2]SalmonProps!$A$2:$A$10001)*(3=[2]SalmonProps!$C$2:$C$10001)*(3=[2]SalmonProps!$D$2:$D$10001)*("A1" = [2]SalmonProps!$B$2:$B$10001)*($AP56 = [2]SalmonProps!$F$2:$F$10001) *($AR56 = [2]SalmonProps!$G$2:$G$10001),0), 17))</f>
        <v>0.68479999999999996</v>
      </c>
      <c r="G56" s="165" cm="1">
        <f t="array" ref="G56">IF(ISBLANK($AQ56), "", INDEX([2]SalmonProps!$A$2:$AA$10001,MATCH(1,($A56=[2]SalmonProps!$A$2:$A$10001)*(1=[2]SalmonProps!$C$2:$C$10001)*(1=[2]SalmonProps!$D$2:$D$10001)*("A2" = [2]SalmonProps!$B$2:$B$10001)*($AP56 = [2]SalmonProps!$F$2:$F$10001) *($AR56 = [2]SalmonProps!$G$2:$G$10001),0), 17))</f>
        <v>8.2500000000000004E-2</v>
      </c>
      <c r="H56" s="166" cm="1">
        <f t="array" ref="H56">IF(ISBLANK($AQ56), "", INDEX([2]SalmonProps!$A$2:$AA$10001,MATCH(1,($A56=[2]SalmonProps!$A$2:$A$10001)*(2=[2]SalmonProps!$C$2:$C$10001)*(1=[2]SalmonProps!$D$2:$D$10001)*("A2" = [2]SalmonProps!$B$2:$B$10001)*($AP56 = [2]SalmonProps!$F$2:$F$10001) *($AR56 = [2]SalmonProps!$G$2:$G$10001),0), 17))</f>
        <v>0.51770000000000005</v>
      </c>
      <c r="I56" s="167" cm="1">
        <f t="array" ref="I56">IF(ISBLANK($AQ56), "", INDEX([2]SalmonProps!$A$2:$AA$10001,MATCH(1,($A56=[2]SalmonProps!$A$2:$A$10001)*(3=[2]SalmonProps!$C$2:$C$10001)*(1=[2]SalmonProps!$D$2:$D$10001)*("A2" = [2]SalmonProps!$B$2:$B$10001)*($AP56 = [2]SalmonProps!$F$2:$F$10001) *($AR56 = [2]SalmonProps!$G$2:$G$10001),0), 17))</f>
        <v>0.66539999999999999</v>
      </c>
      <c r="J56" s="164" t="str" cm="1">
        <f t="array" ref="J56">IF(ISBLANK($AQ56), "", INDEX([2]SalmonProps!$A$2:$AA$10001,MATCH(1,($A56=[2]SalmonProps!$A$2:$A$10001)*(1=[2]SalmonProps!$C$2:$C$10001)*(1=[2]SalmonProps!$D$2:$D$10001)*("A1" = [2]SalmonProps!$B$2:$B$10001)*($AP56 = [2]SalmonProps!$F$2:$F$10001) *($AR56 = [2]SalmonProps!$G$2:$G$10001),0), 19))</f>
        <v>NA</v>
      </c>
      <c r="K56" s="165" t="str" cm="1">
        <f t="array" ref="K56">IF(ISBLANK($AQ56), "", INDEX([2]SalmonProps!$A$2:$AA$10001,MATCH(1,($A56=[2]SalmonProps!$A$2:$A$10001)*(1=[2]SalmonProps!$C$2:$C$10001)*(2=[2]SalmonProps!$D$2:$D$10001)*("A1" = [2]SalmonProps!$B$2:$B$10001)*($AP56 = [2]SalmonProps!$F$2:$F$10001) *($AR56 = [2]SalmonProps!$G$2:$G$10001),0), 19))</f>
        <v>NA</v>
      </c>
      <c r="L56" s="165" t="str" cm="1">
        <f t="array" ref="L56">IF(ISBLANK($AQ56), "", INDEX([2]SalmonProps!$A$2:$AA$10001,MATCH(1,($A56=[2]SalmonProps!$A$2:$A$10001)*(1=[2]SalmonProps!$C$2:$C$10001)*("1&amp;2"=[2]SalmonProps!$D$2:$D$10001)*("A1" = [2]SalmonProps!$B$2:$B$10001)*($AP56 = [2]SalmonProps!$F$2:$F$10001) *($AR56 = [2]SalmonProps!$G$2:$G$10001),0), 19))</f>
        <v>NA</v>
      </c>
      <c r="M56" s="165" t="str" cm="1">
        <f t="array" ref="M56">IF(ISBLANK($AQ56), "", INDEX([2]SalmonProps!$A$2:$AA$10001,MATCH(1,($A56=[2]SalmonProps!$A$2:$A$10001)*(2=[2]SalmonProps!$C$2:$C$10001)*(3=[2]SalmonProps!$D$2:$D$10001)*("A1" = [2]SalmonProps!$B$2:$B$10001)*($AP56 = [2]SalmonProps!$F$2:$F$10001) *($AR56 = [2]SalmonProps!$G$2:$G$10001),0), 19))</f>
        <v>NA</v>
      </c>
      <c r="N56" s="181" t="str" cm="1">
        <f t="array" ref="N56">IF(ISBLANK($AQ56), "", INDEX([2]SalmonProps!$A$2:$AA$10001,MATCH(1,($A56=[2]SalmonProps!$A$2:$A$10001)*(3=[2]SalmonProps!$C$2:$C$10001)*(3=[2]SalmonProps!$D$2:$D$10001)*("A1" = [2]SalmonProps!$B$2:$B$10001)*($AP56 = [2]SalmonProps!$F$2:$F$10001) *($AR56 = [2]SalmonProps!$G$2:$G$10001),0), 19))</f>
        <v>NA</v>
      </c>
      <c r="O56" s="165" t="str" cm="1">
        <f t="array" ref="O56">IF(ISBLANK($AQ56), "", INDEX([2]SalmonProps!$A$2:$AA$10001,MATCH(1,($A56=[2]SalmonProps!$A$2:$A$10001)*(1=[2]SalmonProps!$C$2:$C$10001)*(1=[2]SalmonProps!$D$2:$D$10001)*("A2" = [2]SalmonProps!$B$2:$B$10001)*($AP56 = [2]SalmonProps!$F$2:$F$10001) *($AR56 = [2]SalmonProps!$G$2:$G$10001),0), 19))</f>
        <v>NA</v>
      </c>
      <c r="P56" s="165" t="str" cm="1">
        <f t="array" ref="P56">IF(ISBLANK($AQ56), "", INDEX([2]SalmonProps!$A$2:$AA$10001,MATCH(1,($A56=[2]SalmonProps!$A$2:$A$10001)*(2=[2]SalmonProps!$C$2:$C$10001)*(1=[2]SalmonProps!$D$2:$D$10001)*("A2" = [2]SalmonProps!$B$2:$B$10001)*($AP56 = [2]SalmonProps!$F$2:$F$10001) *($AR56 = [2]SalmonProps!$G$2:$G$10001),0), 19))</f>
        <v>NA</v>
      </c>
      <c r="Q56" s="168" t="str" cm="1">
        <f t="array" ref="Q56">IF(ISBLANK($AQ56), "", INDEX([2]SalmonProps!$A$2:$AA$10001,MATCH(1,($A56=[2]SalmonProps!$A$2:$A$10001)*(3=[2]SalmonProps!$C$2:$C$10001)*(1=[2]SalmonProps!$D$2:$D$10001)*("A2" = [2]SalmonProps!$B$2:$B$10001)*($AP56 = [2]SalmonProps!$F$2:$F$10001) *($AR56 = [2]SalmonProps!$G$2:$G$10001),0), 19))</f>
        <v>NA</v>
      </c>
      <c r="R56" s="164" cm="1">
        <f t="array" ref="R56">IF(ISBLANK($AQ56), "", INDEX([2]SalmonProps!$A$2:$AA$10001,MATCH(1,($A56=[2]SalmonProps!$A$2:$A$10001)*(1=[2]SalmonProps!$C$2:$C$10001)*(1=[2]SalmonProps!$D$2:$D$10001)*("A1" = [2]SalmonProps!$B$2:$B$10001)*($AP56 = [2]SalmonProps!$F$2:$F$10001) *($AR56 = [2]SalmonProps!$G$2:$G$10001),0), 18))</f>
        <v>0.1532</v>
      </c>
      <c r="S56" s="165" cm="1">
        <f t="array" ref="S56">IF(ISBLANK($AQ56), "", INDEX([2]SalmonProps!$A$2:$AA$10001,MATCH(1,($A56=[2]SalmonProps!$A$2:$A$10001)*(1=[2]SalmonProps!$C$2:$C$10001)*(2=[2]SalmonProps!$D$2:$D$10001)*("A1" = [2]SalmonProps!$B$2:$B$10001)*($AP56 = [2]SalmonProps!$F$2:$F$10001) *($AR56 = [2]SalmonProps!$G$2:$G$10001),0), 18))</f>
        <v>0.16750000000000001</v>
      </c>
      <c r="T56" s="165" cm="1">
        <f t="array" ref="T56">IF(ISBLANK($AQ56), "", INDEX([2]SalmonProps!$A$2:$AA$10001,MATCH(1,($A56=[2]SalmonProps!$A$2:$A$10001)*(1=[2]SalmonProps!$C$2:$C$10001)*("1&amp;2"=[2]SalmonProps!$D$2:$D$10001)*("A1" = [2]SalmonProps!$B$2:$B$10001)*($AP56 = [2]SalmonProps!$F$2:$F$10001) *($AR56 = [2]SalmonProps!$G$2:$G$10001),0), 18))</f>
        <v>0.15959999999999999</v>
      </c>
      <c r="U56" s="165" cm="1">
        <f t="array" ref="U56">IF(ISBLANK($AQ56), "", INDEX([2]SalmonProps!$A$2:$AA$10001,MATCH(1,($A56=[2]SalmonProps!$A$2:$A$10001)*(2=[2]SalmonProps!$C$2:$C$10001)*(3=[2]SalmonProps!$D$2:$D$10001)*("A1" = [2]SalmonProps!$B$2:$B$10001)*($AP56 = [2]SalmonProps!$F$2:$F$10001) *($AR56 = [2]SalmonProps!$G$2:$G$10001),0), 18))</f>
        <v>0.37859999999999999</v>
      </c>
      <c r="V56" s="181" cm="1">
        <f t="array" ref="V56">IF(ISBLANK($AQ56), "", INDEX([2]SalmonProps!$A$2:$AA$10001,MATCH(1,($A56=[2]SalmonProps!$A$2:$A$10001)*(3=[2]SalmonProps!$C$2:$C$10001)*(3=[2]SalmonProps!$D$2:$D$10001)*("A1" = [2]SalmonProps!$B$2:$B$10001)*($AP56 = [2]SalmonProps!$F$2:$F$10001) *($AR56 = [2]SalmonProps!$G$2:$G$10001),0), 18))</f>
        <v>0.1065</v>
      </c>
      <c r="W56" s="180" cm="1">
        <f t="array" ref="W56">IF(ISBLANK($AQ56), "", INDEX([2]SalmonProps!$A$2:$AA$10001,MATCH(1,($A56=[2]SalmonProps!$A$2:$A$10001)*(1=[2]SalmonProps!$C$2:$C$10001)*(1=[2]SalmonProps!$D$2:$D$10001)*("A2" = [2]SalmonProps!$B$2:$B$10001)*($AP56 = [2]SalmonProps!$F$2:$F$10001) *($AR56 = [2]SalmonProps!$G$2:$G$10001),0), 18))</f>
        <v>0</v>
      </c>
      <c r="X56" s="165" cm="1">
        <f t="array" ref="X56">IF(ISBLANK($AQ56), "", INDEX([2]SalmonProps!$A$2:$AA$10001,MATCH(1,($A56=[2]SalmonProps!$A$2:$A$10001)*(2=[2]SalmonProps!$C$2:$C$10001)*(1=[2]SalmonProps!$D$2:$D$10001)*("A2" = [2]SalmonProps!$B$2:$B$10001)*($AP56 = [2]SalmonProps!$F$2:$F$10001) *($AR56 = [2]SalmonProps!$G$2:$G$10001),0), 18))</f>
        <v>3.2800000000000003E-2</v>
      </c>
      <c r="Y56" s="168" cm="1">
        <f t="array" ref="Y56">IF(ISBLANK($AQ56), "", INDEX([2]SalmonProps!$A$2:$AA$10001,MATCH(1,($A56=[2]SalmonProps!$A$2:$A$10001)*(3=[2]SalmonProps!$C$2:$C$10001)*(1=[2]SalmonProps!$D$2:$D$10001)*("A2" = [2]SalmonProps!$B$2:$B$10001)*($AP56 = [2]SalmonProps!$F$2:$F$10001) *($AR56 = [2]SalmonProps!$G$2:$G$10001),0), 18))</f>
        <v>0.2576</v>
      </c>
      <c r="Z56" s="164" cm="1">
        <f t="array" ref="Z56">IF(ISBLANK($AQ56), "", INDEX([2]SalmonProps!$A$2:$AA$10001,MATCH(1,($A56=[2]SalmonProps!$A$2:$A$10001)*(1=[2]SalmonProps!$C$2:$C$10001)*(1=[2]SalmonProps!$D$2:$D$10001)*("A1" = [2]SalmonProps!$B$2:$B$10001)*($AP56 = [2]SalmonProps!$F$2:$F$10001) *($AR56 = [2]SalmonProps!$G$2:$G$10001),0), 15))</f>
        <v>0.41360000000000002</v>
      </c>
      <c r="AA56" s="165" cm="1">
        <f t="array" ref="AA56">IF(ISBLANK($AQ56), "", INDEX([2]SalmonProps!$A$2:$AA$10001,MATCH(1,($A56=[2]SalmonProps!$A$2:$A$10001)*(1=[2]SalmonProps!$C$2:$C$10001)*(2=[2]SalmonProps!$D$2:$D$10001)*("A1" = [2]SalmonProps!$B$2:$B$10001)*($AP56 = [2]SalmonProps!$F$2:$F$10001) *($AR56 = [2]SalmonProps!$G$2:$G$10001),0), 15))</f>
        <v>0.47270000000000001</v>
      </c>
      <c r="AB56" s="165" cm="1">
        <f t="array" ref="AB56">IF(ISBLANK($AQ56), "", INDEX([2]SalmonProps!$A$2:$AA$10001,MATCH(1,($A56=[2]SalmonProps!$A$2:$A$10001)*(1=[2]SalmonProps!$C$2:$C$10001)*("1&amp;2"=[2]SalmonProps!$D$2:$D$10001)*("A1" = [2]SalmonProps!$B$2:$B$10001)*($AP56 = [2]SalmonProps!$F$2:$F$10001) *($AR56 = [2]SalmonProps!$G$2:$G$10001),0), 15))</f>
        <v>0.44479999999999997</v>
      </c>
      <c r="AC56" s="165" cm="1">
        <f t="array" ref="AC56">IF(ISBLANK($AQ56), "", INDEX([2]SalmonProps!$A$2:$AA$10001,MATCH(1,($A56=[2]SalmonProps!$A$2:$A$10001)*(2=[2]SalmonProps!$C$2:$C$10001)*(3=[2]SalmonProps!$D$2:$D$10001)*("A1" = [2]SalmonProps!$B$2:$B$10001)*($AP56 = [2]SalmonProps!$F$2:$F$10001) *($AR56 = [2]SalmonProps!$G$2:$G$10001),0), 15))</f>
        <v>0.89929999999999999</v>
      </c>
      <c r="AD56" s="181" cm="1">
        <f t="array" ref="AD56">IF(ISBLANK($AQ56), "", INDEX([2]SalmonProps!$A$2:$AA$10001,MATCH(1,($A56=[2]SalmonProps!$A$2:$A$10001)*(3=[2]SalmonProps!$C$2:$C$10001)*(3=[2]SalmonProps!$D$2:$D$10001)*("A1" = [2]SalmonProps!$B$2:$B$10001)*($AP56 = [2]SalmonProps!$F$2:$F$10001) *($AR56 = [2]SalmonProps!$G$2:$G$10001),0), 15))</f>
        <v>0.96099999999999997</v>
      </c>
      <c r="AE56" s="166" cm="1">
        <f t="array" ref="AE56">IF(ISBLANK($AQ56), "", INDEX([2]SalmonProps!$A$2:$AA$10001,MATCH(1,($A56=[2]SalmonProps!$A$2:$A$10001)*(1=[2]SalmonProps!$C$2:$C$10001)*(1=[2]SalmonProps!$D$2:$D$10001)*("A2" = [2]SalmonProps!$B$2:$B$10001)*($AP56 = [2]SalmonProps!$F$2:$F$10001) *($AR56 = [2]SalmonProps!$G$2:$G$10001),0), 15))</f>
        <v>0.59830000000000005</v>
      </c>
      <c r="AF56" s="166" cm="1">
        <f t="array" ref="AF56">IF(ISBLANK($AQ56), "", INDEX([2]SalmonProps!$A$2:$AA$10001,MATCH(1,($A56=[2]SalmonProps!$A$2:$A$10001)*(2=[2]SalmonProps!$C$2:$C$10001)*(1=[2]SalmonProps!$D$2:$D$10001)*("A2" = [2]SalmonProps!$B$2:$B$10001)*($AP56 = [2]SalmonProps!$F$2:$F$10001) *($AR56 = [2]SalmonProps!$G$2:$G$10001),0), 15))</f>
        <v>0.81320000000000003</v>
      </c>
      <c r="AG56" s="167" cm="1">
        <f t="array" ref="AG56">IF(ISBLANK($AQ56), "", INDEX([2]SalmonProps!$A$2:$AA$10001,MATCH(1,($A56=[2]SalmonProps!$A$2:$A$10001)*(3=[2]SalmonProps!$C$2:$C$10001)*(1=[2]SalmonProps!$D$2:$D$10001)*("A2" = [2]SalmonProps!$B$2:$B$10001)*($AP56 = [2]SalmonProps!$F$2:$F$10001) *($AR56 = [2]SalmonProps!$G$2:$G$10001),0), 15))</f>
        <v>0.92300000000000004</v>
      </c>
      <c r="AH56" s="173" cm="1">
        <f t="array" ref="AH56">IF(ISBLANK($AQ56), "", INDEX([2]SalmonProps!$A$2:$AA$10001,MATCH(1,($A56=[2]SalmonProps!$A$2:$A$10001)*($AP56 = [2]SalmonProps!$F$2:$F$10001) *($AR56 = [2]SalmonProps!$G$2:$G$10001),0), 24))</f>
        <v>52</v>
      </c>
      <c r="AI56" s="183" cm="1">
        <f t="array" ref="AI56">IF(ISBLANK($AQ56), "", INDEX([2]SalmonProps!$A$2:$AA$10001,MATCH(1,($A56=[2]SalmonProps!$A$2:$A$10001)*($AP56 = [2]SalmonProps!$F$2:$F$10001) *($AR56 = [2]SalmonProps!$G$2:$G$10001),0), 25))</f>
        <v>6.8</v>
      </c>
      <c r="AJ56" s="174" cm="1">
        <f t="array" ref="AJ56">IF(ISBLANK($AQ56), "", INDEX([2]SalmonProps!$A$2:$AA$10001,MATCH(1,($A56=[2]SalmonProps!$A$2:$A$10001)*($AP56 = [2]SalmonProps!$F$2:$F$10001) *($AR56 = [2]SalmonProps!$G$2:$G$10001),0), 20))</f>
        <v>59</v>
      </c>
      <c r="AK56" s="183" cm="1">
        <f t="array" ref="AK56">IF(ISBLANK($AQ56), "", INDEX([2]SalmonProps!$A$2:$AA$10001,MATCH(1,($A56=[2]SalmonProps!$A$2:$A$10001)*($AP56 = [2]SalmonProps!$F$2:$F$10001) *($AR56 = [2]SalmonProps!$G$2:$G$10001),0), 21))</f>
        <v>4.8</v>
      </c>
      <c r="AL56" s="174" cm="1">
        <f t="array" ref="AL56">IF(ISBLANK($AQ56), "", INDEX([2]SalmonProps!$A$2:$AA$10001,MATCH(1,($A56=[2]SalmonProps!$A$2:$A$10001)*($AP56 = [2]SalmonProps!$F$2:$F$10001) *($AR56 = [2]SalmonProps!$G$2:$G$10001),0), 22))</f>
        <v>75.400000000000006</v>
      </c>
      <c r="AM56" s="183" cm="1">
        <f t="array" ref="AM56">IF(ISBLANK($AQ56), "", INDEX([2]SalmonProps!$A$2:$AA$10001,MATCH(1,($A56=[2]SalmonProps!$A$2:$A$10001)*($AP56 = [2]SalmonProps!$F$2:$F$10001) *($AR56 = [2]SalmonProps!$G$2:$G$10001),0), 23))</f>
        <v>7.6</v>
      </c>
      <c r="AN56" s="174" t="str" cm="1">
        <f t="array" ref="AN56">IF(ISBLANK($AQ56), "", INDEX([2]SalmonProps!$A$2:$AA$10001,MATCH(1,($A56=[2]SalmonProps!$A$2:$A$10001)*($AP56 = [2]SalmonProps!$F$2:$F$10001) *($AR56 = [2]SalmonProps!$G$2:$G$10001),0), 26))</f>
        <v>NA</v>
      </c>
      <c r="AO56" s="175" t="str" cm="1">
        <f t="array" ref="AO56">IF(ISBLANK($AQ56), "", INDEX([2]SalmonProps!$A$2:$AA$10001,MATCH(1,($A56=[2]SalmonProps!$A$2:$A$10001)*($AP56 = [2]SalmonProps!$F$2:$F$10001) *($AR56 = [2]SalmonProps!$G$2:$G$10001),0), 27))</f>
        <v>NA</v>
      </c>
      <c r="AP56" s="112">
        <v>4</v>
      </c>
      <c r="AQ56" s="112" t="s">
        <v>133</v>
      </c>
      <c r="AR56" s="112" t="str">
        <f t="shared" si="1"/>
        <v>Unweighted</v>
      </c>
    </row>
    <row r="57" spans="1:44" x14ac:dyDescent="0.3">
      <c r="A57" s="20">
        <f>'[1]Passage Estimates'!$A57</f>
        <v>45159</v>
      </c>
      <c r="B57" s="164" cm="1">
        <f t="array" ref="B57">IF(ISBLANK($AQ57), "", INDEX([2]SalmonProps!$A$2:$AA$10001,MATCH(1,($A57=[2]SalmonProps!$A$2:$A$10001)*(1=[2]SalmonProps!$C$2:$C$10001)*(1=[2]SalmonProps!$D$2:$D$10001)*("A1" = [2]SalmonProps!$B$2:$B$10001)*($AP57 = [2]SalmonProps!$F$2:$F$10001) *($AR57 = [2]SalmonProps!$G$2:$G$10001),0), 17))</f>
        <v>7.8600000000000003E-2</v>
      </c>
      <c r="C57" s="165" cm="1">
        <f t="array" ref="C57">IF(ISBLANK($AQ57), "", INDEX([2]SalmonProps!$A$2:$AA$10001,MATCH(1,($A57=[2]SalmonProps!$A$2:$A$10001)*(1=[2]SalmonProps!$C$2:$C$10001)*(2=[2]SalmonProps!$D$2:$D$10001)*("A1" = [2]SalmonProps!$B$2:$B$10001)*($AP57 = [2]SalmonProps!$F$2:$F$10001) *($AR57 = [2]SalmonProps!$G$2:$G$10001),0), 17))</f>
        <v>7.3099999999999998E-2</v>
      </c>
      <c r="D57" s="165" cm="1">
        <f t="array" ref="D57">IF(ISBLANK($AQ57), "", INDEX([2]SalmonProps!$A$2:$AA$10001,MATCH(1,($A57=[2]SalmonProps!$A$2:$A$10001)*(1=[2]SalmonProps!$C$2:$C$10001)*("1&amp;2"=[2]SalmonProps!$D$2:$D$10001)*("A1" = [2]SalmonProps!$B$2:$B$10001)*($AP57 = [2]SalmonProps!$F$2:$F$10001) *($AR57 = [2]SalmonProps!$G$2:$G$10001),0), 17))</f>
        <v>7.5499999999999998E-2</v>
      </c>
      <c r="E57" s="181" cm="1">
        <f t="array" ref="E57">IF(ISBLANK($AQ57), "", INDEX([2]SalmonProps!$A$2:$AA$10001,MATCH(1,($A57=[2]SalmonProps!$A$2:$A$10001)*(2=[2]SalmonProps!$C$2:$C$10001)*(3=[2]SalmonProps!$D$2:$D$10001)*("A1" = [2]SalmonProps!$B$2:$B$10001)*($AP57 = [2]SalmonProps!$F$2:$F$10001) *($AR57 = [2]SalmonProps!$G$2:$G$10001),0), 17))</f>
        <v>0.30980000000000002</v>
      </c>
      <c r="F57" s="165" cm="1">
        <f t="array" ref="F57">IF(ISBLANK($AQ57), "", INDEX([2]SalmonProps!$A$2:$AA$10001,MATCH(1,($A57=[2]SalmonProps!$A$2:$A$10001)*(3=[2]SalmonProps!$C$2:$C$10001)*(3=[2]SalmonProps!$D$2:$D$10001)*("A1" = [2]SalmonProps!$B$2:$B$10001)*($AP57 = [2]SalmonProps!$F$2:$F$10001) *($AR57 = [2]SalmonProps!$G$2:$G$10001),0), 17))</f>
        <v>0.65100000000000002</v>
      </c>
      <c r="G57" s="165" cm="1">
        <f t="array" ref="G57">IF(ISBLANK($AQ57), "", INDEX([2]SalmonProps!$A$2:$AA$10001,MATCH(1,($A57=[2]SalmonProps!$A$2:$A$10001)*(1=[2]SalmonProps!$C$2:$C$10001)*(1=[2]SalmonProps!$D$2:$D$10001)*("A2" = [2]SalmonProps!$B$2:$B$10001)*($AP57 = [2]SalmonProps!$F$2:$F$10001) *($AR57 = [2]SalmonProps!$G$2:$G$10001),0), 17))</f>
        <v>7.8600000000000003E-2</v>
      </c>
      <c r="H57" s="166" cm="1">
        <f t="array" ref="H57">IF(ISBLANK($AQ57), "", INDEX([2]SalmonProps!$A$2:$AA$10001,MATCH(1,($A57=[2]SalmonProps!$A$2:$A$10001)*(2=[2]SalmonProps!$C$2:$C$10001)*(1=[2]SalmonProps!$D$2:$D$10001)*("A2" = [2]SalmonProps!$B$2:$B$10001)*($AP57 = [2]SalmonProps!$F$2:$F$10001) *($AR57 = [2]SalmonProps!$G$2:$G$10001),0), 17))</f>
        <v>0.4884</v>
      </c>
      <c r="I57" s="167" cm="1">
        <f t="array" ref="I57">IF(ISBLANK($AQ57), "", INDEX([2]SalmonProps!$A$2:$AA$10001,MATCH(1,($A57=[2]SalmonProps!$A$2:$A$10001)*(3=[2]SalmonProps!$C$2:$C$10001)*(1=[2]SalmonProps!$D$2:$D$10001)*("A2" = [2]SalmonProps!$B$2:$B$10001)*($AP57 = [2]SalmonProps!$F$2:$F$10001) *($AR57 = [2]SalmonProps!$G$2:$G$10001),0), 17))</f>
        <v>0.65769999999999995</v>
      </c>
      <c r="J57" s="164" t="str" cm="1">
        <f t="array" ref="J57">IF(ISBLANK($AQ57), "", INDEX([2]SalmonProps!$A$2:$AA$10001,MATCH(1,($A57=[2]SalmonProps!$A$2:$A$10001)*(1=[2]SalmonProps!$C$2:$C$10001)*(1=[2]SalmonProps!$D$2:$D$10001)*("A1" = [2]SalmonProps!$B$2:$B$10001)*($AP57 = [2]SalmonProps!$F$2:$F$10001) *($AR57 = [2]SalmonProps!$G$2:$G$10001),0), 19))</f>
        <v>NA</v>
      </c>
      <c r="K57" s="165" t="str" cm="1">
        <f t="array" ref="K57">IF(ISBLANK($AQ57), "", INDEX([2]SalmonProps!$A$2:$AA$10001,MATCH(1,($A57=[2]SalmonProps!$A$2:$A$10001)*(1=[2]SalmonProps!$C$2:$C$10001)*(2=[2]SalmonProps!$D$2:$D$10001)*("A1" = [2]SalmonProps!$B$2:$B$10001)*($AP57 = [2]SalmonProps!$F$2:$F$10001) *($AR57 = [2]SalmonProps!$G$2:$G$10001),0), 19))</f>
        <v>NA</v>
      </c>
      <c r="L57" s="165" t="str" cm="1">
        <f t="array" ref="L57">IF(ISBLANK($AQ57), "", INDEX([2]SalmonProps!$A$2:$AA$10001,MATCH(1,($A57=[2]SalmonProps!$A$2:$A$10001)*(1=[2]SalmonProps!$C$2:$C$10001)*("1&amp;2"=[2]SalmonProps!$D$2:$D$10001)*("A1" = [2]SalmonProps!$B$2:$B$10001)*($AP57 = [2]SalmonProps!$F$2:$F$10001) *($AR57 = [2]SalmonProps!$G$2:$G$10001),0), 19))</f>
        <v>NA</v>
      </c>
      <c r="M57" s="165" t="str" cm="1">
        <f t="array" ref="M57">IF(ISBLANK($AQ57), "", INDEX([2]SalmonProps!$A$2:$AA$10001,MATCH(1,($A57=[2]SalmonProps!$A$2:$A$10001)*(2=[2]SalmonProps!$C$2:$C$10001)*(3=[2]SalmonProps!$D$2:$D$10001)*("A1" = [2]SalmonProps!$B$2:$B$10001)*($AP57 = [2]SalmonProps!$F$2:$F$10001) *($AR57 = [2]SalmonProps!$G$2:$G$10001),0), 19))</f>
        <v>NA</v>
      </c>
      <c r="N57" s="181" t="str" cm="1">
        <f t="array" ref="N57">IF(ISBLANK($AQ57), "", INDEX([2]SalmonProps!$A$2:$AA$10001,MATCH(1,($A57=[2]SalmonProps!$A$2:$A$10001)*(3=[2]SalmonProps!$C$2:$C$10001)*(3=[2]SalmonProps!$D$2:$D$10001)*("A1" = [2]SalmonProps!$B$2:$B$10001)*($AP57 = [2]SalmonProps!$F$2:$F$10001) *($AR57 = [2]SalmonProps!$G$2:$G$10001),0), 19))</f>
        <v>NA</v>
      </c>
      <c r="O57" s="165" t="str" cm="1">
        <f t="array" ref="O57">IF(ISBLANK($AQ57), "", INDEX([2]SalmonProps!$A$2:$AA$10001,MATCH(1,($A57=[2]SalmonProps!$A$2:$A$10001)*(1=[2]SalmonProps!$C$2:$C$10001)*(1=[2]SalmonProps!$D$2:$D$10001)*("A2" = [2]SalmonProps!$B$2:$B$10001)*($AP57 = [2]SalmonProps!$F$2:$F$10001) *($AR57 = [2]SalmonProps!$G$2:$G$10001),0), 19))</f>
        <v>NA</v>
      </c>
      <c r="P57" s="165" t="str" cm="1">
        <f t="array" ref="P57">IF(ISBLANK($AQ57), "", INDEX([2]SalmonProps!$A$2:$AA$10001,MATCH(1,($A57=[2]SalmonProps!$A$2:$A$10001)*(2=[2]SalmonProps!$C$2:$C$10001)*(1=[2]SalmonProps!$D$2:$D$10001)*("A2" = [2]SalmonProps!$B$2:$B$10001)*($AP57 = [2]SalmonProps!$F$2:$F$10001) *($AR57 = [2]SalmonProps!$G$2:$G$10001),0), 19))</f>
        <v>NA</v>
      </c>
      <c r="Q57" s="168" t="str" cm="1">
        <f t="array" ref="Q57">IF(ISBLANK($AQ57), "", INDEX([2]SalmonProps!$A$2:$AA$10001,MATCH(1,($A57=[2]SalmonProps!$A$2:$A$10001)*(3=[2]SalmonProps!$C$2:$C$10001)*(1=[2]SalmonProps!$D$2:$D$10001)*("A2" = [2]SalmonProps!$B$2:$B$10001)*($AP57 = [2]SalmonProps!$F$2:$F$10001) *($AR57 = [2]SalmonProps!$G$2:$G$10001),0), 19))</f>
        <v>NA</v>
      </c>
      <c r="R57" s="164" cm="1">
        <f t="array" ref="R57">IF(ISBLANK($AQ57), "", INDEX([2]SalmonProps!$A$2:$AA$10001,MATCH(1,($A57=[2]SalmonProps!$A$2:$A$10001)*(1=[2]SalmonProps!$C$2:$C$10001)*(1=[2]SalmonProps!$D$2:$D$10001)*("A1" = [2]SalmonProps!$B$2:$B$10001)*($AP57 = [2]SalmonProps!$F$2:$F$10001) *($AR57 = [2]SalmonProps!$G$2:$G$10001),0), 18))</f>
        <v>0.10050000000000001</v>
      </c>
      <c r="S57" s="165" cm="1">
        <f t="array" ref="S57">IF(ISBLANK($AQ57), "", INDEX([2]SalmonProps!$A$2:$AA$10001,MATCH(1,($A57=[2]SalmonProps!$A$2:$A$10001)*(1=[2]SalmonProps!$C$2:$C$10001)*(2=[2]SalmonProps!$D$2:$D$10001)*("A1" = [2]SalmonProps!$B$2:$B$10001)*($AP57 = [2]SalmonProps!$F$2:$F$10001) *($AR57 = [2]SalmonProps!$G$2:$G$10001),0), 18))</f>
        <v>0.21970000000000001</v>
      </c>
      <c r="T57" s="165" cm="1">
        <f t="array" ref="T57">IF(ISBLANK($AQ57), "", INDEX([2]SalmonProps!$A$2:$AA$10001,MATCH(1,($A57=[2]SalmonProps!$A$2:$A$10001)*(1=[2]SalmonProps!$C$2:$C$10001)*("1&amp;2"=[2]SalmonProps!$D$2:$D$10001)*("A1" = [2]SalmonProps!$B$2:$B$10001)*($AP57 = [2]SalmonProps!$F$2:$F$10001) *($AR57 = [2]SalmonProps!$G$2:$G$10001),0), 18))</f>
        <v>0.1605</v>
      </c>
      <c r="U57" s="165" cm="1">
        <f t="array" ref="U57">IF(ISBLANK($AQ57), "", INDEX([2]SalmonProps!$A$2:$AA$10001,MATCH(1,($A57=[2]SalmonProps!$A$2:$A$10001)*(2=[2]SalmonProps!$C$2:$C$10001)*(3=[2]SalmonProps!$D$2:$D$10001)*("A1" = [2]SalmonProps!$B$2:$B$10001)*($AP57 = [2]SalmonProps!$F$2:$F$10001) *($AR57 = [2]SalmonProps!$G$2:$G$10001),0), 18))</f>
        <v>0.47439999999999999</v>
      </c>
      <c r="V57" s="181" cm="1">
        <f t="array" ref="V57">IF(ISBLANK($AQ57), "", INDEX([2]SalmonProps!$A$2:$AA$10001,MATCH(1,($A57=[2]SalmonProps!$A$2:$A$10001)*(3=[2]SalmonProps!$C$2:$C$10001)*(3=[2]SalmonProps!$D$2:$D$10001)*("A1" = [2]SalmonProps!$B$2:$B$10001)*($AP57 = [2]SalmonProps!$F$2:$F$10001) *($AR57 = [2]SalmonProps!$G$2:$G$10001),0), 18))</f>
        <v>0.19850000000000001</v>
      </c>
      <c r="W57" s="180" cm="1">
        <f t="array" ref="W57">IF(ISBLANK($AQ57), "", INDEX([2]SalmonProps!$A$2:$AA$10001,MATCH(1,($A57=[2]SalmonProps!$A$2:$A$10001)*(1=[2]SalmonProps!$C$2:$C$10001)*(1=[2]SalmonProps!$D$2:$D$10001)*("A2" = [2]SalmonProps!$B$2:$B$10001)*($AP57 = [2]SalmonProps!$F$2:$F$10001) *($AR57 = [2]SalmonProps!$G$2:$G$10001),0), 18))</f>
        <v>0.10050000000000001</v>
      </c>
      <c r="X57" s="165" cm="1">
        <f t="array" ref="X57">IF(ISBLANK($AQ57), "", INDEX([2]SalmonProps!$A$2:$AA$10001,MATCH(1,($A57=[2]SalmonProps!$A$2:$A$10001)*(2=[2]SalmonProps!$C$2:$C$10001)*(1=[2]SalmonProps!$D$2:$D$10001)*("A2" = [2]SalmonProps!$B$2:$B$10001)*($AP57 = [2]SalmonProps!$F$2:$F$10001) *($AR57 = [2]SalmonProps!$G$2:$G$10001),0), 18))</f>
        <v>0.3165</v>
      </c>
      <c r="Y57" s="168" cm="1">
        <f t="array" ref="Y57">IF(ISBLANK($AQ57), "", INDEX([2]SalmonProps!$A$2:$AA$10001,MATCH(1,($A57=[2]SalmonProps!$A$2:$A$10001)*(3=[2]SalmonProps!$C$2:$C$10001)*(1=[2]SalmonProps!$D$2:$D$10001)*("A2" = [2]SalmonProps!$B$2:$B$10001)*($AP57 = [2]SalmonProps!$F$2:$F$10001) *($AR57 = [2]SalmonProps!$G$2:$G$10001),0), 18))</f>
        <v>0.1216</v>
      </c>
      <c r="Z57" s="164" cm="1">
        <f t="array" ref="Z57">IF(ISBLANK($AQ57), "", INDEX([2]SalmonProps!$A$2:$AA$10001,MATCH(1,($A57=[2]SalmonProps!$A$2:$A$10001)*(1=[2]SalmonProps!$C$2:$C$10001)*(1=[2]SalmonProps!$D$2:$D$10001)*("A1" = [2]SalmonProps!$B$2:$B$10001)*($AP57 = [2]SalmonProps!$F$2:$F$10001) *($AR57 = [2]SalmonProps!$G$2:$G$10001),0), 15))</f>
        <v>0.31269999999999998</v>
      </c>
      <c r="AA57" s="165" cm="1">
        <f t="array" ref="AA57">IF(ISBLANK($AQ57), "", INDEX([2]SalmonProps!$A$2:$AA$10001,MATCH(1,($A57=[2]SalmonProps!$A$2:$A$10001)*(1=[2]SalmonProps!$C$2:$C$10001)*(2=[2]SalmonProps!$D$2:$D$10001)*("A1" = [2]SalmonProps!$B$2:$B$10001)*($AP57 = [2]SalmonProps!$F$2:$F$10001) *($AR57 = [2]SalmonProps!$G$2:$G$10001),0), 15))</f>
        <v>0.44090000000000001</v>
      </c>
      <c r="AB57" s="165" cm="1">
        <f t="array" ref="AB57">IF(ISBLANK($AQ57), "", INDEX([2]SalmonProps!$A$2:$AA$10001,MATCH(1,($A57=[2]SalmonProps!$A$2:$A$10001)*(1=[2]SalmonProps!$C$2:$C$10001)*("1&amp;2"=[2]SalmonProps!$D$2:$D$10001)*("A1" = [2]SalmonProps!$B$2:$B$10001)*($AP57 = [2]SalmonProps!$F$2:$F$10001) *($AR57 = [2]SalmonProps!$G$2:$G$10001),0), 15))</f>
        <v>0.37669999999999998</v>
      </c>
      <c r="AC57" s="165" cm="1">
        <f t="array" ref="AC57">IF(ISBLANK($AQ57), "", INDEX([2]SalmonProps!$A$2:$AA$10001,MATCH(1,($A57=[2]SalmonProps!$A$2:$A$10001)*(2=[2]SalmonProps!$C$2:$C$10001)*(3=[2]SalmonProps!$D$2:$D$10001)*("A1" = [2]SalmonProps!$B$2:$B$10001)*($AP57 = [2]SalmonProps!$F$2:$F$10001) *($AR57 = [2]SalmonProps!$G$2:$G$10001),0), 15))</f>
        <v>0.90680000000000005</v>
      </c>
      <c r="AD57" s="181" cm="1">
        <f t="array" ref="AD57">IF(ISBLANK($AQ57), "", INDEX([2]SalmonProps!$A$2:$AA$10001,MATCH(1,($A57=[2]SalmonProps!$A$2:$A$10001)*(3=[2]SalmonProps!$C$2:$C$10001)*(3=[2]SalmonProps!$D$2:$D$10001)*("A1" = [2]SalmonProps!$B$2:$B$10001)*($AP57 = [2]SalmonProps!$F$2:$F$10001) *($AR57 = [2]SalmonProps!$G$2:$G$10001),0), 15))</f>
        <v>0.98650000000000004</v>
      </c>
      <c r="AE57" s="166" cm="1">
        <f t="array" ref="AE57">IF(ISBLANK($AQ57), "", INDEX([2]SalmonProps!$A$2:$AA$10001,MATCH(1,($A57=[2]SalmonProps!$A$2:$A$10001)*(1=[2]SalmonProps!$C$2:$C$10001)*(1=[2]SalmonProps!$D$2:$D$10001)*("A2" = [2]SalmonProps!$B$2:$B$10001)*($AP57 = [2]SalmonProps!$F$2:$F$10001) *($AR57 = [2]SalmonProps!$G$2:$G$10001),0), 15))</f>
        <v>0.31269999999999998</v>
      </c>
      <c r="AF57" s="166" cm="1">
        <f t="array" ref="AF57">IF(ISBLANK($AQ57), "", INDEX([2]SalmonProps!$A$2:$AA$10001,MATCH(1,($A57=[2]SalmonProps!$A$2:$A$10001)*(2=[2]SalmonProps!$C$2:$C$10001)*(1=[2]SalmonProps!$D$2:$D$10001)*("A2" = [2]SalmonProps!$B$2:$B$10001)*($AP57 = [2]SalmonProps!$F$2:$F$10001) *($AR57 = [2]SalmonProps!$G$2:$G$10001),0), 15))</f>
        <v>0.86890000000000001</v>
      </c>
      <c r="AG57" s="167" cm="1">
        <f t="array" ref="AG57">IF(ISBLANK($AQ57), "", INDEX([2]SalmonProps!$A$2:$AA$10001,MATCH(1,($A57=[2]SalmonProps!$A$2:$A$10001)*(3=[2]SalmonProps!$C$2:$C$10001)*(1=[2]SalmonProps!$D$2:$D$10001)*("A2" = [2]SalmonProps!$B$2:$B$10001)*($AP57 = [2]SalmonProps!$F$2:$F$10001) *($AR57 = [2]SalmonProps!$G$2:$G$10001),0), 15))</f>
        <v>0.85780000000000001</v>
      </c>
      <c r="AH57" s="173" cm="1">
        <f t="array" ref="AH57">IF(ISBLANK($AQ57), "", INDEX([2]SalmonProps!$A$2:$AA$10001,MATCH(1,($A57=[2]SalmonProps!$A$2:$A$10001)*($AP57 = [2]SalmonProps!$F$2:$F$10001) *($AR57 = [2]SalmonProps!$G$2:$G$10001),0), 24))</f>
        <v>52.3</v>
      </c>
      <c r="AI57" s="183" cm="1">
        <f t="array" ref="AI57">IF(ISBLANK($AQ57), "", INDEX([2]SalmonProps!$A$2:$AA$10001,MATCH(1,($A57=[2]SalmonProps!$A$2:$A$10001)*($AP57 = [2]SalmonProps!$F$2:$F$10001) *($AR57 = [2]SalmonProps!$G$2:$G$10001),0), 25))</f>
        <v>6.8</v>
      </c>
      <c r="AJ57" s="174" cm="1">
        <f t="array" ref="AJ57">IF(ISBLANK($AQ57), "", INDEX([2]SalmonProps!$A$2:$AA$10001,MATCH(1,($A57=[2]SalmonProps!$A$2:$A$10001)*($AP57 = [2]SalmonProps!$F$2:$F$10001) *($AR57 = [2]SalmonProps!$G$2:$G$10001),0), 20))</f>
        <v>58.8</v>
      </c>
      <c r="AK57" s="183" cm="1">
        <f t="array" ref="AK57">IF(ISBLANK($AQ57), "", INDEX([2]SalmonProps!$A$2:$AA$10001,MATCH(1,($A57=[2]SalmonProps!$A$2:$A$10001)*($AP57 = [2]SalmonProps!$F$2:$F$10001) *($AR57 = [2]SalmonProps!$G$2:$G$10001),0), 21))</f>
        <v>4.8</v>
      </c>
      <c r="AL57" s="174" cm="1">
        <f t="array" ref="AL57">IF(ISBLANK($AQ57), "", INDEX([2]SalmonProps!$A$2:$AA$10001,MATCH(1,($A57=[2]SalmonProps!$A$2:$A$10001)*($AP57 = [2]SalmonProps!$F$2:$F$10001) *($AR57 = [2]SalmonProps!$G$2:$G$10001),0), 22))</f>
        <v>73.7</v>
      </c>
      <c r="AM57" s="183" cm="1">
        <f t="array" ref="AM57">IF(ISBLANK($AQ57), "", INDEX([2]SalmonProps!$A$2:$AA$10001,MATCH(1,($A57=[2]SalmonProps!$A$2:$A$10001)*($AP57 = [2]SalmonProps!$F$2:$F$10001) *($AR57 = [2]SalmonProps!$G$2:$G$10001),0), 23))</f>
        <v>7.4</v>
      </c>
      <c r="AN57" s="174" t="str" cm="1">
        <f t="array" ref="AN57">IF(ISBLANK($AQ57), "", INDEX([2]SalmonProps!$A$2:$AA$10001,MATCH(1,($A57=[2]SalmonProps!$A$2:$A$10001)*($AP57 = [2]SalmonProps!$F$2:$F$10001) *($AR57 = [2]SalmonProps!$G$2:$G$10001),0), 26))</f>
        <v>NA</v>
      </c>
      <c r="AO57" s="175" t="str" cm="1">
        <f t="array" ref="AO57">IF(ISBLANK($AQ57), "", INDEX([2]SalmonProps!$A$2:$AA$10001,MATCH(1,($A57=[2]SalmonProps!$A$2:$A$10001)*($AP57 = [2]SalmonProps!$F$2:$F$10001) *($AR57 = [2]SalmonProps!$G$2:$G$10001),0), 27))</f>
        <v>NA</v>
      </c>
      <c r="AP57" s="112">
        <v>4</v>
      </c>
      <c r="AQ57" s="112" t="s">
        <v>133</v>
      </c>
      <c r="AR57" s="112" t="str">
        <f t="shared" si="1"/>
        <v>Unweighted</v>
      </c>
    </row>
    <row r="58" spans="1:44" x14ac:dyDescent="0.3">
      <c r="A58" s="20">
        <f>'[1]Passage Estimates'!$A58</f>
        <v>45160</v>
      </c>
      <c r="B58" s="164" cm="1">
        <f t="array" ref="B58">IF(ISBLANK($AQ58), "", INDEX([2]SalmonProps!$A$2:$AA$10001,MATCH(1,($A58=[2]SalmonProps!$A$2:$A$10001)*(1=[2]SalmonProps!$C$2:$C$10001)*(1=[2]SalmonProps!$D$2:$D$10001)*("A1" = [2]SalmonProps!$B$2:$B$10001)*($AP58 = [2]SalmonProps!$F$2:$F$10001) *($AR58 = [2]SalmonProps!$G$2:$G$10001),0), 17))</f>
        <v>3.4299999999999997E-2</v>
      </c>
      <c r="C58" s="165" cm="1">
        <f t="array" ref="C58">IF(ISBLANK($AQ58), "", INDEX([2]SalmonProps!$A$2:$AA$10001,MATCH(1,($A58=[2]SalmonProps!$A$2:$A$10001)*(1=[2]SalmonProps!$C$2:$C$10001)*(2=[2]SalmonProps!$D$2:$D$10001)*("A1" = [2]SalmonProps!$B$2:$B$10001)*($AP58 = [2]SalmonProps!$F$2:$F$10001) *($AR58 = [2]SalmonProps!$G$2:$G$10001),0), 17))</f>
        <v>5.5100000000000003E-2</v>
      </c>
      <c r="D58" s="165" cm="1">
        <f t="array" ref="D58">IF(ISBLANK($AQ58), "", INDEX([2]SalmonProps!$A$2:$AA$10001,MATCH(1,($A58=[2]SalmonProps!$A$2:$A$10001)*(1=[2]SalmonProps!$C$2:$C$10001)*("1&amp;2"=[2]SalmonProps!$D$2:$D$10001)*("A1" = [2]SalmonProps!$B$2:$B$10001)*($AP58 = [2]SalmonProps!$F$2:$F$10001) *($AR58 = [2]SalmonProps!$G$2:$G$10001),0), 17))</f>
        <v>4.9500000000000002E-2</v>
      </c>
      <c r="E58" s="181" cm="1">
        <f t="array" ref="E58">IF(ISBLANK($AQ58), "", INDEX([2]SalmonProps!$A$2:$AA$10001,MATCH(1,($A58=[2]SalmonProps!$A$2:$A$10001)*(2=[2]SalmonProps!$C$2:$C$10001)*(3=[2]SalmonProps!$D$2:$D$10001)*("A1" = [2]SalmonProps!$B$2:$B$10001)*($AP58 = [2]SalmonProps!$F$2:$F$10001) *($AR58 = [2]SalmonProps!$G$2:$G$10001),0), 17))</f>
        <v>0.40589999999999998</v>
      </c>
      <c r="F58" s="165" cm="1">
        <f t="array" ref="F58">IF(ISBLANK($AQ58), "", INDEX([2]SalmonProps!$A$2:$AA$10001,MATCH(1,($A58=[2]SalmonProps!$A$2:$A$10001)*(3=[2]SalmonProps!$C$2:$C$10001)*(3=[2]SalmonProps!$D$2:$D$10001)*("A1" = [2]SalmonProps!$B$2:$B$10001)*($AP58 = [2]SalmonProps!$F$2:$F$10001) *($AR58 = [2]SalmonProps!$G$2:$G$10001),0), 17))</f>
        <v>0.75380000000000003</v>
      </c>
      <c r="G58" s="165" cm="1">
        <f t="array" ref="G58">IF(ISBLANK($AQ58), "", INDEX([2]SalmonProps!$A$2:$AA$10001,MATCH(1,($A58=[2]SalmonProps!$A$2:$A$10001)*(1=[2]SalmonProps!$C$2:$C$10001)*(1=[2]SalmonProps!$D$2:$D$10001)*("A2" = [2]SalmonProps!$B$2:$B$10001)*($AP58 = [2]SalmonProps!$F$2:$F$10001) *($AR58 = [2]SalmonProps!$G$2:$G$10001),0), 17))</f>
        <v>0.13500000000000001</v>
      </c>
      <c r="H58" s="166" cm="1">
        <f t="array" ref="H58">IF(ISBLANK($AQ58), "", INDEX([2]SalmonProps!$A$2:$AA$10001,MATCH(1,($A58=[2]SalmonProps!$A$2:$A$10001)*(2=[2]SalmonProps!$C$2:$C$10001)*(1=[2]SalmonProps!$D$2:$D$10001)*("A2" = [2]SalmonProps!$B$2:$B$10001)*($AP58 = [2]SalmonProps!$F$2:$F$10001) *($AR58 = [2]SalmonProps!$G$2:$G$10001),0), 17))</f>
        <v>0.45679999999999998</v>
      </c>
      <c r="I58" s="167" cm="1">
        <f t="array" ref="I58">IF(ISBLANK($AQ58), "", INDEX([2]SalmonProps!$A$2:$AA$10001,MATCH(1,($A58=[2]SalmonProps!$A$2:$A$10001)*(3=[2]SalmonProps!$C$2:$C$10001)*(1=[2]SalmonProps!$D$2:$D$10001)*("A2" = [2]SalmonProps!$B$2:$B$10001)*($AP58 = [2]SalmonProps!$F$2:$F$10001) *($AR58 = [2]SalmonProps!$G$2:$G$10001),0), 17))</f>
        <v>0.73729999999999996</v>
      </c>
      <c r="J58" s="164" t="str" cm="1">
        <f t="array" ref="J58">IF(ISBLANK($AQ58), "", INDEX([2]SalmonProps!$A$2:$AA$10001,MATCH(1,($A58=[2]SalmonProps!$A$2:$A$10001)*(1=[2]SalmonProps!$C$2:$C$10001)*(1=[2]SalmonProps!$D$2:$D$10001)*("A1" = [2]SalmonProps!$B$2:$B$10001)*($AP58 = [2]SalmonProps!$F$2:$F$10001) *($AR58 = [2]SalmonProps!$G$2:$G$10001),0), 19))</f>
        <v>NA</v>
      </c>
      <c r="K58" s="165" t="str" cm="1">
        <f t="array" ref="K58">IF(ISBLANK($AQ58), "", INDEX([2]SalmonProps!$A$2:$AA$10001,MATCH(1,($A58=[2]SalmonProps!$A$2:$A$10001)*(1=[2]SalmonProps!$C$2:$C$10001)*(2=[2]SalmonProps!$D$2:$D$10001)*("A1" = [2]SalmonProps!$B$2:$B$10001)*($AP58 = [2]SalmonProps!$F$2:$F$10001) *($AR58 = [2]SalmonProps!$G$2:$G$10001),0), 19))</f>
        <v>NA</v>
      </c>
      <c r="L58" s="165" t="str" cm="1">
        <f t="array" ref="L58">IF(ISBLANK($AQ58), "", INDEX([2]SalmonProps!$A$2:$AA$10001,MATCH(1,($A58=[2]SalmonProps!$A$2:$A$10001)*(1=[2]SalmonProps!$C$2:$C$10001)*("1&amp;2"=[2]SalmonProps!$D$2:$D$10001)*("A1" = [2]SalmonProps!$B$2:$B$10001)*($AP58 = [2]SalmonProps!$F$2:$F$10001) *($AR58 = [2]SalmonProps!$G$2:$G$10001),0), 19))</f>
        <v>NA</v>
      </c>
      <c r="M58" s="165" t="str" cm="1">
        <f t="array" ref="M58">IF(ISBLANK($AQ58), "", INDEX([2]SalmonProps!$A$2:$AA$10001,MATCH(1,($A58=[2]SalmonProps!$A$2:$A$10001)*(2=[2]SalmonProps!$C$2:$C$10001)*(3=[2]SalmonProps!$D$2:$D$10001)*("A1" = [2]SalmonProps!$B$2:$B$10001)*($AP58 = [2]SalmonProps!$F$2:$F$10001) *($AR58 = [2]SalmonProps!$G$2:$G$10001),0), 19))</f>
        <v>NA</v>
      </c>
      <c r="N58" s="181" t="str" cm="1">
        <f t="array" ref="N58">IF(ISBLANK($AQ58), "", INDEX([2]SalmonProps!$A$2:$AA$10001,MATCH(1,($A58=[2]SalmonProps!$A$2:$A$10001)*(3=[2]SalmonProps!$C$2:$C$10001)*(3=[2]SalmonProps!$D$2:$D$10001)*("A1" = [2]SalmonProps!$B$2:$B$10001)*($AP58 = [2]SalmonProps!$F$2:$F$10001) *($AR58 = [2]SalmonProps!$G$2:$G$10001),0), 19))</f>
        <v>NA</v>
      </c>
      <c r="O58" s="165" t="str" cm="1">
        <f t="array" ref="O58">IF(ISBLANK($AQ58), "", INDEX([2]SalmonProps!$A$2:$AA$10001,MATCH(1,($A58=[2]SalmonProps!$A$2:$A$10001)*(1=[2]SalmonProps!$C$2:$C$10001)*(1=[2]SalmonProps!$D$2:$D$10001)*("A2" = [2]SalmonProps!$B$2:$B$10001)*($AP58 = [2]SalmonProps!$F$2:$F$10001) *($AR58 = [2]SalmonProps!$G$2:$G$10001),0), 19))</f>
        <v>NA</v>
      </c>
      <c r="P58" s="165" t="str" cm="1">
        <f t="array" ref="P58">IF(ISBLANK($AQ58), "", INDEX([2]SalmonProps!$A$2:$AA$10001,MATCH(1,($A58=[2]SalmonProps!$A$2:$A$10001)*(2=[2]SalmonProps!$C$2:$C$10001)*(1=[2]SalmonProps!$D$2:$D$10001)*("A2" = [2]SalmonProps!$B$2:$B$10001)*($AP58 = [2]SalmonProps!$F$2:$F$10001) *($AR58 = [2]SalmonProps!$G$2:$G$10001),0), 19))</f>
        <v>NA</v>
      </c>
      <c r="Q58" s="168" t="str" cm="1">
        <f t="array" ref="Q58">IF(ISBLANK($AQ58), "", INDEX([2]SalmonProps!$A$2:$AA$10001,MATCH(1,($A58=[2]SalmonProps!$A$2:$A$10001)*(3=[2]SalmonProps!$C$2:$C$10001)*(1=[2]SalmonProps!$D$2:$D$10001)*("A2" = [2]SalmonProps!$B$2:$B$10001)*($AP58 = [2]SalmonProps!$F$2:$F$10001) *($AR58 = [2]SalmonProps!$G$2:$G$10001),0), 19))</f>
        <v>NA</v>
      </c>
      <c r="R58" s="164" cm="1">
        <f t="array" ref="R58">IF(ISBLANK($AQ58), "", INDEX([2]SalmonProps!$A$2:$AA$10001,MATCH(1,($A58=[2]SalmonProps!$A$2:$A$10001)*(1=[2]SalmonProps!$C$2:$C$10001)*(1=[2]SalmonProps!$D$2:$D$10001)*("A1" = [2]SalmonProps!$B$2:$B$10001)*($AP58 = [2]SalmonProps!$F$2:$F$10001) *($AR58 = [2]SalmonProps!$G$2:$G$10001),0), 18))</f>
        <v>0.3498</v>
      </c>
      <c r="S58" s="165" cm="1">
        <f t="array" ref="S58">IF(ISBLANK($AQ58), "", INDEX([2]SalmonProps!$A$2:$AA$10001,MATCH(1,($A58=[2]SalmonProps!$A$2:$A$10001)*(1=[2]SalmonProps!$C$2:$C$10001)*(2=[2]SalmonProps!$D$2:$D$10001)*("A1" = [2]SalmonProps!$B$2:$B$10001)*($AP58 = [2]SalmonProps!$F$2:$F$10001) *($AR58 = [2]SalmonProps!$G$2:$G$10001),0), 18))</f>
        <v>0.2359</v>
      </c>
      <c r="T58" s="165" cm="1">
        <f t="array" ref="T58">IF(ISBLANK($AQ58), "", INDEX([2]SalmonProps!$A$2:$AA$10001,MATCH(1,($A58=[2]SalmonProps!$A$2:$A$10001)*(1=[2]SalmonProps!$C$2:$C$10001)*("1&amp;2"=[2]SalmonProps!$D$2:$D$10001)*("A1" = [2]SalmonProps!$B$2:$B$10001)*($AP58 = [2]SalmonProps!$F$2:$F$10001) *($AR58 = [2]SalmonProps!$G$2:$G$10001),0), 18))</f>
        <v>0.25430000000000003</v>
      </c>
      <c r="U58" s="165" cm="1">
        <f t="array" ref="U58">IF(ISBLANK($AQ58), "", INDEX([2]SalmonProps!$A$2:$AA$10001,MATCH(1,($A58=[2]SalmonProps!$A$2:$A$10001)*(2=[2]SalmonProps!$C$2:$C$10001)*(3=[2]SalmonProps!$D$2:$D$10001)*("A1" = [2]SalmonProps!$B$2:$B$10001)*($AP58 = [2]SalmonProps!$F$2:$F$10001) *($AR58 = [2]SalmonProps!$G$2:$G$10001),0), 18))</f>
        <v>0.28120000000000001</v>
      </c>
      <c r="V58" s="181" cm="1">
        <f t="array" ref="V58">IF(ISBLANK($AQ58), "", INDEX([2]SalmonProps!$A$2:$AA$10001,MATCH(1,($A58=[2]SalmonProps!$A$2:$A$10001)*(3=[2]SalmonProps!$C$2:$C$10001)*(3=[2]SalmonProps!$D$2:$D$10001)*("A1" = [2]SalmonProps!$B$2:$B$10001)*($AP58 = [2]SalmonProps!$F$2:$F$10001) *($AR58 = [2]SalmonProps!$G$2:$G$10001),0), 18))</f>
        <v>0.15790000000000001</v>
      </c>
      <c r="W58" s="180" cm="1">
        <f t="array" ref="W58">IF(ISBLANK($AQ58), "", INDEX([2]SalmonProps!$A$2:$AA$10001,MATCH(1,($A58=[2]SalmonProps!$A$2:$A$10001)*(1=[2]SalmonProps!$C$2:$C$10001)*(1=[2]SalmonProps!$D$2:$D$10001)*("A2" = [2]SalmonProps!$B$2:$B$10001)*($AP58 = [2]SalmonProps!$F$2:$F$10001) *($AR58 = [2]SalmonProps!$G$2:$G$10001),0), 18))</f>
        <v>0.70669999999999999</v>
      </c>
      <c r="X58" s="165" cm="1">
        <f t="array" ref="X58">IF(ISBLANK($AQ58), "", INDEX([2]SalmonProps!$A$2:$AA$10001,MATCH(1,($A58=[2]SalmonProps!$A$2:$A$10001)*(2=[2]SalmonProps!$C$2:$C$10001)*(1=[2]SalmonProps!$D$2:$D$10001)*("A2" = [2]SalmonProps!$B$2:$B$10001)*($AP58 = [2]SalmonProps!$F$2:$F$10001) *($AR58 = [2]SalmonProps!$G$2:$G$10001),0), 18))</f>
        <v>0.36580000000000001</v>
      </c>
      <c r="Y58" s="168" cm="1">
        <f t="array" ref="Y58">IF(ISBLANK($AQ58), "", INDEX([2]SalmonProps!$A$2:$AA$10001,MATCH(1,($A58=[2]SalmonProps!$A$2:$A$10001)*(3=[2]SalmonProps!$C$2:$C$10001)*(1=[2]SalmonProps!$D$2:$D$10001)*("A2" = [2]SalmonProps!$B$2:$B$10001)*($AP58 = [2]SalmonProps!$F$2:$F$10001) *($AR58 = [2]SalmonProps!$G$2:$G$10001),0), 18))</f>
        <v>0.15390000000000001</v>
      </c>
      <c r="Z58" s="164" cm="1">
        <f t="array" ref="Z58">IF(ISBLANK($AQ58), "", INDEX([2]SalmonProps!$A$2:$AA$10001,MATCH(1,($A58=[2]SalmonProps!$A$2:$A$10001)*(1=[2]SalmonProps!$C$2:$C$10001)*(1=[2]SalmonProps!$D$2:$D$10001)*("A1" = [2]SalmonProps!$B$2:$B$10001)*($AP58 = [2]SalmonProps!$F$2:$F$10001) *($AR58 = [2]SalmonProps!$G$2:$G$10001),0), 15))</f>
        <v>0.3841</v>
      </c>
      <c r="AA58" s="165" cm="1">
        <f t="array" ref="AA58">IF(ISBLANK($AQ58), "", INDEX([2]SalmonProps!$A$2:$AA$10001,MATCH(1,($A58=[2]SalmonProps!$A$2:$A$10001)*(1=[2]SalmonProps!$C$2:$C$10001)*(2=[2]SalmonProps!$D$2:$D$10001)*("A1" = [2]SalmonProps!$B$2:$B$10001)*($AP58 = [2]SalmonProps!$F$2:$F$10001) *($AR58 = [2]SalmonProps!$G$2:$G$10001),0), 15))</f>
        <v>0.54</v>
      </c>
      <c r="AB58" s="165" cm="1">
        <f t="array" ref="AB58">IF(ISBLANK($AQ58), "", INDEX([2]SalmonProps!$A$2:$AA$10001,MATCH(1,($A58=[2]SalmonProps!$A$2:$A$10001)*(1=[2]SalmonProps!$C$2:$C$10001)*("1&amp;2"=[2]SalmonProps!$D$2:$D$10001)*("A1" = [2]SalmonProps!$B$2:$B$10001)*($AP58 = [2]SalmonProps!$F$2:$F$10001) *($AR58 = [2]SalmonProps!$G$2:$G$10001),0), 15))</f>
        <v>0.43519999999999998</v>
      </c>
      <c r="AC58" s="165" cm="1">
        <f t="array" ref="AC58">IF(ISBLANK($AQ58), "", INDEX([2]SalmonProps!$A$2:$AA$10001,MATCH(1,($A58=[2]SalmonProps!$A$2:$A$10001)*(2=[2]SalmonProps!$C$2:$C$10001)*(3=[2]SalmonProps!$D$2:$D$10001)*("A1" = [2]SalmonProps!$B$2:$B$10001)*($AP58 = [2]SalmonProps!$F$2:$F$10001) *($AR58 = [2]SalmonProps!$G$2:$G$10001),0), 15))</f>
        <v>0.97250000000000003</v>
      </c>
      <c r="AD58" s="181" cm="1">
        <f t="array" ref="AD58">IF(ISBLANK($AQ58), "", INDEX([2]SalmonProps!$A$2:$AA$10001,MATCH(1,($A58=[2]SalmonProps!$A$2:$A$10001)*(3=[2]SalmonProps!$C$2:$C$10001)*(3=[2]SalmonProps!$D$2:$D$10001)*("A1" = [2]SalmonProps!$B$2:$B$10001)*($AP58 = [2]SalmonProps!$F$2:$F$10001) *($AR58 = [2]SalmonProps!$G$2:$G$10001),0), 15))</f>
        <v>0.99399999999999999</v>
      </c>
      <c r="AE58" s="166" cm="1">
        <f t="array" ref="AE58">IF(ISBLANK($AQ58), "", INDEX([2]SalmonProps!$A$2:$AA$10001,MATCH(1,($A58=[2]SalmonProps!$A$2:$A$10001)*(1=[2]SalmonProps!$C$2:$C$10001)*(1=[2]SalmonProps!$D$2:$D$10001)*("A2" = [2]SalmonProps!$B$2:$B$10001)*($AP58 = [2]SalmonProps!$F$2:$F$10001) *($AR58 = [2]SalmonProps!$G$2:$G$10001),0), 15))</f>
        <v>0.8417</v>
      </c>
      <c r="AF58" s="166" cm="1">
        <f t="array" ref="AF58">IF(ISBLANK($AQ58), "", INDEX([2]SalmonProps!$A$2:$AA$10001,MATCH(1,($A58=[2]SalmonProps!$A$2:$A$10001)*(2=[2]SalmonProps!$C$2:$C$10001)*(1=[2]SalmonProps!$D$2:$D$10001)*("A2" = [2]SalmonProps!$B$2:$B$10001)*($AP58 = [2]SalmonProps!$F$2:$F$10001) *($AR58 = [2]SalmonProps!$G$2:$G$10001),0), 15))</f>
        <v>0.87009999999999998</v>
      </c>
      <c r="AG58" s="167" cm="1">
        <f t="array" ref="AG58">IF(ISBLANK($AQ58), "", INDEX([2]SalmonProps!$A$2:$AA$10001,MATCH(1,($A58=[2]SalmonProps!$A$2:$A$10001)*(3=[2]SalmonProps!$C$2:$C$10001)*(1=[2]SalmonProps!$D$2:$D$10001)*("A2" = [2]SalmonProps!$B$2:$B$10001)*($AP58 = [2]SalmonProps!$F$2:$F$10001) *($AR58 = [2]SalmonProps!$G$2:$G$10001),0), 15))</f>
        <v>0.96120000000000005</v>
      </c>
      <c r="AH58" s="173" cm="1">
        <f t="array" ref="AH58">IF(ISBLANK($AQ58), "", INDEX([2]SalmonProps!$A$2:$AA$10001,MATCH(1,($A58=[2]SalmonProps!$A$2:$A$10001)*($AP58 = [2]SalmonProps!$F$2:$F$10001) *($AR58 = [2]SalmonProps!$G$2:$G$10001),0), 24))</f>
        <v>52.3</v>
      </c>
      <c r="AI58" s="183" cm="1">
        <f t="array" ref="AI58">IF(ISBLANK($AQ58), "", INDEX([2]SalmonProps!$A$2:$AA$10001,MATCH(1,($A58=[2]SalmonProps!$A$2:$A$10001)*($AP58 = [2]SalmonProps!$F$2:$F$10001) *($AR58 = [2]SalmonProps!$G$2:$G$10001),0), 25))</f>
        <v>6.8</v>
      </c>
      <c r="AJ58" s="174" cm="1">
        <f t="array" ref="AJ58">IF(ISBLANK($AQ58), "", INDEX([2]SalmonProps!$A$2:$AA$10001,MATCH(1,($A58=[2]SalmonProps!$A$2:$A$10001)*($AP58 = [2]SalmonProps!$F$2:$F$10001) *($AR58 = [2]SalmonProps!$G$2:$G$10001),0), 20))</f>
        <v>58.8</v>
      </c>
      <c r="AK58" s="183" cm="1">
        <f t="array" ref="AK58">IF(ISBLANK($AQ58), "", INDEX([2]SalmonProps!$A$2:$AA$10001,MATCH(1,($A58=[2]SalmonProps!$A$2:$A$10001)*($AP58 = [2]SalmonProps!$F$2:$F$10001) *($AR58 = [2]SalmonProps!$G$2:$G$10001),0), 21))</f>
        <v>4.8</v>
      </c>
      <c r="AL58" s="174" cm="1">
        <f t="array" ref="AL58">IF(ISBLANK($AQ58), "", INDEX([2]SalmonProps!$A$2:$AA$10001,MATCH(1,($A58=[2]SalmonProps!$A$2:$A$10001)*($AP58 = [2]SalmonProps!$F$2:$F$10001) *($AR58 = [2]SalmonProps!$G$2:$G$10001),0), 22))</f>
        <v>73.7</v>
      </c>
      <c r="AM58" s="183" cm="1">
        <f t="array" ref="AM58">IF(ISBLANK($AQ58), "", INDEX([2]SalmonProps!$A$2:$AA$10001,MATCH(1,($A58=[2]SalmonProps!$A$2:$A$10001)*($AP58 = [2]SalmonProps!$F$2:$F$10001) *($AR58 = [2]SalmonProps!$G$2:$G$10001),0), 23))</f>
        <v>7.4</v>
      </c>
      <c r="AN58" s="174" t="str" cm="1">
        <f t="array" ref="AN58">IF(ISBLANK($AQ58), "", INDEX([2]SalmonProps!$A$2:$AA$10001,MATCH(1,($A58=[2]SalmonProps!$A$2:$A$10001)*($AP58 = [2]SalmonProps!$F$2:$F$10001) *($AR58 = [2]SalmonProps!$G$2:$G$10001),0), 26))</f>
        <v>NA</v>
      </c>
      <c r="AO58" s="175" t="str" cm="1">
        <f t="array" ref="AO58">IF(ISBLANK($AQ58), "", INDEX([2]SalmonProps!$A$2:$AA$10001,MATCH(1,($A58=[2]SalmonProps!$A$2:$A$10001)*($AP58 = [2]SalmonProps!$F$2:$F$10001) *($AR58 = [2]SalmonProps!$G$2:$G$10001),0), 27))</f>
        <v>NA</v>
      </c>
      <c r="AP58" s="112">
        <v>4</v>
      </c>
      <c r="AQ58" s="112" t="s">
        <v>133</v>
      </c>
      <c r="AR58" s="112" t="str">
        <f t="shared" si="1"/>
        <v>Unweighted</v>
      </c>
    </row>
    <row r="59" spans="1:44" x14ac:dyDescent="0.3">
      <c r="A59" s="20">
        <f>'[1]Passage Estimates'!$A59</f>
        <v>45161</v>
      </c>
      <c r="B59" s="164" cm="1">
        <f t="array" ref="B59">IF(ISBLANK($AQ59), "", INDEX([2]SalmonProps!$A$2:$AA$10001,MATCH(1,($A59=[2]SalmonProps!$A$2:$A$10001)*(1=[2]SalmonProps!$C$2:$C$10001)*(1=[2]SalmonProps!$D$2:$D$10001)*("A1" = [2]SalmonProps!$B$2:$B$10001)*($AP59 = [2]SalmonProps!$F$2:$F$10001) *($AR59 = [2]SalmonProps!$G$2:$G$10001),0), 17))</f>
        <v>8.1000000000000003E-2</v>
      </c>
      <c r="C59" s="165" cm="1">
        <f t="array" ref="C59">IF(ISBLANK($AQ59), "", INDEX([2]SalmonProps!$A$2:$AA$10001,MATCH(1,($A59=[2]SalmonProps!$A$2:$A$10001)*(1=[2]SalmonProps!$C$2:$C$10001)*(2=[2]SalmonProps!$D$2:$D$10001)*("A1" = [2]SalmonProps!$B$2:$B$10001)*($AP59 = [2]SalmonProps!$F$2:$F$10001) *($AR59 = [2]SalmonProps!$G$2:$G$10001),0), 17))</f>
        <v>5.57E-2</v>
      </c>
      <c r="D59" s="165" cm="1">
        <f t="array" ref="D59">IF(ISBLANK($AQ59), "", INDEX([2]SalmonProps!$A$2:$AA$10001,MATCH(1,($A59=[2]SalmonProps!$A$2:$A$10001)*(1=[2]SalmonProps!$C$2:$C$10001)*("1&amp;2"=[2]SalmonProps!$D$2:$D$10001)*("A1" = [2]SalmonProps!$B$2:$B$10001)*($AP59 = [2]SalmonProps!$F$2:$F$10001) *($AR59 = [2]SalmonProps!$G$2:$G$10001),0), 17))</f>
        <v>6.8000000000000005E-2</v>
      </c>
      <c r="E59" s="181" cm="1">
        <f t="array" ref="E59">IF(ISBLANK($AQ59), "", INDEX([2]SalmonProps!$A$2:$AA$10001,MATCH(1,($A59=[2]SalmonProps!$A$2:$A$10001)*(2=[2]SalmonProps!$C$2:$C$10001)*(3=[2]SalmonProps!$D$2:$D$10001)*("A1" = [2]SalmonProps!$B$2:$B$10001)*($AP59 = [2]SalmonProps!$F$2:$F$10001) *($AR59 = [2]SalmonProps!$G$2:$G$10001),0), 17))</f>
        <v>0.3145</v>
      </c>
      <c r="F59" s="165" cm="1">
        <f t="array" ref="F59">IF(ISBLANK($AQ59), "", INDEX([2]SalmonProps!$A$2:$AA$10001,MATCH(1,($A59=[2]SalmonProps!$A$2:$A$10001)*(3=[2]SalmonProps!$C$2:$C$10001)*(3=[2]SalmonProps!$D$2:$D$10001)*("A1" = [2]SalmonProps!$B$2:$B$10001)*($AP59 = [2]SalmonProps!$F$2:$F$10001) *($AR59 = [2]SalmonProps!$G$2:$G$10001),0), 17))</f>
        <v>0.68720000000000003</v>
      </c>
      <c r="G59" s="165" cm="1">
        <f t="array" ref="G59">IF(ISBLANK($AQ59), "", INDEX([2]SalmonProps!$A$2:$AA$10001,MATCH(1,($A59=[2]SalmonProps!$A$2:$A$10001)*(1=[2]SalmonProps!$C$2:$C$10001)*(1=[2]SalmonProps!$D$2:$D$10001)*("A2" = [2]SalmonProps!$B$2:$B$10001)*($AP59 = [2]SalmonProps!$F$2:$F$10001) *($AR59 = [2]SalmonProps!$G$2:$G$10001),0), 17))</f>
        <v>0.09</v>
      </c>
      <c r="H59" s="166" cm="1">
        <f t="array" ref="H59">IF(ISBLANK($AQ59), "", INDEX([2]SalmonProps!$A$2:$AA$10001,MATCH(1,($A59=[2]SalmonProps!$A$2:$A$10001)*(2=[2]SalmonProps!$C$2:$C$10001)*(1=[2]SalmonProps!$D$2:$D$10001)*("A2" = [2]SalmonProps!$B$2:$B$10001)*($AP59 = [2]SalmonProps!$F$2:$F$10001) *($AR59 = [2]SalmonProps!$G$2:$G$10001),0), 17))</f>
        <v>0.41460000000000002</v>
      </c>
      <c r="I59" s="167" cm="1">
        <f t="array" ref="I59">IF(ISBLANK($AQ59), "", INDEX([2]SalmonProps!$A$2:$AA$10001,MATCH(1,($A59=[2]SalmonProps!$A$2:$A$10001)*(3=[2]SalmonProps!$C$2:$C$10001)*(1=[2]SalmonProps!$D$2:$D$10001)*("A2" = [2]SalmonProps!$B$2:$B$10001)*($AP59 = [2]SalmonProps!$F$2:$F$10001) *($AR59 = [2]SalmonProps!$G$2:$G$10001),0), 17))</f>
        <v>0.61309999999999998</v>
      </c>
      <c r="J59" s="164" t="str" cm="1">
        <f t="array" ref="J59">IF(ISBLANK($AQ59), "", INDEX([2]SalmonProps!$A$2:$AA$10001,MATCH(1,($A59=[2]SalmonProps!$A$2:$A$10001)*(1=[2]SalmonProps!$C$2:$C$10001)*(1=[2]SalmonProps!$D$2:$D$10001)*("A1" = [2]SalmonProps!$B$2:$B$10001)*($AP59 = [2]SalmonProps!$F$2:$F$10001) *($AR59 = [2]SalmonProps!$G$2:$G$10001),0), 19))</f>
        <v>NA</v>
      </c>
      <c r="K59" s="165" t="str" cm="1">
        <f t="array" ref="K59">IF(ISBLANK($AQ59), "", INDEX([2]SalmonProps!$A$2:$AA$10001,MATCH(1,($A59=[2]SalmonProps!$A$2:$A$10001)*(1=[2]SalmonProps!$C$2:$C$10001)*(2=[2]SalmonProps!$D$2:$D$10001)*("A1" = [2]SalmonProps!$B$2:$B$10001)*($AP59 = [2]SalmonProps!$F$2:$F$10001) *($AR59 = [2]SalmonProps!$G$2:$G$10001),0), 19))</f>
        <v>NA</v>
      </c>
      <c r="L59" s="165" t="str" cm="1">
        <f t="array" ref="L59">IF(ISBLANK($AQ59), "", INDEX([2]SalmonProps!$A$2:$AA$10001,MATCH(1,($A59=[2]SalmonProps!$A$2:$A$10001)*(1=[2]SalmonProps!$C$2:$C$10001)*("1&amp;2"=[2]SalmonProps!$D$2:$D$10001)*("A1" = [2]SalmonProps!$B$2:$B$10001)*($AP59 = [2]SalmonProps!$F$2:$F$10001) *($AR59 = [2]SalmonProps!$G$2:$G$10001),0), 19))</f>
        <v>NA</v>
      </c>
      <c r="M59" s="165" t="str" cm="1">
        <f t="array" ref="M59">IF(ISBLANK($AQ59), "", INDEX([2]SalmonProps!$A$2:$AA$10001,MATCH(1,($A59=[2]SalmonProps!$A$2:$A$10001)*(2=[2]SalmonProps!$C$2:$C$10001)*(3=[2]SalmonProps!$D$2:$D$10001)*("A1" = [2]SalmonProps!$B$2:$B$10001)*($AP59 = [2]SalmonProps!$F$2:$F$10001) *($AR59 = [2]SalmonProps!$G$2:$G$10001),0), 19))</f>
        <v>NA</v>
      </c>
      <c r="N59" s="181" t="str" cm="1">
        <f t="array" ref="N59">IF(ISBLANK($AQ59), "", INDEX([2]SalmonProps!$A$2:$AA$10001,MATCH(1,($A59=[2]SalmonProps!$A$2:$A$10001)*(3=[2]SalmonProps!$C$2:$C$10001)*(3=[2]SalmonProps!$D$2:$D$10001)*("A1" = [2]SalmonProps!$B$2:$B$10001)*($AP59 = [2]SalmonProps!$F$2:$F$10001) *($AR59 = [2]SalmonProps!$G$2:$G$10001),0), 19))</f>
        <v>NA</v>
      </c>
      <c r="O59" s="165" t="str" cm="1">
        <f t="array" ref="O59">IF(ISBLANK($AQ59), "", INDEX([2]SalmonProps!$A$2:$AA$10001,MATCH(1,($A59=[2]SalmonProps!$A$2:$A$10001)*(1=[2]SalmonProps!$C$2:$C$10001)*(1=[2]SalmonProps!$D$2:$D$10001)*("A2" = [2]SalmonProps!$B$2:$B$10001)*($AP59 = [2]SalmonProps!$F$2:$F$10001) *($AR59 = [2]SalmonProps!$G$2:$G$10001),0), 19))</f>
        <v>NA</v>
      </c>
      <c r="P59" s="165" t="str" cm="1">
        <f t="array" ref="P59">IF(ISBLANK($AQ59), "", INDEX([2]SalmonProps!$A$2:$AA$10001,MATCH(1,($A59=[2]SalmonProps!$A$2:$A$10001)*(2=[2]SalmonProps!$C$2:$C$10001)*(1=[2]SalmonProps!$D$2:$D$10001)*("A2" = [2]SalmonProps!$B$2:$B$10001)*($AP59 = [2]SalmonProps!$F$2:$F$10001) *($AR59 = [2]SalmonProps!$G$2:$G$10001),0), 19))</f>
        <v>NA</v>
      </c>
      <c r="Q59" s="168" t="str" cm="1">
        <f t="array" ref="Q59">IF(ISBLANK($AQ59), "", INDEX([2]SalmonProps!$A$2:$AA$10001,MATCH(1,($A59=[2]SalmonProps!$A$2:$A$10001)*(3=[2]SalmonProps!$C$2:$C$10001)*(1=[2]SalmonProps!$D$2:$D$10001)*("A2" = [2]SalmonProps!$B$2:$B$10001)*($AP59 = [2]SalmonProps!$F$2:$F$10001) *($AR59 = [2]SalmonProps!$G$2:$G$10001),0), 19))</f>
        <v>NA</v>
      </c>
      <c r="R59" s="164" cm="1">
        <f t="array" ref="R59">IF(ISBLANK($AQ59), "", INDEX([2]SalmonProps!$A$2:$AA$10001,MATCH(1,($A59=[2]SalmonProps!$A$2:$A$10001)*(1=[2]SalmonProps!$C$2:$C$10001)*(1=[2]SalmonProps!$D$2:$D$10001)*("A1" = [2]SalmonProps!$B$2:$B$10001)*($AP59 = [2]SalmonProps!$F$2:$F$10001) *($AR59 = [2]SalmonProps!$G$2:$G$10001),0), 18))</f>
        <v>0.23730000000000001</v>
      </c>
      <c r="S59" s="165" cm="1">
        <f t="array" ref="S59">IF(ISBLANK($AQ59), "", INDEX([2]SalmonProps!$A$2:$AA$10001,MATCH(1,($A59=[2]SalmonProps!$A$2:$A$10001)*(1=[2]SalmonProps!$C$2:$C$10001)*(2=[2]SalmonProps!$D$2:$D$10001)*("A1" = [2]SalmonProps!$B$2:$B$10001)*($AP59 = [2]SalmonProps!$F$2:$F$10001) *($AR59 = [2]SalmonProps!$G$2:$G$10001),0), 18))</f>
        <v>0.47339999999999999</v>
      </c>
      <c r="T59" s="165" cm="1">
        <f t="array" ref="T59">IF(ISBLANK($AQ59), "", INDEX([2]SalmonProps!$A$2:$AA$10001,MATCH(1,($A59=[2]SalmonProps!$A$2:$A$10001)*(1=[2]SalmonProps!$C$2:$C$10001)*("1&amp;2"=[2]SalmonProps!$D$2:$D$10001)*("A1" = [2]SalmonProps!$B$2:$B$10001)*($AP59 = [2]SalmonProps!$F$2:$F$10001) *($AR59 = [2]SalmonProps!$G$2:$G$10001),0), 18))</f>
        <v>0.34239999999999998</v>
      </c>
      <c r="U59" s="165" cm="1">
        <f t="array" ref="U59">IF(ISBLANK($AQ59), "", INDEX([2]SalmonProps!$A$2:$AA$10001,MATCH(1,($A59=[2]SalmonProps!$A$2:$A$10001)*(2=[2]SalmonProps!$C$2:$C$10001)*(3=[2]SalmonProps!$D$2:$D$10001)*("A1" = [2]SalmonProps!$B$2:$B$10001)*($AP59 = [2]SalmonProps!$F$2:$F$10001) *($AR59 = [2]SalmonProps!$G$2:$G$10001),0), 18))</f>
        <v>0.49930000000000002</v>
      </c>
      <c r="V59" s="181" cm="1">
        <f t="array" ref="V59">IF(ISBLANK($AQ59), "", INDEX([2]SalmonProps!$A$2:$AA$10001,MATCH(1,($A59=[2]SalmonProps!$A$2:$A$10001)*(3=[2]SalmonProps!$C$2:$C$10001)*(3=[2]SalmonProps!$D$2:$D$10001)*("A1" = [2]SalmonProps!$B$2:$B$10001)*($AP59 = [2]SalmonProps!$F$2:$F$10001) *($AR59 = [2]SalmonProps!$G$2:$G$10001),0), 18))</f>
        <v>8.7099999999999997E-2</v>
      </c>
      <c r="W59" s="180" cm="1">
        <f t="array" ref="W59">IF(ISBLANK($AQ59), "", INDEX([2]SalmonProps!$A$2:$AA$10001,MATCH(1,($A59=[2]SalmonProps!$A$2:$A$10001)*(1=[2]SalmonProps!$C$2:$C$10001)*(1=[2]SalmonProps!$D$2:$D$10001)*("A2" = [2]SalmonProps!$B$2:$B$10001)*($AP59 = [2]SalmonProps!$F$2:$F$10001) *($AR59 = [2]SalmonProps!$G$2:$G$10001),0), 18))</f>
        <v>0.65059999999999996</v>
      </c>
      <c r="X59" s="165" cm="1">
        <f t="array" ref="X59">IF(ISBLANK($AQ59), "", INDEX([2]SalmonProps!$A$2:$AA$10001,MATCH(1,($A59=[2]SalmonProps!$A$2:$A$10001)*(2=[2]SalmonProps!$C$2:$C$10001)*(1=[2]SalmonProps!$D$2:$D$10001)*("A2" = [2]SalmonProps!$B$2:$B$10001)*($AP59 = [2]SalmonProps!$F$2:$F$10001) *($AR59 = [2]SalmonProps!$G$2:$G$10001),0), 18))</f>
        <v>0.33939999999999998</v>
      </c>
      <c r="Y59" s="168" cm="1">
        <f t="array" ref="Y59">IF(ISBLANK($AQ59), "", INDEX([2]SalmonProps!$A$2:$AA$10001,MATCH(1,($A59=[2]SalmonProps!$A$2:$A$10001)*(3=[2]SalmonProps!$C$2:$C$10001)*(1=[2]SalmonProps!$D$2:$D$10001)*("A2" = [2]SalmonProps!$B$2:$B$10001)*($AP59 = [2]SalmonProps!$F$2:$F$10001) *($AR59 = [2]SalmonProps!$G$2:$G$10001),0), 18))</f>
        <v>0.2029</v>
      </c>
      <c r="Z59" s="164" cm="1">
        <f t="array" ref="Z59">IF(ISBLANK($AQ59), "", INDEX([2]SalmonProps!$A$2:$AA$10001,MATCH(1,($A59=[2]SalmonProps!$A$2:$A$10001)*(1=[2]SalmonProps!$C$2:$C$10001)*(1=[2]SalmonProps!$D$2:$D$10001)*("A1" = [2]SalmonProps!$B$2:$B$10001)*($AP59 = [2]SalmonProps!$F$2:$F$10001) *($AR59 = [2]SalmonProps!$G$2:$G$10001),0), 15))</f>
        <v>0.47099999999999997</v>
      </c>
      <c r="AA59" s="165" cm="1">
        <f t="array" ref="AA59">IF(ISBLANK($AQ59), "", INDEX([2]SalmonProps!$A$2:$AA$10001,MATCH(1,($A59=[2]SalmonProps!$A$2:$A$10001)*(1=[2]SalmonProps!$C$2:$C$10001)*(2=[2]SalmonProps!$D$2:$D$10001)*("A1" = [2]SalmonProps!$B$2:$B$10001)*($AP59 = [2]SalmonProps!$F$2:$F$10001) *($AR59 = [2]SalmonProps!$G$2:$G$10001),0), 15))</f>
        <v>0.65710000000000002</v>
      </c>
      <c r="AB59" s="165" cm="1">
        <f t="array" ref="AB59">IF(ISBLANK($AQ59), "", INDEX([2]SalmonProps!$A$2:$AA$10001,MATCH(1,($A59=[2]SalmonProps!$A$2:$A$10001)*(1=[2]SalmonProps!$C$2:$C$10001)*("1&amp;2"=[2]SalmonProps!$D$2:$D$10001)*("A1" = [2]SalmonProps!$B$2:$B$10001)*($AP59 = [2]SalmonProps!$F$2:$F$10001) *($AR59 = [2]SalmonProps!$G$2:$G$10001),0), 15))</f>
        <v>0.55700000000000005</v>
      </c>
      <c r="AC59" s="165" cm="1">
        <f t="array" ref="AC59">IF(ISBLANK($AQ59), "", INDEX([2]SalmonProps!$A$2:$AA$10001,MATCH(1,($A59=[2]SalmonProps!$A$2:$A$10001)*(2=[2]SalmonProps!$C$2:$C$10001)*(3=[2]SalmonProps!$D$2:$D$10001)*("A1" = [2]SalmonProps!$B$2:$B$10001)*($AP59 = [2]SalmonProps!$F$2:$F$10001) *($AR59 = [2]SalmonProps!$G$2:$G$10001),0), 15))</f>
        <v>0.9647</v>
      </c>
      <c r="AD59" s="181" cm="1">
        <f t="array" ref="AD59">IF(ISBLANK($AQ59), "", INDEX([2]SalmonProps!$A$2:$AA$10001,MATCH(1,($A59=[2]SalmonProps!$A$2:$A$10001)*(3=[2]SalmonProps!$C$2:$C$10001)*(3=[2]SalmonProps!$D$2:$D$10001)*("A1" = [2]SalmonProps!$B$2:$B$10001)*($AP59 = [2]SalmonProps!$F$2:$F$10001) *($AR59 = [2]SalmonProps!$G$2:$G$10001),0), 15))</f>
        <v>0.99319999999999997</v>
      </c>
      <c r="AE59" s="166" cm="1">
        <f t="array" ref="AE59">IF(ISBLANK($AQ59), "", INDEX([2]SalmonProps!$A$2:$AA$10001,MATCH(1,($A59=[2]SalmonProps!$A$2:$A$10001)*(1=[2]SalmonProps!$C$2:$C$10001)*(1=[2]SalmonProps!$D$2:$D$10001)*("A2" = [2]SalmonProps!$B$2:$B$10001)*($AP59 = [2]SalmonProps!$F$2:$F$10001) *($AR59 = [2]SalmonProps!$G$2:$G$10001),0), 15))</f>
        <v>0.81330000000000002</v>
      </c>
      <c r="AF59" s="166" cm="1">
        <f t="array" ref="AF59">IF(ISBLANK($AQ59), "", INDEX([2]SalmonProps!$A$2:$AA$10001,MATCH(1,($A59=[2]SalmonProps!$A$2:$A$10001)*(2=[2]SalmonProps!$C$2:$C$10001)*(1=[2]SalmonProps!$D$2:$D$10001)*("A2" = [2]SalmonProps!$B$2:$B$10001)*($AP59 = [2]SalmonProps!$F$2:$F$10001) *($AR59 = [2]SalmonProps!$G$2:$G$10001),0), 15))</f>
        <v>0.94930000000000003</v>
      </c>
      <c r="AG59" s="167" cm="1">
        <f t="array" ref="AG59">IF(ISBLANK($AQ59), "", INDEX([2]SalmonProps!$A$2:$AA$10001,MATCH(1,($A59=[2]SalmonProps!$A$2:$A$10001)*(3=[2]SalmonProps!$C$2:$C$10001)*(1=[2]SalmonProps!$D$2:$D$10001)*("A2" = [2]SalmonProps!$B$2:$B$10001)*($AP59 = [2]SalmonProps!$F$2:$F$10001) *($AR59 = [2]SalmonProps!$G$2:$G$10001),0), 15))</f>
        <v>0.9829</v>
      </c>
      <c r="AH59" s="173" cm="1">
        <f t="array" ref="AH59">IF(ISBLANK($AQ59), "", INDEX([2]SalmonProps!$A$2:$AA$10001,MATCH(1,($A59=[2]SalmonProps!$A$2:$A$10001)*($AP59 = [2]SalmonProps!$F$2:$F$10001) *($AR59 = [2]SalmonProps!$G$2:$G$10001),0), 24))</f>
        <v>51.2</v>
      </c>
      <c r="AI59" s="183" cm="1">
        <f t="array" ref="AI59">IF(ISBLANK($AQ59), "", INDEX([2]SalmonProps!$A$2:$AA$10001,MATCH(1,($A59=[2]SalmonProps!$A$2:$A$10001)*($AP59 = [2]SalmonProps!$F$2:$F$10001) *($AR59 = [2]SalmonProps!$G$2:$G$10001),0), 25))</f>
        <v>6.7</v>
      </c>
      <c r="AJ59" s="174" cm="1">
        <f t="array" ref="AJ59">IF(ISBLANK($AQ59), "", INDEX([2]SalmonProps!$A$2:$AA$10001,MATCH(1,($A59=[2]SalmonProps!$A$2:$A$10001)*($AP59 = [2]SalmonProps!$F$2:$F$10001) *($AR59 = [2]SalmonProps!$G$2:$G$10001),0), 20))</f>
        <v>58.8</v>
      </c>
      <c r="AK59" s="183" cm="1">
        <f t="array" ref="AK59">IF(ISBLANK($AQ59), "", INDEX([2]SalmonProps!$A$2:$AA$10001,MATCH(1,($A59=[2]SalmonProps!$A$2:$A$10001)*($AP59 = [2]SalmonProps!$F$2:$F$10001) *($AR59 = [2]SalmonProps!$G$2:$G$10001),0), 21))</f>
        <v>4.8</v>
      </c>
      <c r="AL59" s="174" cm="1">
        <f t="array" ref="AL59">IF(ISBLANK($AQ59), "", INDEX([2]SalmonProps!$A$2:$AA$10001,MATCH(1,($A59=[2]SalmonProps!$A$2:$A$10001)*($AP59 = [2]SalmonProps!$F$2:$F$10001) *($AR59 = [2]SalmonProps!$G$2:$G$10001),0), 22))</f>
        <v>74</v>
      </c>
      <c r="AM59" s="183" cm="1">
        <f t="array" ref="AM59">IF(ISBLANK($AQ59), "", INDEX([2]SalmonProps!$A$2:$AA$10001,MATCH(1,($A59=[2]SalmonProps!$A$2:$A$10001)*($AP59 = [2]SalmonProps!$F$2:$F$10001) *($AR59 = [2]SalmonProps!$G$2:$G$10001),0), 23))</f>
        <v>7.5</v>
      </c>
      <c r="AN59" s="174" t="str" cm="1">
        <f t="array" ref="AN59">IF(ISBLANK($AQ59), "", INDEX([2]SalmonProps!$A$2:$AA$10001,MATCH(1,($A59=[2]SalmonProps!$A$2:$A$10001)*($AP59 = [2]SalmonProps!$F$2:$F$10001) *($AR59 = [2]SalmonProps!$G$2:$G$10001),0), 26))</f>
        <v>NA</v>
      </c>
      <c r="AO59" s="175" t="str" cm="1">
        <f t="array" ref="AO59">IF(ISBLANK($AQ59), "", INDEX([2]SalmonProps!$A$2:$AA$10001,MATCH(1,($A59=[2]SalmonProps!$A$2:$A$10001)*($AP59 = [2]SalmonProps!$F$2:$F$10001) *($AR59 = [2]SalmonProps!$G$2:$G$10001),0), 27))</f>
        <v>NA</v>
      </c>
      <c r="AP59" s="112">
        <v>4</v>
      </c>
      <c r="AQ59" s="112" t="s">
        <v>133</v>
      </c>
      <c r="AR59" s="112" t="str">
        <f t="shared" si="1"/>
        <v>Unweighted</v>
      </c>
    </row>
    <row r="60" spans="1:44" x14ac:dyDescent="0.3">
      <c r="A60" s="20">
        <f>'[1]Passage Estimates'!$A60</f>
        <v>45162</v>
      </c>
      <c r="B60" s="164" cm="1">
        <f t="array" ref="B60">IF(ISBLANK($AQ60), "", INDEX([2]SalmonProps!$A$2:$AA$10001,MATCH(1,($A60=[2]SalmonProps!$A$2:$A$10001)*(1=[2]SalmonProps!$C$2:$C$10001)*(1=[2]SalmonProps!$D$2:$D$10001)*("A1" = [2]SalmonProps!$B$2:$B$10001)*($AP60 = [2]SalmonProps!$F$2:$F$10001) *($AR60 = [2]SalmonProps!$G$2:$G$10001),0), 17))</f>
        <v>5.5800000000000002E-2</v>
      </c>
      <c r="C60" s="165" cm="1">
        <f t="array" ref="C60">IF(ISBLANK($AQ60), "", INDEX([2]SalmonProps!$A$2:$AA$10001,MATCH(1,($A60=[2]SalmonProps!$A$2:$A$10001)*(1=[2]SalmonProps!$C$2:$C$10001)*(2=[2]SalmonProps!$D$2:$D$10001)*("A1" = [2]SalmonProps!$B$2:$B$10001)*($AP60 = [2]SalmonProps!$F$2:$F$10001) *($AR60 = [2]SalmonProps!$G$2:$G$10001),0), 17))</f>
        <v>5.0500000000000003E-2</v>
      </c>
      <c r="D60" s="165" cm="1">
        <f t="array" ref="D60">IF(ISBLANK($AQ60), "", INDEX([2]SalmonProps!$A$2:$AA$10001,MATCH(1,($A60=[2]SalmonProps!$A$2:$A$10001)*(1=[2]SalmonProps!$C$2:$C$10001)*("1&amp;2"=[2]SalmonProps!$D$2:$D$10001)*("A1" = [2]SalmonProps!$B$2:$B$10001)*($AP60 = [2]SalmonProps!$F$2:$F$10001) *($AR60 = [2]SalmonProps!$G$2:$G$10001),0), 17))</f>
        <v>5.0500000000000003E-2</v>
      </c>
      <c r="E60" s="181" cm="1">
        <f t="array" ref="E60">IF(ISBLANK($AQ60), "", INDEX([2]SalmonProps!$A$2:$AA$10001,MATCH(1,($A60=[2]SalmonProps!$A$2:$A$10001)*(2=[2]SalmonProps!$C$2:$C$10001)*(3=[2]SalmonProps!$D$2:$D$10001)*("A1" = [2]SalmonProps!$B$2:$B$10001)*($AP60 = [2]SalmonProps!$F$2:$F$10001) *($AR60 = [2]SalmonProps!$G$2:$G$10001),0), 17))</f>
        <v>0.27760000000000001</v>
      </c>
      <c r="F60" s="165" cm="1">
        <f t="array" ref="F60">IF(ISBLANK($AQ60), "", INDEX([2]SalmonProps!$A$2:$AA$10001,MATCH(1,($A60=[2]SalmonProps!$A$2:$A$10001)*(3=[2]SalmonProps!$C$2:$C$10001)*(3=[2]SalmonProps!$D$2:$D$10001)*("A1" = [2]SalmonProps!$B$2:$B$10001)*($AP60 = [2]SalmonProps!$F$2:$F$10001) *($AR60 = [2]SalmonProps!$G$2:$G$10001),0), 17))</f>
        <v>0.65159999999999996</v>
      </c>
      <c r="G60" s="165" cm="1">
        <f t="array" ref="G60">IF(ISBLANK($AQ60), "", INDEX([2]SalmonProps!$A$2:$AA$10001,MATCH(1,($A60=[2]SalmonProps!$A$2:$A$10001)*(1=[2]SalmonProps!$C$2:$C$10001)*(1=[2]SalmonProps!$D$2:$D$10001)*("A2" = [2]SalmonProps!$B$2:$B$10001)*($AP60 = [2]SalmonProps!$F$2:$F$10001) *($AR60 = [2]SalmonProps!$G$2:$G$10001),0), 17))</f>
        <v>0.09</v>
      </c>
      <c r="H60" s="166" cm="1">
        <f t="array" ref="H60">IF(ISBLANK($AQ60), "", INDEX([2]SalmonProps!$A$2:$AA$10001,MATCH(1,($A60=[2]SalmonProps!$A$2:$A$10001)*(2=[2]SalmonProps!$C$2:$C$10001)*(1=[2]SalmonProps!$D$2:$D$10001)*("A2" = [2]SalmonProps!$B$2:$B$10001)*($AP60 = [2]SalmonProps!$F$2:$F$10001) *($AR60 = [2]SalmonProps!$G$2:$G$10001),0), 17))</f>
        <v>0.41460000000000002</v>
      </c>
      <c r="I60" s="167" cm="1">
        <f t="array" ref="I60">IF(ISBLANK($AQ60), "", INDEX([2]SalmonProps!$A$2:$AA$10001,MATCH(1,($A60=[2]SalmonProps!$A$2:$A$10001)*(3=[2]SalmonProps!$C$2:$C$10001)*(1=[2]SalmonProps!$D$2:$D$10001)*("A2" = [2]SalmonProps!$B$2:$B$10001)*($AP60 = [2]SalmonProps!$F$2:$F$10001) *($AR60 = [2]SalmonProps!$G$2:$G$10001),0), 17))</f>
        <v>0.61309999999999998</v>
      </c>
      <c r="J60" s="164" t="str" cm="1">
        <f t="array" ref="J60">IF(ISBLANK($AQ60), "", INDEX([2]SalmonProps!$A$2:$AA$10001,MATCH(1,($A60=[2]SalmonProps!$A$2:$A$10001)*(1=[2]SalmonProps!$C$2:$C$10001)*(1=[2]SalmonProps!$D$2:$D$10001)*("A1" = [2]SalmonProps!$B$2:$B$10001)*($AP60 = [2]SalmonProps!$F$2:$F$10001) *($AR60 = [2]SalmonProps!$G$2:$G$10001),0), 19))</f>
        <v>NA</v>
      </c>
      <c r="K60" s="165" t="str" cm="1">
        <f t="array" ref="K60">IF(ISBLANK($AQ60), "", INDEX([2]SalmonProps!$A$2:$AA$10001,MATCH(1,($A60=[2]SalmonProps!$A$2:$A$10001)*(1=[2]SalmonProps!$C$2:$C$10001)*(2=[2]SalmonProps!$D$2:$D$10001)*("A1" = [2]SalmonProps!$B$2:$B$10001)*($AP60 = [2]SalmonProps!$F$2:$F$10001) *($AR60 = [2]SalmonProps!$G$2:$G$10001),0), 19))</f>
        <v>NA</v>
      </c>
      <c r="L60" s="165" t="str" cm="1">
        <f t="array" ref="L60">IF(ISBLANK($AQ60), "", INDEX([2]SalmonProps!$A$2:$AA$10001,MATCH(1,($A60=[2]SalmonProps!$A$2:$A$10001)*(1=[2]SalmonProps!$C$2:$C$10001)*("1&amp;2"=[2]SalmonProps!$D$2:$D$10001)*("A1" = [2]SalmonProps!$B$2:$B$10001)*($AP60 = [2]SalmonProps!$F$2:$F$10001) *($AR60 = [2]SalmonProps!$G$2:$G$10001),0), 19))</f>
        <v>NA</v>
      </c>
      <c r="M60" s="165" t="str" cm="1">
        <f t="array" ref="M60">IF(ISBLANK($AQ60), "", INDEX([2]SalmonProps!$A$2:$AA$10001,MATCH(1,($A60=[2]SalmonProps!$A$2:$A$10001)*(2=[2]SalmonProps!$C$2:$C$10001)*(3=[2]SalmonProps!$D$2:$D$10001)*("A1" = [2]SalmonProps!$B$2:$B$10001)*($AP60 = [2]SalmonProps!$F$2:$F$10001) *($AR60 = [2]SalmonProps!$G$2:$G$10001),0), 19))</f>
        <v>NA</v>
      </c>
      <c r="N60" s="181" t="str" cm="1">
        <f t="array" ref="N60">IF(ISBLANK($AQ60), "", INDEX([2]SalmonProps!$A$2:$AA$10001,MATCH(1,($A60=[2]SalmonProps!$A$2:$A$10001)*(3=[2]SalmonProps!$C$2:$C$10001)*(3=[2]SalmonProps!$D$2:$D$10001)*("A1" = [2]SalmonProps!$B$2:$B$10001)*($AP60 = [2]SalmonProps!$F$2:$F$10001) *($AR60 = [2]SalmonProps!$G$2:$G$10001),0), 19))</f>
        <v>NA</v>
      </c>
      <c r="O60" s="165" t="str" cm="1">
        <f t="array" ref="O60">IF(ISBLANK($AQ60), "", INDEX([2]SalmonProps!$A$2:$AA$10001,MATCH(1,($A60=[2]SalmonProps!$A$2:$A$10001)*(1=[2]SalmonProps!$C$2:$C$10001)*(1=[2]SalmonProps!$D$2:$D$10001)*("A2" = [2]SalmonProps!$B$2:$B$10001)*($AP60 = [2]SalmonProps!$F$2:$F$10001) *($AR60 = [2]SalmonProps!$G$2:$G$10001),0), 19))</f>
        <v>NA</v>
      </c>
      <c r="P60" s="165" t="str" cm="1">
        <f t="array" ref="P60">IF(ISBLANK($AQ60), "", INDEX([2]SalmonProps!$A$2:$AA$10001,MATCH(1,($A60=[2]SalmonProps!$A$2:$A$10001)*(2=[2]SalmonProps!$C$2:$C$10001)*(1=[2]SalmonProps!$D$2:$D$10001)*("A2" = [2]SalmonProps!$B$2:$B$10001)*($AP60 = [2]SalmonProps!$F$2:$F$10001) *($AR60 = [2]SalmonProps!$G$2:$G$10001),0), 19))</f>
        <v>NA</v>
      </c>
      <c r="Q60" s="168" t="str" cm="1">
        <f t="array" ref="Q60">IF(ISBLANK($AQ60), "", INDEX([2]SalmonProps!$A$2:$AA$10001,MATCH(1,($A60=[2]SalmonProps!$A$2:$A$10001)*(3=[2]SalmonProps!$C$2:$C$10001)*(1=[2]SalmonProps!$D$2:$D$10001)*("A2" = [2]SalmonProps!$B$2:$B$10001)*($AP60 = [2]SalmonProps!$F$2:$F$10001) *($AR60 = [2]SalmonProps!$G$2:$G$10001),0), 19))</f>
        <v>NA</v>
      </c>
      <c r="R60" s="164" cm="1">
        <f t="array" ref="R60">IF(ISBLANK($AQ60), "", INDEX([2]SalmonProps!$A$2:$AA$10001,MATCH(1,($A60=[2]SalmonProps!$A$2:$A$10001)*(1=[2]SalmonProps!$C$2:$C$10001)*(1=[2]SalmonProps!$D$2:$D$10001)*("A1" = [2]SalmonProps!$B$2:$B$10001)*($AP60 = [2]SalmonProps!$F$2:$F$10001) *($AR60 = [2]SalmonProps!$G$2:$G$10001),0), 18))</f>
        <v>0.2142</v>
      </c>
      <c r="S60" s="165" cm="1">
        <f t="array" ref="S60">IF(ISBLANK($AQ60), "", INDEX([2]SalmonProps!$A$2:$AA$10001,MATCH(1,($A60=[2]SalmonProps!$A$2:$A$10001)*(1=[2]SalmonProps!$C$2:$C$10001)*(2=[2]SalmonProps!$D$2:$D$10001)*("A1" = [2]SalmonProps!$B$2:$B$10001)*($AP60 = [2]SalmonProps!$F$2:$F$10001) *($AR60 = [2]SalmonProps!$G$2:$G$10001),0), 18))</f>
        <v>0.57220000000000004</v>
      </c>
      <c r="T60" s="165" cm="1">
        <f t="array" ref="T60">IF(ISBLANK($AQ60), "", INDEX([2]SalmonProps!$A$2:$AA$10001,MATCH(1,($A60=[2]SalmonProps!$A$2:$A$10001)*(1=[2]SalmonProps!$C$2:$C$10001)*("1&amp;2"=[2]SalmonProps!$D$2:$D$10001)*("A1" = [2]SalmonProps!$B$2:$B$10001)*($AP60 = [2]SalmonProps!$F$2:$F$10001) *($AR60 = [2]SalmonProps!$G$2:$G$10001),0), 18))</f>
        <v>0.37669999999999998</v>
      </c>
      <c r="U60" s="165" cm="1">
        <f t="array" ref="U60">IF(ISBLANK($AQ60), "", INDEX([2]SalmonProps!$A$2:$AA$10001,MATCH(1,($A60=[2]SalmonProps!$A$2:$A$10001)*(2=[2]SalmonProps!$C$2:$C$10001)*(3=[2]SalmonProps!$D$2:$D$10001)*("A1" = [2]SalmonProps!$B$2:$B$10001)*($AP60 = [2]SalmonProps!$F$2:$F$10001) *($AR60 = [2]SalmonProps!$G$2:$G$10001),0), 18))</f>
        <v>0.54349999999999998</v>
      </c>
      <c r="V60" s="181" cm="1">
        <f t="array" ref="V60">IF(ISBLANK($AQ60), "", INDEX([2]SalmonProps!$A$2:$AA$10001,MATCH(1,($A60=[2]SalmonProps!$A$2:$A$10001)*(3=[2]SalmonProps!$C$2:$C$10001)*(3=[2]SalmonProps!$D$2:$D$10001)*("A1" = [2]SalmonProps!$B$2:$B$10001)*($AP60 = [2]SalmonProps!$F$2:$F$10001) *($AR60 = [2]SalmonProps!$G$2:$G$10001),0), 18))</f>
        <v>0.25590000000000002</v>
      </c>
      <c r="W60" s="180" cm="1">
        <f t="array" ref="W60">IF(ISBLANK($AQ60), "", INDEX([2]SalmonProps!$A$2:$AA$10001,MATCH(1,($A60=[2]SalmonProps!$A$2:$A$10001)*(1=[2]SalmonProps!$C$2:$C$10001)*(1=[2]SalmonProps!$D$2:$D$10001)*("A2" = [2]SalmonProps!$B$2:$B$10001)*($AP60 = [2]SalmonProps!$F$2:$F$10001) *($AR60 = [2]SalmonProps!$G$2:$G$10001),0), 18))</f>
        <v>0.65059999999999996</v>
      </c>
      <c r="X60" s="165" cm="1">
        <f t="array" ref="X60">IF(ISBLANK($AQ60), "", INDEX([2]SalmonProps!$A$2:$AA$10001,MATCH(1,($A60=[2]SalmonProps!$A$2:$A$10001)*(2=[2]SalmonProps!$C$2:$C$10001)*(1=[2]SalmonProps!$D$2:$D$10001)*("A2" = [2]SalmonProps!$B$2:$B$10001)*($AP60 = [2]SalmonProps!$F$2:$F$10001) *($AR60 = [2]SalmonProps!$G$2:$G$10001),0), 18))</f>
        <v>0.33939999999999998</v>
      </c>
      <c r="Y60" s="168" cm="1">
        <f t="array" ref="Y60">IF(ISBLANK($AQ60), "", INDEX([2]SalmonProps!$A$2:$AA$10001,MATCH(1,($A60=[2]SalmonProps!$A$2:$A$10001)*(3=[2]SalmonProps!$C$2:$C$10001)*(1=[2]SalmonProps!$D$2:$D$10001)*("A2" = [2]SalmonProps!$B$2:$B$10001)*($AP60 = [2]SalmonProps!$F$2:$F$10001) *($AR60 = [2]SalmonProps!$G$2:$G$10001),0), 18))</f>
        <v>0.2029</v>
      </c>
      <c r="Z60" s="164" cm="1">
        <f t="array" ref="Z60">IF(ISBLANK($AQ60), "", INDEX([2]SalmonProps!$A$2:$AA$10001,MATCH(1,($A60=[2]SalmonProps!$A$2:$A$10001)*(1=[2]SalmonProps!$C$2:$C$10001)*(1=[2]SalmonProps!$D$2:$D$10001)*("A1" = [2]SalmonProps!$B$2:$B$10001)*($AP60 = [2]SalmonProps!$F$2:$F$10001) *($AR60 = [2]SalmonProps!$G$2:$G$10001),0), 15))</f>
        <v>0.27</v>
      </c>
      <c r="AA60" s="165" cm="1">
        <f t="array" ref="AA60">IF(ISBLANK($AQ60), "", INDEX([2]SalmonProps!$A$2:$AA$10001,MATCH(1,($A60=[2]SalmonProps!$A$2:$A$10001)*(1=[2]SalmonProps!$C$2:$C$10001)*(2=[2]SalmonProps!$D$2:$D$10001)*("A1" = [2]SalmonProps!$B$2:$B$10001)*($AP60 = [2]SalmonProps!$F$2:$F$10001) *($AR60 = [2]SalmonProps!$G$2:$G$10001),0), 15))</f>
        <v>0.62270000000000003</v>
      </c>
      <c r="AB60" s="165" cm="1">
        <f t="array" ref="AB60">IF(ISBLANK($AQ60), "", INDEX([2]SalmonProps!$A$2:$AA$10001,MATCH(1,($A60=[2]SalmonProps!$A$2:$A$10001)*(1=[2]SalmonProps!$C$2:$C$10001)*("1&amp;2"=[2]SalmonProps!$D$2:$D$10001)*("A1" = [2]SalmonProps!$B$2:$B$10001)*($AP60 = [2]SalmonProps!$F$2:$F$10001) *($AR60 = [2]SalmonProps!$G$2:$G$10001),0), 15))</f>
        <v>0.42720000000000002</v>
      </c>
      <c r="AC60" s="165" cm="1">
        <f t="array" ref="AC60">IF(ISBLANK($AQ60), "", INDEX([2]SalmonProps!$A$2:$AA$10001,MATCH(1,($A60=[2]SalmonProps!$A$2:$A$10001)*(2=[2]SalmonProps!$C$2:$C$10001)*(3=[2]SalmonProps!$D$2:$D$10001)*("A1" = [2]SalmonProps!$B$2:$B$10001)*($AP60 = [2]SalmonProps!$F$2:$F$10001) *($AR60 = [2]SalmonProps!$G$2:$G$10001),0), 15))</f>
        <v>0.91679999999999995</v>
      </c>
      <c r="AD60" s="181" cm="1">
        <f t="array" ref="AD60">IF(ISBLANK($AQ60), "", INDEX([2]SalmonProps!$A$2:$AA$10001,MATCH(1,($A60=[2]SalmonProps!$A$2:$A$10001)*(3=[2]SalmonProps!$C$2:$C$10001)*(3=[2]SalmonProps!$D$2:$D$10001)*("A1" = [2]SalmonProps!$B$2:$B$10001)*($AP60 = [2]SalmonProps!$F$2:$F$10001) *($AR60 = [2]SalmonProps!$G$2:$G$10001),0), 15))</f>
        <v>0.99229999999999996</v>
      </c>
      <c r="AE60" s="166" cm="1">
        <f t="array" ref="AE60">IF(ISBLANK($AQ60), "", INDEX([2]SalmonProps!$A$2:$AA$10001,MATCH(1,($A60=[2]SalmonProps!$A$2:$A$10001)*(1=[2]SalmonProps!$C$2:$C$10001)*(1=[2]SalmonProps!$D$2:$D$10001)*("A2" = [2]SalmonProps!$B$2:$B$10001)*($AP60 = [2]SalmonProps!$F$2:$F$10001) *($AR60 = [2]SalmonProps!$G$2:$G$10001),0), 15))</f>
        <v>0.81330000000000002</v>
      </c>
      <c r="AF60" s="166" cm="1">
        <f t="array" ref="AF60">IF(ISBLANK($AQ60), "", INDEX([2]SalmonProps!$A$2:$AA$10001,MATCH(1,($A60=[2]SalmonProps!$A$2:$A$10001)*(2=[2]SalmonProps!$C$2:$C$10001)*(1=[2]SalmonProps!$D$2:$D$10001)*("A2" = [2]SalmonProps!$B$2:$B$10001)*($AP60 = [2]SalmonProps!$F$2:$F$10001) *($AR60 = [2]SalmonProps!$G$2:$G$10001),0), 15))</f>
        <v>0.94930000000000003</v>
      </c>
      <c r="AG60" s="167" cm="1">
        <f t="array" ref="AG60">IF(ISBLANK($AQ60), "", INDEX([2]SalmonProps!$A$2:$AA$10001,MATCH(1,($A60=[2]SalmonProps!$A$2:$A$10001)*(3=[2]SalmonProps!$C$2:$C$10001)*(1=[2]SalmonProps!$D$2:$D$10001)*("A2" = [2]SalmonProps!$B$2:$B$10001)*($AP60 = [2]SalmonProps!$F$2:$F$10001) *($AR60 = [2]SalmonProps!$G$2:$G$10001),0), 15))</f>
        <v>0.9829</v>
      </c>
      <c r="AH60" s="173" cm="1">
        <f t="array" ref="AH60">IF(ISBLANK($AQ60), "", INDEX([2]SalmonProps!$A$2:$AA$10001,MATCH(1,($A60=[2]SalmonProps!$A$2:$A$10001)*($AP60 = [2]SalmonProps!$F$2:$F$10001) *($AR60 = [2]SalmonProps!$G$2:$G$10001),0), 24))</f>
        <v>52.3</v>
      </c>
      <c r="AI60" s="183" cm="1">
        <f t="array" ref="AI60">IF(ISBLANK($AQ60), "", INDEX([2]SalmonProps!$A$2:$AA$10001,MATCH(1,($A60=[2]SalmonProps!$A$2:$A$10001)*($AP60 = [2]SalmonProps!$F$2:$F$10001) *($AR60 = [2]SalmonProps!$G$2:$G$10001),0), 25))</f>
        <v>6.8</v>
      </c>
      <c r="AJ60" s="174" cm="1">
        <f t="array" ref="AJ60">IF(ISBLANK($AQ60), "", INDEX([2]SalmonProps!$A$2:$AA$10001,MATCH(1,($A60=[2]SalmonProps!$A$2:$A$10001)*($AP60 = [2]SalmonProps!$F$2:$F$10001) *($AR60 = [2]SalmonProps!$G$2:$G$10001),0), 20))</f>
        <v>59</v>
      </c>
      <c r="AK60" s="183" cm="1">
        <f t="array" ref="AK60">IF(ISBLANK($AQ60), "", INDEX([2]SalmonProps!$A$2:$AA$10001,MATCH(1,($A60=[2]SalmonProps!$A$2:$A$10001)*($AP60 = [2]SalmonProps!$F$2:$F$10001) *($AR60 = [2]SalmonProps!$G$2:$G$10001),0), 21))</f>
        <v>4.8</v>
      </c>
      <c r="AL60" s="174" cm="1">
        <f t="array" ref="AL60">IF(ISBLANK($AQ60), "", INDEX([2]SalmonProps!$A$2:$AA$10001,MATCH(1,($A60=[2]SalmonProps!$A$2:$A$10001)*($AP60 = [2]SalmonProps!$F$2:$F$10001) *($AR60 = [2]SalmonProps!$G$2:$G$10001),0), 22))</f>
        <v>73.8</v>
      </c>
      <c r="AM60" s="183" cm="1">
        <f t="array" ref="AM60">IF(ISBLANK($AQ60), "", INDEX([2]SalmonProps!$A$2:$AA$10001,MATCH(1,($A60=[2]SalmonProps!$A$2:$A$10001)*($AP60 = [2]SalmonProps!$F$2:$F$10001) *($AR60 = [2]SalmonProps!$G$2:$G$10001),0), 23))</f>
        <v>7.5</v>
      </c>
      <c r="AN60" s="174" t="str" cm="1">
        <f t="array" ref="AN60">IF(ISBLANK($AQ60), "", INDEX([2]SalmonProps!$A$2:$AA$10001,MATCH(1,($A60=[2]SalmonProps!$A$2:$A$10001)*($AP60 = [2]SalmonProps!$F$2:$F$10001) *($AR60 = [2]SalmonProps!$G$2:$G$10001),0), 26))</f>
        <v>NA</v>
      </c>
      <c r="AO60" s="175" t="str" cm="1">
        <f t="array" ref="AO60">IF(ISBLANK($AQ60), "", INDEX([2]SalmonProps!$A$2:$AA$10001,MATCH(1,($A60=[2]SalmonProps!$A$2:$A$10001)*($AP60 = [2]SalmonProps!$F$2:$F$10001) *($AR60 = [2]SalmonProps!$G$2:$G$10001),0), 27))</f>
        <v>NA</v>
      </c>
      <c r="AP60" s="112">
        <v>4</v>
      </c>
      <c r="AQ60" s="112" t="s">
        <v>133</v>
      </c>
      <c r="AR60" s="112" t="str">
        <f t="shared" si="1"/>
        <v>Unweighted</v>
      </c>
    </row>
    <row r="61" spans="1:44" x14ac:dyDescent="0.3">
      <c r="A61" s="20">
        <f>'[1]Passage Estimates'!$A61</f>
        <v>45163</v>
      </c>
      <c r="B61" s="164" cm="1">
        <f t="array" ref="B61">IF(ISBLANK($AQ61), "", INDEX([2]SalmonProps!$A$2:$AA$10001,MATCH(1,($A61=[2]SalmonProps!$A$2:$A$10001)*(1=[2]SalmonProps!$C$2:$C$10001)*(1=[2]SalmonProps!$D$2:$D$10001)*("A1" = [2]SalmonProps!$B$2:$B$10001)*($AP61 = [2]SalmonProps!$F$2:$F$10001) *($AR61 = [2]SalmonProps!$G$2:$G$10001),0), 17))</f>
        <v>0</v>
      </c>
      <c r="C61" s="165" cm="1">
        <f t="array" ref="C61">IF(ISBLANK($AQ61), "", INDEX([2]SalmonProps!$A$2:$AA$10001,MATCH(1,($A61=[2]SalmonProps!$A$2:$A$10001)*(1=[2]SalmonProps!$C$2:$C$10001)*(2=[2]SalmonProps!$D$2:$D$10001)*("A1" = [2]SalmonProps!$B$2:$B$10001)*($AP61 = [2]SalmonProps!$F$2:$F$10001) *($AR61 = [2]SalmonProps!$G$2:$G$10001),0), 17))</f>
        <v>7.9000000000000008E-3</v>
      </c>
      <c r="D61" s="165" cm="1">
        <f t="array" ref="D61">IF(ISBLANK($AQ61), "", INDEX([2]SalmonProps!$A$2:$AA$10001,MATCH(1,($A61=[2]SalmonProps!$A$2:$A$10001)*(1=[2]SalmonProps!$C$2:$C$10001)*("1&amp;2"=[2]SalmonProps!$D$2:$D$10001)*("A1" = [2]SalmonProps!$B$2:$B$10001)*($AP61 = [2]SalmonProps!$F$2:$F$10001) *($AR61 = [2]SalmonProps!$G$2:$G$10001),0), 17))</f>
        <v>3.5000000000000001E-3</v>
      </c>
      <c r="E61" s="181" cm="1">
        <f t="array" ref="E61">IF(ISBLANK($AQ61), "", INDEX([2]SalmonProps!$A$2:$AA$10001,MATCH(1,($A61=[2]SalmonProps!$A$2:$A$10001)*(2=[2]SalmonProps!$C$2:$C$10001)*(3=[2]SalmonProps!$D$2:$D$10001)*("A1" = [2]SalmonProps!$B$2:$B$10001)*($AP61 = [2]SalmonProps!$F$2:$F$10001) *($AR61 = [2]SalmonProps!$G$2:$G$10001),0), 17))</f>
        <v>0.1988</v>
      </c>
      <c r="F61" s="165" cm="1">
        <f t="array" ref="F61">IF(ISBLANK($AQ61), "", INDEX([2]SalmonProps!$A$2:$AA$10001,MATCH(1,($A61=[2]SalmonProps!$A$2:$A$10001)*(3=[2]SalmonProps!$C$2:$C$10001)*(3=[2]SalmonProps!$D$2:$D$10001)*("A1" = [2]SalmonProps!$B$2:$B$10001)*($AP61 = [2]SalmonProps!$F$2:$F$10001) *($AR61 = [2]SalmonProps!$G$2:$G$10001),0), 17))</f>
        <v>0.51910000000000001</v>
      </c>
      <c r="G61" s="165" cm="1">
        <f t="array" ref="G61">IF(ISBLANK($AQ61), "", INDEX([2]SalmonProps!$A$2:$AA$10001,MATCH(1,($A61=[2]SalmonProps!$A$2:$A$10001)*(1=[2]SalmonProps!$C$2:$C$10001)*(1=[2]SalmonProps!$D$2:$D$10001)*("A2" = [2]SalmonProps!$B$2:$B$10001)*($AP61 = [2]SalmonProps!$F$2:$F$10001) *($AR61 = [2]SalmonProps!$G$2:$G$10001),0), 17))</f>
        <v>0.107</v>
      </c>
      <c r="H61" s="166" cm="1">
        <f t="array" ref="H61">IF(ISBLANK($AQ61), "", INDEX([2]SalmonProps!$A$2:$AA$10001,MATCH(1,($A61=[2]SalmonProps!$A$2:$A$10001)*(2=[2]SalmonProps!$C$2:$C$10001)*(1=[2]SalmonProps!$D$2:$D$10001)*("A2" = [2]SalmonProps!$B$2:$B$10001)*($AP61 = [2]SalmonProps!$F$2:$F$10001) *($AR61 = [2]SalmonProps!$G$2:$G$10001),0), 17))</f>
        <v>0.2913</v>
      </c>
      <c r="I61" s="167" cm="1">
        <f t="array" ref="I61">IF(ISBLANK($AQ61), "", INDEX([2]SalmonProps!$A$2:$AA$10001,MATCH(1,($A61=[2]SalmonProps!$A$2:$A$10001)*(3=[2]SalmonProps!$C$2:$C$10001)*(1=[2]SalmonProps!$D$2:$D$10001)*("A2" = [2]SalmonProps!$B$2:$B$10001)*($AP61 = [2]SalmonProps!$F$2:$F$10001) *($AR61 = [2]SalmonProps!$G$2:$G$10001),0), 17))</f>
        <v>0.62170000000000003</v>
      </c>
      <c r="J61" s="164" t="str" cm="1">
        <f t="array" ref="J61">IF(ISBLANK($AQ61), "", INDEX([2]SalmonProps!$A$2:$AA$10001,MATCH(1,($A61=[2]SalmonProps!$A$2:$A$10001)*(1=[2]SalmonProps!$C$2:$C$10001)*(1=[2]SalmonProps!$D$2:$D$10001)*("A1" = [2]SalmonProps!$B$2:$B$10001)*($AP61 = [2]SalmonProps!$F$2:$F$10001) *($AR61 = [2]SalmonProps!$G$2:$G$10001),0), 19))</f>
        <v>NA</v>
      </c>
      <c r="K61" s="165" t="str" cm="1">
        <f t="array" ref="K61">IF(ISBLANK($AQ61), "", INDEX([2]SalmonProps!$A$2:$AA$10001,MATCH(1,($A61=[2]SalmonProps!$A$2:$A$10001)*(1=[2]SalmonProps!$C$2:$C$10001)*(2=[2]SalmonProps!$D$2:$D$10001)*("A1" = [2]SalmonProps!$B$2:$B$10001)*($AP61 = [2]SalmonProps!$F$2:$F$10001) *($AR61 = [2]SalmonProps!$G$2:$G$10001),0), 19))</f>
        <v>NA</v>
      </c>
      <c r="L61" s="165" t="str" cm="1">
        <f t="array" ref="L61">IF(ISBLANK($AQ61), "", INDEX([2]SalmonProps!$A$2:$AA$10001,MATCH(1,($A61=[2]SalmonProps!$A$2:$A$10001)*(1=[2]SalmonProps!$C$2:$C$10001)*("1&amp;2"=[2]SalmonProps!$D$2:$D$10001)*("A1" = [2]SalmonProps!$B$2:$B$10001)*($AP61 = [2]SalmonProps!$F$2:$F$10001) *($AR61 = [2]SalmonProps!$G$2:$G$10001),0), 19))</f>
        <v>NA</v>
      </c>
      <c r="M61" s="165" t="str" cm="1">
        <f t="array" ref="M61">IF(ISBLANK($AQ61), "", INDEX([2]SalmonProps!$A$2:$AA$10001,MATCH(1,($A61=[2]SalmonProps!$A$2:$A$10001)*(2=[2]SalmonProps!$C$2:$C$10001)*(3=[2]SalmonProps!$D$2:$D$10001)*("A1" = [2]SalmonProps!$B$2:$B$10001)*($AP61 = [2]SalmonProps!$F$2:$F$10001) *($AR61 = [2]SalmonProps!$G$2:$G$10001),0), 19))</f>
        <v>NA</v>
      </c>
      <c r="N61" s="181" t="str" cm="1">
        <f t="array" ref="N61">IF(ISBLANK($AQ61), "", INDEX([2]SalmonProps!$A$2:$AA$10001,MATCH(1,($A61=[2]SalmonProps!$A$2:$A$10001)*(3=[2]SalmonProps!$C$2:$C$10001)*(3=[2]SalmonProps!$D$2:$D$10001)*("A1" = [2]SalmonProps!$B$2:$B$10001)*($AP61 = [2]SalmonProps!$F$2:$F$10001) *($AR61 = [2]SalmonProps!$G$2:$G$10001),0), 19))</f>
        <v>NA</v>
      </c>
      <c r="O61" s="165" t="str" cm="1">
        <f t="array" ref="O61">IF(ISBLANK($AQ61), "", INDEX([2]SalmonProps!$A$2:$AA$10001,MATCH(1,($A61=[2]SalmonProps!$A$2:$A$10001)*(1=[2]SalmonProps!$C$2:$C$10001)*(1=[2]SalmonProps!$D$2:$D$10001)*("A2" = [2]SalmonProps!$B$2:$B$10001)*($AP61 = [2]SalmonProps!$F$2:$F$10001) *($AR61 = [2]SalmonProps!$G$2:$G$10001),0), 19))</f>
        <v>NA</v>
      </c>
      <c r="P61" s="165" t="str" cm="1">
        <f t="array" ref="P61">IF(ISBLANK($AQ61), "", INDEX([2]SalmonProps!$A$2:$AA$10001,MATCH(1,($A61=[2]SalmonProps!$A$2:$A$10001)*(2=[2]SalmonProps!$C$2:$C$10001)*(1=[2]SalmonProps!$D$2:$D$10001)*("A2" = [2]SalmonProps!$B$2:$B$10001)*($AP61 = [2]SalmonProps!$F$2:$F$10001) *($AR61 = [2]SalmonProps!$G$2:$G$10001),0), 19))</f>
        <v>NA</v>
      </c>
      <c r="Q61" s="168" t="str" cm="1">
        <f t="array" ref="Q61">IF(ISBLANK($AQ61), "", INDEX([2]SalmonProps!$A$2:$AA$10001,MATCH(1,($A61=[2]SalmonProps!$A$2:$A$10001)*(3=[2]SalmonProps!$C$2:$C$10001)*(1=[2]SalmonProps!$D$2:$D$10001)*("A2" = [2]SalmonProps!$B$2:$B$10001)*($AP61 = [2]SalmonProps!$F$2:$F$10001) *($AR61 = [2]SalmonProps!$G$2:$G$10001),0), 19))</f>
        <v>NA</v>
      </c>
      <c r="R61" s="164" cm="1">
        <f t="array" ref="R61">IF(ISBLANK($AQ61), "", INDEX([2]SalmonProps!$A$2:$AA$10001,MATCH(1,($A61=[2]SalmonProps!$A$2:$A$10001)*(1=[2]SalmonProps!$C$2:$C$10001)*(1=[2]SalmonProps!$D$2:$D$10001)*("A1" = [2]SalmonProps!$B$2:$B$10001)*($AP61 = [2]SalmonProps!$F$2:$F$10001) *($AR61 = [2]SalmonProps!$G$2:$G$10001),0), 18))</f>
        <v>0.19209999999999999</v>
      </c>
      <c r="S61" s="165" cm="1">
        <f t="array" ref="S61">IF(ISBLANK($AQ61), "", INDEX([2]SalmonProps!$A$2:$AA$10001,MATCH(1,($A61=[2]SalmonProps!$A$2:$A$10001)*(1=[2]SalmonProps!$C$2:$C$10001)*(2=[2]SalmonProps!$D$2:$D$10001)*("A1" = [2]SalmonProps!$B$2:$B$10001)*($AP61 = [2]SalmonProps!$F$2:$F$10001) *($AR61 = [2]SalmonProps!$G$2:$G$10001),0), 18))</f>
        <v>0.44069999999999998</v>
      </c>
      <c r="T61" s="165" cm="1">
        <f t="array" ref="T61">IF(ISBLANK($AQ61), "", INDEX([2]SalmonProps!$A$2:$AA$10001,MATCH(1,($A61=[2]SalmonProps!$A$2:$A$10001)*(1=[2]SalmonProps!$C$2:$C$10001)*("1&amp;2"=[2]SalmonProps!$D$2:$D$10001)*("A1" = [2]SalmonProps!$B$2:$B$10001)*($AP61 = [2]SalmonProps!$F$2:$F$10001) *($AR61 = [2]SalmonProps!$G$2:$G$10001),0), 18))</f>
        <v>0.28699999999999998</v>
      </c>
      <c r="U61" s="165" cm="1">
        <f t="array" ref="U61">IF(ISBLANK($AQ61), "", INDEX([2]SalmonProps!$A$2:$AA$10001,MATCH(1,($A61=[2]SalmonProps!$A$2:$A$10001)*(2=[2]SalmonProps!$C$2:$C$10001)*(3=[2]SalmonProps!$D$2:$D$10001)*("A1" = [2]SalmonProps!$B$2:$B$10001)*($AP61 = [2]SalmonProps!$F$2:$F$10001) *($AR61 = [2]SalmonProps!$G$2:$G$10001),0), 18))</f>
        <v>0.36</v>
      </c>
      <c r="V61" s="181" cm="1">
        <f t="array" ref="V61">IF(ISBLANK($AQ61), "", INDEX([2]SalmonProps!$A$2:$AA$10001,MATCH(1,($A61=[2]SalmonProps!$A$2:$A$10001)*(3=[2]SalmonProps!$C$2:$C$10001)*(3=[2]SalmonProps!$D$2:$D$10001)*("A1" = [2]SalmonProps!$B$2:$B$10001)*($AP61 = [2]SalmonProps!$F$2:$F$10001) *($AR61 = [2]SalmonProps!$G$2:$G$10001),0), 18))</f>
        <v>0.34789999999999999</v>
      </c>
      <c r="W61" s="180" cm="1">
        <f t="array" ref="W61">IF(ISBLANK($AQ61), "", INDEX([2]SalmonProps!$A$2:$AA$10001,MATCH(1,($A61=[2]SalmonProps!$A$2:$A$10001)*(1=[2]SalmonProps!$C$2:$C$10001)*(1=[2]SalmonProps!$D$2:$D$10001)*("A2" = [2]SalmonProps!$B$2:$B$10001)*($AP61 = [2]SalmonProps!$F$2:$F$10001) *($AR61 = [2]SalmonProps!$G$2:$G$10001),0), 18))</f>
        <v>0.4274</v>
      </c>
      <c r="X61" s="165" cm="1">
        <f t="array" ref="X61">IF(ISBLANK($AQ61), "", INDEX([2]SalmonProps!$A$2:$AA$10001,MATCH(1,($A61=[2]SalmonProps!$A$2:$A$10001)*(2=[2]SalmonProps!$C$2:$C$10001)*(1=[2]SalmonProps!$D$2:$D$10001)*("A2" = [2]SalmonProps!$B$2:$B$10001)*($AP61 = [2]SalmonProps!$F$2:$F$10001) *($AR61 = [2]SalmonProps!$G$2:$G$10001),0), 18))</f>
        <v>0.35859999999999997</v>
      </c>
      <c r="Y61" s="168" cm="1">
        <f t="array" ref="Y61">IF(ISBLANK($AQ61), "", INDEX([2]SalmonProps!$A$2:$AA$10001,MATCH(1,($A61=[2]SalmonProps!$A$2:$A$10001)*(3=[2]SalmonProps!$C$2:$C$10001)*(1=[2]SalmonProps!$D$2:$D$10001)*("A2" = [2]SalmonProps!$B$2:$B$10001)*($AP61 = [2]SalmonProps!$F$2:$F$10001) *($AR61 = [2]SalmonProps!$G$2:$G$10001),0), 18))</f>
        <v>0.34570000000000001</v>
      </c>
      <c r="Z61" s="164" cm="1">
        <f t="array" ref="Z61">IF(ISBLANK($AQ61), "", INDEX([2]SalmonProps!$A$2:$AA$10001,MATCH(1,($A61=[2]SalmonProps!$A$2:$A$10001)*(1=[2]SalmonProps!$C$2:$C$10001)*(1=[2]SalmonProps!$D$2:$D$10001)*("A1" = [2]SalmonProps!$B$2:$B$10001)*($AP61 = [2]SalmonProps!$F$2:$F$10001) *($AR61 = [2]SalmonProps!$G$2:$G$10001),0), 15))</f>
        <v>0.22539999999999999</v>
      </c>
      <c r="AA61" s="165" cm="1">
        <f t="array" ref="AA61">IF(ISBLANK($AQ61), "", INDEX([2]SalmonProps!$A$2:$AA$10001,MATCH(1,($A61=[2]SalmonProps!$A$2:$A$10001)*(1=[2]SalmonProps!$C$2:$C$10001)*(2=[2]SalmonProps!$D$2:$D$10001)*("A1" = [2]SalmonProps!$B$2:$B$10001)*($AP61 = [2]SalmonProps!$F$2:$F$10001) *($AR61 = [2]SalmonProps!$G$2:$G$10001),0), 15))</f>
        <v>0.4486</v>
      </c>
      <c r="AB61" s="165" cm="1">
        <f t="array" ref="AB61">IF(ISBLANK($AQ61), "", INDEX([2]SalmonProps!$A$2:$AA$10001,MATCH(1,($A61=[2]SalmonProps!$A$2:$A$10001)*(1=[2]SalmonProps!$C$2:$C$10001)*("1&amp;2"=[2]SalmonProps!$D$2:$D$10001)*("A1" = [2]SalmonProps!$B$2:$B$10001)*($AP61 = [2]SalmonProps!$F$2:$F$10001) *($AR61 = [2]SalmonProps!$G$2:$G$10001),0), 15))</f>
        <v>0.29049999999999998</v>
      </c>
      <c r="AC61" s="165" cm="1">
        <f t="array" ref="AC61">IF(ISBLANK($AQ61), "", INDEX([2]SalmonProps!$A$2:$AA$10001,MATCH(1,($A61=[2]SalmonProps!$A$2:$A$10001)*(2=[2]SalmonProps!$C$2:$C$10001)*(3=[2]SalmonProps!$D$2:$D$10001)*("A1" = [2]SalmonProps!$B$2:$B$10001)*($AP61 = [2]SalmonProps!$F$2:$F$10001) *($AR61 = [2]SalmonProps!$G$2:$G$10001),0), 15))</f>
        <v>0.73740000000000006</v>
      </c>
      <c r="AD61" s="181" cm="1">
        <f t="array" ref="AD61">IF(ISBLANK($AQ61), "", INDEX([2]SalmonProps!$A$2:$AA$10001,MATCH(1,($A61=[2]SalmonProps!$A$2:$A$10001)*(3=[2]SalmonProps!$C$2:$C$10001)*(3=[2]SalmonProps!$D$2:$D$10001)*("A1" = [2]SalmonProps!$B$2:$B$10001)*($AP61 = [2]SalmonProps!$F$2:$F$10001) *($AR61 = [2]SalmonProps!$G$2:$G$10001),0), 15))</f>
        <v>0.9657</v>
      </c>
      <c r="AE61" s="166" cm="1">
        <f t="array" ref="AE61">IF(ISBLANK($AQ61), "", INDEX([2]SalmonProps!$A$2:$AA$10001,MATCH(1,($A61=[2]SalmonProps!$A$2:$A$10001)*(1=[2]SalmonProps!$C$2:$C$10001)*(1=[2]SalmonProps!$D$2:$D$10001)*("A2" = [2]SalmonProps!$B$2:$B$10001)*($AP61 = [2]SalmonProps!$F$2:$F$10001) *($AR61 = [2]SalmonProps!$G$2:$G$10001),0), 15))</f>
        <v>0.53439999999999999</v>
      </c>
      <c r="AF61" s="166" cm="1">
        <f t="array" ref="AF61">IF(ISBLANK($AQ61), "", INDEX([2]SalmonProps!$A$2:$AA$10001,MATCH(1,($A61=[2]SalmonProps!$A$2:$A$10001)*(2=[2]SalmonProps!$C$2:$C$10001)*(1=[2]SalmonProps!$D$2:$D$10001)*("A2" = [2]SalmonProps!$B$2:$B$10001)*($AP61 = [2]SalmonProps!$F$2:$F$10001) *($AR61 = [2]SalmonProps!$G$2:$G$10001),0), 15))</f>
        <v>0.84660000000000002</v>
      </c>
      <c r="AG61" s="167" cm="1">
        <f t="array" ref="AG61">IF(ISBLANK($AQ61), "", INDEX([2]SalmonProps!$A$2:$AA$10001,MATCH(1,($A61=[2]SalmonProps!$A$2:$A$10001)*(3=[2]SalmonProps!$C$2:$C$10001)*(1=[2]SalmonProps!$D$2:$D$10001)*("A2" = [2]SalmonProps!$B$2:$B$10001)*($AP61 = [2]SalmonProps!$F$2:$F$10001) *($AR61 = [2]SalmonProps!$G$2:$G$10001),0), 15))</f>
        <v>0.96740000000000004</v>
      </c>
      <c r="AH61" s="173" cm="1">
        <f t="array" ref="AH61">IF(ISBLANK($AQ61), "", INDEX([2]SalmonProps!$A$2:$AA$10001,MATCH(1,($A61=[2]SalmonProps!$A$2:$A$10001)*($AP61 = [2]SalmonProps!$F$2:$F$10001) *($AR61 = [2]SalmonProps!$G$2:$G$10001),0), 24))</f>
        <v>52.3</v>
      </c>
      <c r="AI61" s="183" cm="1">
        <f t="array" ref="AI61">IF(ISBLANK($AQ61), "", INDEX([2]SalmonProps!$A$2:$AA$10001,MATCH(1,($A61=[2]SalmonProps!$A$2:$A$10001)*($AP61 = [2]SalmonProps!$F$2:$F$10001) *($AR61 = [2]SalmonProps!$G$2:$G$10001),0), 25))</f>
        <v>6.8</v>
      </c>
      <c r="AJ61" s="174" cm="1">
        <f t="array" ref="AJ61">IF(ISBLANK($AQ61), "", INDEX([2]SalmonProps!$A$2:$AA$10001,MATCH(1,($A61=[2]SalmonProps!$A$2:$A$10001)*($AP61 = [2]SalmonProps!$F$2:$F$10001) *($AR61 = [2]SalmonProps!$G$2:$G$10001),0), 20))</f>
        <v>59</v>
      </c>
      <c r="AK61" s="183" cm="1">
        <f t="array" ref="AK61">IF(ISBLANK($AQ61), "", INDEX([2]SalmonProps!$A$2:$AA$10001,MATCH(1,($A61=[2]SalmonProps!$A$2:$A$10001)*($AP61 = [2]SalmonProps!$F$2:$F$10001) *($AR61 = [2]SalmonProps!$G$2:$G$10001),0), 21))</f>
        <v>4.8</v>
      </c>
      <c r="AL61" s="174" cm="1">
        <f t="array" ref="AL61">IF(ISBLANK($AQ61), "", INDEX([2]SalmonProps!$A$2:$AA$10001,MATCH(1,($A61=[2]SalmonProps!$A$2:$A$10001)*($AP61 = [2]SalmonProps!$F$2:$F$10001) *($AR61 = [2]SalmonProps!$G$2:$G$10001),0), 22))</f>
        <v>73.8</v>
      </c>
      <c r="AM61" s="183" cm="1">
        <f t="array" ref="AM61">IF(ISBLANK($AQ61), "", INDEX([2]SalmonProps!$A$2:$AA$10001,MATCH(1,($A61=[2]SalmonProps!$A$2:$A$10001)*($AP61 = [2]SalmonProps!$F$2:$F$10001) *($AR61 = [2]SalmonProps!$G$2:$G$10001),0), 23))</f>
        <v>7.5</v>
      </c>
      <c r="AN61" s="174" t="str" cm="1">
        <f t="array" ref="AN61">IF(ISBLANK($AQ61), "", INDEX([2]SalmonProps!$A$2:$AA$10001,MATCH(1,($A61=[2]SalmonProps!$A$2:$A$10001)*($AP61 = [2]SalmonProps!$F$2:$F$10001) *($AR61 = [2]SalmonProps!$G$2:$G$10001),0), 26))</f>
        <v>NA</v>
      </c>
      <c r="AO61" s="175" t="str" cm="1">
        <f t="array" ref="AO61">IF(ISBLANK($AQ61), "", INDEX([2]SalmonProps!$A$2:$AA$10001,MATCH(1,($A61=[2]SalmonProps!$A$2:$A$10001)*($AP61 = [2]SalmonProps!$F$2:$F$10001) *($AR61 = [2]SalmonProps!$G$2:$G$10001),0), 27))</f>
        <v>NA</v>
      </c>
      <c r="AP61" s="112">
        <v>4</v>
      </c>
      <c r="AQ61" s="112" t="s">
        <v>133</v>
      </c>
      <c r="AR61" s="112" t="str">
        <f t="shared" si="1"/>
        <v>Unweighted</v>
      </c>
    </row>
    <row r="62" spans="1:44" x14ac:dyDescent="0.3">
      <c r="A62" s="20">
        <f>'[1]Passage Estimates'!$A62</f>
        <v>45164</v>
      </c>
      <c r="B62" s="164" cm="1">
        <f t="array" ref="B62">IF(ISBLANK($AQ62), "", INDEX([2]SalmonProps!$A$2:$AA$10001,MATCH(1,($A62=[2]SalmonProps!$A$2:$A$10001)*(1=[2]SalmonProps!$C$2:$C$10001)*(1=[2]SalmonProps!$D$2:$D$10001)*("A1" = [2]SalmonProps!$B$2:$B$10001)*($AP62 = [2]SalmonProps!$F$2:$F$10001) *($AR62 = [2]SalmonProps!$G$2:$G$10001),0), 17))</f>
        <v>2.3800000000000002E-2</v>
      </c>
      <c r="C62" s="165" cm="1">
        <f t="array" ref="C62">IF(ISBLANK($AQ62), "", INDEX([2]SalmonProps!$A$2:$AA$10001,MATCH(1,($A62=[2]SalmonProps!$A$2:$A$10001)*(1=[2]SalmonProps!$C$2:$C$10001)*(2=[2]SalmonProps!$D$2:$D$10001)*("A1" = [2]SalmonProps!$B$2:$B$10001)*($AP62 = [2]SalmonProps!$F$2:$F$10001) *($AR62 = [2]SalmonProps!$G$2:$G$10001),0), 17))</f>
        <v>2.8999999999999998E-3</v>
      </c>
      <c r="D62" s="165" cm="1">
        <f t="array" ref="D62">IF(ISBLANK($AQ62), "", INDEX([2]SalmonProps!$A$2:$AA$10001,MATCH(1,($A62=[2]SalmonProps!$A$2:$A$10001)*(1=[2]SalmonProps!$C$2:$C$10001)*("1&amp;2"=[2]SalmonProps!$D$2:$D$10001)*("A1" = [2]SalmonProps!$B$2:$B$10001)*($AP62 = [2]SalmonProps!$F$2:$F$10001) *($AR62 = [2]SalmonProps!$G$2:$G$10001),0), 17))</f>
        <v>1.3100000000000001E-2</v>
      </c>
      <c r="E62" s="181" cm="1">
        <f t="array" ref="E62">IF(ISBLANK($AQ62), "", INDEX([2]SalmonProps!$A$2:$AA$10001,MATCH(1,($A62=[2]SalmonProps!$A$2:$A$10001)*(2=[2]SalmonProps!$C$2:$C$10001)*(3=[2]SalmonProps!$D$2:$D$10001)*("A1" = [2]SalmonProps!$B$2:$B$10001)*($AP62 = [2]SalmonProps!$F$2:$F$10001) *($AR62 = [2]SalmonProps!$G$2:$G$10001),0), 17))</f>
        <v>0.16170000000000001</v>
      </c>
      <c r="F62" s="165" cm="1">
        <f t="array" ref="F62">IF(ISBLANK($AQ62), "", INDEX([2]SalmonProps!$A$2:$AA$10001,MATCH(1,($A62=[2]SalmonProps!$A$2:$A$10001)*(3=[2]SalmonProps!$C$2:$C$10001)*(3=[2]SalmonProps!$D$2:$D$10001)*("A1" = [2]SalmonProps!$B$2:$B$10001)*($AP62 = [2]SalmonProps!$F$2:$F$10001) *($AR62 = [2]SalmonProps!$G$2:$G$10001),0), 17))</f>
        <v>0.63819999999999999</v>
      </c>
      <c r="G62" s="165" cm="1">
        <f t="array" ref="G62">IF(ISBLANK($AQ62), "", INDEX([2]SalmonProps!$A$2:$AA$10001,MATCH(1,($A62=[2]SalmonProps!$A$2:$A$10001)*(1=[2]SalmonProps!$C$2:$C$10001)*(1=[2]SalmonProps!$D$2:$D$10001)*("A2" = [2]SalmonProps!$B$2:$B$10001)*($AP62 = [2]SalmonProps!$F$2:$F$10001) *($AR62 = [2]SalmonProps!$G$2:$G$10001),0), 17))</f>
        <v>0.107</v>
      </c>
      <c r="H62" s="166" cm="1">
        <f t="array" ref="H62">IF(ISBLANK($AQ62), "", INDEX([2]SalmonProps!$A$2:$AA$10001,MATCH(1,($A62=[2]SalmonProps!$A$2:$A$10001)*(2=[2]SalmonProps!$C$2:$C$10001)*(1=[2]SalmonProps!$D$2:$D$10001)*("A2" = [2]SalmonProps!$B$2:$B$10001)*($AP62 = [2]SalmonProps!$F$2:$F$10001) *($AR62 = [2]SalmonProps!$G$2:$G$10001),0), 17))</f>
        <v>0.2913</v>
      </c>
      <c r="I62" s="167" cm="1">
        <f t="array" ref="I62">IF(ISBLANK($AQ62), "", INDEX([2]SalmonProps!$A$2:$AA$10001,MATCH(1,($A62=[2]SalmonProps!$A$2:$A$10001)*(3=[2]SalmonProps!$C$2:$C$10001)*(1=[2]SalmonProps!$D$2:$D$10001)*("A2" = [2]SalmonProps!$B$2:$B$10001)*($AP62 = [2]SalmonProps!$F$2:$F$10001) *($AR62 = [2]SalmonProps!$G$2:$G$10001),0), 17))</f>
        <v>0.62170000000000003</v>
      </c>
      <c r="J62" s="164" t="str" cm="1">
        <f t="array" ref="J62">IF(ISBLANK($AQ62), "", INDEX([2]SalmonProps!$A$2:$AA$10001,MATCH(1,($A62=[2]SalmonProps!$A$2:$A$10001)*(1=[2]SalmonProps!$C$2:$C$10001)*(1=[2]SalmonProps!$D$2:$D$10001)*("A1" = [2]SalmonProps!$B$2:$B$10001)*($AP62 = [2]SalmonProps!$F$2:$F$10001) *($AR62 = [2]SalmonProps!$G$2:$G$10001),0), 19))</f>
        <v>NA</v>
      </c>
      <c r="K62" s="165" t="str" cm="1">
        <f t="array" ref="K62">IF(ISBLANK($AQ62), "", INDEX([2]SalmonProps!$A$2:$AA$10001,MATCH(1,($A62=[2]SalmonProps!$A$2:$A$10001)*(1=[2]SalmonProps!$C$2:$C$10001)*(2=[2]SalmonProps!$D$2:$D$10001)*("A1" = [2]SalmonProps!$B$2:$B$10001)*($AP62 = [2]SalmonProps!$F$2:$F$10001) *($AR62 = [2]SalmonProps!$G$2:$G$10001),0), 19))</f>
        <v>NA</v>
      </c>
      <c r="L62" s="165" t="str" cm="1">
        <f t="array" ref="L62">IF(ISBLANK($AQ62), "", INDEX([2]SalmonProps!$A$2:$AA$10001,MATCH(1,($A62=[2]SalmonProps!$A$2:$A$10001)*(1=[2]SalmonProps!$C$2:$C$10001)*("1&amp;2"=[2]SalmonProps!$D$2:$D$10001)*("A1" = [2]SalmonProps!$B$2:$B$10001)*($AP62 = [2]SalmonProps!$F$2:$F$10001) *($AR62 = [2]SalmonProps!$G$2:$G$10001),0), 19))</f>
        <v>NA</v>
      </c>
      <c r="M62" s="165" t="str" cm="1">
        <f t="array" ref="M62">IF(ISBLANK($AQ62), "", INDEX([2]SalmonProps!$A$2:$AA$10001,MATCH(1,($A62=[2]SalmonProps!$A$2:$A$10001)*(2=[2]SalmonProps!$C$2:$C$10001)*(3=[2]SalmonProps!$D$2:$D$10001)*("A1" = [2]SalmonProps!$B$2:$B$10001)*($AP62 = [2]SalmonProps!$F$2:$F$10001) *($AR62 = [2]SalmonProps!$G$2:$G$10001),0), 19))</f>
        <v>NA</v>
      </c>
      <c r="N62" s="181" t="str" cm="1">
        <f t="array" ref="N62">IF(ISBLANK($AQ62), "", INDEX([2]SalmonProps!$A$2:$AA$10001,MATCH(1,($A62=[2]SalmonProps!$A$2:$A$10001)*(3=[2]SalmonProps!$C$2:$C$10001)*(3=[2]SalmonProps!$D$2:$D$10001)*("A1" = [2]SalmonProps!$B$2:$B$10001)*($AP62 = [2]SalmonProps!$F$2:$F$10001) *($AR62 = [2]SalmonProps!$G$2:$G$10001),0), 19))</f>
        <v>NA</v>
      </c>
      <c r="O62" s="165" t="str" cm="1">
        <f t="array" ref="O62">IF(ISBLANK($AQ62), "", INDEX([2]SalmonProps!$A$2:$AA$10001,MATCH(1,($A62=[2]SalmonProps!$A$2:$A$10001)*(1=[2]SalmonProps!$C$2:$C$10001)*(1=[2]SalmonProps!$D$2:$D$10001)*("A2" = [2]SalmonProps!$B$2:$B$10001)*($AP62 = [2]SalmonProps!$F$2:$F$10001) *($AR62 = [2]SalmonProps!$G$2:$G$10001),0), 19))</f>
        <v>NA</v>
      </c>
      <c r="P62" s="165" t="str" cm="1">
        <f t="array" ref="P62">IF(ISBLANK($AQ62), "", INDEX([2]SalmonProps!$A$2:$AA$10001,MATCH(1,($A62=[2]SalmonProps!$A$2:$A$10001)*(2=[2]SalmonProps!$C$2:$C$10001)*(1=[2]SalmonProps!$D$2:$D$10001)*("A2" = [2]SalmonProps!$B$2:$B$10001)*($AP62 = [2]SalmonProps!$F$2:$F$10001) *($AR62 = [2]SalmonProps!$G$2:$G$10001),0), 19))</f>
        <v>NA</v>
      </c>
      <c r="Q62" s="168" t="str" cm="1">
        <f t="array" ref="Q62">IF(ISBLANK($AQ62), "", INDEX([2]SalmonProps!$A$2:$AA$10001,MATCH(1,($A62=[2]SalmonProps!$A$2:$A$10001)*(3=[2]SalmonProps!$C$2:$C$10001)*(1=[2]SalmonProps!$D$2:$D$10001)*("A2" = [2]SalmonProps!$B$2:$B$10001)*($AP62 = [2]SalmonProps!$F$2:$F$10001) *($AR62 = [2]SalmonProps!$G$2:$G$10001),0), 19))</f>
        <v>NA</v>
      </c>
      <c r="R62" s="164" cm="1">
        <f t="array" ref="R62">IF(ISBLANK($AQ62), "", INDEX([2]SalmonProps!$A$2:$AA$10001,MATCH(1,($A62=[2]SalmonProps!$A$2:$A$10001)*(1=[2]SalmonProps!$C$2:$C$10001)*(1=[2]SalmonProps!$D$2:$D$10001)*("A1" = [2]SalmonProps!$B$2:$B$10001)*($AP62 = [2]SalmonProps!$F$2:$F$10001) *($AR62 = [2]SalmonProps!$G$2:$G$10001),0), 18))</f>
        <v>0.2152</v>
      </c>
      <c r="S62" s="165" cm="1">
        <f t="array" ref="S62">IF(ISBLANK($AQ62), "", INDEX([2]SalmonProps!$A$2:$AA$10001,MATCH(1,($A62=[2]SalmonProps!$A$2:$A$10001)*(1=[2]SalmonProps!$C$2:$C$10001)*(2=[2]SalmonProps!$D$2:$D$10001)*("A1" = [2]SalmonProps!$B$2:$B$10001)*($AP62 = [2]SalmonProps!$F$2:$F$10001) *($AR62 = [2]SalmonProps!$G$2:$G$10001),0), 18))</f>
        <v>0.28810000000000002</v>
      </c>
      <c r="T62" s="165" cm="1">
        <f t="array" ref="T62">IF(ISBLANK($AQ62), "", INDEX([2]SalmonProps!$A$2:$AA$10001,MATCH(1,($A62=[2]SalmonProps!$A$2:$A$10001)*(1=[2]SalmonProps!$C$2:$C$10001)*("1&amp;2"=[2]SalmonProps!$D$2:$D$10001)*("A1" = [2]SalmonProps!$B$2:$B$10001)*($AP62 = [2]SalmonProps!$F$2:$F$10001) *($AR62 = [2]SalmonProps!$G$2:$G$10001),0), 18))</f>
        <v>0.2535</v>
      </c>
      <c r="U62" s="165" cm="1">
        <f t="array" ref="U62">IF(ISBLANK($AQ62), "", INDEX([2]SalmonProps!$A$2:$AA$10001,MATCH(1,($A62=[2]SalmonProps!$A$2:$A$10001)*(2=[2]SalmonProps!$C$2:$C$10001)*(3=[2]SalmonProps!$D$2:$D$10001)*("A1" = [2]SalmonProps!$B$2:$B$10001)*($AP62 = [2]SalmonProps!$F$2:$F$10001) *($AR62 = [2]SalmonProps!$G$2:$G$10001),0), 18))</f>
        <v>3.7699999999999997E-2</v>
      </c>
      <c r="V62" s="181" cm="1">
        <f t="array" ref="V62">IF(ISBLANK($AQ62), "", INDEX([2]SalmonProps!$A$2:$AA$10001,MATCH(1,($A62=[2]SalmonProps!$A$2:$A$10001)*(3=[2]SalmonProps!$C$2:$C$10001)*(3=[2]SalmonProps!$D$2:$D$10001)*("A1" = [2]SalmonProps!$B$2:$B$10001)*($AP62 = [2]SalmonProps!$F$2:$F$10001) *($AR62 = [2]SalmonProps!$G$2:$G$10001),0), 18))</f>
        <v>0.1767</v>
      </c>
      <c r="W62" s="180" cm="1">
        <f t="array" ref="W62">IF(ISBLANK($AQ62), "", INDEX([2]SalmonProps!$A$2:$AA$10001,MATCH(1,($A62=[2]SalmonProps!$A$2:$A$10001)*(1=[2]SalmonProps!$C$2:$C$10001)*(1=[2]SalmonProps!$D$2:$D$10001)*("A2" = [2]SalmonProps!$B$2:$B$10001)*($AP62 = [2]SalmonProps!$F$2:$F$10001) *($AR62 = [2]SalmonProps!$G$2:$G$10001),0), 18))</f>
        <v>0.4274</v>
      </c>
      <c r="X62" s="165" cm="1">
        <f t="array" ref="X62">IF(ISBLANK($AQ62), "", INDEX([2]SalmonProps!$A$2:$AA$10001,MATCH(1,($A62=[2]SalmonProps!$A$2:$A$10001)*(2=[2]SalmonProps!$C$2:$C$10001)*(1=[2]SalmonProps!$D$2:$D$10001)*("A2" = [2]SalmonProps!$B$2:$B$10001)*($AP62 = [2]SalmonProps!$F$2:$F$10001) *($AR62 = [2]SalmonProps!$G$2:$G$10001),0), 18))</f>
        <v>0.35859999999999997</v>
      </c>
      <c r="Y62" s="168" cm="1">
        <f t="array" ref="Y62">IF(ISBLANK($AQ62), "", INDEX([2]SalmonProps!$A$2:$AA$10001,MATCH(1,($A62=[2]SalmonProps!$A$2:$A$10001)*(3=[2]SalmonProps!$C$2:$C$10001)*(1=[2]SalmonProps!$D$2:$D$10001)*("A2" = [2]SalmonProps!$B$2:$B$10001)*($AP62 = [2]SalmonProps!$F$2:$F$10001) *($AR62 = [2]SalmonProps!$G$2:$G$10001),0), 18))</f>
        <v>0.34570000000000001</v>
      </c>
      <c r="Z62" s="164" cm="1">
        <f t="array" ref="Z62">IF(ISBLANK($AQ62), "", INDEX([2]SalmonProps!$A$2:$AA$10001,MATCH(1,($A62=[2]SalmonProps!$A$2:$A$10001)*(1=[2]SalmonProps!$C$2:$C$10001)*(1=[2]SalmonProps!$D$2:$D$10001)*("A1" = [2]SalmonProps!$B$2:$B$10001)*($AP62 = [2]SalmonProps!$F$2:$F$10001) *($AR62 = [2]SalmonProps!$G$2:$G$10001),0), 15))</f>
        <v>0.23899999999999999</v>
      </c>
      <c r="AA62" s="165" cm="1">
        <f t="array" ref="AA62">IF(ISBLANK($AQ62), "", INDEX([2]SalmonProps!$A$2:$AA$10001,MATCH(1,($A62=[2]SalmonProps!$A$2:$A$10001)*(1=[2]SalmonProps!$C$2:$C$10001)*(2=[2]SalmonProps!$D$2:$D$10001)*("A1" = [2]SalmonProps!$B$2:$B$10001)*($AP62 = [2]SalmonProps!$F$2:$F$10001) *($AR62 = [2]SalmonProps!$G$2:$G$10001),0), 15))</f>
        <v>0.29099999999999998</v>
      </c>
      <c r="AB62" s="165" cm="1">
        <f t="array" ref="AB62">IF(ISBLANK($AQ62), "", INDEX([2]SalmonProps!$A$2:$AA$10001,MATCH(1,($A62=[2]SalmonProps!$A$2:$A$10001)*(1=[2]SalmonProps!$C$2:$C$10001)*("1&amp;2"=[2]SalmonProps!$D$2:$D$10001)*("A1" = [2]SalmonProps!$B$2:$B$10001)*($AP62 = [2]SalmonProps!$F$2:$F$10001) *($AR62 = [2]SalmonProps!$G$2:$G$10001),0), 15))</f>
        <v>0.2666</v>
      </c>
      <c r="AC62" s="165" cm="1">
        <f t="array" ref="AC62">IF(ISBLANK($AQ62), "", INDEX([2]SalmonProps!$A$2:$AA$10001,MATCH(1,($A62=[2]SalmonProps!$A$2:$A$10001)*(2=[2]SalmonProps!$C$2:$C$10001)*(3=[2]SalmonProps!$D$2:$D$10001)*("A1" = [2]SalmonProps!$B$2:$B$10001)*($AP62 = [2]SalmonProps!$F$2:$F$10001) *($AR62 = [2]SalmonProps!$G$2:$G$10001),0), 15))</f>
        <v>0.32440000000000002</v>
      </c>
      <c r="AD62" s="181" cm="1">
        <f t="array" ref="AD62">IF(ISBLANK($AQ62), "", INDEX([2]SalmonProps!$A$2:$AA$10001,MATCH(1,($A62=[2]SalmonProps!$A$2:$A$10001)*(3=[2]SalmonProps!$C$2:$C$10001)*(3=[2]SalmonProps!$D$2:$D$10001)*("A1" = [2]SalmonProps!$B$2:$B$10001)*($AP62 = [2]SalmonProps!$F$2:$F$10001) *($AR62 = [2]SalmonProps!$G$2:$G$10001),0), 15))</f>
        <v>0.9899</v>
      </c>
      <c r="AE62" s="166" cm="1">
        <f t="array" ref="AE62">IF(ISBLANK($AQ62), "", INDEX([2]SalmonProps!$A$2:$AA$10001,MATCH(1,($A62=[2]SalmonProps!$A$2:$A$10001)*(1=[2]SalmonProps!$C$2:$C$10001)*(1=[2]SalmonProps!$D$2:$D$10001)*("A2" = [2]SalmonProps!$B$2:$B$10001)*($AP62 = [2]SalmonProps!$F$2:$F$10001) *($AR62 = [2]SalmonProps!$G$2:$G$10001),0), 15))</f>
        <v>0.53439999999999999</v>
      </c>
      <c r="AF62" s="166" cm="1">
        <f t="array" ref="AF62">IF(ISBLANK($AQ62), "", INDEX([2]SalmonProps!$A$2:$AA$10001,MATCH(1,($A62=[2]SalmonProps!$A$2:$A$10001)*(2=[2]SalmonProps!$C$2:$C$10001)*(1=[2]SalmonProps!$D$2:$D$10001)*("A2" = [2]SalmonProps!$B$2:$B$10001)*($AP62 = [2]SalmonProps!$F$2:$F$10001) *($AR62 = [2]SalmonProps!$G$2:$G$10001),0), 15))</f>
        <v>0.84660000000000002</v>
      </c>
      <c r="AG62" s="167" cm="1">
        <f t="array" ref="AG62">IF(ISBLANK($AQ62), "", INDEX([2]SalmonProps!$A$2:$AA$10001,MATCH(1,($A62=[2]SalmonProps!$A$2:$A$10001)*(3=[2]SalmonProps!$C$2:$C$10001)*(1=[2]SalmonProps!$D$2:$D$10001)*("A2" = [2]SalmonProps!$B$2:$B$10001)*($AP62 = [2]SalmonProps!$F$2:$F$10001) *($AR62 = [2]SalmonProps!$G$2:$G$10001),0), 15))</f>
        <v>0.96740000000000004</v>
      </c>
      <c r="AH62" s="173" cm="1">
        <f t="array" ref="AH62">IF(ISBLANK($AQ62), "", INDEX([2]SalmonProps!$A$2:$AA$10001,MATCH(1,($A62=[2]SalmonProps!$A$2:$A$10001)*($AP62 = [2]SalmonProps!$F$2:$F$10001) *($AR62 = [2]SalmonProps!$G$2:$G$10001),0), 24))</f>
        <v>52.3</v>
      </c>
      <c r="AI62" s="183" cm="1">
        <f t="array" ref="AI62">IF(ISBLANK($AQ62), "", INDEX([2]SalmonProps!$A$2:$AA$10001,MATCH(1,($A62=[2]SalmonProps!$A$2:$A$10001)*($AP62 = [2]SalmonProps!$F$2:$F$10001) *($AR62 = [2]SalmonProps!$G$2:$G$10001),0), 25))</f>
        <v>6.8</v>
      </c>
      <c r="AJ62" s="174" cm="1">
        <f t="array" ref="AJ62">IF(ISBLANK($AQ62), "", INDEX([2]SalmonProps!$A$2:$AA$10001,MATCH(1,($A62=[2]SalmonProps!$A$2:$A$10001)*($AP62 = [2]SalmonProps!$F$2:$F$10001) *($AR62 = [2]SalmonProps!$G$2:$G$10001),0), 20))</f>
        <v>59</v>
      </c>
      <c r="AK62" s="183" cm="1">
        <f t="array" ref="AK62">IF(ISBLANK($AQ62), "", INDEX([2]SalmonProps!$A$2:$AA$10001,MATCH(1,($A62=[2]SalmonProps!$A$2:$A$10001)*($AP62 = [2]SalmonProps!$F$2:$F$10001) *($AR62 = [2]SalmonProps!$G$2:$G$10001),0), 21))</f>
        <v>4.8</v>
      </c>
      <c r="AL62" s="174" cm="1">
        <f t="array" ref="AL62">IF(ISBLANK($AQ62), "", INDEX([2]SalmonProps!$A$2:$AA$10001,MATCH(1,($A62=[2]SalmonProps!$A$2:$A$10001)*($AP62 = [2]SalmonProps!$F$2:$F$10001) *($AR62 = [2]SalmonProps!$G$2:$G$10001),0), 22))</f>
        <v>73.8</v>
      </c>
      <c r="AM62" s="183" cm="1">
        <f t="array" ref="AM62">IF(ISBLANK($AQ62), "", INDEX([2]SalmonProps!$A$2:$AA$10001,MATCH(1,($A62=[2]SalmonProps!$A$2:$A$10001)*($AP62 = [2]SalmonProps!$F$2:$F$10001) *($AR62 = [2]SalmonProps!$G$2:$G$10001),0), 23))</f>
        <v>7.5</v>
      </c>
      <c r="AN62" s="174" t="str" cm="1">
        <f t="array" ref="AN62">IF(ISBLANK($AQ62), "", INDEX([2]SalmonProps!$A$2:$AA$10001,MATCH(1,($A62=[2]SalmonProps!$A$2:$A$10001)*($AP62 = [2]SalmonProps!$F$2:$F$10001) *($AR62 = [2]SalmonProps!$G$2:$G$10001),0), 26))</f>
        <v>NA</v>
      </c>
      <c r="AO62" s="175" t="str" cm="1">
        <f t="array" ref="AO62">IF(ISBLANK($AQ62), "", INDEX([2]SalmonProps!$A$2:$AA$10001,MATCH(1,($A62=[2]SalmonProps!$A$2:$A$10001)*($AP62 = [2]SalmonProps!$F$2:$F$10001) *($AR62 = [2]SalmonProps!$G$2:$G$10001),0), 27))</f>
        <v>NA</v>
      </c>
      <c r="AP62" s="112">
        <v>4</v>
      </c>
      <c r="AQ62" s="112" t="s">
        <v>133</v>
      </c>
      <c r="AR62" s="112" t="str">
        <f t="shared" si="1"/>
        <v>Unweighted</v>
      </c>
    </row>
    <row r="63" spans="1:44" x14ac:dyDescent="0.3">
      <c r="A63" s="20">
        <f>'[1]Passage Estimates'!$A63</f>
        <v>45165</v>
      </c>
      <c r="B63" s="164" cm="1">
        <f t="array" ref="B63">IF(ISBLANK($AQ63), "", INDEX([2]SalmonProps!$A$2:$AA$10001,MATCH(1,($A63=[2]SalmonProps!$A$2:$A$10001)*(1=[2]SalmonProps!$C$2:$C$10001)*(1=[2]SalmonProps!$D$2:$D$10001)*("A1" = [2]SalmonProps!$B$2:$B$10001)*($AP63 = [2]SalmonProps!$F$2:$F$10001) *($AR63 = [2]SalmonProps!$G$2:$G$10001),0), 17))</f>
        <v>3.7100000000000001E-2</v>
      </c>
      <c r="C63" s="165" cm="1">
        <f t="array" ref="C63">IF(ISBLANK($AQ63), "", INDEX([2]SalmonProps!$A$2:$AA$10001,MATCH(1,($A63=[2]SalmonProps!$A$2:$A$10001)*(1=[2]SalmonProps!$C$2:$C$10001)*(2=[2]SalmonProps!$D$2:$D$10001)*("A1" = [2]SalmonProps!$B$2:$B$10001)*($AP63 = [2]SalmonProps!$F$2:$F$10001) *($AR63 = [2]SalmonProps!$G$2:$G$10001),0), 17))</f>
        <v>2.1000000000000001E-2</v>
      </c>
      <c r="D63" s="165" cm="1">
        <f t="array" ref="D63">IF(ISBLANK($AQ63), "", INDEX([2]SalmonProps!$A$2:$AA$10001,MATCH(1,($A63=[2]SalmonProps!$A$2:$A$10001)*(1=[2]SalmonProps!$C$2:$C$10001)*("1&amp;2"=[2]SalmonProps!$D$2:$D$10001)*("A1" = [2]SalmonProps!$B$2:$B$10001)*($AP63 = [2]SalmonProps!$F$2:$F$10001) *($AR63 = [2]SalmonProps!$G$2:$G$10001),0), 17))</f>
        <v>2.7400000000000001E-2</v>
      </c>
      <c r="E63" s="181" cm="1">
        <f t="array" ref="E63">IF(ISBLANK($AQ63), "", INDEX([2]SalmonProps!$A$2:$AA$10001,MATCH(1,($A63=[2]SalmonProps!$A$2:$A$10001)*(2=[2]SalmonProps!$C$2:$C$10001)*(3=[2]SalmonProps!$D$2:$D$10001)*("A1" = [2]SalmonProps!$B$2:$B$10001)*($AP63 = [2]SalmonProps!$F$2:$F$10001) *($AR63 = [2]SalmonProps!$G$2:$G$10001),0), 17))</f>
        <v>0.2389</v>
      </c>
      <c r="F63" s="165" cm="1">
        <f t="array" ref="F63">IF(ISBLANK($AQ63), "", INDEX([2]SalmonProps!$A$2:$AA$10001,MATCH(1,($A63=[2]SalmonProps!$A$2:$A$10001)*(3=[2]SalmonProps!$C$2:$C$10001)*(3=[2]SalmonProps!$D$2:$D$10001)*("A1" = [2]SalmonProps!$B$2:$B$10001)*($AP63 = [2]SalmonProps!$F$2:$F$10001) *($AR63 = [2]SalmonProps!$G$2:$G$10001),0), 17))</f>
        <v>0.5444</v>
      </c>
      <c r="G63" s="165" cm="1">
        <f t="array" ref="G63">IF(ISBLANK($AQ63), "", INDEX([2]SalmonProps!$A$2:$AA$10001,MATCH(1,($A63=[2]SalmonProps!$A$2:$A$10001)*(1=[2]SalmonProps!$C$2:$C$10001)*(1=[2]SalmonProps!$D$2:$D$10001)*("A2" = [2]SalmonProps!$B$2:$B$10001)*($AP63 = [2]SalmonProps!$F$2:$F$10001) *($AR63 = [2]SalmonProps!$G$2:$G$10001),0), 17))</f>
        <v>7.2700000000000001E-2</v>
      </c>
      <c r="H63" s="166" cm="1">
        <f t="array" ref="H63">IF(ISBLANK($AQ63), "", INDEX([2]SalmonProps!$A$2:$AA$10001,MATCH(1,($A63=[2]SalmonProps!$A$2:$A$10001)*(2=[2]SalmonProps!$C$2:$C$10001)*(1=[2]SalmonProps!$D$2:$D$10001)*("A2" = [2]SalmonProps!$B$2:$B$10001)*($AP63 = [2]SalmonProps!$F$2:$F$10001) *($AR63 = [2]SalmonProps!$G$2:$G$10001),0), 17))</f>
        <v>0.29920000000000002</v>
      </c>
      <c r="I63" s="167" cm="1">
        <f t="array" ref="I63">IF(ISBLANK($AQ63), "", INDEX([2]SalmonProps!$A$2:$AA$10001,MATCH(1,($A63=[2]SalmonProps!$A$2:$A$10001)*(3=[2]SalmonProps!$C$2:$C$10001)*(1=[2]SalmonProps!$D$2:$D$10001)*("A2" = [2]SalmonProps!$B$2:$B$10001)*($AP63 = [2]SalmonProps!$F$2:$F$10001) *($AR63 = [2]SalmonProps!$G$2:$G$10001),0), 17))</f>
        <v>0.66010000000000002</v>
      </c>
      <c r="J63" s="164" t="str" cm="1">
        <f t="array" ref="J63">IF(ISBLANK($AQ63), "", INDEX([2]SalmonProps!$A$2:$AA$10001,MATCH(1,($A63=[2]SalmonProps!$A$2:$A$10001)*(1=[2]SalmonProps!$C$2:$C$10001)*(1=[2]SalmonProps!$D$2:$D$10001)*("A1" = [2]SalmonProps!$B$2:$B$10001)*($AP63 = [2]SalmonProps!$F$2:$F$10001) *($AR63 = [2]SalmonProps!$G$2:$G$10001),0), 19))</f>
        <v>NA</v>
      </c>
      <c r="K63" s="165" t="str" cm="1">
        <f t="array" ref="K63">IF(ISBLANK($AQ63), "", INDEX([2]SalmonProps!$A$2:$AA$10001,MATCH(1,($A63=[2]SalmonProps!$A$2:$A$10001)*(1=[2]SalmonProps!$C$2:$C$10001)*(2=[2]SalmonProps!$D$2:$D$10001)*("A1" = [2]SalmonProps!$B$2:$B$10001)*($AP63 = [2]SalmonProps!$F$2:$F$10001) *($AR63 = [2]SalmonProps!$G$2:$G$10001),0), 19))</f>
        <v>NA</v>
      </c>
      <c r="L63" s="165" t="str" cm="1">
        <f t="array" ref="L63">IF(ISBLANK($AQ63), "", INDEX([2]SalmonProps!$A$2:$AA$10001,MATCH(1,($A63=[2]SalmonProps!$A$2:$A$10001)*(1=[2]SalmonProps!$C$2:$C$10001)*("1&amp;2"=[2]SalmonProps!$D$2:$D$10001)*("A1" = [2]SalmonProps!$B$2:$B$10001)*($AP63 = [2]SalmonProps!$F$2:$F$10001) *($AR63 = [2]SalmonProps!$G$2:$G$10001),0), 19))</f>
        <v>NA</v>
      </c>
      <c r="M63" s="165" t="str" cm="1">
        <f t="array" ref="M63">IF(ISBLANK($AQ63), "", INDEX([2]SalmonProps!$A$2:$AA$10001,MATCH(1,($A63=[2]SalmonProps!$A$2:$A$10001)*(2=[2]SalmonProps!$C$2:$C$10001)*(3=[2]SalmonProps!$D$2:$D$10001)*("A1" = [2]SalmonProps!$B$2:$B$10001)*($AP63 = [2]SalmonProps!$F$2:$F$10001) *($AR63 = [2]SalmonProps!$G$2:$G$10001),0), 19))</f>
        <v>NA</v>
      </c>
      <c r="N63" s="181" t="str" cm="1">
        <f t="array" ref="N63">IF(ISBLANK($AQ63), "", INDEX([2]SalmonProps!$A$2:$AA$10001,MATCH(1,($A63=[2]SalmonProps!$A$2:$A$10001)*(3=[2]SalmonProps!$C$2:$C$10001)*(3=[2]SalmonProps!$D$2:$D$10001)*("A1" = [2]SalmonProps!$B$2:$B$10001)*($AP63 = [2]SalmonProps!$F$2:$F$10001) *($AR63 = [2]SalmonProps!$G$2:$G$10001),0), 19))</f>
        <v>NA</v>
      </c>
      <c r="O63" s="165" t="str" cm="1">
        <f t="array" ref="O63">IF(ISBLANK($AQ63), "", INDEX([2]SalmonProps!$A$2:$AA$10001,MATCH(1,($A63=[2]SalmonProps!$A$2:$A$10001)*(1=[2]SalmonProps!$C$2:$C$10001)*(1=[2]SalmonProps!$D$2:$D$10001)*("A2" = [2]SalmonProps!$B$2:$B$10001)*($AP63 = [2]SalmonProps!$F$2:$F$10001) *($AR63 = [2]SalmonProps!$G$2:$G$10001),0), 19))</f>
        <v>NA</v>
      </c>
      <c r="P63" s="165" t="str" cm="1">
        <f t="array" ref="P63">IF(ISBLANK($AQ63), "", INDEX([2]SalmonProps!$A$2:$AA$10001,MATCH(1,($A63=[2]SalmonProps!$A$2:$A$10001)*(2=[2]SalmonProps!$C$2:$C$10001)*(1=[2]SalmonProps!$D$2:$D$10001)*("A2" = [2]SalmonProps!$B$2:$B$10001)*($AP63 = [2]SalmonProps!$F$2:$F$10001) *($AR63 = [2]SalmonProps!$G$2:$G$10001),0), 19))</f>
        <v>NA</v>
      </c>
      <c r="Q63" s="168" t="str" cm="1">
        <f t="array" ref="Q63">IF(ISBLANK($AQ63), "", INDEX([2]SalmonProps!$A$2:$AA$10001,MATCH(1,($A63=[2]SalmonProps!$A$2:$A$10001)*(3=[2]SalmonProps!$C$2:$C$10001)*(1=[2]SalmonProps!$D$2:$D$10001)*("A2" = [2]SalmonProps!$B$2:$B$10001)*($AP63 = [2]SalmonProps!$F$2:$F$10001) *($AR63 = [2]SalmonProps!$G$2:$G$10001),0), 19))</f>
        <v>NA</v>
      </c>
      <c r="R63" s="164" cm="1">
        <f t="array" ref="R63">IF(ISBLANK($AQ63), "", INDEX([2]SalmonProps!$A$2:$AA$10001,MATCH(1,($A63=[2]SalmonProps!$A$2:$A$10001)*(1=[2]SalmonProps!$C$2:$C$10001)*(1=[2]SalmonProps!$D$2:$D$10001)*("A1" = [2]SalmonProps!$B$2:$B$10001)*($AP63 = [2]SalmonProps!$F$2:$F$10001) *($AR63 = [2]SalmonProps!$G$2:$G$10001),0), 18))</f>
        <v>0.187</v>
      </c>
      <c r="S63" s="165" cm="1">
        <f t="array" ref="S63">IF(ISBLANK($AQ63), "", INDEX([2]SalmonProps!$A$2:$AA$10001,MATCH(1,($A63=[2]SalmonProps!$A$2:$A$10001)*(1=[2]SalmonProps!$C$2:$C$10001)*(2=[2]SalmonProps!$D$2:$D$10001)*("A1" = [2]SalmonProps!$B$2:$B$10001)*($AP63 = [2]SalmonProps!$F$2:$F$10001) *($AR63 = [2]SalmonProps!$G$2:$G$10001),0), 18))</f>
        <v>0.34570000000000001</v>
      </c>
      <c r="T63" s="165" cm="1">
        <f t="array" ref="T63">IF(ISBLANK($AQ63), "", INDEX([2]SalmonProps!$A$2:$AA$10001,MATCH(1,($A63=[2]SalmonProps!$A$2:$A$10001)*(1=[2]SalmonProps!$C$2:$C$10001)*("1&amp;2"=[2]SalmonProps!$D$2:$D$10001)*("A1" = [2]SalmonProps!$B$2:$B$10001)*($AP63 = [2]SalmonProps!$F$2:$F$10001) *($AR63 = [2]SalmonProps!$G$2:$G$10001),0), 18))</f>
        <v>0.2545</v>
      </c>
      <c r="U63" s="165" cm="1">
        <f t="array" ref="U63">IF(ISBLANK($AQ63), "", INDEX([2]SalmonProps!$A$2:$AA$10001,MATCH(1,($A63=[2]SalmonProps!$A$2:$A$10001)*(2=[2]SalmonProps!$C$2:$C$10001)*(3=[2]SalmonProps!$D$2:$D$10001)*("A1" = [2]SalmonProps!$B$2:$B$10001)*($AP63 = [2]SalmonProps!$F$2:$F$10001) *($AR63 = [2]SalmonProps!$G$2:$G$10001),0), 18))</f>
        <v>0.51300000000000001</v>
      </c>
      <c r="V63" s="181" cm="1">
        <f t="array" ref="V63">IF(ISBLANK($AQ63), "", INDEX([2]SalmonProps!$A$2:$AA$10001,MATCH(1,($A63=[2]SalmonProps!$A$2:$A$10001)*(3=[2]SalmonProps!$C$2:$C$10001)*(3=[2]SalmonProps!$D$2:$D$10001)*("A1" = [2]SalmonProps!$B$2:$B$10001)*($AP63 = [2]SalmonProps!$F$2:$F$10001) *($AR63 = [2]SalmonProps!$G$2:$G$10001),0), 18))</f>
        <v>0.1164</v>
      </c>
      <c r="W63" s="180" cm="1">
        <f t="array" ref="W63">IF(ISBLANK($AQ63), "", INDEX([2]SalmonProps!$A$2:$AA$10001,MATCH(1,($A63=[2]SalmonProps!$A$2:$A$10001)*(1=[2]SalmonProps!$C$2:$C$10001)*(1=[2]SalmonProps!$D$2:$D$10001)*("A2" = [2]SalmonProps!$B$2:$B$10001)*($AP63 = [2]SalmonProps!$F$2:$F$10001) *($AR63 = [2]SalmonProps!$G$2:$G$10001),0), 18))</f>
        <v>0.61460000000000004</v>
      </c>
      <c r="X63" s="165" cm="1">
        <f t="array" ref="X63">IF(ISBLANK($AQ63), "", INDEX([2]SalmonProps!$A$2:$AA$10001,MATCH(1,($A63=[2]SalmonProps!$A$2:$A$10001)*(2=[2]SalmonProps!$C$2:$C$10001)*(1=[2]SalmonProps!$D$2:$D$10001)*("A2" = [2]SalmonProps!$B$2:$B$10001)*($AP63 = [2]SalmonProps!$F$2:$F$10001) *($AR63 = [2]SalmonProps!$G$2:$G$10001),0), 18))</f>
        <v>0.48849999999999999</v>
      </c>
      <c r="Y63" s="168" cm="1">
        <f t="array" ref="Y63">IF(ISBLANK($AQ63), "", INDEX([2]SalmonProps!$A$2:$AA$10001,MATCH(1,($A63=[2]SalmonProps!$A$2:$A$10001)*(3=[2]SalmonProps!$C$2:$C$10001)*(1=[2]SalmonProps!$D$2:$D$10001)*("A2" = [2]SalmonProps!$B$2:$B$10001)*($AP63 = [2]SalmonProps!$F$2:$F$10001) *($AR63 = [2]SalmonProps!$G$2:$G$10001),0), 18))</f>
        <v>0.26850000000000002</v>
      </c>
      <c r="Z63" s="164" cm="1">
        <f t="array" ref="Z63">IF(ISBLANK($AQ63), "", INDEX([2]SalmonProps!$A$2:$AA$10001,MATCH(1,($A63=[2]SalmonProps!$A$2:$A$10001)*(1=[2]SalmonProps!$C$2:$C$10001)*(1=[2]SalmonProps!$D$2:$D$10001)*("A1" = [2]SalmonProps!$B$2:$B$10001)*($AP63 = [2]SalmonProps!$F$2:$F$10001) *($AR63 = [2]SalmonProps!$G$2:$G$10001),0), 15))</f>
        <v>0.22409999999999999</v>
      </c>
      <c r="AA63" s="165" cm="1">
        <f t="array" ref="AA63">IF(ISBLANK($AQ63), "", INDEX([2]SalmonProps!$A$2:$AA$10001,MATCH(1,($A63=[2]SalmonProps!$A$2:$A$10001)*(1=[2]SalmonProps!$C$2:$C$10001)*(2=[2]SalmonProps!$D$2:$D$10001)*("A1" = [2]SalmonProps!$B$2:$B$10001)*($AP63 = [2]SalmonProps!$F$2:$F$10001) *($AR63 = [2]SalmonProps!$G$2:$G$10001),0), 15))</f>
        <v>0.42399999999999999</v>
      </c>
      <c r="AB63" s="165" cm="1">
        <f t="array" ref="AB63">IF(ISBLANK($AQ63), "", INDEX([2]SalmonProps!$A$2:$AA$10001,MATCH(1,($A63=[2]SalmonProps!$A$2:$A$10001)*(1=[2]SalmonProps!$C$2:$C$10001)*("1&amp;2"=[2]SalmonProps!$D$2:$D$10001)*("A1" = [2]SalmonProps!$B$2:$B$10001)*($AP63 = [2]SalmonProps!$F$2:$F$10001) *($AR63 = [2]SalmonProps!$G$2:$G$10001),0), 15))</f>
        <v>0.31519999999999998</v>
      </c>
      <c r="AC63" s="165" cm="1">
        <f t="array" ref="AC63">IF(ISBLANK($AQ63), "", INDEX([2]SalmonProps!$A$2:$AA$10001,MATCH(1,($A63=[2]SalmonProps!$A$2:$A$10001)*(2=[2]SalmonProps!$C$2:$C$10001)*(3=[2]SalmonProps!$D$2:$D$10001)*("A1" = [2]SalmonProps!$B$2:$B$10001)*($AP63 = [2]SalmonProps!$F$2:$F$10001) *($AR63 = [2]SalmonProps!$G$2:$G$10001),0), 15))</f>
        <v>0.87329999999999997</v>
      </c>
      <c r="AD63" s="181" cm="1">
        <f t="array" ref="AD63">IF(ISBLANK($AQ63), "", INDEX([2]SalmonProps!$A$2:$AA$10001,MATCH(1,($A63=[2]SalmonProps!$A$2:$A$10001)*(3=[2]SalmonProps!$C$2:$C$10001)*(3=[2]SalmonProps!$D$2:$D$10001)*("A1" = [2]SalmonProps!$B$2:$B$10001)*($AP63 = [2]SalmonProps!$F$2:$F$10001) *($AR63 = [2]SalmonProps!$G$2:$G$10001),0), 15))</f>
        <v>0.98860000000000003</v>
      </c>
      <c r="AE63" s="166" cm="1">
        <f t="array" ref="AE63">IF(ISBLANK($AQ63), "", INDEX([2]SalmonProps!$A$2:$AA$10001,MATCH(1,($A63=[2]SalmonProps!$A$2:$A$10001)*(1=[2]SalmonProps!$C$2:$C$10001)*(1=[2]SalmonProps!$D$2:$D$10001)*("A2" = [2]SalmonProps!$B$2:$B$10001)*($AP63 = [2]SalmonProps!$F$2:$F$10001) *($AR63 = [2]SalmonProps!$G$2:$G$10001),0), 15))</f>
        <v>0.68730000000000002</v>
      </c>
      <c r="AF63" s="166" cm="1">
        <f t="array" ref="AF63">IF(ISBLANK($AQ63), "", INDEX([2]SalmonProps!$A$2:$AA$10001,MATCH(1,($A63=[2]SalmonProps!$A$2:$A$10001)*(2=[2]SalmonProps!$C$2:$C$10001)*(1=[2]SalmonProps!$D$2:$D$10001)*("A2" = [2]SalmonProps!$B$2:$B$10001)*($AP63 = [2]SalmonProps!$F$2:$F$10001) *($AR63 = [2]SalmonProps!$G$2:$G$10001),0), 15))</f>
        <v>0.90910000000000002</v>
      </c>
      <c r="AG63" s="167" cm="1">
        <f t="array" ref="AG63">IF(ISBLANK($AQ63), "", INDEX([2]SalmonProps!$A$2:$AA$10001,MATCH(1,($A63=[2]SalmonProps!$A$2:$A$10001)*(3=[2]SalmonProps!$C$2:$C$10001)*(1=[2]SalmonProps!$D$2:$D$10001)*("A2" = [2]SalmonProps!$B$2:$B$10001)*($AP63 = [2]SalmonProps!$F$2:$F$10001) *($AR63 = [2]SalmonProps!$G$2:$G$10001),0), 15))</f>
        <v>0.92859999999999998</v>
      </c>
      <c r="AH63" s="173" cm="1">
        <f t="array" ref="AH63">IF(ISBLANK($AQ63), "", INDEX([2]SalmonProps!$A$2:$AA$10001,MATCH(1,($A63=[2]SalmonProps!$A$2:$A$10001)*($AP63 = [2]SalmonProps!$F$2:$F$10001) *($AR63 = [2]SalmonProps!$G$2:$G$10001),0), 24))</f>
        <v>52.3</v>
      </c>
      <c r="AI63" s="183" cm="1">
        <f t="array" ref="AI63">IF(ISBLANK($AQ63), "", INDEX([2]SalmonProps!$A$2:$AA$10001,MATCH(1,($A63=[2]SalmonProps!$A$2:$A$10001)*($AP63 = [2]SalmonProps!$F$2:$F$10001) *($AR63 = [2]SalmonProps!$G$2:$G$10001),0), 25))</f>
        <v>6.8</v>
      </c>
      <c r="AJ63" s="174" cm="1">
        <f t="array" ref="AJ63">IF(ISBLANK($AQ63), "", INDEX([2]SalmonProps!$A$2:$AA$10001,MATCH(1,($A63=[2]SalmonProps!$A$2:$A$10001)*($AP63 = [2]SalmonProps!$F$2:$F$10001) *($AR63 = [2]SalmonProps!$G$2:$G$10001),0), 20))</f>
        <v>59</v>
      </c>
      <c r="AK63" s="183" cm="1">
        <f t="array" ref="AK63">IF(ISBLANK($AQ63), "", INDEX([2]SalmonProps!$A$2:$AA$10001,MATCH(1,($A63=[2]SalmonProps!$A$2:$A$10001)*($AP63 = [2]SalmonProps!$F$2:$F$10001) *($AR63 = [2]SalmonProps!$G$2:$G$10001),0), 21))</f>
        <v>4.8</v>
      </c>
      <c r="AL63" s="174" cm="1">
        <f t="array" ref="AL63">IF(ISBLANK($AQ63), "", INDEX([2]SalmonProps!$A$2:$AA$10001,MATCH(1,($A63=[2]SalmonProps!$A$2:$A$10001)*($AP63 = [2]SalmonProps!$F$2:$F$10001) *($AR63 = [2]SalmonProps!$G$2:$G$10001),0), 22))</f>
        <v>73.8</v>
      </c>
      <c r="AM63" s="183" cm="1">
        <f t="array" ref="AM63">IF(ISBLANK($AQ63), "", INDEX([2]SalmonProps!$A$2:$AA$10001,MATCH(1,($A63=[2]SalmonProps!$A$2:$A$10001)*($AP63 = [2]SalmonProps!$F$2:$F$10001) *($AR63 = [2]SalmonProps!$G$2:$G$10001),0), 23))</f>
        <v>7.5</v>
      </c>
      <c r="AN63" s="174" t="str" cm="1">
        <f t="array" ref="AN63">IF(ISBLANK($AQ63), "", INDEX([2]SalmonProps!$A$2:$AA$10001,MATCH(1,($A63=[2]SalmonProps!$A$2:$A$10001)*($AP63 = [2]SalmonProps!$F$2:$F$10001) *($AR63 = [2]SalmonProps!$G$2:$G$10001),0), 26))</f>
        <v>NA</v>
      </c>
      <c r="AO63" s="175" t="str" cm="1">
        <f t="array" ref="AO63">IF(ISBLANK($AQ63), "", INDEX([2]SalmonProps!$A$2:$AA$10001,MATCH(1,($A63=[2]SalmonProps!$A$2:$A$10001)*($AP63 = [2]SalmonProps!$F$2:$F$10001) *($AR63 = [2]SalmonProps!$G$2:$G$10001),0), 27))</f>
        <v>NA</v>
      </c>
      <c r="AP63" s="112">
        <v>4</v>
      </c>
      <c r="AQ63" s="112" t="s">
        <v>133</v>
      </c>
      <c r="AR63" s="112" t="str">
        <f t="shared" si="1"/>
        <v>Unweighted</v>
      </c>
    </row>
    <row r="64" spans="1:44" x14ac:dyDescent="0.3">
      <c r="A64" s="20">
        <f>'[1]Passage Estimates'!$A64</f>
        <v>45166</v>
      </c>
      <c r="B64" s="164" cm="1">
        <f t="array" ref="B64">IF(ISBLANK($AQ64), "", INDEX([2]SalmonProps!$A$2:$AA$10001,MATCH(1,($A64=[2]SalmonProps!$A$2:$A$10001)*(1=[2]SalmonProps!$C$2:$C$10001)*(1=[2]SalmonProps!$D$2:$D$10001)*("A1" = [2]SalmonProps!$B$2:$B$10001)*($AP64 = [2]SalmonProps!$F$2:$F$10001) *($AR64 = [2]SalmonProps!$G$2:$G$10001),0), 17))</f>
        <v>1.24E-2</v>
      </c>
      <c r="C64" s="165" cm="1">
        <f t="array" ref="C64">IF(ISBLANK($AQ64), "", INDEX([2]SalmonProps!$A$2:$AA$10001,MATCH(1,($A64=[2]SalmonProps!$A$2:$A$10001)*(1=[2]SalmonProps!$C$2:$C$10001)*(2=[2]SalmonProps!$D$2:$D$10001)*("A1" = [2]SalmonProps!$B$2:$B$10001)*($AP64 = [2]SalmonProps!$F$2:$F$10001) *($AR64 = [2]SalmonProps!$G$2:$G$10001),0), 17))</f>
        <v>5.1999999999999998E-3</v>
      </c>
      <c r="D64" s="165" cm="1">
        <f t="array" ref="D64">IF(ISBLANK($AQ64), "", INDEX([2]SalmonProps!$A$2:$AA$10001,MATCH(1,($A64=[2]SalmonProps!$A$2:$A$10001)*(1=[2]SalmonProps!$C$2:$C$10001)*("1&amp;2"=[2]SalmonProps!$D$2:$D$10001)*("A1" = [2]SalmonProps!$B$2:$B$10001)*($AP64 = [2]SalmonProps!$F$2:$F$10001) *($AR64 = [2]SalmonProps!$G$2:$G$10001),0), 17))</f>
        <v>6.1999999999999998E-3</v>
      </c>
      <c r="E64" s="181" cm="1">
        <f t="array" ref="E64">IF(ISBLANK($AQ64), "", INDEX([2]SalmonProps!$A$2:$AA$10001,MATCH(1,($A64=[2]SalmonProps!$A$2:$A$10001)*(2=[2]SalmonProps!$C$2:$C$10001)*(3=[2]SalmonProps!$D$2:$D$10001)*("A1" = [2]SalmonProps!$B$2:$B$10001)*($AP64 = [2]SalmonProps!$F$2:$F$10001) *($AR64 = [2]SalmonProps!$G$2:$G$10001),0), 17))</f>
        <v>0.1124</v>
      </c>
      <c r="F64" s="165" cm="1">
        <f t="array" ref="F64">IF(ISBLANK($AQ64), "", INDEX([2]SalmonProps!$A$2:$AA$10001,MATCH(1,($A64=[2]SalmonProps!$A$2:$A$10001)*(3=[2]SalmonProps!$C$2:$C$10001)*(3=[2]SalmonProps!$D$2:$D$10001)*("A1" = [2]SalmonProps!$B$2:$B$10001)*($AP64 = [2]SalmonProps!$F$2:$F$10001) *($AR64 = [2]SalmonProps!$G$2:$G$10001),0), 17))</f>
        <v>0.56220000000000003</v>
      </c>
      <c r="G64" s="165" cm="1">
        <f t="array" ref="G64">IF(ISBLANK($AQ64), "", INDEX([2]SalmonProps!$A$2:$AA$10001,MATCH(1,($A64=[2]SalmonProps!$A$2:$A$10001)*(1=[2]SalmonProps!$C$2:$C$10001)*(1=[2]SalmonProps!$D$2:$D$10001)*("A2" = [2]SalmonProps!$B$2:$B$10001)*($AP64 = [2]SalmonProps!$F$2:$F$10001) *($AR64 = [2]SalmonProps!$G$2:$G$10001),0), 17))</f>
        <v>7.2700000000000001E-2</v>
      </c>
      <c r="H64" s="166" cm="1">
        <f t="array" ref="H64">IF(ISBLANK($AQ64), "", INDEX([2]SalmonProps!$A$2:$AA$10001,MATCH(1,($A64=[2]SalmonProps!$A$2:$A$10001)*(2=[2]SalmonProps!$C$2:$C$10001)*(1=[2]SalmonProps!$D$2:$D$10001)*("A2" = [2]SalmonProps!$B$2:$B$10001)*($AP64 = [2]SalmonProps!$F$2:$F$10001) *($AR64 = [2]SalmonProps!$G$2:$G$10001),0), 17))</f>
        <v>0.29920000000000002</v>
      </c>
      <c r="I64" s="167" cm="1">
        <f t="array" ref="I64">IF(ISBLANK($AQ64), "", INDEX([2]SalmonProps!$A$2:$AA$10001,MATCH(1,($A64=[2]SalmonProps!$A$2:$A$10001)*(3=[2]SalmonProps!$C$2:$C$10001)*(1=[2]SalmonProps!$D$2:$D$10001)*("A2" = [2]SalmonProps!$B$2:$B$10001)*($AP64 = [2]SalmonProps!$F$2:$F$10001) *($AR64 = [2]SalmonProps!$G$2:$G$10001),0), 17))</f>
        <v>0.66010000000000002</v>
      </c>
      <c r="J64" s="164" t="str" cm="1">
        <f t="array" ref="J64">IF(ISBLANK($AQ64), "", INDEX([2]SalmonProps!$A$2:$AA$10001,MATCH(1,($A64=[2]SalmonProps!$A$2:$A$10001)*(1=[2]SalmonProps!$C$2:$C$10001)*(1=[2]SalmonProps!$D$2:$D$10001)*("A1" = [2]SalmonProps!$B$2:$B$10001)*($AP64 = [2]SalmonProps!$F$2:$F$10001) *($AR64 = [2]SalmonProps!$G$2:$G$10001),0), 19))</f>
        <v>NA</v>
      </c>
      <c r="K64" s="165" t="str" cm="1">
        <f t="array" ref="K64">IF(ISBLANK($AQ64), "", INDEX([2]SalmonProps!$A$2:$AA$10001,MATCH(1,($A64=[2]SalmonProps!$A$2:$A$10001)*(1=[2]SalmonProps!$C$2:$C$10001)*(2=[2]SalmonProps!$D$2:$D$10001)*("A1" = [2]SalmonProps!$B$2:$B$10001)*($AP64 = [2]SalmonProps!$F$2:$F$10001) *($AR64 = [2]SalmonProps!$G$2:$G$10001),0), 19))</f>
        <v>NA</v>
      </c>
      <c r="L64" s="165" t="str" cm="1">
        <f t="array" ref="L64">IF(ISBLANK($AQ64), "", INDEX([2]SalmonProps!$A$2:$AA$10001,MATCH(1,($A64=[2]SalmonProps!$A$2:$A$10001)*(1=[2]SalmonProps!$C$2:$C$10001)*("1&amp;2"=[2]SalmonProps!$D$2:$D$10001)*("A1" = [2]SalmonProps!$B$2:$B$10001)*($AP64 = [2]SalmonProps!$F$2:$F$10001) *($AR64 = [2]SalmonProps!$G$2:$G$10001),0), 19))</f>
        <v>NA</v>
      </c>
      <c r="M64" s="165" t="str" cm="1">
        <f t="array" ref="M64">IF(ISBLANK($AQ64), "", INDEX([2]SalmonProps!$A$2:$AA$10001,MATCH(1,($A64=[2]SalmonProps!$A$2:$A$10001)*(2=[2]SalmonProps!$C$2:$C$10001)*(3=[2]SalmonProps!$D$2:$D$10001)*("A1" = [2]SalmonProps!$B$2:$B$10001)*($AP64 = [2]SalmonProps!$F$2:$F$10001) *($AR64 = [2]SalmonProps!$G$2:$G$10001),0), 19))</f>
        <v>NA</v>
      </c>
      <c r="N64" s="181" t="str" cm="1">
        <f t="array" ref="N64">IF(ISBLANK($AQ64), "", INDEX([2]SalmonProps!$A$2:$AA$10001,MATCH(1,($A64=[2]SalmonProps!$A$2:$A$10001)*(3=[2]SalmonProps!$C$2:$C$10001)*(3=[2]SalmonProps!$D$2:$D$10001)*("A1" = [2]SalmonProps!$B$2:$B$10001)*($AP64 = [2]SalmonProps!$F$2:$F$10001) *($AR64 = [2]SalmonProps!$G$2:$G$10001),0), 19))</f>
        <v>NA</v>
      </c>
      <c r="O64" s="165" t="str" cm="1">
        <f t="array" ref="O64">IF(ISBLANK($AQ64), "", INDEX([2]SalmonProps!$A$2:$AA$10001,MATCH(1,($A64=[2]SalmonProps!$A$2:$A$10001)*(1=[2]SalmonProps!$C$2:$C$10001)*(1=[2]SalmonProps!$D$2:$D$10001)*("A2" = [2]SalmonProps!$B$2:$B$10001)*($AP64 = [2]SalmonProps!$F$2:$F$10001) *($AR64 = [2]SalmonProps!$G$2:$G$10001),0), 19))</f>
        <v>NA</v>
      </c>
      <c r="P64" s="165" t="str" cm="1">
        <f t="array" ref="P64">IF(ISBLANK($AQ64), "", INDEX([2]SalmonProps!$A$2:$AA$10001,MATCH(1,($A64=[2]SalmonProps!$A$2:$A$10001)*(2=[2]SalmonProps!$C$2:$C$10001)*(1=[2]SalmonProps!$D$2:$D$10001)*("A2" = [2]SalmonProps!$B$2:$B$10001)*($AP64 = [2]SalmonProps!$F$2:$F$10001) *($AR64 = [2]SalmonProps!$G$2:$G$10001),0), 19))</f>
        <v>NA</v>
      </c>
      <c r="Q64" s="168" t="str" cm="1">
        <f t="array" ref="Q64">IF(ISBLANK($AQ64), "", INDEX([2]SalmonProps!$A$2:$AA$10001,MATCH(1,($A64=[2]SalmonProps!$A$2:$A$10001)*(3=[2]SalmonProps!$C$2:$C$10001)*(1=[2]SalmonProps!$D$2:$D$10001)*("A2" = [2]SalmonProps!$B$2:$B$10001)*($AP64 = [2]SalmonProps!$F$2:$F$10001) *($AR64 = [2]SalmonProps!$G$2:$G$10001),0), 19))</f>
        <v>NA</v>
      </c>
      <c r="R64" s="164" cm="1">
        <f t="array" ref="R64">IF(ISBLANK($AQ64), "", INDEX([2]SalmonProps!$A$2:$AA$10001,MATCH(1,($A64=[2]SalmonProps!$A$2:$A$10001)*(1=[2]SalmonProps!$C$2:$C$10001)*(1=[2]SalmonProps!$D$2:$D$10001)*("A1" = [2]SalmonProps!$B$2:$B$10001)*($AP64 = [2]SalmonProps!$F$2:$F$10001) *($AR64 = [2]SalmonProps!$G$2:$G$10001),0), 18))</f>
        <v>0.27550000000000002</v>
      </c>
      <c r="S64" s="165" cm="1">
        <f t="array" ref="S64">IF(ISBLANK($AQ64), "", INDEX([2]SalmonProps!$A$2:$AA$10001,MATCH(1,($A64=[2]SalmonProps!$A$2:$A$10001)*(1=[2]SalmonProps!$C$2:$C$10001)*(2=[2]SalmonProps!$D$2:$D$10001)*("A1" = [2]SalmonProps!$B$2:$B$10001)*($AP64 = [2]SalmonProps!$F$2:$F$10001) *($AR64 = [2]SalmonProps!$G$2:$G$10001),0), 18))</f>
        <v>0.65180000000000005</v>
      </c>
      <c r="T64" s="165" cm="1">
        <f t="array" ref="T64">IF(ISBLANK($AQ64), "", INDEX([2]SalmonProps!$A$2:$AA$10001,MATCH(1,($A64=[2]SalmonProps!$A$2:$A$10001)*(1=[2]SalmonProps!$C$2:$C$10001)*("1&amp;2"=[2]SalmonProps!$D$2:$D$10001)*("A1" = [2]SalmonProps!$B$2:$B$10001)*($AP64 = [2]SalmonProps!$F$2:$F$10001) *($AR64 = [2]SalmonProps!$G$2:$G$10001),0), 18))</f>
        <v>0.45269999999999999</v>
      </c>
      <c r="U64" s="165" cm="1">
        <f t="array" ref="U64">IF(ISBLANK($AQ64), "", INDEX([2]SalmonProps!$A$2:$AA$10001,MATCH(1,($A64=[2]SalmonProps!$A$2:$A$10001)*(2=[2]SalmonProps!$C$2:$C$10001)*(3=[2]SalmonProps!$D$2:$D$10001)*("A1" = [2]SalmonProps!$B$2:$B$10001)*($AP64 = [2]SalmonProps!$F$2:$F$10001) *($AR64 = [2]SalmonProps!$G$2:$G$10001),0), 18))</f>
        <v>0.63800000000000001</v>
      </c>
      <c r="V64" s="181" cm="1">
        <f t="array" ref="V64">IF(ISBLANK($AQ64), "", INDEX([2]SalmonProps!$A$2:$AA$10001,MATCH(1,($A64=[2]SalmonProps!$A$2:$A$10001)*(3=[2]SalmonProps!$C$2:$C$10001)*(3=[2]SalmonProps!$D$2:$D$10001)*("A1" = [2]SalmonProps!$B$2:$B$10001)*($AP64 = [2]SalmonProps!$F$2:$F$10001) *($AR64 = [2]SalmonProps!$G$2:$G$10001),0), 18))</f>
        <v>0.1875</v>
      </c>
      <c r="W64" s="180" cm="1">
        <f t="array" ref="W64">IF(ISBLANK($AQ64), "", INDEX([2]SalmonProps!$A$2:$AA$10001,MATCH(1,($A64=[2]SalmonProps!$A$2:$A$10001)*(1=[2]SalmonProps!$C$2:$C$10001)*(1=[2]SalmonProps!$D$2:$D$10001)*("A2" = [2]SalmonProps!$B$2:$B$10001)*($AP64 = [2]SalmonProps!$F$2:$F$10001) *($AR64 = [2]SalmonProps!$G$2:$G$10001),0), 18))</f>
        <v>0.61460000000000004</v>
      </c>
      <c r="X64" s="165" cm="1">
        <f t="array" ref="X64">IF(ISBLANK($AQ64), "", INDEX([2]SalmonProps!$A$2:$AA$10001,MATCH(1,($A64=[2]SalmonProps!$A$2:$A$10001)*(2=[2]SalmonProps!$C$2:$C$10001)*(1=[2]SalmonProps!$D$2:$D$10001)*("A2" = [2]SalmonProps!$B$2:$B$10001)*($AP64 = [2]SalmonProps!$F$2:$F$10001) *($AR64 = [2]SalmonProps!$G$2:$G$10001),0), 18))</f>
        <v>0.48849999999999999</v>
      </c>
      <c r="Y64" s="168" cm="1">
        <f t="array" ref="Y64">IF(ISBLANK($AQ64), "", INDEX([2]SalmonProps!$A$2:$AA$10001,MATCH(1,($A64=[2]SalmonProps!$A$2:$A$10001)*(3=[2]SalmonProps!$C$2:$C$10001)*(1=[2]SalmonProps!$D$2:$D$10001)*("A2" = [2]SalmonProps!$B$2:$B$10001)*($AP64 = [2]SalmonProps!$F$2:$F$10001) *($AR64 = [2]SalmonProps!$G$2:$G$10001),0), 18))</f>
        <v>0.26850000000000002</v>
      </c>
      <c r="Z64" s="164" cm="1">
        <f t="array" ref="Z64">IF(ISBLANK($AQ64), "", INDEX([2]SalmonProps!$A$2:$AA$10001,MATCH(1,($A64=[2]SalmonProps!$A$2:$A$10001)*(1=[2]SalmonProps!$C$2:$C$10001)*(1=[2]SalmonProps!$D$2:$D$10001)*("A1" = [2]SalmonProps!$B$2:$B$10001)*($AP64 = [2]SalmonProps!$F$2:$F$10001) *($AR64 = [2]SalmonProps!$G$2:$G$10001),0), 15))</f>
        <v>0.28789999999999999</v>
      </c>
      <c r="AA64" s="165" cm="1">
        <f t="array" ref="AA64">IF(ISBLANK($AQ64), "", INDEX([2]SalmonProps!$A$2:$AA$10001,MATCH(1,($A64=[2]SalmonProps!$A$2:$A$10001)*(1=[2]SalmonProps!$C$2:$C$10001)*(2=[2]SalmonProps!$D$2:$D$10001)*("A1" = [2]SalmonProps!$B$2:$B$10001)*($AP64 = [2]SalmonProps!$F$2:$F$10001) *($AR64 = [2]SalmonProps!$G$2:$G$10001),0), 15))</f>
        <v>0.65700000000000003</v>
      </c>
      <c r="AB64" s="165" cm="1">
        <f t="array" ref="AB64">IF(ISBLANK($AQ64), "", INDEX([2]SalmonProps!$A$2:$AA$10001,MATCH(1,($A64=[2]SalmonProps!$A$2:$A$10001)*(1=[2]SalmonProps!$C$2:$C$10001)*("1&amp;2"=[2]SalmonProps!$D$2:$D$10001)*("A1" = [2]SalmonProps!$B$2:$B$10001)*($AP64 = [2]SalmonProps!$F$2:$F$10001) *($AR64 = [2]SalmonProps!$G$2:$G$10001),0), 15))</f>
        <v>0.45889999999999997</v>
      </c>
      <c r="AC64" s="165" cm="1">
        <f t="array" ref="AC64">IF(ISBLANK($AQ64), "", INDEX([2]SalmonProps!$A$2:$AA$10001,MATCH(1,($A64=[2]SalmonProps!$A$2:$A$10001)*(2=[2]SalmonProps!$C$2:$C$10001)*(3=[2]SalmonProps!$D$2:$D$10001)*("A1" = [2]SalmonProps!$B$2:$B$10001)*($AP64 = [2]SalmonProps!$F$2:$F$10001) *($AR64 = [2]SalmonProps!$G$2:$G$10001),0), 15))</f>
        <v>0.96460000000000001</v>
      </c>
      <c r="AD64" s="181" cm="1">
        <f t="array" ref="AD64">IF(ISBLANK($AQ64), "", INDEX([2]SalmonProps!$A$2:$AA$10001,MATCH(1,($A64=[2]SalmonProps!$A$2:$A$10001)*(3=[2]SalmonProps!$C$2:$C$10001)*(3=[2]SalmonProps!$D$2:$D$10001)*("A1" = [2]SalmonProps!$B$2:$B$10001)*($AP64 = [2]SalmonProps!$F$2:$F$10001) *($AR64 = [2]SalmonProps!$G$2:$G$10001),0), 15))</f>
        <v>0.98870000000000002</v>
      </c>
      <c r="AE64" s="166" cm="1">
        <f t="array" ref="AE64">IF(ISBLANK($AQ64), "", INDEX([2]SalmonProps!$A$2:$AA$10001,MATCH(1,($A64=[2]SalmonProps!$A$2:$A$10001)*(1=[2]SalmonProps!$C$2:$C$10001)*(1=[2]SalmonProps!$D$2:$D$10001)*("A2" = [2]SalmonProps!$B$2:$B$10001)*($AP64 = [2]SalmonProps!$F$2:$F$10001) *($AR64 = [2]SalmonProps!$G$2:$G$10001),0), 15))</f>
        <v>0.68730000000000002</v>
      </c>
      <c r="AF64" s="166" cm="1">
        <f t="array" ref="AF64">IF(ISBLANK($AQ64), "", INDEX([2]SalmonProps!$A$2:$AA$10001,MATCH(1,($A64=[2]SalmonProps!$A$2:$A$10001)*(2=[2]SalmonProps!$C$2:$C$10001)*(1=[2]SalmonProps!$D$2:$D$10001)*("A2" = [2]SalmonProps!$B$2:$B$10001)*($AP64 = [2]SalmonProps!$F$2:$F$10001) *($AR64 = [2]SalmonProps!$G$2:$G$10001),0), 15))</f>
        <v>0.90910000000000002</v>
      </c>
      <c r="AG64" s="167" cm="1">
        <f t="array" ref="AG64">IF(ISBLANK($AQ64), "", INDEX([2]SalmonProps!$A$2:$AA$10001,MATCH(1,($A64=[2]SalmonProps!$A$2:$A$10001)*(3=[2]SalmonProps!$C$2:$C$10001)*(1=[2]SalmonProps!$D$2:$D$10001)*("A2" = [2]SalmonProps!$B$2:$B$10001)*($AP64 = [2]SalmonProps!$F$2:$F$10001) *($AR64 = [2]SalmonProps!$G$2:$G$10001),0), 15))</f>
        <v>0.92859999999999998</v>
      </c>
      <c r="AH64" s="173" cm="1">
        <f t="array" ref="AH64">IF(ISBLANK($AQ64), "", INDEX([2]SalmonProps!$A$2:$AA$10001,MATCH(1,($A64=[2]SalmonProps!$A$2:$A$10001)*($AP64 = [2]SalmonProps!$F$2:$F$10001) *($AR64 = [2]SalmonProps!$G$2:$G$10001),0), 24))</f>
        <v>52.3</v>
      </c>
      <c r="AI64" s="183" cm="1">
        <f t="array" ref="AI64">IF(ISBLANK($AQ64), "", INDEX([2]SalmonProps!$A$2:$AA$10001,MATCH(1,($A64=[2]SalmonProps!$A$2:$A$10001)*($AP64 = [2]SalmonProps!$F$2:$F$10001) *($AR64 = [2]SalmonProps!$G$2:$G$10001),0), 25))</f>
        <v>6.8</v>
      </c>
      <c r="AJ64" s="174" cm="1">
        <f t="array" ref="AJ64">IF(ISBLANK($AQ64), "", INDEX([2]SalmonProps!$A$2:$AA$10001,MATCH(1,($A64=[2]SalmonProps!$A$2:$A$10001)*($AP64 = [2]SalmonProps!$F$2:$F$10001) *($AR64 = [2]SalmonProps!$G$2:$G$10001),0), 20))</f>
        <v>59</v>
      </c>
      <c r="AK64" s="183" cm="1">
        <f t="array" ref="AK64">IF(ISBLANK($AQ64), "", INDEX([2]SalmonProps!$A$2:$AA$10001,MATCH(1,($A64=[2]SalmonProps!$A$2:$A$10001)*($AP64 = [2]SalmonProps!$F$2:$F$10001) *($AR64 = [2]SalmonProps!$G$2:$G$10001),0), 21))</f>
        <v>4.8</v>
      </c>
      <c r="AL64" s="174" cm="1">
        <f t="array" ref="AL64">IF(ISBLANK($AQ64), "", INDEX([2]SalmonProps!$A$2:$AA$10001,MATCH(1,($A64=[2]SalmonProps!$A$2:$A$10001)*($AP64 = [2]SalmonProps!$F$2:$F$10001) *($AR64 = [2]SalmonProps!$G$2:$G$10001),0), 22))</f>
        <v>73.8</v>
      </c>
      <c r="AM64" s="183" cm="1">
        <f t="array" ref="AM64">IF(ISBLANK($AQ64), "", INDEX([2]SalmonProps!$A$2:$AA$10001,MATCH(1,($A64=[2]SalmonProps!$A$2:$A$10001)*($AP64 = [2]SalmonProps!$F$2:$F$10001) *($AR64 = [2]SalmonProps!$G$2:$G$10001),0), 23))</f>
        <v>7.5</v>
      </c>
      <c r="AN64" s="174" t="str" cm="1">
        <f t="array" ref="AN64">IF(ISBLANK($AQ64), "", INDEX([2]SalmonProps!$A$2:$AA$10001,MATCH(1,($A64=[2]SalmonProps!$A$2:$A$10001)*($AP64 = [2]SalmonProps!$F$2:$F$10001) *($AR64 = [2]SalmonProps!$G$2:$G$10001),0), 26))</f>
        <v>NA</v>
      </c>
      <c r="AO64" s="175" t="str" cm="1">
        <f t="array" ref="AO64">IF(ISBLANK($AQ64), "", INDEX([2]SalmonProps!$A$2:$AA$10001,MATCH(1,($A64=[2]SalmonProps!$A$2:$A$10001)*($AP64 = [2]SalmonProps!$F$2:$F$10001) *($AR64 = [2]SalmonProps!$G$2:$G$10001),0), 27))</f>
        <v>NA</v>
      </c>
      <c r="AP64" s="112">
        <v>4</v>
      </c>
      <c r="AQ64" s="112" t="s">
        <v>133</v>
      </c>
      <c r="AR64" s="112" t="str">
        <f t="shared" si="1"/>
        <v>Unweighted</v>
      </c>
    </row>
    <row r="65" spans="1:44" x14ac:dyDescent="0.3">
      <c r="A65" s="20">
        <f>'[1]Passage Estimates'!$A65</f>
        <v>45167</v>
      </c>
      <c r="B65" s="164" cm="1">
        <f t="array" ref="B65">IF(ISBLANK($AQ65), "", INDEX([2]SalmonProps!$A$2:$AA$10001,MATCH(1,($A65=[2]SalmonProps!$A$2:$A$10001)*(1=[2]SalmonProps!$C$2:$C$10001)*(1=[2]SalmonProps!$D$2:$D$10001)*("A1" = [2]SalmonProps!$B$2:$B$10001)*($AP65 = [2]SalmonProps!$F$2:$F$10001) *($AR65 = [2]SalmonProps!$G$2:$G$10001),0), 17))</f>
        <v>1.7000000000000001E-2</v>
      </c>
      <c r="C65" s="165" cm="1">
        <f t="array" ref="C65">IF(ISBLANK($AQ65), "", INDEX([2]SalmonProps!$A$2:$AA$10001,MATCH(1,($A65=[2]SalmonProps!$A$2:$A$10001)*(1=[2]SalmonProps!$C$2:$C$10001)*(2=[2]SalmonProps!$D$2:$D$10001)*("A1" = [2]SalmonProps!$B$2:$B$10001)*($AP65 = [2]SalmonProps!$F$2:$F$10001) *($AR65 = [2]SalmonProps!$G$2:$G$10001),0), 17))</f>
        <v>2.24E-2</v>
      </c>
      <c r="D65" s="165" cm="1">
        <f t="array" ref="D65">IF(ISBLANK($AQ65), "", INDEX([2]SalmonProps!$A$2:$AA$10001,MATCH(1,($A65=[2]SalmonProps!$A$2:$A$10001)*(1=[2]SalmonProps!$C$2:$C$10001)*("1&amp;2"=[2]SalmonProps!$D$2:$D$10001)*("A1" = [2]SalmonProps!$B$2:$B$10001)*($AP65 = [2]SalmonProps!$F$2:$F$10001) *($AR65 = [2]SalmonProps!$G$2:$G$10001),0), 17))</f>
        <v>1.26E-2</v>
      </c>
      <c r="E65" s="181" cm="1">
        <f t="array" ref="E65">IF(ISBLANK($AQ65), "", INDEX([2]SalmonProps!$A$2:$AA$10001,MATCH(1,($A65=[2]SalmonProps!$A$2:$A$10001)*(2=[2]SalmonProps!$C$2:$C$10001)*(3=[2]SalmonProps!$D$2:$D$10001)*("A1" = [2]SalmonProps!$B$2:$B$10001)*($AP65 = [2]SalmonProps!$F$2:$F$10001) *($AR65 = [2]SalmonProps!$G$2:$G$10001),0), 17))</f>
        <v>0.1018</v>
      </c>
      <c r="F65" s="165" cm="1">
        <f t="array" ref="F65">IF(ISBLANK($AQ65), "", INDEX([2]SalmonProps!$A$2:$AA$10001,MATCH(1,($A65=[2]SalmonProps!$A$2:$A$10001)*(3=[2]SalmonProps!$C$2:$C$10001)*(3=[2]SalmonProps!$D$2:$D$10001)*("A1" = [2]SalmonProps!$B$2:$B$10001)*($AP65 = [2]SalmonProps!$F$2:$F$10001) *($AR65 = [2]SalmonProps!$G$2:$G$10001),0), 17))</f>
        <v>0.51429999999999998</v>
      </c>
      <c r="G65" s="165" cm="1">
        <f t="array" ref="G65">IF(ISBLANK($AQ65), "", INDEX([2]SalmonProps!$A$2:$AA$10001,MATCH(1,($A65=[2]SalmonProps!$A$2:$A$10001)*(1=[2]SalmonProps!$C$2:$C$10001)*(1=[2]SalmonProps!$D$2:$D$10001)*("A2" = [2]SalmonProps!$B$2:$B$10001)*($AP65 = [2]SalmonProps!$F$2:$F$10001) *($AR65 = [2]SalmonProps!$G$2:$G$10001),0), 17))</f>
        <v>1.21E-2</v>
      </c>
      <c r="H65" s="166" cm="1">
        <f t="array" ref="H65">IF(ISBLANK($AQ65), "", INDEX([2]SalmonProps!$A$2:$AA$10001,MATCH(1,($A65=[2]SalmonProps!$A$2:$A$10001)*(2=[2]SalmonProps!$C$2:$C$10001)*(1=[2]SalmonProps!$D$2:$D$10001)*("A2" = [2]SalmonProps!$B$2:$B$10001)*($AP65 = [2]SalmonProps!$F$2:$F$10001) *($AR65 = [2]SalmonProps!$G$2:$G$10001),0), 17))</f>
        <v>0.24210000000000001</v>
      </c>
      <c r="I65" s="167" cm="1">
        <f t="array" ref="I65">IF(ISBLANK($AQ65), "", INDEX([2]SalmonProps!$A$2:$AA$10001,MATCH(1,($A65=[2]SalmonProps!$A$2:$A$10001)*(3=[2]SalmonProps!$C$2:$C$10001)*(1=[2]SalmonProps!$D$2:$D$10001)*("A2" = [2]SalmonProps!$B$2:$B$10001)*($AP65 = [2]SalmonProps!$F$2:$F$10001) *($AR65 = [2]SalmonProps!$G$2:$G$10001),0), 17))</f>
        <v>0.62829999999999997</v>
      </c>
      <c r="J65" s="164" t="str" cm="1">
        <f t="array" ref="J65">IF(ISBLANK($AQ65), "", INDEX([2]SalmonProps!$A$2:$AA$10001,MATCH(1,($A65=[2]SalmonProps!$A$2:$A$10001)*(1=[2]SalmonProps!$C$2:$C$10001)*(1=[2]SalmonProps!$D$2:$D$10001)*("A1" = [2]SalmonProps!$B$2:$B$10001)*($AP65 = [2]SalmonProps!$F$2:$F$10001) *($AR65 = [2]SalmonProps!$G$2:$G$10001),0), 19))</f>
        <v>NA</v>
      </c>
      <c r="K65" s="165" t="str" cm="1">
        <f t="array" ref="K65">IF(ISBLANK($AQ65), "", INDEX([2]SalmonProps!$A$2:$AA$10001,MATCH(1,($A65=[2]SalmonProps!$A$2:$A$10001)*(1=[2]SalmonProps!$C$2:$C$10001)*(2=[2]SalmonProps!$D$2:$D$10001)*("A1" = [2]SalmonProps!$B$2:$B$10001)*($AP65 = [2]SalmonProps!$F$2:$F$10001) *($AR65 = [2]SalmonProps!$G$2:$G$10001),0), 19))</f>
        <v>NA</v>
      </c>
      <c r="L65" s="165" t="str" cm="1">
        <f t="array" ref="L65">IF(ISBLANK($AQ65), "", INDEX([2]SalmonProps!$A$2:$AA$10001,MATCH(1,($A65=[2]SalmonProps!$A$2:$A$10001)*(1=[2]SalmonProps!$C$2:$C$10001)*("1&amp;2"=[2]SalmonProps!$D$2:$D$10001)*("A1" = [2]SalmonProps!$B$2:$B$10001)*($AP65 = [2]SalmonProps!$F$2:$F$10001) *($AR65 = [2]SalmonProps!$G$2:$G$10001),0), 19))</f>
        <v>NA</v>
      </c>
      <c r="M65" s="165" t="str" cm="1">
        <f t="array" ref="M65">IF(ISBLANK($AQ65), "", INDEX([2]SalmonProps!$A$2:$AA$10001,MATCH(1,($A65=[2]SalmonProps!$A$2:$A$10001)*(2=[2]SalmonProps!$C$2:$C$10001)*(3=[2]SalmonProps!$D$2:$D$10001)*("A1" = [2]SalmonProps!$B$2:$B$10001)*($AP65 = [2]SalmonProps!$F$2:$F$10001) *($AR65 = [2]SalmonProps!$G$2:$G$10001),0), 19))</f>
        <v>NA</v>
      </c>
      <c r="N65" s="181" t="str" cm="1">
        <f t="array" ref="N65">IF(ISBLANK($AQ65), "", INDEX([2]SalmonProps!$A$2:$AA$10001,MATCH(1,($A65=[2]SalmonProps!$A$2:$A$10001)*(3=[2]SalmonProps!$C$2:$C$10001)*(3=[2]SalmonProps!$D$2:$D$10001)*("A1" = [2]SalmonProps!$B$2:$B$10001)*($AP65 = [2]SalmonProps!$F$2:$F$10001) *($AR65 = [2]SalmonProps!$G$2:$G$10001),0), 19))</f>
        <v>NA</v>
      </c>
      <c r="O65" s="165" t="str" cm="1">
        <f t="array" ref="O65">IF(ISBLANK($AQ65), "", INDEX([2]SalmonProps!$A$2:$AA$10001,MATCH(1,($A65=[2]SalmonProps!$A$2:$A$10001)*(1=[2]SalmonProps!$C$2:$C$10001)*(1=[2]SalmonProps!$D$2:$D$10001)*("A2" = [2]SalmonProps!$B$2:$B$10001)*($AP65 = [2]SalmonProps!$F$2:$F$10001) *($AR65 = [2]SalmonProps!$G$2:$G$10001),0), 19))</f>
        <v>NA</v>
      </c>
      <c r="P65" s="165" t="str" cm="1">
        <f t="array" ref="P65">IF(ISBLANK($AQ65), "", INDEX([2]SalmonProps!$A$2:$AA$10001,MATCH(1,($A65=[2]SalmonProps!$A$2:$A$10001)*(2=[2]SalmonProps!$C$2:$C$10001)*(1=[2]SalmonProps!$D$2:$D$10001)*("A2" = [2]SalmonProps!$B$2:$B$10001)*($AP65 = [2]SalmonProps!$F$2:$F$10001) *($AR65 = [2]SalmonProps!$G$2:$G$10001),0), 19))</f>
        <v>NA</v>
      </c>
      <c r="Q65" s="168" t="str" cm="1">
        <f t="array" ref="Q65">IF(ISBLANK($AQ65), "", INDEX([2]SalmonProps!$A$2:$AA$10001,MATCH(1,($A65=[2]SalmonProps!$A$2:$A$10001)*(3=[2]SalmonProps!$C$2:$C$10001)*(1=[2]SalmonProps!$D$2:$D$10001)*("A2" = [2]SalmonProps!$B$2:$B$10001)*($AP65 = [2]SalmonProps!$F$2:$F$10001) *($AR65 = [2]SalmonProps!$G$2:$G$10001),0), 19))</f>
        <v>NA</v>
      </c>
      <c r="R65" s="164" cm="1">
        <f t="array" ref="R65">IF(ISBLANK($AQ65), "", INDEX([2]SalmonProps!$A$2:$AA$10001,MATCH(1,($A65=[2]SalmonProps!$A$2:$A$10001)*(1=[2]SalmonProps!$C$2:$C$10001)*(1=[2]SalmonProps!$D$2:$D$10001)*("A1" = [2]SalmonProps!$B$2:$B$10001)*($AP65 = [2]SalmonProps!$F$2:$F$10001) *($AR65 = [2]SalmonProps!$G$2:$G$10001),0), 18))</f>
        <v>0.1968</v>
      </c>
      <c r="S65" s="165" cm="1">
        <f t="array" ref="S65">IF(ISBLANK($AQ65), "", INDEX([2]SalmonProps!$A$2:$AA$10001,MATCH(1,($A65=[2]SalmonProps!$A$2:$A$10001)*(1=[2]SalmonProps!$C$2:$C$10001)*(2=[2]SalmonProps!$D$2:$D$10001)*("A1" = [2]SalmonProps!$B$2:$B$10001)*($AP65 = [2]SalmonProps!$F$2:$F$10001) *($AR65 = [2]SalmonProps!$G$2:$G$10001),0), 18))</f>
        <v>0.72299999999999998</v>
      </c>
      <c r="T65" s="165" cm="1">
        <f t="array" ref="T65">IF(ISBLANK($AQ65), "", INDEX([2]SalmonProps!$A$2:$AA$10001,MATCH(1,($A65=[2]SalmonProps!$A$2:$A$10001)*(1=[2]SalmonProps!$C$2:$C$10001)*("1&amp;2"=[2]SalmonProps!$D$2:$D$10001)*("A1" = [2]SalmonProps!$B$2:$B$10001)*($AP65 = [2]SalmonProps!$F$2:$F$10001) *($AR65 = [2]SalmonProps!$G$2:$G$10001),0), 18))</f>
        <v>0.44969999999999999</v>
      </c>
      <c r="U65" s="165" cm="1">
        <f t="array" ref="U65">IF(ISBLANK($AQ65), "", INDEX([2]SalmonProps!$A$2:$AA$10001,MATCH(1,($A65=[2]SalmonProps!$A$2:$A$10001)*(2=[2]SalmonProps!$C$2:$C$10001)*(3=[2]SalmonProps!$D$2:$D$10001)*("A1" = [2]SalmonProps!$B$2:$B$10001)*($AP65 = [2]SalmonProps!$F$2:$F$10001) *($AR65 = [2]SalmonProps!$G$2:$G$10001),0), 18))</f>
        <v>0.87749999999999995</v>
      </c>
      <c r="V65" s="181" cm="1">
        <f t="array" ref="V65">IF(ISBLANK($AQ65), "", INDEX([2]SalmonProps!$A$2:$AA$10001,MATCH(1,($A65=[2]SalmonProps!$A$2:$A$10001)*(3=[2]SalmonProps!$C$2:$C$10001)*(3=[2]SalmonProps!$D$2:$D$10001)*("A1" = [2]SalmonProps!$B$2:$B$10001)*($AP65 = [2]SalmonProps!$F$2:$F$10001) *($AR65 = [2]SalmonProps!$G$2:$G$10001),0), 18))</f>
        <v>0.44640000000000002</v>
      </c>
      <c r="W65" s="180" cm="1">
        <f t="array" ref="W65">IF(ISBLANK($AQ65), "", INDEX([2]SalmonProps!$A$2:$AA$10001,MATCH(1,($A65=[2]SalmonProps!$A$2:$A$10001)*(1=[2]SalmonProps!$C$2:$C$10001)*(1=[2]SalmonProps!$D$2:$D$10001)*("A2" = [2]SalmonProps!$B$2:$B$10001)*($AP65 = [2]SalmonProps!$F$2:$F$10001) *($AR65 = [2]SalmonProps!$G$2:$G$10001),0), 18))</f>
        <v>0.60809999999999997</v>
      </c>
      <c r="X65" s="165" cm="1">
        <f t="array" ref="X65">IF(ISBLANK($AQ65), "", INDEX([2]SalmonProps!$A$2:$AA$10001,MATCH(1,($A65=[2]SalmonProps!$A$2:$A$10001)*(2=[2]SalmonProps!$C$2:$C$10001)*(1=[2]SalmonProps!$D$2:$D$10001)*("A2" = [2]SalmonProps!$B$2:$B$10001)*($AP65 = [2]SalmonProps!$F$2:$F$10001) *($AR65 = [2]SalmonProps!$G$2:$G$10001),0), 18))</f>
        <v>0.42709999999999998</v>
      </c>
      <c r="Y65" s="168" cm="1">
        <f t="array" ref="Y65">IF(ISBLANK($AQ65), "", INDEX([2]SalmonProps!$A$2:$AA$10001,MATCH(1,($A65=[2]SalmonProps!$A$2:$A$10001)*(3=[2]SalmonProps!$C$2:$C$10001)*(1=[2]SalmonProps!$D$2:$D$10001)*("A2" = [2]SalmonProps!$B$2:$B$10001)*($AP65 = [2]SalmonProps!$F$2:$F$10001) *($AR65 = [2]SalmonProps!$G$2:$G$10001),0), 18))</f>
        <v>0.30180000000000001</v>
      </c>
      <c r="Z65" s="164" cm="1">
        <f t="array" ref="Z65">IF(ISBLANK($AQ65), "", INDEX([2]SalmonProps!$A$2:$AA$10001,MATCH(1,($A65=[2]SalmonProps!$A$2:$A$10001)*(1=[2]SalmonProps!$C$2:$C$10001)*(1=[2]SalmonProps!$D$2:$D$10001)*("A1" = [2]SalmonProps!$B$2:$B$10001)*($AP65 = [2]SalmonProps!$F$2:$F$10001) *($AR65 = [2]SalmonProps!$G$2:$G$10001),0), 15))</f>
        <v>0.21379999999999999</v>
      </c>
      <c r="AA65" s="165" cm="1">
        <f t="array" ref="AA65">IF(ISBLANK($AQ65), "", INDEX([2]SalmonProps!$A$2:$AA$10001,MATCH(1,($A65=[2]SalmonProps!$A$2:$A$10001)*(1=[2]SalmonProps!$C$2:$C$10001)*(2=[2]SalmonProps!$D$2:$D$10001)*("A1" = [2]SalmonProps!$B$2:$B$10001)*($AP65 = [2]SalmonProps!$F$2:$F$10001) *($AR65 = [2]SalmonProps!$G$2:$G$10001),0), 15))</f>
        <v>0.74539999999999995</v>
      </c>
      <c r="AB65" s="165" cm="1">
        <f t="array" ref="AB65">IF(ISBLANK($AQ65), "", INDEX([2]SalmonProps!$A$2:$AA$10001,MATCH(1,($A65=[2]SalmonProps!$A$2:$A$10001)*(1=[2]SalmonProps!$C$2:$C$10001)*("1&amp;2"=[2]SalmonProps!$D$2:$D$10001)*("A1" = [2]SalmonProps!$B$2:$B$10001)*($AP65 = [2]SalmonProps!$F$2:$F$10001) *($AR65 = [2]SalmonProps!$G$2:$G$10001),0), 15))</f>
        <v>0.46229999999999999</v>
      </c>
      <c r="AC65" s="165" cm="1">
        <f t="array" ref="AC65">IF(ISBLANK($AQ65), "", INDEX([2]SalmonProps!$A$2:$AA$10001,MATCH(1,($A65=[2]SalmonProps!$A$2:$A$10001)*(2=[2]SalmonProps!$C$2:$C$10001)*(3=[2]SalmonProps!$D$2:$D$10001)*("A1" = [2]SalmonProps!$B$2:$B$10001)*($AP65 = [2]SalmonProps!$F$2:$F$10001) *($AR65 = [2]SalmonProps!$G$2:$G$10001),0), 15))</f>
        <v>0.97929999999999995</v>
      </c>
      <c r="AD65" s="181" cm="1">
        <f t="array" ref="AD65">IF(ISBLANK($AQ65), "", INDEX([2]SalmonProps!$A$2:$AA$10001,MATCH(1,($A65=[2]SalmonProps!$A$2:$A$10001)*(3=[2]SalmonProps!$C$2:$C$10001)*(3=[2]SalmonProps!$D$2:$D$10001)*("A1" = [2]SalmonProps!$B$2:$B$10001)*($AP65 = [2]SalmonProps!$F$2:$F$10001) *($AR65 = [2]SalmonProps!$G$2:$G$10001),0), 15))</f>
        <v>0.98070000000000002</v>
      </c>
      <c r="AE65" s="166" cm="1">
        <f t="array" ref="AE65">IF(ISBLANK($AQ65), "", INDEX([2]SalmonProps!$A$2:$AA$10001,MATCH(1,($A65=[2]SalmonProps!$A$2:$A$10001)*(1=[2]SalmonProps!$C$2:$C$10001)*(1=[2]SalmonProps!$D$2:$D$10001)*("A2" = [2]SalmonProps!$B$2:$B$10001)*($AP65 = [2]SalmonProps!$F$2:$F$10001) *($AR65 = [2]SalmonProps!$G$2:$G$10001),0), 15))</f>
        <v>0.62019999999999997</v>
      </c>
      <c r="AF65" s="166" cm="1">
        <f t="array" ref="AF65">IF(ISBLANK($AQ65), "", INDEX([2]SalmonProps!$A$2:$AA$10001,MATCH(1,($A65=[2]SalmonProps!$A$2:$A$10001)*(2=[2]SalmonProps!$C$2:$C$10001)*(1=[2]SalmonProps!$D$2:$D$10001)*("A2" = [2]SalmonProps!$B$2:$B$10001)*($AP65 = [2]SalmonProps!$F$2:$F$10001) *($AR65 = [2]SalmonProps!$G$2:$G$10001),0), 15))</f>
        <v>0.72230000000000005</v>
      </c>
      <c r="AG65" s="167" cm="1">
        <f t="array" ref="AG65">IF(ISBLANK($AQ65), "", INDEX([2]SalmonProps!$A$2:$AA$10001,MATCH(1,($A65=[2]SalmonProps!$A$2:$A$10001)*(3=[2]SalmonProps!$C$2:$C$10001)*(1=[2]SalmonProps!$D$2:$D$10001)*("A2" = [2]SalmonProps!$B$2:$B$10001)*($AP65 = [2]SalmonProps!$F$2:$F$10001) *($AR65 = [2]SalmonProps!$G$2:$G$10001),0), 15))</f>
        <v>0.93010000000000004</v>
      </c>
      <c r="AH65" s="173" cm="1">
        <f t="array" ref="AH65">IF(ISBLANK($AQ65), "", INDEX([2]SalmonProps!$A$2:$AA$10001,MATCH(1,($A65=[2]SalmonProps!$A$2:$A$10001)*($AP65 = [2]SalmonProps!$F$2:$F$10001) *($AR65 = [2]SalmonProps!$G$2:$G$10001),0), 24))</f>
        <v>53.9</v>
      </c>
      <c r="AI65" s="183" cm="1">
        <f t="array" ref="AI65">IF(ISBLANK($AQ65), "", INDEX([2]SalmonProps!$A$2:$AA$10001,MATCH(1,($A65=[2]SalmonProps!$A$2:$A$10001)*($AP65 = [2]SalmonProps!$F$2:$F$10001) *($AR65 = [2]SalmonProps!$G$2:$G$10001),0), 25))</f>
        <v>7</v>
      </c>
      <c r="AJ65" s="174" cm="1">
        <f t="array" ref="AJ65">IF(ISBLANK($AQ65), "", INDEX([2]SalmonProps!$A$2:$AA$10001,MATCH(1,($A65=[2]SalmonProps!$A$2:$A$10001)*($AP65 = [2]SalmonProps!$F$2:$F$10001) *($AR65 = [2]SalmonProps!$G$2:$G$10001),0), 20))</f>
        <v>59</v>
      </c>
      <c r="AK65" s="183" cm="1">
        <f t="array" ref="AK65">IF(ISBLANK($AQ65), "", INDEX([2]SalmonProps!$A$2:$AA$10001,MATCH(1,($A65=[2]SalmonProps!$A$2:$A$10001)*($AP65 = [2]SalmonProps!$F$2:$F$10001) *($AR65 = [2]SalmonProps!$G$2:$G$10001),0), 21))</f>
        <v>4.8</v>
      </c>
      <c r="AL65" s="174" cm="1">
        <f t="array" ref="AL65">IF(ISBLANK($AQ65), "", INDEX([2]SalmonProps!$A$2:$AA$10001,MATCH(1,($A65=[2]SalmonProps!$A$2:$A$10001)*($AP65 = [2]SalmonProps!$F$2:$F$10001) *($AR65 = [2]SalmonProps!$G$2:$G$10001),0), 22))</f>
        <v>73.3</v>
      </c>
      <c r="AM65" s="183" cm="1">
        <f t="array" ref="AM65">IF(ISBLANK($AQ65), "", INDEX([2]SalmonProps!$A$2:$AA$10001,MATCH(1,($A65=[2]SalmonProps!$A$2:$A$10001)*($AP65 = [2]SalmonProps!$F$2:$F$10001) *($AR65 = [2]SalmonProps!$G$2:$G$10001),0), 23))</f>
        <v>7.4</v>
      </c>
      <c r="AN65" s="174" t="str" cm="1">
        <f t="array" ref="AN65">IF(ISBLANK($AQ65), "", INDEX([2]SalmonProps!$A$2:$AA$10001,MATCH(1,($A65=[2]SalmonProps!$A$2:$A$10001)*($AP65 = [2]SalmonProps!$F$2:$F$10001) *($AR65 = [2]SalmonProps!$G$2:$G$10001),0), 26))</f>
        <v>NA</v>
      </c>
      <c r="AO65" s="175" t="str" cm="1">
        <f t="array" ref="AO65">IF(ISBLANK($AQ65), "", INDEX([2]SalmonProps!$A$2:$AA$10001,MATCH(1,($A65=[2]SalmonProps!$A$2:$A$10001)*($AP65 = [2]SalmonProps!$F$2:$F$10001) *($AR65 = [2]SalmonProps!$G$2:$G$10001),0), 27))</f>
        <v>NA</v>
      </c>
      <c r="AP65" s="112">
        <v>4</v>
      </c>
      <c r="AQ65" s="112" t="s">
        <v>133</v>
      </c>
      <c r="AR65" s="112" t="str">
        <f t="shared" si="1"/>
        <v>Unweighted</v>
      </c>
    </row>
    <row r="66" spans="1:44" x14ac:dyDescent="0.3">
      <c r="A66" s="20">
        <f>'[1]Passage Estimates'!$A66</f>
        <v>45168</v>
      </c>
      <c r="B66" s="164" cm="1">
        <f t="array" ref="B66">IF(ISBLANK($AQ66), "", INDEX([2]SalmonProps!$A$2:$AA$10001,MATCH(1,($A66=[2]SalmonProps!$A$2:$A$10001)*(1=[2]SalmonProps!$C$2:$C$10001)*(1=[2]SalmonProps!$D$2:$D$10001)*("A1" = [2]SalmonProps!$B$2:$B$10001)*($AP66 = [2]SalmonProps!$F$2:$F$10001) *($AR66 = [2]SalmonProps!$G$2:$G$10001),0), 17))</f>
        <v>6.1000000000000004E-3</v>
      </c>
      <c r="C66" s="165" cm="1">
        <f t="array" ref="C66">IF(ISBLANK($AQ66), "", INDEX([2]SalmonProps!$A$2:$AA$10001,MATCH(1,($A66=[2]SalmonProps!$A$2:$A$10001)*(1=[2]SalmonProps!$C$2:$C$10001)*(2=[2]SalmonProps!$D$2:$D$10001)*("A1" = [2]SalmonProps!$B$2:$B$10001)*($AP66 = [2]SalmonProps!$F$2:$F$10001) *($AR66 = [2]SalmonProps!$G$2:$G$10001),0), 17))</f>
        <v>7.7000000000000002E-3</v>
      </c>
      <c r="D66" s="165" cm="1">
        <f t="array" ref="D66">IF(ISBLANK($AQ66), "", INDEX([2]SalmonProps!$A$2:$AA$10001,MATCH(1,($A66=[2]SalmonProps!$A$2:$A$10001)*(1=[2]SalmonProps!$C$2:$C$10001)*("1&amp;2"=[2]SalmonProps!$D$2:$D$10001)*("A1" = [2]SalmonProps!$B$2:$B$10001)*($AP66 = [2]SalmonProps!$F$2:$F$10001) *($AR66 = [2]SalmonProps!$G$2:$G$10001),0), 17))</f>
        <v>5.7000000000000002E-3</v>
      </c>
      <c r="E66" s="181" cm="1">
        <f t="array" ref="E66">IF(ISBLANK($AQ66), "", INDEX([2]SalmonProps!$A$2:$AA$10001,MATCH(1,($A66=[2]SalmonProps!$A$2:$A$10001)*(2=[2]SalmonProps!$C$2:$C$10001)*(3=[2]SalmonProps!$D$2:$D$10001)*("A1" = [2]SalmonProps!$B$2:$B$10001)*($AP66 = [2]SalmonProps!$F$2:$F$10001) *($AR66 = [2]SalmonProps!$G$2:$G$10001),0), 17))</f>
        <v>7.2800000000000004E-2</v>
      </c>
      <c r="F66" s="165" cm="1">
        <f t="array" ref="F66">IF(ISBLANK($AQ66), "", INDEX([2]SalmonProps!$A$2:$AA$10001,MATCH(1,($A66=[2]SalmonProps!$A$2:$A$10001)*(3=[2]SalmonProps!$C$2:$C$10001)*(3=[2]SalmonProps!$D$2:$D$10001)*("A1" = [2]SalmonProps!$B$2:$B$10001)*($AP66 = [2]SalmonProps!$F$2:$F$10001) *($AR66 = [2]SalmonProps!$G$2:$G$10001),0), 17))</f>
        <v>0.26910000000000001</v>
      </c>
      <c r="G66" s="165" cm="1">
        <f t="array" ref="G66">IF(ISBLANK($AQ66), "", INDEX([2]SalmonProps!$A$2:$AA$10001,MATCH(1,($A66=[2]SalmonProps!$A$2:$A$10001)*(1=[2]SalmonProps!$C$2:$C$10001)*(1=[2]SalmonProps!$D$2:$D$10001)*("A2" = [2]SalmonProps!$B$2:$B$10001)*($AP66 = [2]SalmonProps!$F$2:$F$10001) *($AR66 = [2]SalmonProps!$G$2:$G$10001),0), 17))</f>
        <v>1.21E-2</v>
      </c>
      <c r="H66" s="166" cm="1">
        <f t="array" ref="H66">IF(ISBLANK($AQ66), "", INDEX([2]SalmonProps!$A$2:$AA$10001,MATCH(1,($A66=[2]SalmonProps!$A$2:$A$10001)*(2=[2]SalmonProps!$C$2:$C$10001)*(1=[2]SalmonProps!$D$2:$D$10001)*("A2" = [2]SalmonProps!$B$2:$B$10001)*($AP66 = [2]SalmonProps!$F$2:$F$10001) *($AR66 = [2]SalmonProps!$G$2:$G$10001),0), 17))</f>
        <v>0.24210000000000001</v>
      </c>
      <c r="I66" s="167" cm="1">
        <f t="array" ref="I66">IF(ISBLANK($AQ66), "", INDEX([2]SalmonProps!$A$2:$AA$10001,MATCH(1,($A66=[2]SalmonProps!$A$2:$A$10001)*(3=[2]SalmonProps!$C$2:$C$10001)*(1=[2]SalmonProps!$D$2:$D$10001)*("A2" = [2]SalmonProps!$B$2:$B$10001)*($AP66 = [2]SalmonProps!$F$2:$F$10001) *($AR66 = [2]SalmonProps!$G$2:$G$10001),0), 17))</f>
        <v>0.62829999999999997</v>
      </c>
      <c r="J66" s="164" t="str" cm="1">
        <f t="array" ref="J66">IF(ISBLANK($AQ66), "", INDEX([2]SalmonProps!$A$2:$AA$10001,MATCH(1,($A66=[2]SalmonProps!$A$2:$A$10001)*(1=[2]SalmonProps!$C$2:$C$10001)*(1=[2]SalmonProps!$D$2:$D$10001)*("A1" = [2]SalmonProps!$B$2:$B$10001)*($AP66 = [2]SalmonProps!$F$2:$F$10001) *($AR66 = [2]SalmonProps!$G$2:$G$10001),0), 19))</f>
        <v>NA</v>
      </c>
      <c r="K66" s="165" t="str" cm="1">
        <f t="array" ref="K66">IF(ISBLANK($AQ66), "", INDEX([2]SalmonProps!$A$2:$AA$10001,MATCH(1,($A66=[2]SalmonProps!$A$2:$A$10001)*(1=[2]SalmonProps!$C$2:$C$10001)*(2=[2]SalmonProps!$D$2:$D$10001)*("A1" = [2]SalmonProps!$B$2:$B$10001)*($AP66 = [2]SalmonProps!$F$2:$F$10001) *($AR66 = [2]SalmonProps!$G$2:$G$10001),0), 19))</f>
        <v>NA</v>
      </c>
      <c r="L66" s="165" t="str" cm="1">
        <f t="array" ref="L66">IF(ISBLANK($AQ66), "", INDEX([2]SalmonProps!$A$2:$AA$10001,MATCH(1,($A66=[2]SalmonProps!$A$2:$A$10001)*(1=[2]SalmonProps!$C$2:$C$10001)*("1&amp;2"=[2]SalmonProps!$D$2:$D$10001)*("A1" = [2]SalmonProps!$B$2:$B$10001)*($AP66 = [2]SalmonProps!$F$2:$F$10001) *($AR66 = [2]SalmonProps!$G$2:$G$10001),0), 19))</f>
        <v>NA</v>
      </c>
      <c r="M66" s="165" t="str" cm="1">
        <f t="array" ref="M66">IF(ISBLANK($AQ66), "", INDEX([2]SalmonProps!$A$2:$AA$10001,MATCH(1,($A66=[2]SalmonProps!$A$2:$A$10001)*(2=[2]SalmonProps!$C$2:$C$10001)*(3=[2]SalmonProps!$D$2:$D$10001)*("A1" = [2]SalmonProps!$B$2:$B$10001)*($AP66 = [2]SalmonProps!$F$2:$F$10001) *($AR66 = [2]SalmonProps!$G$2:$G$10001),0), 19))</f>
        <v>NA</v>
      </c>
      <c r="N66" s="181" t="str" cm="1">
        <f t="array" ref="N66">IF(ISBLANK($AQ66), "", INDEX([2]SalmonProps!$A$2:$AA$10001,MATCH(1,($A66=[2]SalmonProps!$A$2:$A$10001)*(3=[2]SalmonProps!$C$2:$C$10001)*(3=[2]SalmonProps!$D$2:$D$10001)*("A1" = [2]SalmonProps!$B$2:$B$10001)*($AP66 = [2]SalmonProps!$F$2:$F$10001) *($AR66 = [2]SalmonProps!$G$2:$G$10001),0), 19))</f>
        <v>NA</v>
      </c>
      <c r="O66" s="165" t="str" cm="1">
        <f t="array" ref="O66">IF(ISBLANK($AQ66), "", INDEX([2]SalmonProps!$A$2:$AA$10001,MATCH(1,($A66=[2]SalmonProps!$A$2:$A$10001)*(1=[2]SalmonProps!$C$2:$C$10001)*(1=[2]SalmonProps!$D$2:$D$10001)*("A2" = [2]SalmonProps!$B$2:$B$10001)*($AP66 = [2]SalmonProps!$F$2:$F$10001) *($AR66 = [2]SalmonProps!$G$2:$G$10001),0), 19))</f>
        <v>NA</v>
      </c>
      <c r="P66" s="165" t="str" cm="1">
        <f t="array" ref="P66">IF(ISBLANK($AQ66), "", INDEX([2]SalmonProps!$A$2:$AA$10001,MATCH(1,($A66=[2]SalmonProps!$A$2:$A$10001)*(2=[2]SalmonProps!$C$2:$C$10001)*(1=[2]SalmonProps!$D$2:$D$10001)*("A2" = [2]SalmonProps!$B$2:$B$10001)*($AP66 = [2]SalmonProps!$F$2:$F$10001) *($AR66 = [2]SalmonProps!$G$2:$G$10001),0), 19))</f>
        <v>NA</v>
      </c>
      <c r="Q66" s="168" t="str" cm="1">
        <f t="array" ref="Q66">IF(ISBLANK($AQ66), "", INDEX([2]SalmonProps!$A$2:$AA$10001,MATCH(1,($A66=[2]SalmonProps!$A$2:$A$10001)*(3=[2]SalmonProps!$C$2:$C$10001)*(1=[2]SalmonProps!$D$2:$D$10001)*("A2" = [2]SalmonProps!$B$2:$B$10001)*($AP66 = [2]SalmonProps!$F$2:$F$10001) *($AR66 = [2]SalmonProps!$G$2:$G$10001),0), 19))</f>
        <v>NA</v>
      </c>
      <c r="R66" s="164" cm="1">
        <f t="array" ref="R66">IF(ISBLANK($AQ66), "", INDEX([2]SalmonProps!$A$2:$AA$10001,MATCH(1,($A66=[2]SalmonProps!$A$2:$A$10001)*(1=[2]SalmonProps!$C$2:$C$10001)*(1=[2]SalmonProps!$D$2:$D$10001)*("A1" = [2]SalmonProps!$B$2:$B$10001)*($AP66 = [2]SalmonProps!$F$2:$F$10001) *($AR66 = [2]SalmonProps!$G$2:$G$10001),0), 18))</f>
        <v>0.16619999999999999</v>
      </c>
      <c r="S66" s="165" cm="1">
        <f t="array" ref="S66">IF(ISBLANK($AQ66), "", INDEX([2]SalmonProps!$A$2:$AA$10001,MATCH(1,($A66=[2]SalmonProps!$A$2:$A$10001)*(1=[2]SalmonProps!$C$2:$C$10001)*(2=[2]SalmonProps!$D$2:$D$10001)*("A1" = [2]SalmonProps!$B$2:$B$10001)*($AP66 = [2]SalmonProps!$F$2:$F$10001) *($AR66 = [2]SalmonProps!$G$2:$G$10001),0), 18))</f>
        <v>0.70840000000000003</v>
      </c>
      <c r="T66" s="165" cm="1">
        <f t="array" ref="T66">IF(ISBLANK($AQ66), "", INDEX([2]SalmonProps!$A$2:$AA$10001,MATCH(1,($A66=[2]SalmonProps!$A$2:$A$10001)*(1=[2]SalmonProps!$C$2:$C$10001)*("1&amp;2"=[2]SalmonProps!$D$2:$D$10001)*("A1" = [2]SalmonProps!$B$2:$B$10001)*($AP66 = [2]SalmonProps!$F$2:$F$10001) *($AR66 = [2]SalmonProps!$G$2:$G$10001),0), 18))</f>
        <v>0.44790000000000002</v>
      </c>
      <c r="U66" s="165" cm="1">
        <f t="array" ref="U66">IF(ISBLANK($AQ66), "", INDEX([2]SalmonProps!$A$2:$AA$10001,MATCH(1,($A66=[2]SalmonProps!$A$2:$A$10001)*(2=[2]SalmonProps!$C$2:$C$10001)*(3=[2]SalmonProps!$D$2:$D$10001)*("A1" = [2]SalmonProps!$B$2:$B$10001)*($AP66 = [2]SalmonProps!$F$2:$F$10001) *($AR66 = [2]SalmonProps!$G$2:$G$10001),0), 18))</f>
        <v>0.8831</v>
      </c>
      <c r="V66" s="181" cm="1">
        <f t="array" ref="V66">IF(ISBLANK($AQ66), "", INDEX([2]SalmonProps!$A$2:$AA$10001,MATCH(1,($A66=[2]SalmonProps!$A$2:$A$10001)*(3=[2]SalmonProps!$C$2:$C$10001)*(3=[2]SalmonProps!$D$2:$D$10001)*("A1" = [2]SalmonProps!$B$2:$B$10001)*($AP66 = [2]SalmonProps!$F$2:$F$10001) *($AR66 = [2]SalmonProps!$G$2:$G$10001),0), 18))</f>
        <v>0.7077</v>
      </c>
      <c r="W66" s="180" cm="1">
        <f t="array" ref="W66">IF(ISBLANK($AQ66), "", INDEX([2]SalmonProps!$A$2:$AA$10001,MATCH(1,($A66=[2]SalmonProps!$A$2:$A$10001)*(1=[2]SalmonProps!$C$2:$C$10001)*(1=[2]SalmonProps!$D$2:$D$10001)*("A2" = [2]SalmonProps!$B$2:$B$10001)*($AP66 = [2]SalmonProps!$F$2:$F$10001) *($AR66 = [2]SalmonProps!$G$2:$G$10001),0), 18))</f>
        <v>0.60809999999999997</v>
      </c>
      <c r="X66" s="165" cm="1">
        <f t="array" ref="X66">IF(ISBLANK($AQ66), "", INDEX([2]SalmonProps!$A$2:$AA$10001,MATCH(1,($A66=[2]SalmonProps!$A$2:$A$10001)*(2=[2]SalmonProps!$C$2:$C$10001)*(1=[2]SalmonProps!$D$2:$D$10001)*("A2" = [2]SalmonProps!$B$2:$B$10001)*($AP66 = [2]SalmonProps!$F$2:$F$10001) *($AR66 = [2]SalmonProps!$G$2:$G$10001),0), 18))</f>
        <v>0.42709999999999998</v>
      </c>
      <c r="Y66" s="168" cm="1">
        <f t="array" ref="Y66">IF(ISBLANK($AQ66), "", INDEX([2]SalmonProps!$A$2:$AA$10001,MATCH(1,($A66=[2]SalmonProps!$A$2:$A$10001)*(3=[2]SalmonProps!$C$2:$C$10001)*(1=[2]SalmonProps!$D$2:$D$10001)*("A2" = [2]SalmonProps!$B$2:$B$10001)*($AP66 = [2]SalmonProps!$F$2:$F$10001) *($AR66 = [2]SalmonProps!$G$2:$G$10001),0), 18))</f>
        <v>0.30180000000000001</v>
      </c>
      <c r="Z66" s="164" cm="1">
        <f t="array" ref="Z66">IF(ISBLANK($AQ66), "", INDEX([2]SalmonProps!$A$2:$AA$10001,MATCH(1,($A66=[2]SalmonProps!$A$2:$A$10001)*(1=[2]SalmonProps!$C$2:$C$10001)*(1=[2]SalmonProps!$D$2:$D$10001)*("A1" = [2]SalmonProps!$B$2:$B$10001)*($AP66 = [2]SalmonProps!$F$2:$F$10001) *($AR66 = [2]SalmonProps!$G$2:$G$10001),0), 15))</f>
        <v>0.17230000000000001</v>
      </c>
      <c r="AA66" s="165" cm="1">
        <f t="array" ref="AA66">IF(ISBLANK($AQ66), "", INDEX([2]SalmonProps!$A$2:$AA$10001,MATCH(1,($A66=[2]SalmonProps!$A$2:$A$10001)*(1=[2]SalmonProps!$C$2:$C$10001)*(2=[2]SalmonProps!$D$2:$D$10001)*("A1" = [2]SalmonProps!$B$2:$B$10001)*($AP66 = [2]SalmonProps!$F$2:$F$10001) *($AR66 = [2]SalmonProps!$G$2:$G$10001),0), 15))</f>
        <v>0.71609999999999996</v>
      </c>
      <c r="AB66" s="165" cm="1">
        <f t="array" ref="AB66">IF(ISBLANK($AQ66), "", INDEX([2]SalmonProps!$A$2:$AA$10001,MATCH(1,($A66=[2]SalmonProps!$A$2:$A$10001)*(1=[2]SalmonProps!$C$2:$C$10001)*("1&amp;2"=[2]SalmonProps!$D$2:$D$10001)*("A1" = [2]SalmonProps!$B$2:$B$10001)*($AP66 = [2]SalmonProps!$F$2:$F$10001) *($AR66 = [2]SalmonProps!$G$2:$G$10001),0), 15))</f>
        <v>0.4536</v>
      </c>
      <c r="AC66" s="165" cm="1">
        <f t="array" ref="AC66">IF(ISBLANK($AQ66), "", INDEX([2]SalmonProps!$A$2:$AA$10001,MATCH(1,($A66=[2]SalmonProps!$A$2:$A$10001)*(2=[2]SalmonProps!$C$2:$C$10001)*(3=[2]SalmonProps!$D$2:$D$10001)*("A1" = [2]SalmonProps!$B$2:$B$10001)*($AP66 = [2]SalmonProps!$F$2:$F$10001) *($AR66 = [2]SalmonProps!$G$2:$G$10001),0), 15))</f>
        <v>0.95589999999999997</v>
      </c>
      <c r="AD66" s="181" cm="1">
        <f t="array" ref="AD66">IF(ISBLANK($AQ66), "", INDEX([2]SalmonProps!$A$2:$AA$10001,MATCH(1,($A66=[2]SalmonProps!$A$2:$A$10001)*(3=[2]SalmonProps!$C$2:$C$10001)*(3=[2]SalmonProps!$D$2:$D$10001)*("A1" = [2]SalmonProps!$B$2:$B$10001)*($AP66 = [2]SalmonProps!$F$2:$F$10001) *($AR66 = [2]SalmonProps!$G$2:$G$10001),0), 15))</f>
        <v>0.9768</v>
      </c>
      <c r="AE66" s="166" cm="1">
        <f t="array" ref="AE66">IF(ISBLANK($AQ66), "", INDEX([2]SalmonProps!$A$2:$AA$10001,MATCH(1,($A66=[2]SalmonProps!$A$2:$A$10001)*(1=[2]SalmonProps!$C$2:$C$10001)*(1=[2]SalmonProps!$D$2:$D$10001)*("A2" = [2]SalmonProps!$B$2:$B$10001)*($AP66 = [2]SalmonProps!$F$2:$F$10001) *($AR66 = [2]SalmonProps!$G$2:$G$10001),0), 15))</f>
        <v>0.62019999999999997</v>
      </c>
      <c r="AF66" s="166" cm="1">
        <f t="array" ref="AF66">IF(ISBLANK($AQ66), "", INDEX([2]SalmonProps!$A$2:$AA$10001,MATCH(1,($A66=[2]SalmonProps!$A$2:$A$10001)*(2=[2]SalmonProps!$C$2:$C$10001)*(1=[2]SalmonProps!$D$2:$D$10001)*("A2" = [2]SalmonProps!$B$2:$B$10001)*($AP66 = [2]SalmonProps!$F$2:$F$10001) *($AR66 = [2]SalmonProps!$G$2:$G$10001),0), 15))</f>
        <v>0.72230000000000005</v>
      </c>
      <c r="AG66" s="167" cm="1">
        <f t="array" ref="AG66">IF(ISBLANK($AQ66), "", INDEX([2]SalmonProps!$A$2:$AA$10001,MATCH(1,($A66=[2]SalmonProps!$A$2:$A$10001)*(3=[2]SalmonProps!$C$2:$C$10001)*(1=[2]SalmonProps!$D$2:$D$10001)*("A2" = [2]SalmonProps!$B$2:$B$10001)*($AP66 = [2]SalmonProps!$F$2:$F$10001) *($AR66 = [2]SalmonProps!$G$2:$G$10001),0), 15))</f>
        <v>0.93010000000000004</v>
      </c>
      <c r="AH66" s="173" cm="1">
        <f t="array" ref="AH66">IF(ISBLANK($AQ66), "", INDEX([2]SalmonProps!$A$2:$AA$10001,MATCH(1,($A66=[2]SalmonProps!$A$2:$A$10001)*($AP66 = [2]SalmonProps!$F$2:$F$10001) *($AR66 = [2]SalmonProps!$G$2:$G$10001),0), 24))</f>
        <v>53.9</v>
      </c>
      <c r="AI66" s="183" cm="1">
        <f t="array" ref="AI66">IF(ISBLANK($AQ66), "", INDEX([2]SalmonProps!$A$2:$AA$10001,MATCH(1,($A66=[2]SalmonProps!$A$2:$A$10001)*($AP66 = [2]SalmonProps!$F$2:$F$10001) *($AR66 = [2]SalmonProps!$G$2:$G$10001),0), 25))</f>
        <v>7</v>
      </c>
      <c r="AJ66" s="176" cm="1">
        <f t="array" ref="AJ66">IF(ISBLANK($AQ66), "", INDEX([2]SalmonProps!$A$2:$AA$10001,MATCH(1,($A66=[2]SalmonProps!$A$2:$A$10001)*($AP66 = [2]SalmonProps!$F$2:$F$10001) *($AR66 = [2]SalmonProps!$G$2:$G$10001),0), 20))</f>
        <v>59</v>
      </c>
      <c r="AK66" s="183" cm="1">
        <f t="array" ref="AK66">IF(ISBLANK($AQ66), "", INDEX([2]SalmonProps!$A$2:$AA$10001,MATCH(1,($A66=[2]SalmonProps!$A$2:$A$10001)*($AP66 = [2]SalmonProps!$F$2:$F$10001) *($AR66 = [2]SalmonProps!$G$2:$G$10001),0), 21))</f>
        <v>4.8</v>
      </c>
      <c r="AL66" s="174" cm="1">
        <f t="array" ref="AL66">IF(ISBLANK($AQ66), "", INDEX([2]SalmonProps!$A$2:$AA$10001,MATCH(1,($A66=[2]SalmonProps!$A$2:$A$10001)*($AP66 = [2]SalmonProps!$F$2:$F$10001) *($AR66 = [2]SalmonProps!$G$2:$G$10001),0), 22))</f>
        <v>73.3</v>
      </c>
      <c r="AM66" s="183" cm="1">
        <f t="array" ref="AM66">IF(ISBLANK($AQ66), "", INDEX([2]SalmonProps!$A$2:$AA$10001,MATCH(1,($A66=[2]SalmonProps!$A$2:$A$10001)*($AP66 = [2]SalmonProps!$F$2:$F$10001) *($AR66 = [2]SalmonProps!$G$2:$G$10001),0), 23))</f>
        <v>7.4</v>
      </c>
      <c r="AN66" s="174" t="str" cm="1">
        <f t="array" ref="AN66">IF(ISBLANK($AQ66), "", INDEX([2]SalmonProps!$A$2:$AA$10001,MATCH(1,($A66=[2]SalmonProps!$A$2:$A$10001)*($AP66 = [2]SalmonProps!$F$2:$F$10001) *($AR66 = [2]SalmonProps!$G$2:$G$10001),0), 26))</f>
        <v>NA</v>
      </c>
      <c r="AO66" s="175" t="str" cm="1">
        <f t="array" ref="AO66">IF(ISBLANK($AQ66), "", INDEX([2]SalmonProps!$A$2:$AA$10001,MATCH(1,($A66=[2]SalmonProps!$A$2:$A$10001)*($AP66 = [2]SalmonProps!$F$2:$F$10001) *($AR66 = [2]SalmonProps!$G$2:$G$10001),0), 27))</f>
        <v>NA</v>
      </c>
      <c r="AP66" s="112">
        <v>4</v>
      </c>
      <c r="AQ66" s="112" t="s">
        <v>133</v>
      </c>
      <c r="AR66" s="112" t="str">
        <f t="shared" si="1"/>
        <v>Unweighted</v>
      </c>
    </row>
    <row r="67" spans="1:44" x14ac:dyDescent="0.3">
      <c r="A67" s="20">
        <f>'[1]Passage Estimates'!$A67</f>
        <v>45169</v>
      </c>
      <c r="B67" s="164" cm="1">
        <f t="array" ref="B67">IF(ISBLANK($AQ67), "", INDEX([2]SalmonProps!$A$2:$AA$10001,MATCH(1,($A67=[2]SalmonProps!$A$2:$A$10001)*(1=[2]SalmonProps!$C$2:$C$10001)*(1=[2]SalmonProps!$D$2:$D$10001)*("A1" = [2]SalmonProps!$B$2:$B$10001)*($AP67 = [2]SalmonProps!$F$2:$F$10001) *($AR67 = [2]SalmonProps!$G$2:$G$10001),0), 17))</f>
        <v>0</v>
      </c>
      <c r="C67" s="165" cm="1">
        <f t="array" ref="C67">IF(ISBLANK($AQ67), "", INDEX([2]SalmonProps!$A$2:$AA$10001,MATCH(1,($A67=[2]SalmonProps!$A$2:$A$10001)*(1=[2]SalmonProps!$C$2:$C$10001)*(2=[2]SalmonProps!$D$2:$D$10001)*("A1" = [2]SalmonProps!$B$2:$B$10001)*($AP67 = [2]SalmonProps!$F$2:$F$10001) *($AR67 = [2]SalmonProps!$G$2:$G$10001),0), 17))</f>
        <v>2.5999999999999999E-3</v>
      </c>
      <c r="D67" s="165" cm="1">
        <f t="array" ref="D67">IF(ISBLANK($AQ67), "", INDEX([2]SalmonProps!$A$2:$AA$10001,MATCH(1,($A67=[2]SalmonProps!$A$2:$A$10001)*(1=[2]SalmonProps!$C$2:$C$10001)*("1&amp;2"=[2]SalmonProps!$D$2:$D$10001)*("A1" = [2]SalmonProps!$B$2:$B$10001)*($AP67 = [2]SalmonProps!$F$2:$F$10001) *($AR67 = [2]SalmonProps!$G$2:$G$10001),0), 17))</f>
        <v>9.4000000000000004E-3</v>
      </c>
      <c r="E67" s="181" cm="1">
        <f t="array" ref="E67">IF(ISBLANK($AQ67), "", INDEX([2]SalmonProps!$A$2:$AA$10001,MATCH(1,($A67=[2]SalmonProps!$A$2:$A$10001)*(2=[2]SalmonProps!$C$2:$C$10001)*(3=[2]SalmonProps!$D$2:$D$10001)*("A1" = [2]SalmonProps!$B$2:$B$10001)*($AP67 = [2]SalmonProps!$F$2:$F$10001) *($AR67 = [2]SalmonProps!$G$2:$G$10001),0), 17))</f>
        <v>8.7599999999999997E-2</v>
      </c>
      <c r="F67" s="165" cm="1">
        <f t="array" ref="F67">IF(ISBLANK($AQ67), "", INDEX([2]SalmonProps!$A$2:$AA$10001,MATCH(1,($A67=[2]SalmonProps!$A$2:$A$10001)*(3=[2]SalmonProps!$C$2:$C$10001)*(3=[2]SalmonProps!$D$2:$D$10001)*("A1" = [2]SalmonProps!$B$2:$B$10001)*($AP67 = [2]SalmonProps!$F$2:$F$10001) *($AR67 = [2]SalmonProps!$G$2:$G$10001),0), 17))</f>
        <v>0.39689999999999998</v>
      </c>
      <c r="G67" s="165" cm="1">
        <f t="array" ref="G67">IF(ISBLANK($AQ67), "", INDEX([2]SalmonProps!$A$2:$AA$10001,MATCH(1,($A67=[2]SalmonProps!$A$2:$A$10001)*(1=[2]SalmonProps!$C$2:$C$10001)*(1=[2]SalmonProps!$D$2:$D$10001)*("A2" = [2]SalmonProps!$B$2:$B$10001)*($AP67 = [2]SalmonProps!$F$2:$F$10001) *($AR67 = [2]SalmonProps!$G$2:$G$10001),0), 17))</f>
        <v>1.78E-2</v>
      </c>
      <c r="H67" s="166" cm="1">
        <f t="array" ref="H67">IF(ISBLANK($AQ67), "", INDEX([2]SalmonProps!$A$2:$AA$10001,MATCH(1,($A67=[2]SalmonProps!$A$2:$A$10001)*(2=[2]SalmonProps!$C$2:$C$10001)*(1=[2]SalmonProps!$D$2:$D$10001)*("A2" = [2]SalmonProps!$B$2:$B$10001)*($AP67 = [2]SalmonProps!$F$2:$F$10001) *($AR67 = [2]SalmonProps!$G$2:$G$10001),0), 17))</f>
        <v>0.16159999999999999</v>
      </c>
      <c r="I67" s="167" cm="1">
        <f t="array" ref="I67">IF(ISBLANK($AQ67), "", INDEX([2]SalmonProps!$A$2:$AA$10001,MATCH(1,($A67=[2]SalmonProps!$A$2:$A$10001)*(3=[2]SalmonProps!$C$2:$C$10001)*(1=[2]SalmonProps!$D$2:$D$10001)*("A2" = [2]SalmonProps!$B$2:$B$10001)*($AP67 = [2]SalmonProps!$F$2:$F$10001) *($AR67 = [2]SalmonProps!$G$2:$G$10001),0), 17))</f>
        <v>0.44469999999999998</v>
      </c>
      <c r="J67" s="164" t="str" cm="1">
        <f t="array" ref="J67">IF(ISBLANK($AQ67), "", INDEX([2]SalmonProps!$A$2:$AA$10001,MATCH(1,($A67=[2]SalmonProps!$A$2:$A$10001)*(1=[2]SalmonProps!$C$2:$C$10001)*(1=[2]SalmonProps!$D$2:$D$10001)*("A1" = [2]SalmonProps!$B$2:$B$10001)*($AP67 = [2]SalmonProps!$F$2:$F$10001) *($AR67 = [2]SalmonProps!$G$2:$G$10001),0), 19))</f>
        <v>NA</v>
      </c>
      <c r="K67" s="165" t="str" cm="1">
        <f t="array" ref="K67">IF(ISBLANK($AQ67), "", INDEX([2]SalmonProps!$A$2:$AA$10001,MATCH(1,($A67=[2]SalmonProps!$A$2:$A$10001)*(1=[2]SalmonProps!$C$2:$C$10001)*(2=[2]SalmonProps!$D$2:$D$10001)*("A1" = [2]SalmonProps!$B$2:$B$10001)*($AP67 = [2]SalmonProps!$F$2:$F$10001) *($AR67 = [2]SalmonProps!$G$2:$G$10001),0), 19))</f>
        <v>NA</v>
      </c>
      <c r="L67" s="165" t="str" cm="1">
        <f t="array" ref="L67">IF(ISBLANK($AQ67), "", INDEX([2]SalmonProps!$A$2:$AA$10001,MATCH(1,($A67=[2]SalmonProps!$A$2:$A$10001)*(1=[2]SalmonProps!$C$2:$C$10001)*("1&amp;2"=[2]SalmonProps!$D$2:$D$10001)*("A1" = [2]SalmonProps!$B$2:$B$10001)*($AP67 = [2]SalmonProps!$F$2:$F$10001) *($AR67 = [2]SalmonProps!$G$2:$G$10001),0), 19))</f>
        <v>NA</v>
      </c>
      <c r="M67" s="165" t="str" cm="1">
        <f t="array" ref="M67">IF(ISBLANK($AQ67), "", INDEX([2]SalmonProps!$A$2:$AA$10001,MATCH(1,($A67=[2]SalmonProps!$A$2:$A$10001)*(2=[2]SalmonProps!$C$2:$C$10001)*(3=[2]SalmonProps!$D$2:$D$10001)*("A1" = [2]SalmonProps!$B$2:$B$10001)*($AP67 = [2]SalmonProps!$F$2:$F$10001) *($AR67 = [2]SalmonProps!$G$2:$G$10001),0), 19))</f>
        <v>NA</v>
      </c>
      <c r="N67" s="181" t="str" cm="1">
        <f t="array" ref="N67">IF(ISBLANK($AQ67), "", INDEX([2]SalmonProps!$A$2:$AA$10001,MATCH(1,($A67=[2]SalmonProps!$A$2:$A$10001)*(3=[2]SalmonProps!$C$2:$C$10001)*(3=[2]SalmonProps!$D$2:$D$10001)*("A1" = [2]SalmonProps!$B$2:$B$10001)*($AP67 = [2]SalmonProps!$F$2:$F$10001) *($AR67 = [2]SalmonProps!$G$2:$G$10001),0), 19))</f>
        <v>NA</v>
      </c>
      <c r="O67" s="165" t="str" cm="1">
        <f t="array" ref="O67">IF(ISBLANK($AQ67), "", INDEX([2]SalmonProps!$A$2:$AA$10001,MATCH(1,($A67=[2]SalmonProps!$A$2:$A$10001)*(1=[2]SalmonProps!$C$2:$C$10001)*(1=[2]SalmonProps!$D$2:$D$10001)*("A2" = [2]SalmonProps!$B$2:$B$10001)*($AP67 = [2]SalmonProps!$F$2:$F$10001) *($AR67 = [2]SalmonProps!$G$2:$G$10001),0), 19))</f>
        <v>NA</v>
      </c>
      <c r="P67" s="165" t="str" cm="1">
        <f t="array" ref="P67">IF(ISBLANK($AQ67), "", INDEX([2]SalmonProps!$A$2:$AA$10001,MATCH(1,($A67=[2]SalmonProps!$A$2:$A$10001)*(2=[2]SalmonProps!$C$2:$C$10001)*(1=[2]SalmonProps!$D$2:$D$10001)*("A2" = [2]SalmonProps!$B$2:$B$10001)*($AP67 = [2]SalmonProps!$F$2:$F$10001) *($AR67 = [2]SalmonProps!$G$2:$G$10001),0), 19))</f>
        <v>NA</v>
      </c>
      <c r="Q67" s="168" t="str" cm="1">
        <f t="array" ref="Q67">IF(ISBLANK($AQ67), "", INDEX([2]SalmonProps!$A$2:$AA$10001,MATCH(1,($A67=[2]SalmonProps!$A$2:$A$10001)*(3=[2]SalmonProps!$C$2:$C$10001)*(1=[2]SalmonProps!$D$2:$D$10001)*("A2" = [2]SalmonProps!$B$2:$B$10001)*($AP67 = [2]SalmonProps!$F$2:$F$10001) *($AR67 = [2]SalmonProps!$G$2:$G$10001),0), 19))</f>
        <v>NA</v>
      </c>
      <c r="R67" s="164" cm="1">
        <f t="array" ref="R67">IF(ISBLANK($AQ67), "", INDEX([2]SalmonProps!$A$2:$AA$10001,MATCH(1,($A67=[2]SalmonProps!$A$2:$A$10001)*(1=[2]SalmonProps!$C$2:$C$10001)*(1=[2]SalmonProps!$D$2:$D$10001)*("A1" = [2]SalmonProps!$B$2:$B$10001)*($AP67 = [2]SalmonProps!$F$2:$F$10001) *($AR67 = [2]SalmonProps!$G$2:$G$10001),0), 18))</f>
        <v>0.20250000000000001</v>
      </c>
      <c r="S67" s="165" cm="1">
        <f t="array" ref="S67">IF(ISBLANK($AQ67), "", INDEX([2]SalmonProps!$A$2:$AA$10001,MATCH(1,($A67=[2]SalmonProps!$A$2:$A$10001)*(1=[2]SalmonProps!$C$2:$C$10001)*(2=[2]SalmonProps!$D$2:$D$10001)*("A1" = [2]SalmonProps!$B$2:$B$10001)*($AP67 = [2]SalmonProps!$F$2:$F$10001) *($AR67 = [2]SalmonProps!$G$2:$G$10001),0), 18))</f>
        <v>0.61739999999999995</v>
      </c>
      <c r="T67" s="165" cm="1">
        <f t="array" ref="T67">IF(ISBLANK($AQ67), "", INDEX([2]SalmonProps!$A$2:$AA$10001,MATCH(1,($A67=[2]SalmonProps!$A$2:$A$10001)*(1=[2]SalmonProps!$C$2:$C$10001)*("1&amp;2"=[2]SalmonProps!$D$2:$D$10001)*("A1" = [2]SalmonProps!$B$2:$B$10001)*($AP67 = [2]SalmonProps!$F$2:$F$10001) *($AR67 = [2]SalmonProps!$G$2:$G$10001),0), 18))</f>
        <v>0.45519999999999999</v>
      </c>
      <c r="U67" s="165" cm="1">
        <f t="array" ref="U67">IF(ISBLANK($AQ67), "", INDEX([2]SalmonProps!$A$2:$AA$10001,MATCH(1,($A67=[2]SalmonProps!$A$2:$A$10001)*(2=[2]SalmonProps!$C$2:$C$10001)*(3=[2]SalmonProps!$D$2:$D$10001)*("A1" = [2]SalmonProps!$B$2:$B$10001)*($AP67 = [2]SalmonProps!$F$2:$F$10001) *($AR67 = [2]SalmonProps!$G$2:$G$10001),0), 18))</f>
        <v>0.72529999999999994</v>
      </c>
      <c r="V67" s="181" cm="1">
        <f t="array" ref="V67">IF(ISBLANK($AQ67), "", INDEX([2]SalmonProps!$A$2:$AA$10001,MATCH(1,($A67=[2]SalmonProps!$A$2:$A$10001)*(3=[2]SalmonProps!$C$2:$C$10001)*(3=[2]SalmonProps!$D$2:$D$10001)*("A1" = [2]SalmonProps!$B$2:$B$10001)*($AP67 = [2]SalmonProps!$F$2:$F$10001) *($AR67 = [2]SalmonProps!$G$2:$G$10001),0), 18))</f>
        <v>0.57340000000000002</v>
      </c>
      <c r="W67" s="180" cm="1">
        <f t="array" ref="W67">IF(ISBLANK($AQ67), "", INDEX([2]SalmonProps!$A$2:$AA$10001,MATCH(1,($A67=[2]SalmonProps!$A$2:$A$10001)*(1=[2]SalmonProps!$C$2:$C$10001)*(1=[2]SalmonProps!$D$2:$D$10001)*("A2" = [2]SalmonProps!$B$2:$B$10001)*($AP67 = [2]SalmonProps!$F$2:$F$10001) *($AR67 = [2]SalmonProps!$G$2:$G$10001),0), 18))</f>
        <v>0.62209999999999999</v>
      </c>
      <c r="X67" s="165" cm="1">
        <f t="array" ref="X67">IF(ISBLANK($AQ67), "", INDEX([2]SalmonProps!$A$2:$AA$10001,MATCH(1,($A67=[2]SalmonProps!$A$2:$A$10001)*(2=[2]SalmonProps!$C$2:$C$10001)*(1=[2]SalmonProps!$D$2:$D$10001)*("A2" = [2]SalmonProps!$B$2:$B$10001)*($AP67 = [2]SalmonProps!$F$2:$F$10001) *($AR67 = [2]SalmonProps!$G$2:$G$10001),0), 18))</f>
        <v>0.55549999999999999</v>
      </c>
      <c r="Y67" s="168" cm="1">
        <f t="array" ref="Y67">IF(ISBLANK($AQ67), "", INDEX([2]SalmonProps!$A$2:$AA$10001,MATCH(1,($A67=[2]SalmonProps!$A$2:$A$10001)*(3=[2]SalmonProps!$C$2:$C$10001)*(1=[2]SalmonProps!$D$2:$D$10001)*("A2" = [2]SalmonProps!$B$2:$B$10001)*($AP67 = [2]SalmonProps!$F$2:$F$10001) *($AR67 = [2]SalmonProps!$G$2:$G$10001),0), 18))</f>
        <v>0.46350000000000002</v>
      </c>
      <c r="Z67" s="164" cm="1">
        <f t="array" ref="Z67">IF(ISBLANK($AQ67), "", INDEX([2]SalmonProps!$A$2:$AA$10001,MATCH(1,($A67=[2]SalmonProps!$A$2:$A$10001)*(1=[2]SalmonProps!$C$2:$C$10001)*(1=[2]SalmonProps!$D$2:$D$10001)*("A1" = [2]SalmonProps!$B$2:$B$10001)*($AP67 = [2]SalmonProps!$F$2:$F$10001) *($AR67 = [2]SalmonProps!$G$2:$G$10001),0), 15))</f>
        <v>0.23749999999999999</v>
      </c>
      <c r="AA67" s="165" cm="1">
        <f t="array" ref="AA67">IF(ISBLANK($AQ67), "", INDEX([2]SalmonProps!$A$2:$AA$10001,MATCH(1,($A67=[2]SalmonProps!$A$2:$A$10001)*(1=[2]SalmonProps!$C$2:$C$10001)*(2=[2]SalmonProps!$D$2:$D$10001)*("A1" = [2]SalmonProps!$B$2:$B$10001)*($AP67 = [2]SalmonProps!$F$2:$F$10001) *($AR67 = [2]SalmonProps!$G$2:$G$10001),0), 15))</f>
        <v>0.62</v>
      </c>
      <c r="AB67" s="165" cm="1">
        <f t="array" ref="AB67">IF(ISBLANK($AQ67), "", INDEX([2]SalmonProps!$A$2:$AA$10001,MATCH(1,($A67=[2]SalmonProps!$A$2:$A$10001)*(1=[2]SalmonProps!$C$2:$C$10001)*("1&amp;2"=[2]SalmonProps!$D$2:$D$10001)*("A1" = [2]SalmonProps!$B$2:$B$10001)*($AP67 = [2]SalmonProps!$F$2:$F$10001) *($AR67 = [2]SalmonProps!$G$2:$G$10001),0), 15))</f>
        <v>0.46460000000000001</v>
      </c>
      <c r="AC67" s="165" cm="1">
        <f t="array" ref="AC67">IF(ISBLANK($AQ67), "", INDEX([2]SalmonProps!$A$2:$AA$10001,MATCH(1,($A67=[2]SalmonProps!$A$2:$A$10001)*(2=[2]SalmonProps!$C$2:$C$10001)*(3=[2]SalmonProps!$D$2:$D$10001)*("A1" = [2]SalmonProps!$B$2:$B$10001)*($AP67 = [2]SalmonProps!$F$2:$F$10001) *($AR67 = [2]SalmonProps!$G$2:$G$10001),0), 15))</f>
        <v>0.81289999999999996</v>
      </c>
      <c r="AD67" s="181" cm="1">
        <f t="array" ref="AD67">IF(ISBLANK($AQ67), "", INDEX([2]SalmonProps!$A$2:$AA$10001,MATCH(1,($A67=[2]SalmonProps!$A$2:$A$10001)*(3=[2]SalmonProps!$C$2:$C$10001)*(3=[2]SalmonProps!$D$2:$D$10001)*("A1" = [2]SalmonProps!$B$2:$B$10001)*($AP67 = [2]SalmonProps!$F$2:$F$10001) *($AR67 = [2]SalmonProps!$G$2:$G$10001),0), 15))</f>
        <v>0.97030000000000005</v>
      </c>
      <c r="AE67" s="166" cm="1">
        <f t="array" ref="AE67">IF(ISBLANK($AQ67), "", INDEX([2]SalmonProps!$A$2:$AA$10001,MATCH(1,($A67=[2]SalmonProps!$A$2:$A$10001)*(1=[2]SalmonProps!$C$2:$C$10001)*(1=[2]SalmonProps!$D$2:$D$10001)*("A2" = [2]SalmonProps!$B$2:$B$10001)*($AP67 = [2]SalmonProps!$F$2:$F$10001) *($AR67 = [2]SalmonProps!$G$2:$G$10001),0), 15))</f>
        <v>0.63990000000000002</v>
      </c>
      <c r="AF67" s="166" cm="1">
        <f t="array" ref="AF67">IF(ISBLANK($AQ67), "", INDEX([2]SalmonProps!$A$2:$AA$10001,MATCH(1,($A67=[2]SalmonProps!$A$2:$A$10001)*(2=[2]SalmonProps!$C$2:$C$10001)*(1=[2]SalmonProps!$D$2:$D$10001)*("A2" = [2]SalmonProps!$B$2:$B$10001)*($AP67 = [2]SalmonProps!$F$2:$F$10001) *($AR67 = [2]SalmonProps!$G$2:$G$10001),0), 15))</f>
        <v>0.71709999999999996</v>
      </c>
      <c r="AG67" s="167" cm="1">
        <f t="array" ref="AG67">IF(ISBLANK($AQ67), "", INDEX([2]SalmonProps!$A$2:$AA$10001,MATCH(1,($A67=[2]SalmonProps!$A$2:$A$10001)*(3=[2]SalmonProps!$C$2:$C$10001)*(1=[2]SalmonProps!$D$2:$D$10001)*("A2" = [2]SalmonProps!$B$2:$B$10001)*($AP67 = [2]SalmonProps!$F$2:$F$10001) *($AR67 = [2]SalmonProps!$G$2:$G$10001),0), 15))</f>
        <v>0.90820000000000001</v>
      </c>
      <c r="AH67" s="173" cm="1">
        <f t="array" ref="AH67">IF(ISBLANK($AQ67), "", INDEX([2]SalmonProps!$A$2:$AA$10001,MATCH(1,($A67=[2]SalmonProps!$A$2:$A$10001)*($AP67 = [2]SalmonProps!$F$2:$F$10001) *($AR67 = [2]SalmonProps!$G$2:$G$10001),0), 24))</f>
        <v>53.9</v>
      </c>
      <c r="AI67" s="183" cm="1">
        <f t="array" ref="AI67">IF(ISBLANK($AQ67), "", INDEX([2]SalmonProps!$A$2:$AA$10001,MATCH(1,($A67=[2]SalmonProps!$A$2:$A$10001)*($AP67 = [2]SalmonProps!$F$2:$F$10001) *($AR67 = [2]SalmonProps!$G$2:$G$10001),0), 25))</f>
        <v>7</v>
      </c>
      <c r="AJ67" s="176" cm="1">
        <f t="array" ref="AJ67">IF(ISBLANK($AQ67), "", INDEX([2]SalmonProps!$A$2:$AA$10001,MATCH(1,($A67=[2]SalmonProps!$A$2:$A$10001)*($AP67 = [2]SalmonProps!$F$2:$F$10001) *($AR67 = [2]SalmonProps!$G$2:$G$10001),0), 20))</f>
        <v>59</v>
      </c>
      <c r="AK67" s="183" cm="1">
        <f t="array" ref="AK67">IF(ISBLANK($AQ67), "", INDEX([2]SalmonProps!$A$2:$AA$10001,MATCH(1,($A67=[2]SalmonProps!$A$2:$A$10001)*($AP67 = [2]SalmonProps!$F$2:$F$10001) *($AR67 = [2]SalmonProps!$G$2:$G$10001),0), 21))</f>
        <v>4.8</v>
      </c>
      <c r="AL67" s="174" cm="1">
        <f t="array" ref="AL67">IF(ISBLANK($AQ67), "", INDEX([2]SalmonProps!$A$2:$AA$10001,MATCH(1,($A67=[2]SalmonProps!$A$2:$A$10001)*($AP67 = [2]SalmonProps!$F$2:$F$10001) *($AR67 = [2]SalmonProps!$G$2:$G$10001),0), 22))</f>
        <v>73.3</v>
      </c>
      <c r="AM67" s="183" cm="1">
        <f t="array" ref="AM67">IF(ISBLANK($AQ67), "", INDEX([2]SalmonProps!$A$2:$AA$10001,MATCH(1,($A67=[2]SalmonProps!$A$2:$A$10001)*($AP67 = [2]SalmonProps!$F$2:$F$10001) *($AR67 = [2]SalmonProps!$G$2:$G$10001),0), 23))</f>
        <v>7.4</v>
      </c>
      <c r="AN67" s="174" t="str" cm="1">
        <f t="array" ref="AN67">IF(ISBLANK($AQ67), "", INDEX([2]SalmonProps!$A$2:$AA$10001,MATCH(1,($A67=[2]SalmonProps!$A$2:$A$10001)*($AP67 = [2]SalmonProps!$F$2:$F$10001) *($AR67 = [2]SalmonProps!$G$2:$G$10001),0), 26))</f>
        <v>NA</v>
      </c>
      <c r="AO67" s="175" t="str" cm="1">
        <f t="array" ref="AO67">IF(ISBLANK($AQ67), "", INDEX([2]SalmonProps!$A$2:$AA$10001,MATCH(1,($A67=[2]SalmonProps!$A$2:$A$10001)*($AP67 = [2]SalmonProps!$F$2:$F$10001) *($AR67 = [2]SalmonProps!$G$2:$G$10001),0), 27))</f>
        <v>NA</v>
      </c>
      <c r="AP67" s="112">
        <v>4</v>
      </c>
      <c r="AQ67" s="112" t="s">
        <v>133</v>
      </c>
      <c r="AR67" s="112" t="str">
        <f t="shared" si="1"/>
        <v>Unweighted</v>
      </c>
    </row>
    <row r="68" spans="1:44" x14ac:dyDescent="0.3">
      <c r="A68" s="20">
        <f>'[1]Passage Estimates'!$A68</f>
        <v>45170</v>
      </c>
      <c r="B68" s="164" cm="1">
        <f t="array" ref="B68">IF(ISBLANK($AQ68), "", INDEX([2]SalmonProps!$A$2:$AA$10001,MATCH(1,($A68=[2]SalmonProps!$A$2:$A$10001)*(1=[2]SalmonProps!$C$2:$C$10001)*(1=[2]SalmonProps!$D$2:$D$10001)*("A1" = [2]SalmonProps!$B$2:$B$10001)*($AP68 = [2]SalmonProps!$F$2:$F$10001) *($AR68 = [2]SalmonProps!$G$2:$G$10001),0), 17))</f>
        <v>4.0000000000000002E-4</v>
      </c>
      <c r="C68" s="165" cm="1">
        <f t="array" ref="C68">IF(ISBLANK($AQ68), "", INDEX([2]SalmonProps!$A$2:$AA$10001,MATCH(1,($A68=[2]SalmonProps!$A$2:$A$10001)*(1=[2]SalmonProps!$C$2:$C$10001)*(2=[2]SalmonProps!$D$2:$D$10001)*("A1" = [2]SalmonProps!$B$2:$B$10001)*($AP68 = [2]SalmonProps!$F$2:$F$10001) *($AR68 = [2]SalmonProps!$G$2:$G$10001),0), 17))</f>
        <v>0</v>
      </c>
      <c r="D68" s="165" cm="1">
        <f t="array" ref="D68">IF(ISBLANK($AQ68), "", INDEX([2]SalmonProps!$A$2:$AA$10001,MATCH(1,($A68=[2]SalmonProps!$A$2:$A$10001)*(1=[2]SalmonProps!$C$2:$C$10001)*("1&amp;2"=[2]SalmonProps!$D$2:$D$10001)*("A1" = [2]SalmonProps!$B$2:$B$10001)*($AP68 = [2]SalmonProps!$F$2:$F$10001) *($AR68 = [2]SalmonProps!$G$2:$G$10001),0), 17))</f>
        <v>0</v>
      </c>
      <c r="E68" s="181" cm="1">
        <f t="array" ref="E68">IF(ISBLANK($AQ68), "", INDEX([2]SalmonProps!$A$2:$AA$10001,MATCH(1,($A68=[2]SalmonProps!$A$2:$A$10001)*(2=[2]SalmonProps!$C$2:$C$10001)*(3=[2]SalmonProps!$D$2:$D$10001)*("A1" = [2]SalmonProps!$B$2:$B$10001)*($AP68 = [2]SalmonProps!$F$2:$F$10001) *($AR68 = [2]SalmonProps!$G$2:$G$10001),0), 17))</f>
        <v>7.1499999999999994E-2</v>
      </c>
      <c r="F68" s="165" cm="1">
        <f t="array" ref="F68">IF(ISBLANK($AQ68), "", INDEX([2]SalmonProps!$A$2:$AA$10001,MATCH(1,($A68=[2]SalmonProps!$A$2:$A$10001)*(3=[2]SalmonProps!$C$2:$C$10001)*(3=[2]SalmonProps!$D$2:$D$10001)*("A1" = [2]SalmonProps!$B$2:$B$10001)*($AP68 = [2]SalmonProps!$F$2:$F$10001) *($AR68 = [2]SalmonProps!$G$2:$G$10001),0), 17))</f>
        <v>0.38279999999999997</v>
      </c>
      <c r="G68" s="165" cm="1">
        <f t="array" ref="G68">IF(ISBLANK($AQ68), "", INDEX([2]SalmonProps!$A$2:$AA$10001,MATCH(1,($A68=[2]SalmonProps!$A$2:$A$10001)*(1=[2]SalmonProps!$C$2:$C$10001)*(1=[2]SalmonProps!$D$2:$D$10001)*("A2" = [2]SalmonProps!$B$2:$B$10001)*($AP68 = [2]SalmonProps!$F$2:$F$10001) *($AR68 = [2]SalmonProps!$G$2:$G$10001),0), 17))</f>
        <v>4.0000000000000002E-4</v>
      </c>
      <c r="H68" s="166" cm="1">
        <f t="array" ref="H68">IF(ISBLANK($AQ68), "", INDEX([2]SalmonProps!$A$2:$AA$10001,MATCH(1,($A68=[2]SalmonProps!$A$2:$A$10001)*(2=[2]SalmonProps!$C$2:$C$10001)*(1=[2]SalmonProps!$D$2:$D$10001)*("A2" = [2]SalmonProps!$B$2:$B$10001)*($AP68 = [2]SalmonProps!$F$2:$F$10001) *($AR68 = [2]SalmonProps!$G$2:$G$10001),0), 17))</f>
        <v>0.24060000000000001</v>
      </c>
      <c r="I68" s="167" cm="1">
        <f t="array" ref="I68">IF(ISBLANK($AQ68), "", INDEX([2]SalmonProps!$A$2:$AA$10001,MATCH(1,($A68=[2]SalmonProps!$A$2:$A$10001)*(3=[2]SalmonProps!$C$2:$C$10001)*(1=[2]SalmonProps!$D$2:$D$10001)*("A2" = [2]SalmonProps!$B$2:$B$10001)*($AP68 = [2]SalmonProps!$F$2:$F$10001) *($AR68 = [2]SalmonProps!$G$2:$G$10001),0), 17))</f>
        <v>0.42130000000000001</v>
      </c>
      <c r="J68" s="164" t="str" cm="1">
        <f t="array" ref="J68">IF(ISBLANK($AQ68), "", INDEX([2]SalmonProps!$A$2:$AA$10001,MATCH(1,($A68=[2]SalmonProps!$A$2:$A$10001)*(1=[2]SalmonProps!$C$2:$C$10001)*(1=[2]SalmonProps!$D$2:$D$10001)*("A1" = [2]SalmonProps!$B$2:$B$10001)*($AP68 = [2]SalmonProps!$F$2:$F$10001) *($AR68 = [2]SalmonProps!$G$2:$G$10001),0), 19))</f>
        <v>NA</v>
      </c>
      <c r="K68" s="165" t="str" cm="1">
        <f t="array" ref="K68">IF(ISBLANK($AQ68), "", INDEX([2]SalmonProps!$A$2:$AA$10001,MATCH(1,($A68=[2]SalmonProps!$A$2:$A$10001)*(1=[2]SalmonProps!$C$2:$C$10001)*(2=[2]SalmonProps!$D$2:$D$10001)*("A1" = [2]SalmonProps!$B$2:$B$10001)*($AP68 = [2]SalmonProps!$F$2:$F$10001) *($AR68 = [2]SalmonProps!$G$2:$G$10001),0), 19))</f>
        <v>NA</v>
      </c>
      <c r="L68" s="165" t="str" cm="1">
        <f t="array" ref="L68">IF(ISBLANK($AQ68), "", INDEX([2]SalmonProps!$A$2:$AA$10001,MATCH(1,($A68=[2]SalmonProps!$A$2:$A$10001)*(1=[2]SalmonProps!$C$2:$C$10001)*("1&amp;2"=[2]SalmonProps!$D$2:$D$10001)*("A1" = [2]SalmonProps!$B$2:$B$10001)*($AP68 = [2]SalmonProps!$F$2:$F$10001) *($AR68 = [2]SalmonProps!$G$2:$G$10001),0), 19))</f>
        <v>NA</v>
      </c>
      <c r="M68" s="165" t="str" cm="1">
        <f t="array" ref="M68">IF(ISBLANK($AQ68), "", INDEX([2]SalmonProps!$A$2:$AA$10001,MATCH(1,($A68=[2]SalmonProps!$A$2:$A$10001)*(2=[2]SalmonProps!$C$2:$C$10001)*(3=[2]SalmonProps!$D$2:$D$10001)*("A1" = [2]SalmonProps!$B$2:$B$10001)*($AP68 = [2]SalmonProps!$F$2:$F$10001) *($AR68 = [2]SalmonProps!$G$2:$G$10001),0), 19))</f>
        <v>NA</v>
      </c>
      <c r="N68" s="181" t="str" cm="1">
        <f t="array" ref="N68">IF(ISBLANK($AQ68), "", INDEX([2]SalmonProps!$A$2:$AA$10001,MATCH(1,($A68=[2]SalmonProps!$A$2:$A$10001)*(3=[2]SalmonProps!$C$2:$C$10001)*(3=[2]SalmonProps!$D$2:$D$10001)*("A1" = [2]SalmonProps!$B$2:$B$10001)*($AP68 = [2]SalmonProps!$F$2:$F$10001) *($AR68 = [2]SalmonProps!$G$2:$G$10001),0), 19))</f>
        <v>NA</v>
      </c>
      <c r="O68" s="165" t="str" cm="1">
        <f t="array" ref="O68">IF(ISBLANK($AQ68), "", INDEX([2]SalmonProps!$A$2:$AA$10001,MATCH(1,($A68=[2]SalmonProps!$A$2:$A$10001)*(1=[2]SalmonProps!$C$2:$C$10001)*(1=[2]SalmonProps!$D$2:$D$10001)*("A2" = [2]SalmonProps!$B$2:$B$10001)*($AP68 = [2]SalmonProps!$F$2:$F$10001) *($AR68 = [2]SalmonProps!$G$2:$G$10001),0), 19))</f>
        <v>NA</v>
      </c>
      <c r="P68" s="165" t="str" cm="1">
        <f t="array" ref="P68">IF(ISBLANK($AQ68), "", INDEX([2]SalmonProps!$A$2:$AA$10001,MATCH(1,($A68=[2]SalmonProps!$A$2:$A$10001)*(2=[2]SalmonProps!$C$2:$C$10001)*(1=[2]SalmonProps!$D$2:$D$10001)*("A2" = [2]SalmonProps!$B$2:$B$10001)*($AP68 = [2]SalmonProps!$F$2:$F$10001) *($AR68 = [2]SalmonProps!$G$2:$G$10001),0), 19))</f>
        <v>NA</v>
      </c>
      <c r="Q68" s="168" t="str" cm="1">
        <f t="array" ref="Q68">IF(ISBLANK($AQ68), "", INDEX([2]SalmonProps!$A$2:$AA$10001,MATCH(1,($A68=[2]SalmonProps!$A$2:$A$10001)*(3=[2]SalmonProps!$C$2:$C$10001)*(1=[2]SalmonProps!$D$2:$D$10001)*("A2" = [2]SalmonProps!$B$2:$B$10001)*($AP68 = [2]SalmonProps!$F$2:$F$10001) *($AR68 = [2]SalmonProps!$G$2:$G$10001),0), 19))</f>
        <v>NA</v>
      </c>
      <c r="R68" s="164" cm="1">
        <f t="array" ref="R68">IF(ISBLANK($AQ68), "", INDEX([2]SalmonProps!$A$2:$AA$10001,MATCH(1,($A68=[2]SalmonProps!$A$2:$A$10001)*(1=[2]SalmonProps!$C$2:$C$10001)*(1=[2]SalmonProps!$D$2:$D$10001)*("A1" = [2]SalmonProps!$B$2:$B$10001)*($AP68 = [2]SalmonProps!$F$2:$F$10001) *($AR68 = [2]SalmonProps!$G$2:$G$10001),0), 18))</f>
        <v>0.16739999999999999</v>
      </c>
      <c r="S68" s="165" cm="1">
        <f t="array" ref="S68">IF(ISBLANK($AQ68), "", INDEX([2]SalmonProps!$A$2:$AA$10001,MATCH(1,($A68=[2]SalmonProps!$A$2:$A$10001)*(1=[2]SalmonProps!$C$2:$C$10001)*(2=[2]SalmonProps!$D$2:$D$10001)*("A1" = [2]SalmonProps!$B$2:$B$10001)*($AP68 = [2]SalmonProps!$F$2:$F$10001) *($AR68 = [2]SalmonProps!$G$2:$G$10001),0), 18))</f>
        <v>0.49709999999999999</v>
      </c>
      <c r="T68" s="165" cm="1">
        <f t="array" ref="T68">IF(ISBLANK($AQ68), "", INDEX([2]SalmonProps!$A$2:$AA$10001,MATCH(1,($A68=[2]SalmonProps!$A$2:$A$10001)*(1=[2]SalmonProps!$C$2:$C$10001)*("1&amp;2"=[2]SalmonProps!$D$2:$D$10001)*("A1" = [2]SalmonProps!$B$2:$B$10001)*($AP68 = [2]SalmonProps!$F$2:$F$10001) *($AR68 = [2]SalmonProps!$G$2:$G$10001),0), 18))</f>
        <v>0.35210000000000002</v>
      </c>
      <c r="U68" s="165" cm="1">
        <f t="array" ref="U68">IF(ISBLANK($AQ68), "", INDEX([2]SalmonProps!$A$2:$AA$10001,MATCH(1,($A68=[2]SalmonProps!$A$2:$A$10001)*(2=[2]SalmonProps!$C$2:$C$10001)*(3=[2]SalmonProps!$D$2:$D$10001)*("A1" = [2]SalmonProps!$B$2:$B$10001)*($AP68 = [2]SalmonProps!$F$2:$F$10001) *($AR68 = [2]SalmonProps!$G$2:$G$10001),0), 18))</f>
        <v>0.72270000000000001</v>
      </c>
      <c r="V68" s="181" cm="1">
        <f t="array" ref="V68">IF(ISBLANK($AQ68), "", INDEX([2]SalmonProps!$A$2:$AA$10001,MATCH(1,($A68=[2]SalmonProps!$A$2:$A$10001)*(3=[2]SalmonProps!$C$2:$C$10001)*(3=[2]SalmonProps!$D$2:$D$10001)*("A1" = [2]SalmonProps!$B$2:$B$10001)*($AP68 = [2]SalmonProps!$F$2:$F$10001) *($AR68 = [2]SalmonProps!$G$2:$G$10001),0), 18))</f>
        <v>0.57220000000000004</v>
      </c>
      <c r="W68" s="180" cm="1">
        <f t="array" ref="W68">IF(ISBLANK($AQ68), "", INDEX([2]SalmonProps!$A$2:$AA$10001,MATCH(1,($A68=[2]SalmonProps!$A$2:$A$10001)*(1=[2]SalmonProps!$C$2:$C$10001)*(1=[2]SalmonProps!$D$2:$D$10001)*("A2" = [2]SalmonProps!$B$2:$B$10001)*($AP68 = [2]SalmonProps!$F$2:$F$10001) *($AR68 = [2]SalmonProps!$G$2:$G$10001),0), 18))</f>
        <v>0.16739999999999999</v>
      </c>
      <c r="X68" s="165" cm="1">
        <f t="array" ref="X68">IF(ISBLANK($AQ68), "", INDEX([2]SalmonProps!$A$2:$AA$10001,MATCH(1,($A68=[2]SalmonProps!$A$2:$A$10001)*(2=[2]SalmonProps!$C$2:$C$10001)*(1=[2]SalmonProps!$D$2:$D$10001)*("A2" = [2]SalmonProps!$B$2:$B$10001)*($AP68 = [2]SalmonProps!$F$2:$F$10001) *($AR68 = [2]SalmonProps!$G$2:$G$10001),0), 18))</f>
        <v>0.58979999999999999</v>
      </c>
      <c r="Y68" s="168" cm="1">
        <f t="array" ref="Y68">IF(ISBLANK($AQ68), "", INDEX([2]SalmonProps!$A$2:$AA$10001,MATCH(1,($A68=[2]SalmonProps!$A$2:$A$10001)*(3=[2]SalmonProps!$C$2:$C$10001)*(1=[2]SalmonProps!$D$2:$D$10001)*("A2" = [2]SalmonProps!$B$2:$B$10001)*($AP68 = [2]SalmonProps!$F$2:$F$10001) *($AR68 = [2]SalmonProps!$G$2:$G$10001),0), 18))</f>
        <v>0.52410000000000001</v>
      </c>
      <c r="Z68" s="164" cm="1">
        <f t="array" ref="Z68">IF(ISBLANK($AQ68), "", INDEX([2]SalmonProps!$A$2:$AA$10001,MATCH(1,($A68=[2]SalmonProps!$A$2:$A$10001)*(1=[2]SalmonProps!$C$2:$C$10001)*(1=[2]SalmonProps!$D$2:$D$10001)*("A1" = [2]SalmonProps!$B$2:$B$10001)*($AP68 = [2]SalmonProps!$F$2:$F$10001) *($AR68 = [2]SalmonProps!$G$2:$G$10001),0), 15))</f>
        <v>0.1678</v>
      </c>
      <c r="AA68" s="165" cm="1">
        <f t="array" ref="AA68">IF(ISBLANK($AQ68), "", INDEX([2]SalmonProps!$A$2:$AA$10001,MATCH(1,($A68=[2]SalmonProps!$A$2:$A$10001)*(1=[2]SalmonProps!$C$2:$C$10001)*(2=[2]SalmonProps!$D$2:$D$10001)*("A1" = [2]SalmonProps!$B$2:$B$10001)*($AP68 = [2]SalmonProps!$F$2:$F$10001) *($AR68 = [2]SalmonProps!$G$2:$G$10001),0), 15))</f>
        <v>0.69220000000000004</v>
      </c>
      <c r="AB68" s="165" cm="1">
        <f t="array" ref="AB68">IF(ISBLANK($AQ68), "", INDEX([2]SalmonProps!$A$2:$AA$10001,MATCH(1,($A68=[2]SalmonProps!$A$2:$A$10001)*(1=[2]SalmonProps!$C$2:$C$10001)*("1&amp;2"=[2]SalmonProps!$D$2:$D$10001)*("A1" = [2]SalmonProps!$B$2:$B$10001)*($AP68 = [2]SalmonProps!$F$2:$F$10001) *($AR68 = [2]SalmonProps!$G$2:$G$10001),0), 15))</f>
        <v>0.46439999999999998</v>
      </c>
      <c r="AC68" s="165" cm="1">
        <f t="array" ref="AC68">IF(ISBLANK($AQ68), "", INDEX([2]SalmonProps!$A$2:$AA$10001,MATCH(1,($A68=[2]SalmonProps!$A$2:$A$10001)*(2=[2]SalmonProps!$C$2:$C$10001)*(3=[2]SalmonProps!$D$2:$D$10001)*("A1" = [2]SalmonProps!$B$2:$B$10001)*($AP68 = [2]SalmonProps!$F$2:$F$10001) *($AR68 = [2]SalmonProps!$G$2:$G$10001),0), 15))</f>
        <v>0.79420000000000002</v>
      </c>
      <c r="AD68" s="181" cm="1">
        <f t="array" ref="AD68">IF(ISBLANK($AQ68), "", INDEX([2]SalmonProps!$A$2:$AA$10001,MATCH(1,($A68=[2]SalmonProps!$A$2:$A$10001)*(3=[2]SalmonProps!$C$2:$C$10001)*(3=[2]SalmonProps!$D$2:$D$10001)*("A1" = [2]SalmonProps!$B$2:$B$10001)*($AP68 = [2]SalmonProps!$F$2:$F$10001) *($AR68 = [2]SalmonProps!$G$2:$G$10001),0), 15))</f>
        <v>0.95499999999999996</v>
      </c>
      <c r="AE68" s="166" cm="1">
        <f t="array" ref="AE68">IF(ISBLANK($AQ68), "", INDEX([2]SalmonProps!$A$2:$AA$10001,MATCH(1,($A68=[2]SalmonProps!$A$2:$A$10001)*(1=[2]SalmonProps!$C$2:$C$10001)*(1=[2]SalmonProps!$D$2:$D$10001)*("A2" = [2]SalmonProps!$B$2:$B$10001)*($AP68 = [2]SalmonProps!$F$2:$F$10001) *($AR68 = [2]SalmonProps!$G$2:$G$10001),0), 15))</f>
        <v>0.1678</v>
      </c>
      <c r="AF68" s="166" cm="1">
        <f t="array" ref="AF68">IF(ISBLANK($AQ68), "", INDEX([2]SalmonProps!$A$2:$AA$10001,MATCH(1,($A68=[2]SalmonProps!$A$2:$A$10001)*(2=[2]SalmonProps!$C$2:$C$10001)*(1=[2]SalmonProps!$D$2:$D$10001)*("A2" = [2]SalmonProps!$B$2:$B$10001)*($AP68 = [2]SalmonProps!$F$2:$F$10001) *($AR68 = [2]SalmonProps!$G$2:$G$10001),0), 15))</f>
        <v>0.83040000000000003</v>
      </c>
      <c r="AG68" s="167" cm="1">
        <f t="array" ref="AG68">IF(ISBLANK($AQ68), "", INDEX([2]SalmonProps!$A$2:$AA$10001,MATCH(1,($A68=[2]SalmonProps!$A$2:$A$10001)*(3=[2]SalmonProps!$C$2:$C$10001)*(1=[2]SalmonProps!$D$2:$D$10001)*("A2" = [2]SalmonProps!$B$2:$B$10001)*($AP68 = [2]SalmonProps!$F$2:$F$10001) *($AR68 = [2]SalmonProps!$G$2:$G$10001),0), 15))</f>
        <v>0.94540000000000002</v>
      </c>
      <c r="AH68" s="173" cm="1">
        <f t="array" ref="AH68">IF(ISBLANK($AQ68), "", INDEX([2]SalmonProps!$A$2:$AA$10001,MATCH(1,($A68=[2]SalmonProps!$A$2:$A$10001)*($AP68 = [2]SalmonProps!$F$2:$F$10001) *($AR68 = [2]SalmonProps!$G$2:$G$10001),0), 24))</f>
        <v>53.9</v>
      </c>
      <c r="AI68" s="183" cm="1">
        <f t="array" ref="AI68">IF(ISBLANK($AQ68), "", INDEX([2]SalmonProps!$A$2:$AA$10001,MATCH(1,($A68=[2]SalmonProps!$A$2:$A$10001)*($AP68 = [2]SalmonProps!$F$2:$F$10001) *($AR68 = [2]SalmonProps!$G$2:$G$10001),0), 25))</f>
        <v>7</v>
      </c>
      <c r="AJ68" s="176" cm="1">
        <f t="array" ref="AJ68">IF(ISBLANK($AQ68), "", INDEX([2]SalmonProps!$A$2:$AA$10001,MATCH(1,($A68=[2]SalmonProps!$A$2:$A$10001)*($AP68 = [2]SalmonProps!$F$2:$F$10001) *($AR68 = [2]SalmonProps!$G$2:$G$10001),0), 20))</f>
        <v>59</v>
      </c>
      <c r="AK68" s="183" cm="1">
        <f t="array" ref="AK68">IF(ISBLANK($AQ68), "", INDEX([2]SalmonProps!$A$2:$AA$10001,MATCH(1,($A68=[2]SalmonProps!$A$2:$A$10001)*($AP68 = [2]SalmonProps!$F$2:$F$10001) *($AR68 = [2]SalmonProps!$G$2:$G$10001),0), 21))</f>
        <v>4.8</v>
      </c>
      <c r="AL68" s="174" cm="1">
        <f t="array" ref="AL68">IF(ISBLANK($AQ68), "", INDEX([2]SalmonProps!$A$2:$AA$10001,MATCH(1,($A68=[2]SalmonProps!$A$2:$A$10001)*($AP68 = [2]SalmonProps!$F$2:$F$10001) *($AR68 = [2]SalmonProps!$G$2:$G$10001),0), 22))</f>
        <v>73.3</v>
      </c>
      <c r="AM68" s="183" cm="1">
        <f t="array" ref="AM68">IF(ISBLANK($AQ68), "", INDEX([2]SalmonProps!$A$2:$AA$10001,MATCH(1,($A68=[2]SalmonProps!$A$2:$A$10001)*($AP68 = [2]SalmonProps!$F$2:$F$10001) *($AR68 = [2]SalmonProps!$G$2:$G$10001),0), 23))</f>
        <v>7.4</v>
      </c>
      <c r="AN68" s="174" t="str" cm="1">
        <f t="array" ref="AN68">IF(ISBLANK($AQ68), "", INDEX([2]SalmonProps!$A$2:$AA$10001,MATCH(1,($A68=[2]SalmonProps!$A$2:$A$10001)*($AP68 = [2]SalmonProps!$F$2:$F$10001) *($AR68 = [2]SalmonProps!$G$2:$G$10001),0), 26))</f>
        <v>NA</v>
      </c>
      <c r="AO68" s="175" t="str" cm="1">
        <f t="array" ref="AO68">IF(ISBLANK($AQ68), "", INDEX([2]SalmonProps!$A$2:$AA$10001,MATCH(1,($A68=[2]SalmonProps!$A$2:$A$10001)*($AP68 = [2]SalmonProps!$F$2:$F$10001) *($AR68 = [2]SalmonProps!$G$2:$G$10001),0), 27))</f>
        <v>NA</v>
      </c>
      <c r="AP68" s="112">
        <v>4</v>
      </c>
      <c r="AQ68" s="112" t="s">
        <v>133</v>
      </c>
      <c r="AR68" s="112" t="str">
        <f t="shared" si="1"/>
        <v>Unweighted</v>
      </c>
    </row>
    <row r="69" spans="1:44" x14ac:dyDescent="0.3">
      <c r="A69" s="20">
        <f>'[1]Passage Estimates'!$A69</f>
        <v>45171</v>
      </c>
      <c r="B69" s="164" cm="1">
        <f t="array" ref="B69">IF(ISBLANK($AQ69), "", INDEX([2]SalmonProps!$A$2:$AA$10001,MATCH(1,($A69=[2]SalmonProps!$A$2:$A$10001)*(1=[2]SalmonProps!$C$2:$C$10001)*(1=[2]SalmonProps!$D$2:$D$10001)*("A1" = [2]SalmonProps!$B$2:$B$10001)*($AP69 = [2]SalmonProps!$F$2:$F$10001) *($AR69 = [2]SalmonProps!$G$2:$G$10001),0), 17))</f>
        <v>8.0999999999999996E-3</v>
      </c>
      <c r="C69" s="165" cm="1">
        <f t="array" ref="C69">IF(ISBLANK($AQ69), "", INDEX([2]SalmonProps!$A$2:$AA$10001,MATCH(1,($A69=[2]SalmonProps!$A$2:$A$10001)*(1=[2]SalmonProps!$C$2:$C$10001)*(2=[2]SalmonProps!$D$2:$D$10001)*("A1" = [2]SalmonProps!$B$2:$B$10001)*($AP69 = [2]SalmonProps!$F$2:$F$10001) *($AR69 = [2]SalmonProps!$G$2:$G$10001),0), 17))</f>
        <v>0</v>
      </c>
      <c r="D69" s="165" cm="1">
        <f t="array" ref="D69">IF(ISBLANK($AQ69), "", INDEX([2]SalmonProps!$A$2:$AA$10001,MATCH(1,($A69=[2]SalmonProps!$A$2:$A$10001)*(1=[2]SalmonProps!$C$2:$C$10001)*("1&amp;2"=[2]SalmonProps!$D$2:$D$10001)*("A1" = [2]SalmonProps!$B$2:$B$10001)*($AP69 = [2]SalmonProps!$F$2:$F$10001) *($AR69 = [2]SalmonProps!$G$2:$G$10001),0), 17))</f>
        <v>8.9999999999999998E-4</v>
      </c>
      <c r="E69" s="181" cm="1">
        <f t="array" ref="E69">IF(ISBLANK($AQ69), "", INDEX([2]SalmonProps!$A$2:$AA$10001,MATCH(1,($A69=[2]SalmonProps!$A$2:$A$10001)*(2=[2]SalmonProps!$C$2:$C$10001)*(3=[2]SalmonProps!$D$2:$D$10001)*("A1" = [2]SalmonProps!$B$2:$B$10001)*($AP69 = [2]SalmonProps!$F$2:$F$10001) *($AR69 = [2]SalmonProps!$G$2:$G$10001),0), 17))</f>
        <v>0.10829999999999999</v>
      </c>
      <c r="F69" s="165" cm="1">
        <f t="array" ref="F69">IF(ISBLANK($AQ69), "", INDEX([2]SalmonProps!$A$2:$AA$10001,MATCH(1,($A69=[2]SalmonProps!$A$2:$A$10001)*(3=[2]SalmonProps!$C$2:$C$10001)*(3=[2]SalmonProps!$D$2:$D$10001)*("A1" = [2]SalmonProps!$B$2:$B$10001)*($AP69 = [2]SalmonProps!$F$2:$F$10001) *($AR69 = [2]SalmonProps!$G$2:$G$10001),0), 17))</f>
        <v>0.23050000000000001</v>
      </c>
      <c r="G69" s="165" cm="1">
        <f t="array" ref="G69">IF(ISBLANK($AQ69), "", INDEX([2]SalmonProps!$A$2:$AA$10001,MATCH(1,($A69=[2]SalmonProps!$A$2:$A$10001)*(1=[2]SalmonProps!$C$2:$C$10001)*(1=[2]SalmonProps!$D$2:$D$10001)*("A2" = [2]SalmonProps!$B$2:$B$10001)*($AP69 = [2]SalmonProps!$F$2:$F$10001) *($AR69 = [2]SalmonProps!$G$2:$G$10001),0), 17))</f>
        <v>4.0000000000000002E-4</v>
      </c>
      <c r="H69" s="166" cm="1">
        <f t="array" ref="H69">IF(ISBLANK($AQ69), "", INDEX([2]SalmonProps!$A$2:$AA$10001,MATCH(1,($A69=[2]SalmonProps!$A$2:$A$10001)*(2=[2]SalmonProps!$C$2:$C$10001)*(1=[2]SalmonProps!$D$2:$D$10001)*("A2" = [2]SalmonProps!$B$2:$B$10001)*($AP69 = [2]SalmonProps!$F$2:$F$10001) *($AR69 = [2]SalmonProps!$G$2:$G$10001),0), 17))</f>
        <v>0.24060000000000001</v>
      </c>
      <c r="I69" s="167" cm="1">
        <f t="array" ref="I69">IF(ISBLANK($AQ69), "", INDEX([2]SalmonProps!$A$2:$AA$10001,MATCH(1,($A69=[2]SalmonProps!$A$2:$A$10001)*(3=[2]SalmonProps!$C$2:$C$10001)*(1=[2]SalmonProps!$D$2:$D$10001)*("A2" = [2]SalmonProps!$B$2:$B$10001)*($AP69 = [2]SalmonProps!$F$2:$F$10001) *($AR69 = [2]SalmonProps!$G$2:$G$10001),0), 17))</f>
        <v>0.42130000000000001</v>
      </c>
      <c r="J69" s="164" t="str" cm="1">
        <f t="array" ref="J69">IF(ISBLANK($AQ69), "", INDEX([2]SalmonProps!$A$2:$AA$10001,MATCH(1,($A69=[2]SalmonProps!$A$2:$A$10001)*(1=[2]SalmonProps!$C$2:$C$10001)*(1=[2]SalmonProps!$D$2:$D$10001)*("A1" = [2]SalmonProps!$B$2:$B$10001)*($AP69 = [2]SalmonProps!$F$2:$F$10001) *($AR69 = [2]SalmonProps!$G$2:$G$10001),0), 19))</f>
        <v>NA</v>
      </c>
      <c r="K69" s="165" t="str" cm="1">
        <f t="array" ref="K69">IF(ISBLANK($AQ69), "", INDEX([2]SalmonProps!$A$2:$AA$10001,MATCH(1,($A69=[2]SalmonProps!$A$2:$A$10001)*(1=[2]SalmonProps!$C$2:$C$10001)*(2=[2]SalmonProps!$D$2:$D$10001)*("A1" = [2]SalmonProps!$B$2:$B$10001)*($AP69 = [2]SalmonProps!$F$2:$F$10001) *($AR69 = [2]SalmonProps!$G$2:$G$10001),0), 19))</f>
        <v>NA</v>
      </c>
      <c r="L69" s="165" t="str" cm="1">
        <f t="array" ref="L69">IF(ISBLANK($AQ69), "", INDEX([2]SalmonProps!$A$2:$AA$10001,MATCH(1,($A69=[2]SalmonProps!$A$2:$A$10001)*(1=[2]SalmonProps!$C$2:$C$10001)*("1&amp;2"=[2]SalmonProps!$D$2:$D$10001)*("A1" = [2]SalmonProps!$B$2:$B$10001)*($AP69 = [2]SalmonProps!$F$2:$F$10001) *($AR69 = [2]SalmonProps!$G$2:$G$10001),0), 19))</f>
        <v>NA</v>
      </c>
      <c r="M69" s="165" t="str" cm="1">
        <f t="array" ref="M69">IF(ISBLANK($AQ69), "", INDEX([2]SalmonProps!$A$2:$AA$10001,MATCH(1,($A69=[2]SalmonProps!$A$2:$A$10001)*(2=[2]SalmonProps!$C$2:$C$10001)*(3=[2]SalmonProps!$D$2:$D$10001)*("A1" = [2]SalmonProps!$B$2:$B$10001)*($AP69 = [2]SalmonProps!$F$2:$F$10001) *($AR69 = [2]SalmonProps!$G$2:$G$10001),0), 19))</f>
        <v>NA</v>
      </c>
      <c r="N69" s="181" t="str" cm="1">
        <f t="array" ref="N69">IF(ISBLANK($AQ69), "", INDEX([2]SalmonProps!$A$2:$AA$10001,MATCH(1,($A69=[2]SalmonProps!$A$2:$A$10001)*(3=[2]SalmonProps!$C$2:$C$10001)*(3=[2]SalmonProps!$D$2:$D$10001)*("A1" = [2]SalmonProps!$B$2:$B$10001)*($AP69 = [2]SalmonProps!$F$2:$F$10001) *($AR69 = [2]SalmonProps!$G$2:$G$10001),0), 19))</f>
        <v>NA</v>
      </c>
      <c r="O69" s="165" t="str" cm="1">
        <f t="array" ref="O69">IF(ISBLANK($AQ69), "", INDEX([2]SalmonProps!$A$2:$AA$10001,MATCH(1,($A69=[2]SalmonProps!$A$2:$A$10001)*(1=[2]SalmonProps!$C$2:$C$10001)*(1=[2]SalmonProps!$D$2:$D$10001)*("A2" = [2]SalmonProps!$B$2:$B$10001)*($AP69 = [2]SalmonProps!$F$2:$F$10001) *($AR69 = [2]SalmonProps!$G$2:$G$10001),0), 19))</f>
        <v>NA</v>
      </c>
      <c r="P69" s="165" t="str" cm="1">
        <f t="array" ref="P69">IF(ISBLANK($AQ69), "", INDEX([2]SalmonProps!$A$2:$AA$10001,MATCH(1,($A69=[2]SalmonProps!$A$2:$A$10001)*(2=[2]SalmonProps!$C$2:$C$10001)*(1=[2]SalmonProps!$D$2:$D$10001)*("A2" = [2]SalmonProps!$B$2:$B$10001)*($AP69 = [2]SalmonProps!$F$2:$F$10001) *($AR69 = [2]SalmonProps!$G$2:$G$10001),0), 19))</f>
        <v>NA</v>
      </c>
      <c r="Q69" s="168" t="str" cm="1">
        <f t="array" ref="Q69">IF(ISBLANK($AQ69), "", INDEX([2]SalmonProps!$A$2:$AA$10001,MATCH(1,($A69=[2]SalmonProps!$A$2:$A$10001)*(3=[2]SalmonProps!$C$2:$C$10001)*(1=[2]SalmonProps!$D$2:$D$10001)*("A2" = [2]SalmonProps!$B$2:$B$10001)*($AP69 = [2]SalmonProps!$F$2:$F$10001) *($AR69 = [2]SalmonProps!$G$2:$G$10001),0), 19))</f>
        <v>NA</v>
      </c>
      <c r="R69" s="164" cm="1">
        <f t="array" ref="R69">IF(ISBLANK($AQ69), "", INDEX([2]SalmonProps!$A$2:$AA$10001,MATCH(1,($A69=[2]SalmonProps!$A$2:$A$10001)*(1=[2]SalmonProps!$C$2:$C$10001)*(1=[2]SalmonProps!$D$2:$D$10001)*("A1" = [2]SalmonProps!$B$2:$B$10001)*($AP69 = [2]SalmonProps!$F$2:$F$10001) *($AR69 = [2]SalmonProps!$G$2:$G$10001),0), 18))</f>
        <v>0.38100000000000001</v>
      </c>
      <c r="S69" s="165" cm="1">
        <f t="array" ref="S69">IF(ISBLANK($AQ69), "", INDEX([2]SalmonProps!$A$2:$AA$10001,MATCH(1,($A69=[2]SalmonProps!$A$2:$A$10001)*(1=[2]SalmonProps!$C$2:$C$10001)*(2=[2]SalmonProps!$D$2:$D$10001)*("A1" = [2]SalmonProps!$B$2:$B$10001)*($AP69 = [2]SalmonProps!$F$2:$F$10001) *($AR69 = [2]SalmonProps!$G$2:$G$10001),0), 18))</f>
        <v>0.47189999999999999</v>
      </c>
      <c r="T69" s="165" cm="1">
        <f t="array" ref="T69">IF(ISBLANK($AQ69), "", INDEX([2]SalmonProps!$A$2:$AA$10001,MATCH(1,($A69=[2]SalmonProps!$A$2:$A$10001)*(1=[2]SalmonProps!$C$2:$C$10001)*("1&amp;2"=[2]SalmonProps!$D$2:$D$10001)*("A1" = [2]SalmonProps!$B$2:$B$10001)*($AP69 = [2]SalmonProps!$F$2:$F$10001) *($AR69 = [2]SalmonProps!$G$2:$G$10001),0), 18))</f>
        <v>0.4753</v>
      </c>
      <c r="U69" s="165" cm="1">
        <f t="array" ref="U69">IF(ISBLANK($AQ69), "", INDEX([2]SalmonProps!$A$2:$AA$10001,MATCH(1,($A69=[2]SalmonProps!$A$2:$A$10001)*(2=[2]SalmonProps!$C$2:$C$10001)*(3=[2]SalmonProps!$D$2:$D$10001)*("A1" = [2]SalmonProps!$B$2:$B$10001)*($AP69 = [2]SalmonProps!$F$2:$F$10001) *($AR69 = [2]SalmonProps!$G$2:$G$10001),0), 18))</f>
        <v>0.67430000000000001</v>
      </c>
      <c r="V69" s="181" cm="1">
        <f t="array" ref="V69">IF(ISBLANK($AQ69), "", INDEX([2]SalmonProps!$A$2:$AA$10001,MATCH(1,($A69=[2]SalmonProps!$A$2:$A$10001)*(3=[2]SalmonProps!$C$2:$C$10001)*(3=[2]SalmonProps!$D$2:$D$10001)*("A1" = [2]SalmonProps!$B$2:$B$10001)*($AP69 = [2]SalmonProps!$F$2:$F$10001) *($AR69 = [2]SalmonProps!$G$2:$G$10001),0), 18))</f>
        <v>0.76690000000000003</v>
      </c>
      <c r="W69" s="180" cm="1">
        <f t="array" ref="W69">IF(ISBLANK($AQ69), "", INDEX([2]SalmonProps!$A$2:$AA$10001,MATCH(1,($A69=[2]SalmonProps!$A$2:$A$10001)*(1=[2]SalmonProps!$C$2:$C$10001)*(1=[2]SalmonProps!$D$2:$D$10001)*("A2" = [2]SalmonProps!$B$2:$B$10001)*($AP69 = [2]SalmonProps!$F$2:$F$10001) *($AR69 = [2]SalmonProps!$G$2:$G$10001),0), 18))</f>
        <v>0.16739999999999999</v>
      </c>
      <c r="X69" s="165" cm="1">
        <f t="array" ref="X69">IF(ISBLANK($AQ69), "", INDEX([2]SalmonProps!$A$2:$AA$10001,MATCH(1,($A69=[2]SalmonProps!$A$2:$A$10001)*(2=[2]SalmonProps!$C$2:$C$10001)*(1=[2]SalmonProps!$D$2:$D$10001)*("A2" = [2]SalmonProps!$B$2:$B$10001)*($AP69 = [2]SalmonProps!$F$2:$F$10001) *($AR69 = [2]SalmonProps!$G$2:$G$10001),0), 18))</f>
        <v>0.58979999999999999</v>
      </c>
      <c r="Y69" s="168" cm="1">
        <f t="array" ref="Y69">IF(ISBLANK($AQ69), "", INDEX([2]SalmonProps!$A$2:$AA$10001,MATCH(1,($A69=[2]SalmonProps!$A$2:$A$10001)*(3=[2]SalmonProps!$C$2:$C$10001)*(1=[2]SalmonProps!$D$2:$D$10001)*("A2" = [2]SalmonProps!$B$2:$B$10001)*($AP69 = [2]SalmonProps!$F$2:$F$10001) *($AR69 = [2]SalmonProps!$G$2:$G$10001),0), 18))</f>
        <v>0.52410000000000001</v>
      </c>
      <c r="Z69" s="164" cm="1">
        <f t="array" ref="Z69">IF(ISBLANK($AQ69), "", INDEX([2]SalmonProps!$A$2:$AA$10001,MATCH(1,($A69=[2]SalmonProps!$A$2:$A$10001)*(1=[2]SalmonProps!$C$2:$C$10001)*(1=[2]SalmonProps!$D$2:$D$10001)*("A1" = [2]SalmonProps!$B$2:$B$10001)*($AP69 = [2]SalmonProps!$F$2:$F$10001) *($AR69 = [2]SalmonProps!$G$2:$G$10001),0), 15))</f>
        <v>0.3891</v>
      </c>
      <c r="AA69" s="165" cm="1">
        <f t="array" ref="AA69">IF(ISBLANK($AQ69), "", INDEX([2]SalmonProps!$A$2:$AA$10001,MATCH(1,($A69=[2]SalmonProps!$A$2:$A$10001)*(1=[2]SalmonProps!$C$2:$C$10001)*(2=[2]SalmonProps!$D$2:$D$10001)*("A1" = [2]SalmonProps!$B$2:$B$10001)*($AP69 = [2]SalmonProps!$F$2:$F$10001) *($AR69 = [2]SalmonProps!$G$2:$G$10001),0), 15))</f>
        <v>0.62350000000000005</v>
      </c>
      <c r="AB69" s="165" cm="1">
        <f t="array" ref="AB69">IF(ISBLANK($AQ69), "", INDEX([2]SalmonProps!$A$2:$AA$10001,MATCH(1,($A69=[2]SalmonProps!$A$2:$A$10001)*(1=[2]SalmonProps!$C$2:$C$10001)*("1&amp;2"=[2]SalmonProps!$D$2:$D$10001)*("A1" = [2]SalmonProps!$B$2:$B$10001)*($AP69 = [2]SalmonProps!$F$2:$F$10001) *($AR69 = [2]SalmonProps!$G$2:$G$10001),0), 15))</f>
        <v>0.47620000000000001</v>
      </c>
      <c r="AC69" s="165" cm="1">
        <f t="array" ref="AC69">IF(ISBLANK($AQ69), "", INDEX([2]SalmonProps!$A$2:$AA$10001,MATCH(1,($A69=[2]SalmonProps!$A$2:$A$10001)*(2=[2]SalmonProps!$C$2:$C$10001)*(3=[2]SalmonProps!$D$2:$D$10001)*("A1" = [2]SalmonProps!$B$2:$B$10001)*($AP69 = [2]SalmonProps!$F$2:$F$10001) *($AR69 = [2]SalmonProps!$G$2:$G$10001),0), 15))</f>
        <v>0.78259999999999996</v>
      </c>
      <c r="AD69" s="181" cm="1">
        <f t="array" ref="AD69">IF(ISBLANK($AQ69), "", INDEX([2]SalmonProps!$A$2:$AA$10001,MATCH(1,($A69=[2]SalmonProps!$A$2:$A$10001)*(3=[2]SalmonProps!$C$2:$C$10001)*(3=[2]SalmonProps!$D$2:$D$10001)*("A1" = [2]SalmonProps!$B$2:$B$10001)*($AP69 = [2]SalmonProps!$F$2:$F$10001) *($AR69 = [2]SalmonProps!$G$2:$G$10001),0), 15))</f>
        <v>0.99739999999999995</v>
      </c>
      <c r="AE69" s="166" cm="1">
        <f t="array" ref="AE69">IF(ISBLANK($AQ69), "", INDEX([2]SalmonProps!$A$2:$AA$10001,MATCH(1,($A69=[2]SalmonProps!$A$2:$A$10001)*(1=[2]SalmonProps!$C$2:$C$10001)*(1=[2]SalmonProps!$D$2:$D$10001)*("A2" = [2]SalmonProps!$B$2:$B$10001)*($AP69 = [2]SalmonProps!$F$2:$F$10001) *($AR69 = [2]SalmonProps!$G$2:$G$10001),0), 15))</f>
        <v>0.1678</v>
      </c>
      <c r="AF69" s="166" cm="1">
        <f t="array" ref="AF69">IF(ISBLANK($AQ69), "", INDEX([2]SalmonProps!$A$2:$AA$10001,MATCH(1,($A69=[2]SalmonProps!$A$2:$A$10001)*(2=[2]SalmonProps!$C$2:$C$10001)*(1=[2]SalmonProps!$D$2:$D$10001)*("A2" = [2]SalmonProps!$B$2:$B$10001)*($AP69 = [2]SalmonProps!$F$2:$F$10001) *($AR69 = [2]SalmonProps!$G$2:$G$10001),0), 15))</f>
        <v>0.83040000000000003</v>
      </c>
      <c r="AG69" s="167" cm="1">
        <f t="array" ref="AG69">IF(ISBLANK($AQ69), "", INDEX([2]SalmonProps!$A$2:$AA$10001,MATCH(1,($A69=[2]SalmonProps!$A$2:$A$10001)*(3=[2]SalmonProps!$C$2:$C$10001)*(1=[2]SalmonProps!$D$2:$D$10001)*("A2" = [2]SalmonProps!$B$2:$B$10001)*($AP69 = [2]SalmonProps!$F$2:$F$10001) *($AR69 = [2]SalmonProps!$G$2:$G$10001),0), 15))</f>
        <v>0.94540000000000002</v>
      </c>
      <c r="AH69" s="173" cm="1">
        <f t="array" ref="AH69">IF(ISBLANK($AQ69), "", INDEX([2]SalmonProps!$A$2:$AA$10001,MATCH(1,($A69=[2]SalmonProps!$A$2:$A$10001)*($AP69 = [2]SalmonProps!$F$2:$F$10001) *($AR69 = [2]SalmonProps!$G$2:$G$10001),0), 24))</f>
        <v>53.9</v>
      </c>
      <c r="AI69" s="183" cm="1">
        <f t="array" ref="AI69">IF(ISBLANK($AQ69), "", INDEX([2]SalmonProps!$A$2:$AA$10001,MATCH(1,($A69=[2]SalmonProps!$A$2:$A$10001)*($AP69 = [2]SalmonProps!$F$2:$F$10001) *($AR69 = [2]SalmonProps!$G$2:$G$10001),0), 25))</f>
        <v>7</v>
      </c>
      <c r="AJ69" s="176" cm="1">
        <f t="array" ref="AJ69">IF(ISBLANK($AQ69), "", INDEX([2]SalmonProps!$A$2:$AA$10001,MATCH(1,($A69=[2]SalmonProps!$A$2:$A$10001)*($AP69 = [2]SalmonProps!$F$2:$F$10001) *($AR69 = [2]SalmonProps!$G$2:$G$10001),0), 20))</f>
        <v>59</v>
      </c>
      <c r="AK69" s="183" cm="1">
        <f t="array" ref="AK69">IF(ISBLANK($AQ69), "", INDEX([2]SalmonProps!$A$2:$AA$10001,MATCH(1,($A69=[2]SalmonProps!$A$2:$A$10001)*($AP69 = [2]SalmonProps!$F$2:$F$10001) *($AR69 = [2]SalmonProps!$G$2:$G$10001),0), 21))</f>
        <v>4.8</v>
      </c>
      <c r="AL69" s="174" cm="1">
        <f t="array" ref="AL69">IF(ISBLANK($AQ69), "", INDEX([2]SalmonProps!$A$2:$AA$10001,MATCH(1,($A69=[2]SalmonProps!$A$2:$A$10001)*($AP69 = [2]SalmonProps!$F$2:$F$10001) *($AR69 = [2]SalmonProps!$G$2:$G$10001),0), 22))</f>
        <v>73.3</v>
      </c>
      <c r="AM69" s="183" cm="1">
        <f t="array" ref="AM69">IF(ISBLANK($AQ69), "", INDEX([2]SalmonProps!$A$2:$AA$10001,MATCH(1,($A69=[2]SalmonProps!$A$2:$A$10001)*($AP69 = [2]SalmonProps!$F$2:$F$10001) *($AR69 = [2]SalmonProps!$G$2:$G$10001),0), 23))</f>
        <v>7.4</v>
      </c>
      <c r="AN69" s="174" t="str" cm="1">
        <f t="array" ref="AN69">IF(ISBLANK($AQ69), "", INDEX([2]SalmonProps!$A$2:$AA$10001,MATCH(1,($A69=[2]SalmonProps!$A$2:$A$10001)*($AP69 = [2]SalmonProps!$F$2:$F$10001) *($AR69 = [2]SalmonProps!$G$2:$G$10001),0), 26))</f>
        <v>NA</v>
      </c>
      <c r="AO69" s="175" t="str" cm="1">
        <f t="array" ref="AO69">IF(ISBLANK($AQ69), "", INDEX([2]SalmonProps!$A$2:$AA$10001,MATCH(1,($A69=[2]SalmonProps!$A$2:$A$10001)*($AP69 = [2]SalmonProps!$F$2:$F$10001) *($AR69 = [2]SalmonProps!$G$2:$G$10001),0), 27))</f>
        <v>NA</v>
      </c>
      <c r="AP69" s="112">
        <v>4</v>
      </c>
      <c r="AQ69" s="112" t="s">
        <v>133</v>
      </c>
      <c r="AR69" s="112" t="str">
        <f t="shared" si="1"/>
        <v>Unweighted</v>
      </c>
    </row>
    <row r="70" spans="1:44" x14ac:dyDescent="0.3">
      <c r="A70" s="20">
        <f>'[1]Passage Estimates'!$A70</f>
        <v>45172</v>
      </c>
      <c r="B70" s="164" cm="1">
        <f t="array" ref="B70">IF(ISBLANK($AQ70), "", INDEX([2]SalmonProps!$A$2:$AA$10001,MATCH(1,($A70=[2]SalmonProps!$A$2:$A$10001)*(1=[2]SalmonProps!$C$2:$C$10001)*(1=[2]SalmonProps!$D$2:$D$10001)*("A1" = [2]SalmonProps!$B$2:$B$10001)*($AP70 = [2]SalmonProps!$F$2:$F$10001) *($AR70 = [2]SalmonProps!$G$2:$G$10001),0), 17))</f>
        <v>0</v>
      </c>
      <c r="C70" s="165" cm="1">
        <f t="array" ref="C70">IF(ISBLANK($AQ70), "", INDEX([2]SalmonProps!$A$2:$AA$10001,MATCH(1,($A70=[2]SalmonProps!$A$2:$A$10001)*(1=[2]SalmonProps!$C$2:$C$10001)*(2=[2]SalmonProps!$D$2:$D$10001)*("A1" = [2]SalmonProps!$B$2:$B$10001)*($AP70 = [2]SalmonProps!$F$2:$F$10001) *($AR70 = [2]SalmonProps!$G$2:$G$10001),0), 17))</f>
        <v>0</v>
      </c>
      <c r="D70" s="165" cm="1">
        <f t="array" ref="D70">IF(ISBLANK($AQ70), "", INDEX([2]SalmonProps!$A$2:$AA$10001,MATCH(1,($A70=[2]SalmonProps!$A$2:$A$10001)*(1=[2]SalmonProps!$C$2:$C$10001)*("1&amp;2"=[2]SalmonProps!$D$2:$D$10001)*("A1" = [2]SalmonProps!$B$2:$B$10001)*($AP70 = [2]SalmonProps!$F$2:$F$10001) *($AR70 = [2]SalmonProps!$G$2:$G$10001),0), 17))</f>
        <v>0</v>
      </c>
      <c r="E70" s="181" cm="1">
        <f t="array" ref="E70">IF(ISBLANK($AQ70), "", INDEX([2]SalmonProps!$A$2:$AA$10001,MATCH(1,($A70=[2]SalmonProps!$A$2:$A$10001)*(2=[2]SalmonProps!$C$2:$C$10001)*(3=[2]SalmonProps!$D$2:$D$10001)*("A1" = [2]SalmonProps!$B$2:$B$10001)*($AP70 = [2]SalmonProps!$F$2:$F$10001) *($AR70 = [2]SalmonProps!$G$2:$G$10001),0), 17))</f>
        <v>0.21</v>
      </c>
      <c r="F70" s="165" cm="1">
        <f t="array" ref="F70">IF(ISBLANK($AQ70), "", INDEX([2]SalmonProps!$A$2:$AA$10001,MATCH(1,($A70=[2]SalmonProps!$A$2:$A$10001)*(3=[2]SalmonProps!$C$2:$C$10001)*(3=[2]SalmonProps!$D$2:$D$10001)*("A1" = [2]SalmonProps!$B$2:$B$10001)*($AP70 = [2]SalmonProps!$F$2:$F$10001) *($AR70 = [2]SalmonProps!$G$2:$G$10001),0), 17))</f>
        <v>0.42149999999999999</v>
      </c>
      <c r="G70" s="165" cm="1">
        <f t="array" ref="G70">IF(ISBLANK($AQ70), "", INDEX([2]SalmonProps!$A$2:$AA$10001,MATCH(1,($A70=[2]SalmonProps!$A$2:$A$10001)*(1=[2]SalmonProps!$C$2:$C$10001)*(1=[2]SalmonProps!$D$2:$D$10001)*("A2" = [2]SalmonProps!$B$2:$B$10001)*($AP70 = [2]SalmonProps!$F$2:$F$10001) *($AR70 = [2]SalmonProps!$G$2:$G$10001),0), 17))</f>
        <v>1.6500000000000001E-2</v>
      </c>
      <c r="H70" s="166" cm="1">
        <f t="array" ref="H70">IF(ISBLANK($AQ70), "", INDEX([2]SalmonProps!$A$2:$AA$10001,MATCH(1,($A70=[2]SalmonProps!$A$2:$A$10001)*(2=[2]SalmonProps!$C$2:$C$10001)*(1=[2]SalmonProps!$D$2:$D$10001)*("A2" = [2]SalmonProps!$B$2:$B$10001)*($AP70 = [2]SalmonProps!$F$2:$F$10001) *($AR70 = [2]SalmonProps!$G$2:$G$10001),0), 17))</f>
        <v>0.33879999999999999</v>
      </c>
      <c r="I70" s="167" cm="1">
        <f t="array" ref="I70">IF(ISBLANK($AQ70), "", INDEX([2]SalmonProps!$A$2:$AA$10001,MATCH(1,($A70=[2]SalmonProps!$A$2:$A$10001)*(3=[2]SalmonProps!$C$2:$C$10001)*(1=[2]SalmonProps!$D$2:$D$10001)*("A2" = [2]SalmonProps!$B$2:$B$10001)*($AP70 = [2]SalmonProps!$F$2:$F$10001) *($AR70 = [2]SalmonProps!$G$2:$G$10001),0), 17))</f>
        <v>0.55210000000000004</v>
      </c>
      <c r="J70" s="164" t="str" cm="1">
        <f t="array" ref="J70">IF(ISBLANK($AQ70), "", INDEX([2]SalmonProps!$A$2:$AA$10001,MATCH(1,($A70=[2]SalmonProps!$A$2:$A$10001)*(1=[2]SalmonProps!$C$2:$C$10001)*(1=[2]SalmonProps!$D$2:$D$10001)*("A1" = [2]SalmonProps!$B$2:$B$10001)*($AP70 = [2]SalmonProps!$F$2:$F$10001) *($AR70 = [2]SalmonProps!$G$2:$G$10001),0), 19))</f>
        <v>NA</v>
      </c>
      <c r="K70" s="165" t="str" cm="1">
        <f t="array" ref="K70">IF(ISBLANK($AQ70), "", INDEX([2]SalmonProps!$A$2:$AA$10001,MATCH(1,($A70=[2]SalmonProps!$A$2:$A$10001)*(1=[2]SalmonProps!$C$2:$C$10001)*(2=[2]SalmonProps!$D$2:$D$10001)*("A1" = [2]SalmonProps!$B$2:$B$10001)*($AP70 = [2]SalmonProps!$F$2:$F$10001) *($AR70 = [2]SalmonProps!$G$2:$G$10001),0), 19))</f>
        <v>NA</v>
      </c>
      <c r="L70" s="165" t="str" cm="1">
        <f t="array" ref="L70">IF(ISBLANK($AQ70), "", INDEX([2]SalmonProps!$A$2:$AA$10001,MATCH(1,($A70=[2]SalmonProps!$A$2:$A$10001)*(1=[2]SalmonProps!$C$2:$C$10001)*("1&amp;2"=[2]SalmonProps!$D$2:$D$10001)*("A1" = [2]SalmonProps!$B$2:$B$10001)*($AP70 = [2]SalmonProps!$F$2:$F$10001) *($AR70 = [2]SalmonProps!$G$2:$G$10001),0), 19))</f>
        <v>NA</v>
      </c>
      <c r="M70" s="165" t="str" cm="1">
        <f t="array" ref="M70">IF(ISBLANK($AQ70), "", INDEX([2]SalmonProps!$A$2:$AA$10001,MATCH(1,($A70=[2]SalmonProps!$A$2:$A$10001)*(2=[2]SalmonProps!$C$2:$C$10001)*(3=[2]SalmonProps!$D$2:$D$10001)*("A1" = [2]SalmonProps!$B$2:$B$10001)*($AP70 = [2]SalmonProps!$F$2:$F$10001) *($AR70 = [2]SalmonProps!$G$2:$G$10001),0), 19))</f>
        <v>NA</v>
      </c>
      <c r="N70" s="181" t="str" cm="1">
        <f t="array" ref="N70">IF(ISBLANK($AQ70), "", INDEX([2]SalmonProps!$A$2:$AA$10001,MATCH(1,($A70=[2]SalmonProps!$A$2:$A$10001)*(3=[2]SalmonProps!$C$2:$C$10001)*(3=[2]SalmonProps!$D$2:$D$10001)*("A1" = [2]SalmonProps!$B$2:$B$10001)*($AP70 = [2]SalmonProps!$F$2:$F$10001) *($AR70 = [2]SalmonProps!$G$2:$G$10001),0), 19))</f>
        <v>NA</v>
      </c>
      <c r="O70" s="165" t="str" cm="1">
        <f t="array" ref="O70">IF(ISBLANK($AQ70), "", INDEX([2]SalmonProps!$A$2:$AA$10001,MATCH(1,($A70=[2]SalmonProps!$A$2:$A$10001)*(1=[2]SalmonProps!$C$2:$C$10001)*(1=[2]SalmonProps!$D$2:$D$10001)*("A2" = [2]SalmonProps!$B$2:$B$10001)*($AP70 = [2]SalmonProps!$F$2:$F$10001) *($AR70 = [2]SalmonProps!$G$2:$G$10001),0), 19))</f>
        <v>NA</v>
      </c>
      <c r="P70" s="165" t="str" cm="1">
        <f t="array" ref="P70">IF(ISBLANK($AQ70), "", INDEX([2]SalmonProps!$A$2:$AA$10001,MATCH(1,($A70=[2]SalmonProps!$A$2:$A$10001)*(2=[2]SalmonProps!$C$2:$C$10001)*(1=[2]SalmonProps!$D$2:$D$10001)*("A2" = [2]SalmonProps!$B$2:$B$10001)*($AP70 = [2]SalmonProps!$F$2:$F$10001) *($AR70 = [2]SalmonProps!$G$2:$G$10001),0), 19))</f>
        <v>NA</v>
      </c>
      <c r="Q70" s="168" t="str" cm="1">
        <f t="array" ref="Q70">IF(ISBLANK($AQ70), "", INDEX([2]SalmonProps!$A$2:$AA$10001,MATCH(1,($A70=[2]SalmonProps!$A$2:$A$10001)*(3=[2]SalmonProps!$C$2:$C$10001)*(1=[2]SalmonProps!$D$2:$D$10001)*("A2" = [2]SalmonProps!$B$2:$B$10001)*($AP70 = [2]SalmonProps!$F$2:$F$10001) *($AR70 = [2]SalmonProps!$G$2:$G$10001),0), 19))</f>
        <v>NA</v>
      </c>
      <c r="R70" s="164" cm="1">
        <f t="array" ref="R70">IF(ISBLANK($AQ70), "", INDEX([2]SalmonProps!$A$2:$AA$10001,MATCH(1,($A70=[2]SalmonProps!$A$2:$A$10001)*(1=[2]SalmonProps!$C$2:$C$10001)*(1=[2]SalmonProps!$D$2:$D$10001)*("A1" = [2]SalmonProps!$B$2:$B$10001)*($AP70 = [2]SalmonProps!$F$2:$F$10001) *($AR70 = [2]SalmonProps!$G$2:$G$10001),0), 18))</f>
        <v>0.39090000000000003</v>
      </c>
      <c r="S70" s="165" cm="1">
        <f t="array" ref="S70">IF(ISBLANK($AQ70), "", INDEX([2]SalmonProps!$A$2:$AA$10001,MATCH(1,($A70=[2]SalmonProps!$A$2:$A$10001)*(1=[2]SalmonProps!$C$2:$C$10001)*(2=[2]SalmonProps!$D$2:$D$10001)*("A1" = [2]SalmonProps!$B$2:$B$10001)*($AP70 = [2]SalmonProps!$F$2:$F$10001) *($AR70 = [2]SalmonProps!$G$2:$G$10001),0), 18))</f>
        <v>0.58009999999999995</v>
      </c>
      <c r="T70" s="165" cm="1">
        <f t="array" ref="T70">IF(ISBLANK($AQ70), "", INDEX([2]SalmonProps!$A$2:$AA$10001,MATCH(1,($A70=[2]SalmonProps!$A$2:$A$10001)*(1=[2]SalmonProps!$C$2:$C$10001)*("1&amp;2"=[2]SalmonProps!$D$2:$D$10001)*("A1" = [2]SalmonProps!$B$2:$B$10001)*($AP70 = [2]SalmonProps!$F$2:$F$10001) *($AR70 = [2]SalmonProps!$G$2:$G$10001),0), 18))</f>
        <v>0.46760000000000002</v>
      </c>
      <c r="U70" s="165" cm="1">
        <f t="array" ref="U70">IF(ISBLANK($AQ70), "", INDEX([2]SalmonProps!$A$2:$AA$10001,MATCH(1,($A70=[2]SalmonProps!$A$2:$A$10001)*(2=[2]SalmonProps!$C$2:$C$10001)*(3=[2]SalmonProps!$D$2:$D$10001)*("A1" = [2]SalmonProps!$B$2:$B$10001)*($AP70 = [2]SalmonProps!$F$2:$F$10001) *($AR70 = [2]SalmonProps!$G$2:$G$10001),0), 18))</f>
        <v>0.64839999999999998</v>
      </c>
      <c r="V70" s="181" cm="1">
        <f t="array" ref="V70">IF(ISBLANK($AQ70), "", INDEX([2]SalmonProps!$A$2:$AA$10001,MATCH(1,($A70=[2]SalmonProps!$A$2:$A$10001)*(3=[2]SalmonProps!$C$2:$C$10001)*(3=[2]SalmonProps!$D$2:$D$10001)*("A1" = [2]SalmonProps!$B$2:$B$10001)*($AP70 = [2]SalmonProps!$F$2:$F$10001) *($AR70 = [2]SalmonProps!$G$2:$G$10001),0), 18))</f>
        <v>0.42259999999999998</v>
      </c>
      <c r="W70" s="180" cm="1">
        <f t="array" ref="W70">IF(ISBLANK($AQ70), "", INDEX([2]SalmonProps!$A$2:$AA$10001,MATCH(1,($A70=[2]SalmonProps!$A$2:$A$10001)*(1=[2]SalmonProps!$C$2:$C$10001)*(1=[2]SalmonProps!$D$2:$D$10001)*("A2" = [2]SalmonProps!$B$2:$B$10001)*($AP70 = [2]SalmonProps!$F$2:$F$10001) *($AR70 = [2]SalmonProps!$G$2:$G$10001),0), 18))</f>
        <v>0.77200000000000002</v>
      </c>
      <c r="X70" s="165" cm="1">
        <f t="array" ref="X70">IF(ISBLANK($AQ70), "", INDEX([2]SalmonProps!$A$2:$AA$10001,MATCH(1,($A70=[2]SalmonProps!$A$2:$A$10001)*(2=[2]SalmonProps!$C$2:$C$10001)*(1=[2]SalmonProps!$D$2:$D$10001)*("A2" = [2]SalmonProps!$B$2:$B$10001)*($AP70 = [2]SalmonProps!$F$2:$F$10001) *($AR70 = [2]SalmonProps!$G$2:$G$10001),0), 18))</f>
        <v>0.53720000000000001</v>
      </c>
      <c r="Y70" s="168" cm="1">
        <f t="array" ref="Y70">IF(ISBLANK($AQ70), "", INDEX([2]SalmonProps!$A$2:$AA$10001,MATCH(1,($A70=[2]SalmonProps!$A$2:$A$10001)*(3=[2]SalmonProps!$C$2:$C$10001)*(1=[2]SalmonProps!$D$2:$D$10001)*("A2" = [2]SalmonProps!$B$2:$B$10001)*($AP70 = [2]SalmonProps!$F$2:$F$10001) *($AR70 = [2]SalmonProps!$G$2:$G$10001),0), 18))</f>
        <v>0.33739999999999998</v>
      </c>
      <c r="Z70" s="164" cm="1">
        <f t="array" ref="Z70">IF(ISBLANK($AQ70), "", INDEX([2]SalmonProps!$A$2:$AA$10001,MATCH(1,($A70=[2]SalmonProps!$A$2:$A$10001)*(1=[2]SalmonProps!$C$2:$C$10001)*(1=[2]SalmonProps!$D$2:$D$10001)*("A1" = [2]SalmonProps!$B$2:$B$10001)*($AP70 = [2]SalmonProps!$F$2:$F$10001) *($AR70 = [2]SalmonProps!$G$2:$G$10001),0), 15))</f>
        <v>0.47410000000000002</v>
      </c>
      <c r="AA70" s="165" cm="1">
        <f t="array" ref="AA70">IF(ISBLANK($AQ70), "", INDEX([2]SalmonProps!$A$2:$AA$10001,MATCH(1,($A70=[2]SalmonProps!$A$2:$A$10001)*(1=[2]SalmonProps!$C$2:$C$10001)*(2=[2]SalmonProps!$D$2:$D$10001)*("A1" = [2]SalmonProps!$B$2:$B$10001)*($AP70 = [2]SalmonProps!$F$2:$F$10001) *($AR70 = [2]SalmonProps!$G$2:$G$10001),0), 15))</f>
        <v>0.71309999999999996</v>
      </c>
      <c r="AB70" s="165" cm="1">
        <f t="array" ref="AB70">IF(ISBLANK($AQ70), "", INDEX([2]SalmonProps!$A$2:$AA$10001,MATCH(1,($A70=[2]SalmonProps!$A$2:$A$10001)*(1=[2]SalmonProps!$C$2:$C$10001)*("1&amp;2"=[2]SalmonProps!$D$2:$D$10001)*("A1" = [2]SalmonProps!$B$2:$B$10001)*($AP70 = [2]SalmonProps!$F$2:$F$10001) *($AR70 = [2]SalmonProps!$G$2:$G$10001),0), 15))</f>
        <v>0.59430000000000005</v>
      </c>
      <c r="AC70" s="165" cm="1">
        <f t="array" ref="AC70">IF(ISBLANK($AQ70), "", INDEX([2]SalmonProps!$A$2:$AA$10001,MATCH(1,($A70=[2]SalmonProps!$A$2:$A$10001)*(2=[2]SalmonProps!$C$2:$C$10001)*(3=[2]SalmonProps!$D$2:$D$10001)*("A1" = [2]SalmonProps!$B$2:$B$10001)*($AP70 = [2]SalmonProps!$F$2:$F$10001) *($AR70 = [2]SalmonProps!$G$2:$G$10001),0), 15))</f>
        <v>0.85840000000000005</v>
      </c>
      <c r="AD70" s="181" cm="1">
        <f t="array" ref="AD70">IF(ISBLANK($AQ70), "", INDEX([2]SalmonProps!$A$2:$AA$10001,MATCH(1,($A70=[2]SalmonProps!$A$2:$A$10001)*(3=[2]SalmonProps!$C$2:$C$10001)*(3=[2]SalmonProps!$D$2:$D$10001)*("A1" = [2]SalmonProps!$B$2:$B$10001)*($AP70 = [2]SalmonProps!$F$2:$F$10001) *($AR70 = [2]SalmonProps!$G$2:$G$10001),0), 15))</f>
        <v>0.96240000000000003</v>
      </c>
      <c r="AE70" s="166" cm="1">
        <f t="array" ref="AE70">IF(ISBLANK($AQ70), "", INDEX([2]SalmonProps!$A$2:$AA$10001,MATCH(1,($A70=[2]SalmonProps!$A$2:$A$10001)*(1=[2]SalmonProps!$C$2:$C$10001)*(1=[2]SalmonProps!$D$2:$D$10001)*("A2" = [2]SalmonProps!$B$2:$B$10001)*($AP70 = [2]SalmonProps!$F$2:$F$10001) *($AR70 = [2]SalmonProps!$G$2:$G$10001),0), 15))</f>
        <v>0.78849999999999998</v>
      </c>
      <c r="AF70" s="166" cm="1">
        <f t="array" ref="AF70">IF(ISBLANK($AQ70), "", INDEX([2]SalmonProps!$A$2:$AA$10001,MATCH(1,($A70=[2]SalmonProps!$A$2:$A$10001)*(2=[2]SalmonProps!$C$2:$C$10001)*(1=[2]SalmonProps!$D$2:$D$10001)*("A2" = [2]SalmonProps!$B$2:$B$10001)*($AP70 = [2]SalmonProps!$F$2:$F$10001) *($AR70 = [2]SalmonProps!$G$2:$G$10001),0), 15))</f>
        <v>0.876</v>
      </c>
      <c r="AG70" s="167" cm="1">
        <f t="array" ref="AG70">IF(ISBLANK($AQ70), "", INDEX([2]SalmonProps!$A$2:$AA$10001,MATCH(1,($A70=[2]SalmonProps!$A$2:$A$10001)*(3=[2]SalmonProps!$C$2:$C$10001)*(1=[2]SalmonProps!$D$2:$D$10001)*("A2" = [2]SalmonProps!$B$2:$B$10001)*($AP70 = [2]SalmonProps!$F$2:$F$10001) *($AR70 = [2]SalmonProps!$G$2:$G$10001),0), 15))</f>
        <v>0.97019999999999995</v>
      </c>
      <c r="AH70" s="173" cm="1">
        <f t="array" ref="AH70">IF(ISBLANK($AQ70), "", INDEX([2]SalmonProps!$A$2:$AA$10001,MATCH(1,($A70=[2]SalmonProps!$A$2:$A$10001)*($AP70 = [2]SalmonProps!$F$2:$F$10001) *($AR70 = [2]SalmonProps!$G$2:$G$10001),0), 24))</f>
        <v>53.9</v>
      </c>
      <c r="AI70" s="183" cm="1">
        <f t="array" ref="AI70">IF(ISBLANK($AQ70), "", INDEX([2]SalmonProps!$A$2:$AA$10001,MATCH(1,($A70=[2]SalmonProps!$A$2:$A$10001)*($AP70 = [2]SalmonProps!$F$2:$F$10001) *($AR70 = [2]SalmonProps!$G$2:$G$10001),0), 25))</f>
        <v>7</v>
      </c>
      <c r="AJ70" s="176" cm="1">
        <f t="array" ref="AJ70">IF(ISBLANK($AQ70), "", INDEX([2]SalmonProps!$A$2:$AA$10001,MATCH(1,($A70=[2]SalmonProps!$A$2:$A$10001)*($AP70 = [2]SalmonProps!$F$2:$F$10001) *($AR70 = [2]SalmonProps!$G$2:$G$10001),0), 20))</f>
        <v>59</v>
      </c>
      <c r="AK70" s="183" cm="1">
        <f t="array" ref="AK70">IF(ISBLANK($AQ70), "", INDEX([2]SalmonProps!$A$2:$AA$10001,MATCH(1,($A70=[2]SalmonProps!$A$2:$A$10001)*($AP70 = [2]SalmonProps!$F$2:$F$10001) *($AR70 = [2]SalmonProps!$G$2:$G$10001),0), 21))</f>
        <v>4.8</v>
      </c>
      <c r="AL70" s="174" cm="1">
        <f t="array" ref="AL70">IF(ISBLANK($AQ70), "", INDEX([2]SalmonProps!$A$2:$AA$10001,MATCH(1,($A70=[2]SalmonProps!$A$2:$A$10001)*($AP70 = [2]SalmonProps!$F$2:$F$10001) *($AR70 = [2]SalmonProps!$G$2:$G$10001),0), 22))</f>
        <v>73.3</v>
      </c>
      <c r="AM70" s="183" cm="1">
        <f t="array" ref="AM70">IF(ISBLANK($AQ70), "", INDEX([2]SalmonProps!$A$2:$AA$10001,MATCH(1,($A70=[2]SalmonProps!$A$2:$A$10001)*($AP70 = [2]SalmonProps!$F$2:$F$10001) *($AR70 = [2]SalmonProps!$G$2:$G$10001),0), 23))</f>
        <v>7.4</v>
      </c>
      <c r="AN70" s="174" t="str" cm="1">
        <f t="array" ref="AN70">IF(ISBLANK($AQ70), "", INDEX([2]SalmonProps!$A$2:$AA$10001,MATCH(1,($A70=[2]SalmonProps!$A$2:$A$10001)*($AP70 = [2]SalmonProps!$F$2:$F$10001) *($AR70 = [2]SalmonProps!$G$2:$G$10001),0), 26))</f>
        <v>NA</v>
      </c>
      <c r="AO70" s="175" t="str" cm="1">
        <f t="array" ref="AO70">IF(ISBLANK($AQ70), "", INDEX([2]SalmonProps!$A$2:$AA$10001,MATCH(1,($A70=[2]SalmonProps!$A$2:$A$10001)*($AP70 = [2]SalmonProps!$F$2:$F$10001) *($AR70 = [2]SalmonProps!$G$2:$G$10001),0), 27))</f>
        <v>NA</v>
      </c>
      <c r="AP70" s="112">
        <v>4</v>
      </c>
      <c r="AQ70" s="112" t="s">
        <v>133</v>
      </c>
      <c r="AR70" s="112" t="str">
        <f t="shared" si="1"/>
        <v>Unweighted</v>
      </c>
    </row>
    <row r="71" spans="1:44" x14ac:dyDescent="0.3">
      <c r="A71" s="20">
        <f>'[1]Passage Estimates'!$A71</f>
        <v>45173</v>
      </c>
      <c r="B71" s="164" cm="1">
        <f t="array" ref="B71">IF(ISBLANK($AQ71), "", INDEX([2]SalmonProps!$A$2:$AA$10001,MATCH(1,($A71=[2]SalmonProps!$A$2:$A$10001)*(1=[2]SalmonProps!$C$2:$C$10001)*(1=[2]SalmonProps!$D$2:$D$10001)*("A1" = [2]SalmonProps!$B$2:$B$10001)*($AP71 = [2]SalmonProps!$F$2:$F$10001) *($AR71 = [2]SalmonProps!$G$2:$G$10001),0), 17))</f>
        <v>5.0000000000000001E-3</v>
      </c>
      <c r="C71" s="165" cm="1">
        <f t="array" ref="C71">IF(ISBLANK($AQ71), "", INDEX([2]SalmonProps!$A$2:$AA$10001,MATCH(1,($A71=[2]SalmonProps!$A$2:$A$10001)*(1=[2]SalmonProps!$C$2:$C$10001)*(2=[2]SalmonProps!$D$2:$D$10001)*("A1" = [2]SalmonProps!$B$2:$B$10001)*($AP71 = [2]SalmonProps!$F$2:$F$10001) *($AR71 = [2]SalmonProps!$G$2:$G$10001),0), 17))</f>
        <v>8.0999999999999996E-3</v>
      </c>
      <c r="D71" s="165" cm="1">
        <f t="array" ref="D71">IF(ISBLANK($AQ71), "", INDEX([2]SalmonProps!$A$2:$AA$10001,MATCH(1,($A71=[2]SalmonProps!$A$2:$A$10001)*(1=[2]SalmonProps!$C$2:$C$10001)*("1&amp;2"=[2]SalmonProps!$D$2:$D$10001)*("A1" = [2]SalmonProps!$B$2:$B$10001)*($AP71 = [2]SalmonProps!$F$2:$F$10001) *($AR71 = [2]SalmonProps!$G$2:$G$10001),0), 17))</f>
        <v>5.7999999999999996E-3</v>
      </c>
      <c r="E71" s="181" cm="1">
        <f t="array" ref="E71">IF(ISBLANK($AQ71), "", INDEX([2]SalmonProps!$A$2:$AA$10001,MATCH(1,($A71=[2]SalmonProps!$A$2:$A$10001)*(2=[2]SalmonProps!$C$2:$C$10001)*(3=[2]SalmonProps!$D$2:$D$10001)*("A1" = [2]SalmonProps!$B$2:$B$10001)*($AP71 = [2]SalmonProps!$F$2:$F$10001) *($AR71 = [2]SalmonProps!$G$2:$G$10001),0), 17))</f>
        <v>0.21690000000000001</v>
      </c>
      <c r="F71" s="165" cm="1">
        <f t="array" ref="F71">IF(ISBLANK($AQ71), "", INDEX([2]SalmonProps!$A$2:$AA$10001,MATCH(1,($A71=[2]SalmonProps!$A$2:$A$10001)*(3=[2]SalmonProps!$C$2:$C$10001)*(3=[2]SalmonProps!$D$2:$D$10001)*("A1" = [2]SalmonProps!$B$2:$B$10001)*($AP71 = [2]SalmonProps!$F$2:$F$10001) *($AR71 = [2]SalmonProps!$G$2:$G$10001),0), 17))</f>
        <v>0.42699999999999999</v>
      </c>
      <c r="G71" s="165" cm="1">
        <f t="array" ref="G71">IF(ISBLANK($AQ71), "", INDEX([2]SalmonProps!$A$2:$AA$10001,MATCH(1,($A71=[2]SalmonProps!$A$2:$A$10001)*(1=[2]SalmonProps!$C$2:$C$10001)*(1=[2]SalmonProps!$D$2:$D$10001)*("A2" = [2]SalmonProps!$B$2:$B$10001)*($AP71 = [2]SalmonProps!$F$2:$F$10001) *($AR71 = [2]SalmonProps!$G$2:$G$10001),0), 17))</f>
        <v>1.6500000000000001E-2</v>
      </c>
      <c r="H71" s="166" cm="1">
        <f t="array" ref="H71">IF(ISBLANK($AQ71), "", INDEX([2]SalmonProps!$A$2:$AA$10001,MATCH(1,($A71=[2]SalmonProps!$A$2:$A$10001)*(2=[2]SalmonProps!$C$2:$C$10001)*(1=[2]SalmonProps!$D$2:$D$10001)*("A2" = [2]SalmonProps!$B$2:$B$10001)*($AP71 = [2]SalmonProps!$F$2:$F$10001) *($AR71 = [2]SalmonProps!$G$2:$G$10001),0), 17))</f>
        <v>0.33879999999999999</v>
      </c>
      <c r="I71" s="167" cm="1">
        <f t="array" ref="I71">IF(ISBLANK($AQ71), "", INDEX([2]SalmonProps!$A$2:$AA$10001,MATCH(1,($A71=[2]SalmonProps!$A$2:$A$10001)*(3=[2]SalmonProps!$C$2:$C$10001)*(1=[2]SalmonProps!$D$2:$D$10001)*("A2" = [2]SalmonProps!$B$2:$B$10001)*($AP71 = [2]SalmonProps!$F$2:$F$10001) *($AR71 = [2]SalmonProps!$G$2:$G$10001),0), 17))</f>
        <v>0.55210000000000004</v>
      </c>
      <c r="J71" s="164" t="str" cm="1">
        <f t="array" ref="J71">IF(ISBLANK($AQ71), "", INDEX([2]SalmonProps!$A$2:$AA$10001,MATCH(1,($A71=[2]SalmonProps!$A$2:$A$10001)*(1=[2]SalmonProps!$C$2:$C$10001)*(1=[2]SalmonProps!$D$2:$D$10001)*("A1" = [2]SalmonProps!$B$2:$B$10001)*($AP71 = [2]SalmonProps!$F$2:$F$10001) *($AR71 = [2]SalmonProps!$G$2:$G$10001),0), 19))</f>
        <v>NA</v>
      </c>
      <c r="K71" s="165" t="str" cm="1">
        <f t="array" ref="K71">IF(ISBLANK($AQ71), "", INDEX([2]SalmonProps!$A$2:$AA$10001,MATCH(1,($A71=[2]SalmonProps!$A$2:$A$10001)*(1=[2]SalmonProps!$C$2:$C$10001)*(2=[2]SalmonProps!$D$2:$D$10001)*("A1" = [2]SalmonProps!$B$2:$B$10001)*($AP71 = [2]SalmonProps!$F$2:$F$10001) *($AR71 = [2]SalmonProps!$G$2:$G$10001),0), 19))</f>
        <v>NA</v>
      </c>
      <c r="L71" s="165" t="str" cm="1">
        <f t="array" ref="L71">IF(ISBLANK($AQ71), "", INDEX([2]SalmonProps!$A$2:$AA$10001,MATCH(1,($A71=[2]SalmonProps!$A$2:$A$10001)*(1=[2]SalmonProps!$C$2:$C$10001)*("1&amp;2"=[2]SalmonProps!$D$2:$D$10001)*("A1" = [2]SalmonProps!$B$2:$B$10001)*($AP71 = [2]SalmonProps!$F$2:$F$10001) *($AR71 = [2]SalmonProps!$G$2:$G$10001),0), 19))</f>
        <v>NA</v>
      </c>
      <c r="M71" s="165" t="str" cm="1">
        <f t="array" ref="M71">IF(ISBLANK($AQ71), "", INDEX([2]SalmonProps!$A$2:$AA$10001,MATCH(1,($A71=[2]SalmonProps!$A$2:$A$10001)*(2=[2]SalmonProps!$C$2:$C$10001)*(3=[2]SalmonProps!$D$2:$D$10001)*("A1" = [2]SalmonProps!$B$2:$B$10001)*($AP71 = [2]SalmonProps!$F$2:$F$10001) *($AR71 = [2]SalmonProps!$G$2:$G$10001),0), 19))</f>
        <v>NA</v>
      </c>
      <c r="N71" s="181" t="str" cm="1">
        <f t="array" ref="N71">IF(ISBLANK($AQ71), "", INDEX([2]SalmonProps!$A$2:$AA$10001,MATCH(1,($A71=[2]SalmonProps!$A$2:$A$10001)*(3=[2]SalmonProps!$C$2:$C$10001)*(3=[2]SalmonProps!$D$2:$D$10001)*("A1" = [2]SalmonProps!$B$2:$B$10001)*($AP71 = [2]SalmonProps!$F$2:$F$10001) *($AR71 = [2]SalmonProps!$G$2:$G$10001),0), 19))</f>
        <v>NA</v>
      </c>
      <c r="O71" s="165" t="str" cm="1">
        <f t="array" ref="O71">IF(ISBLANK($AQ71), "", INDEX([2]SalmonProps!$A$2:$AA$10001,MATCH(1,($A71=[2]SalmonProps!$A$2:$A$10001)*(1=[2]SalmonProps!$C$2:$C$10001)*(1=[2]SalmonProps!$D$2:$D$10001)*("A2" = [2]SalmonProps!$B$2:$B$10001)*($AP71 = [2]SalmonProps!$F$2:$F$10001) *($AR71 = [2]SalmonProps!$G$2:$G$10001),0), 19))</f>
        <v>NA</v>
      </c>
      <c r="P71" s="165" t="str" cm="1">
        <f t="array" ref="P71">IF(ISBLANK($AQ71), "", INDEX([2]SalmonProps!$A$2:$AA$10001,MATCH(1,($A71=[2]SalmonProps!$A$2:$A$10001)*(2=[2]SalmonProps!$C$2:$C$10001)*(1=[2]SalmonProps!$D$2:$D$10001)*("A2" = [2]SalmonProps!$B$2:$B$10001)*($AP71 = [2]SalmonProps!$F$2:$F$10001) *($AR71 = [2]SalmonProps!$G$2:$G$10001),0), 19))</f>
        <v>NA</v>
      </c>
      <c r="Q71" s="168" t="str" cm="1">
        <f t="array" ref="Q71">IF(ISBLANK($AQ71), "", INDEX([2]SalmonProps!$A$2:$AA$10001,MATCH(1,($A71=[2]SalmonProps!$A$2:$A$10001)*(3=[2]SalmonProps!$C$2:$C$10001)*(1=[2]SalmonProps!$D$2:$D$10001)*("A2" = [2]SalmonProps!$B$2:$B$10001)*($AP71 = [2]SalmonProps!$F$2:$F$10001) *($AR71 = [2]SalmonProps!$G$2:$G$10001),0), 19))</f>
        <v>NA</v>
      </c>
      <c r="R71" s="164" cm="1">
        <f t="array" ref="R71">IF(ISBLANK($AQ71), "", INDEX([2]SalmonProps!$A$2:$AA$10001,MATCH(1,($A71=[2]SalmonProps!$A$2:$A$10001)*(1=[2]SalmonProps!$C$2:$C$10001)*(1=[2]SalmonProps!$D$2:$D$10001)*("A1" = [2]SalmonProps!$B$2:$B$10001)*($AP71 = [2]SalmonProps!$F$2:$F$10001) *($AR71 = [2]SalmonProps!$G$2:$G$10001),0), 18))</f>
        <v>0.26650000000000001</v>
      </c>
      <c r="S71" s="165" cm="1">
        <f t="array" ref="S71">IF(ISBLANK($AQ71), "", INDEX([2]SalmonProps!$A$2:$AA$10001,MATCH(1,($A71=[2]SalmonProps!$A$2:$A$10001)*(1=[2]SalmonProps!$C$2:$C$10001)*(2=[2]SalmonProps!$D$2:$D$10001)*("A1" = [2]SalmonProps!$B$2:$B$10001)*($AP71 = [2]SalmonProps!$F$2:$F$10001) *($AR71 = [2]SalmonProps!$G$2:$G$10001),0), 18))</f>
        <v>0.3886</v>
      </c>
      <c r="T71" s="165" cm="1">
        <f t="array" ref="T71">IF(ISBLANK($AQ71), "", INDEX([2]SalmonProps!$A$2:$AA$10001,MATCH(1,($A71=[2]SalmonProps!$A$2:$A$10001)*(1=[2]SalmonProps!$C$2:$C$10001)*("1&amp;2"=[2]SalmonProps!$D$2:$D$10001)*("A1" = [2]SalmonProps!$B$2:$B$10001)*($AP71 = [2]SalmonProps!$F$2:$F$10001) *($AR71 = [2]SalmonProps!$G$2:$G$10001),0), 18))</f>
        <v>0.30399999999999999</v>
      </c>
      <c r="U71" s="165" cm="1">
        <f t="array" ref="U71">IF(ISBLANK($AQ71), "", INDEX([2]SalmonProps!$A$2:$AA$10001,MATCH(1,($A71=[2]SalmonProps!$A$2:$A$10001)*(2=[2]SalmonProps!$C$2:$C$10001)*(3=[2]SalmonProps!$D$2:$D$10001)*("A1" = [2]SalmonProps!$B$2:$B$10001)*($AP71 = [2]SalmonProps!$F$2:$F$10001) *($AR71 = [2]SalmonProps!$G$2:$G$10001),0), 18))</f>
        <v>0.75509999999999999</v>
      </c>
      <c r="V71" s="181" cm="1">
        <f t="array" ref="V71">IF(ISBLANK($AQ71), "", INDEX([2]SalmonProps!$A$2:$AA$10001,MATCH(1,($A71=[2]SalmonProps!$A$2:$A$10001)*(3=[2]SalmonProps!$C$2:$C$10001)*(3=[2]SalmonProps!$D$2:$D$10001)*("A1" = [2]SalmonProps!$B$2:$B$10001)*($AP71 = [2]SalmonProps!$F$2:$F$10001) *($AR71 = [2]SalmonProps!$G$2:$G$10001),0), 18))</f>
        <v>0.56989999999999996</v>
      </c>
      <c r="W71" s="180" cm="1">
        <f t="array" ref="W71">IF(ISBLANK($AQ71), "", INDEX([2]SalmonProps!$A$2:$AA$10001,MATCH(1,($A71=[2]SalmonProps!$A$2:$A$10001)*(1=[2]SalmonProps!$C$2:$C$10001)*(1=[2]SalmonProps!$D$2:$D$10001)*("A2" = [2]SalmonProps!$B$2:$B$10001)*($AP71 = [2]SalmonProps!$F$2:$F$10001) *($AR71 = [2]SalmonProps!$G$2:$G$10001),0), 18))</f>
        <v>0.77200000000000002</v>
      </c>
      <c r="X71" s="165" cm="1">
        <f t="array" ref="X71">IF(ISBLANK($AQ71), "", INDEX([2]SalmonProps!$A$2:$AA$10001,MATCH(1,($A71=[2]SalmonProps!$A$2:$A$10001)*(2=[2]SalmonProps!$C$2:$C$10001)*(1=[2]SalmonProps!$D$2:$D$10001)*("A2" = [2]SalmonProps!$B$2:$B$10001)*($AP71 = [2]SalmonProps!$F$2:$F$10001) *($AR71 = [2]SalmonProps!$G$2:$G$10001),0), 18))</f>
        <v>0.53720000000000001</v>
      </c>
      <c r="Y71" s="168" cm="1">
        <f t="array" ref="Y71">IF(ISBLANK($AQ71), "", INDEX([2]SalmonProps!$A$2:$AA$10001,MATCH(1,($A71=[2]SalmonProps!$A$2:$A$10001)*(3=[2]SalmonProps!$C$2:$C$10001)*(1=[2]SalmonProps!$D$2:$D$10001)*("A2" = [2]SalmonProps!$B$2:$B$10001)*($AP71 = [2]SalmonProps!$F$2:$F$10001) *($AR71 = [2]SalmonProps!$G$2:$G$10001),0), 18))</f>
        <v>0.33739999999999998</v>
      </c>
      <c r="Z71" s="164" cm="1">
        <f t="array" ref="Z71">IF(ISBLANK($AQ71), "", INDEX([2]SalmonProps!$A$2:$AA$10001,MATCH(1,($A71=[2]SalmonProps!$A$2:$A$10001)*(1=[2]SalmonProps!$C$2:$C$10001)*(1=[2]SalmonProps!$D$2:$D$10001)*("A1" = [2]SalmonProps!$B$2:$B$10001)*($AP71 = [2]SalmonProps!$F$2:$F$10001) *($AR71 = [2]SalmonProps!$G$2:$G$10001),0), 15))</f>
        <v>0.27150000000000002</v>
      </c>
      <c r="AA71" s="165" cm="1">
        <f t="array" ref="AA71">IF(ISBLANK($AQ71), "", INDEX([2]SalmonProps!$A$2:$AA$10001,MATCH(1,($A71=[2]SalmonProps!$A$2:$A$10001)*(1=[2]SalmonProps!$C$2:$C$10001)*(2=[2]SalmonProps!$D$2:$D$10001)*("A1" = [2]SalmonProps!$B$2:$B$10001)*($AP71 = [2]SalmonProps!$F$2:$F$10001) *($AR71 = [2]SalmonProps!$G$2:$G$10001),0), 15))</f>
        <v>0.3967</v>
      </c>
      <c r="AB71" s="165" cm="1">
        <f t="array" ref="AB71">IF(ISBLANK($AQ71), "", INDEX([2]SalmonProps!$A$2:$AA$10001,MATCH(1,($A71=[2]SalmonProps!$A$2:$A$10001)*(1=[2]SalmonProps!$C$2:$C$10001)*("1&amp;2"=[2]SalmonProps!$D$2:$D$10001)*("A1" = [2]SalmonProps!$B$2:$B$10001)*($AP71 = [2]SalmonProps!$F$2:$F$10001) *($AR71 = [2]SalmonProps!$G$2:$G$10001),0), 15))</f>
        <v>0.30980000000000002</v>
      </c>
      <c r="AC71" s="165" cm="1">
        <f t="array" ref="AC71">IF(ISBLANK($AQ71), "", INDEX([2]SalmonProps!$A$2:$AA$10001,MATCH(1,($A71=[2]SalmonProps!$A$2:$A$10001)*(2=[2]SalmonProps!$C$2:$C$10001)*(3=[2]SalmonProps!$D$2:$D$10001)*("A1" = [2]SalmonProps!$B$2:$B$10001)*($AP71 = [2]SalmonProps!$F$2:$F$10001) *($AR71 = [2]SalmonProps!$G$2:$G$10001),0), 15))</f>
        <v>0.97199999999999998</v>
      </c>
      <c r="AD71" s="181" cm="1">
        <f t="array" ref="AD71">IF(ISBLANK($AQ71), "", INDEX([2]SalmonProps!$A$2:$AA$10001,MATCH(1,($A71=[2]SalmonProps!$A$2:$A$10001)*(3=[2]SalmonProps!$C$2:$C$10001)*(3=[2]SalmonProps!$D$2:$D$10001)*("A1" = [2]SalmonProps!$B$2:$B$10001)*($AP71 = [2]SalmonProps!$F$2:$F$10001) *($AR71 = [2]SalmonProps!$G$2:$G$10001),0), 15))</f>
        <v>0.99690000000000001</v>
      </c>
      <c r="AE71" s="166" cm="1">
        <f t="array" ref="AE71">IF(ISBLANK($AQ71), "", INDEX([2]SalmonProps!$A$2:$AA$10001,MATCH(1,($A71=[2]SalmonProps!$A$2:$A$10001)*(1=[2]SalmonProps!$C$2:$C$10001)*(1=[2]SalmonProps!$D$2:$D$10001)*("A2" = [2]SalmonProps!$B$2:$B$10001)*($AP71 = [2]SalmonProps!$F$2:$F$10001) *($AR71 = [2]SalmonProps!$G$2:$G$10001),0), 15))</f>
        <v>0.78849999999999998</v>
      </c>
      <c r="AF71" s="166" cm="1">
        <f t="array" ref="AF71">IF(ISBLANK($AQ71), "", INDEX([2]SalmonProps!$A$2:$AA$10001,MATCH(1,($A71=[2]SalmonProps!$A$2:$A$10001)*(2=[2]SalmonProps!$C$2:$C$10001)*(1=[2]SalmonProps!$D$2:$D$10001)*("A2" = [2]SalmonProps!$B$2:$B$10001)*($AP71 = [2]SalmonProps!$F$2:$F$10001) *($AR71 = [2]SalmonProps!$G$2:$G$10001),0), 15))</f>
        <v>0.876</v>
      </c>
      <c r="AG71" s="167" cm="1">
        <f t="array" ref="AG71">IF(ISBLANK($AQ71), "", INDEX([2]SalmonProps!$A$2:$AA$10001,MATCH(1,($A71=[2]SalmonProps!$A$2:$A$10001)*(3=[2]SalmonProps!$C$2:$C$10001)*(1=[2]SalmonProps!$D$2:$D$10001)*("A2" = [2]SalmonProps!$B$2:$B$10001)*($AP71 = [2]SalmonProps!$F$2:$F$10001) *($AR71 = [2]SalmonProps!$G$2:$G$10001),0), 15))</f>
        <v>0.97019999999999995</v>
      </c>
      <c r="AH71" s="173" cm="1">
        <f t="array" ref="AH71">IF(ISBLANK($AQ71), "", INDEX([2]SalmonProps!$A$2:$AA$10001,MATCH(1,($A71=[2]SalmonProps!$A$2:$A$10001)*($AP71 = [2]SalmonProps!$F$2:$F$10001) *($AR71 = [2]SalmonProps!$G$2:$G$10001),0), 24))</f>
        <v>53.9</v>
      </c>
      <c r="AI71" s="183" cm="1">
        <f t="array" ref="AI71">IF(ISBLANK($AQ71), "", INDEX([2]SalmonProps!$A$2:$AA$10001,MATCH(1,($A71=[2]SalmonProps!$A$2:$A$10001)*($AP71 = [2]SalmonProps!$F$2:$F$10001) *($AR71 = [2]SalmonProps!$G$2:$G$10001),0), 25))</f>
        <v>7</v>
      </c>
      <c r="AJ71" s="176" cm="1">
        <f t="array" ref="AJ71">IF(ISBLANK($AQ71), "", INDEX([2]SalmonProps!$A$2:$AA$10001,MATCH(1,($A71=[2]SalmonProps!$A$2:$A$10001)*($AP71 = [2]SalmonProps!$F$2:$F$10001) *($AR71 = [2]SalmonProps!$G$2:$G$10001),0), 20))</f>
        <v>59</v>
      </c>
      <c r="AK71" s="183" cm="1">
        <f t="array" ref="AK71">IF(ISBLANK($AQ71), "", INDEX([2]SalmonProps!$A$2:$AA$10001,MATCH(1,($A71=[2]SalmonProps!$A$2:$A$10001)*($AP71 = [2]SalmonProps!$F$2:$F$10001) *($AR71 = [2]SalmonProps!$G$2:$G$10001),0), 21))</f>
        <v>4.8</v>
      </c>
      <c r="AL71" s="174" cm="1">
        <f t="array" ref="AL71">IF(ISBLANK($AQ71), "", INDEX([2]SalmonProps!$A$2:$AA$10001,MATCH(1,($A71=[2]SalmonProps!$A$2:$A$10001)*($AP71 = [2]SalmonProps!$F$2:$F$10001) *($AR71 = [2]SalmonProps!$G$2:$G$10001),0), 22))</f>
        <v>73.3</v>
      </c>
      <c r="AM71" s="183" cm="1">
        <f t="array" ref="AM71">IF(ISBLANK($AQ71), "", INDEX([2]SalmonProps!$A$2:$AA$10001,MATCH(1,($A71=[2]SalmonProps!$A$2:$A$10001)*($AP71 = [2]SalmonProps!$F$2:$F$10001) *($AR71 = [2]SalmonProps!$G$2:$G$10001),0), 23))</f>
        <v>7.4</v>
      </c>
      <c r="AN71" s="174" t="str" cm="1">
        <f t="array" ref="AN71">IF(ISBLANK($AQ71), "", INDEX([2]SalmonProps!$A$2:$AA$10001,MATCH(1,($A71=[2]SalmonProps!$A$2:$A$10001)*($AP71 = [2]SalmonProps!$F$2:$F$10001) *($AR71 = [2]SalmonProps!$G$2:$G$10001),0), 26))</f>
        <v>NA</v>
      </c>
      <c r="AO71" s="175" t="str" cm="1">
        <f t="array" ref="AO71">IF(ISBLANK($AQ71), "", INDEX([2]SalmonProps!$A$2:$AA$10001,MATCH(1,($A71=[2]SalmonProps!$A$2:$A$10001)*($AP71 = [2]SalmonProps!$F$2:$F$10001) *($AR71 = [2]SalmonProps!$G$2:$G$10001),0), 27))</f>
        <v>NA</v>
      </c>
      <c r="AP71" s="112">
        <v>4</v>
      </c>
      <c r="AQ71" s="112" t="s">
        <v>133</v>
      </c>
      <c r="AR71" s="112" t="str">
        <f t="shared" si="1"/>
        <v>Unweighted</v>
      </c>
    </row>
    <row r="72" spans="1:44" x14ac:dyDescent="0.3">
      <c r="A72" s="20">
        <f>'[1]Passage Estimates'!$A72</f>
        <v>45174</v>
      </c>
      <c r="B72" s="164" cm="1">
        <f t="array" ref="B72">IF(ISBLANK($AQ72), "", INDEX([2]SalmonProps!$A$2:$AA$10001,MATCH(1,($A72=[2]SalmonProps!$A$2:$A$10001)*(1=[2]SalmonProps!$C$2:$C$10001)*(1=[2]SalmonProps!$D$2:$D$10001)*("A1" = [2]SalmonProps!$B$2:$B$10001)*($AP72 = [2]SalmonProps!$F$2:$F$10001) *($AR72 = [2]SalmonProps!$G$2:$G$10001),0), 17))</f>
        <v>2.01E-2</v>
      </c>
      <c r="C72" s="165" cm="1">
        <f t="array" ref="C72">IF(ISBLANK($AQ72), "", INDEX([2]SalmonProps!$A$2:$AA$10001,MATCH(1,($A72=[2]SalmonProps!$A$2:$A$10001)*(1=[2]SalmonProps!$C$2:$C$10001)*(2=[2]SalmonProps!$D$2:$D$10001)*("A1" = [2]SalmonProps!$B$2:$B$10001)*($AP72 = [2]SalmonProps!$F$2:$F$10001) *($AR72 = [2]SalmonProps!$G$2:$G$10001),0), 17))</f>
        <v>8.9999999999999998E-4</v>
      </c>
      <c r="D72" s="165" cm="1">
        <f t="array" ref="D72">IF(ISBLANK($AQ72), "", INDEX([2]SalmonProps!$A$2:$AA$10001,MATCH(1,($A72=[2]SalmonProps!$A$2:$A$10001)*(1=[2]SalmonProps!$C$2:$C$10001)*("1&amp;2"=[2]SalmonProps!$D$2:$D$10001)*("A1" = [2]SalmonProps!$B$2:$B$10001)*($AP72 = [2]SalmonProps!$F$2:$F$10001) *($AR72 = [2]SalmonProps!$G$2:$G$10001),0), 17))</f>
        <v>8.0999999999999996E-3</v>
      </c>
      <c r="E72" s="181" cm="1">
        <f t="array" ref="E72">IF(ISBLANK($AQ72), "", INDEX([2]SalmonProps!$A$2:$AA$10001,MATCH(1,($A72=[2]SalmonProps!$A$2:$A$10001)*(2=[2]SalmonProps!$C$2:$C$10001)*(3=[2]SalmonProps!$D$2:$D$10001)*("A1" = [2]SalmonProps!$B$2:$B$10001)*($AP72 = [2]SalmonProps!$F$2:$F$10001) *($AR72 = [2]SalmonProps!$G$2:$G$10001),0), 17))</f>
        <v>7.3999999999999996E-2</v>
      </c>
      <c r="F72" s="165" cm="1">
        <f t="array" ref="F72">IF(ISBLANK($AQ72), "", INDEX([2]SalmonProps!$A$2:$AA$10001,MATCH(1,($A72=[2]SalmonProps!$A$2:$A$10001)*(3=[2]SalmonProps!$C$2:$C$10001)*(3=[2]SalmonProps!$D$2:$D$10001)*("A1" = [2]SalmonProps!$B$2:$B$10001)*($AP72 = [2]SalmonProps!$F$2:$F$10001) *($AR72 = [2]SalmonProps!$G$2:$G$10001),0), 17))</f>
        <v>0.31809999999999999</v>
      </c>
      <c r="G72" s="165" cm="1">
        <f t="array" ref="G72">IF(ISBLANK($AQ72), "", INDEX([2]SalmonProps!$A$2:$AA$10001,MATCH(1,($A72=[2]SalmonProps!$A$2:$A$10001)*(1=[2]SalmonProps!$C$2:$C$10001)*(1=[2]SalmonProps!$D$2:$D$10001)*("A2" = [2]SalmonProps!$B$2:$B$10001)*($AP72 = [2]SalmonProps!$F$2:$F$10001) *($AR72 = [2]SalmonProps!$G$2:$G$10001),0), 17))</f>
        <v>2.98E-2</v>
      </c>
      <c r="H72" s="166" cm="1">
        <f t="array" ref="H72">IF(ISBLANK($AQ72), "", INDEX([2]SalmonProps!$A$2:$AA$10001,MATCH(1,($A72=[2]SalmonProps!$A$2:$A$10001)*(2=[2]SalmonProps!$C$2:$C$10001)*(1=[2]SalmonProps!$D$2:$D$10001)*("A2" = [2]SalmonProps!$B$2:$B$10001)*($AP72 = [2]SalmonProps!$F$2:$F$10001) *($AR72 = [2]SalmonProps!$G$2:$G$10001),0), 17))</f>
        <v>0.20580000000000001</v>
      </c>
      <c r="I72" s="167" cm="1">
        <f t="array" ref="I72">IF(ISBLANK($AQ72), "", INDEX([2]SalmonProps!$A$2:$AA$10001,MATCH(1,($A72=[2]SalmonProps!$A$2:$A$10001)*(3=[2]SalmonProps!$C$2:$C$10001)*(1=[2]SalmonProps!$D$2:$D$10001)*("A2" = [2]SalmonProps!$B$2:$B$10001)*($AP72 = [2]SalmonProps!$F$2:$F$10001) *($AR72 = [2]SalmonProps!$G$2:$G$10001),0), 17))</f>
        <v>0.45369999999999999</v>
      </c>
      <c r="J72" s="164" t="str" cm="1">
        <f t="array" ref="J72">IF(ISBLANK($AQ72), "", INDEX([2]SalmonProps!$A$2:$AA$10001,MATCH(1,($A72=[2]SalmonProps!$A$2:$A$10001)*(1=[2]SalmonProps!$C$2:$C$10001)*(1=[2]SalmonProps!$D$2:$D$10001)*("A1" = [2]SalmonProps!$B$2:$B$10001)*($AP72 = [2]SalmonProps!$F$2:$F$10001) *($AR72 = [2]SalmonProps!$G$2:$G$10001),0), 19))</f>
        <v>NA</v>
      </c>
      <c r="K72" s="165" t="str" cm="1">
        <f t="array" ref="K72">IF(ISBLANK($AQ72), "", INDEX([2]SalmonProps!$A$2:$AA$10001,MATCH(1,($A72=[2]SalmonProps!$A$2:$A$10001)*(1=[2]SalmonProps!$C$2:$C$10001)*(2=[2]SalmonProps!$D$2:$D$10001)*("A1" = [2]SalmonProps!$B$2:$B$10001)*($AP72 = [2]SalmonProps!$F$2:$F$10001) *($AR72 = [2]SalmonProps!$G$2:$G$10001),0), 19))</f>
        <v>NA</v>
      </c>
      <c r="L72" s="165" t="str" cm="1">
        <f t="array" ref="L72">IF(ISBLANK($AQ72), "", INDEX([2]SalmonProps!$A$2:$AA$10001,MATCH(1,($A72=[2]SalmonProps!$A$2:$A$10001)*(1=[2]SalmonProps!$C$2:$C$10001)*("1&amp;2"=[2]SalmonProps!$D$2:$D$10001)*("A1" = [2]SalmonProps!$B$2:$B$10001)*($AP72 = [2]SalmonProps!$F$2:$F$10001) *($AR72 = [2]SalmonProps!$G$2:$G$10001),0), 19))</f>
        <v>NA</v>
      </c>
      <c r="M72" s="165" t="str" cm="1">
        <f t="array" ref="M72">IF(ISBLANK($AQ72), "", INDEX([2]SalmonProps!$A$2:$AA$10001,MATCH(1,($A72=[2]SalmonProps!$A$2:$A$10001)*(2=[2]SalmonProps!$C$2:$C$10001)*(3=[2]SalmonProps!$D$2:$D$10001)*("A1" = [2]SalmonProps!$B$2:$B$10001)*($AP72 = [2]SalmonProps!$F$2:$F$10001) *($AR72 = [2]SalmonProps!$G$2:$G$10001),0), 19))</f>
        <v>NA</v>
      </c>
      <c r="N72" s="181" t="str" cm="1">
        <f t="array" ref="N72">IF(ISBLANK($AQ72), "", INDEX([2]SalmonProps!$A$2:$AA$10001,MATCH(1,($A72=[2]SalmonProps!$A$2:$A$10001)*(3=[2]SalmonProps!$C$2:$C$10001)*(3=[2]SalmonProps!$D$2:$D$10001)*("A1" = [2]SalmonProps!$B$2:$B$10001)*($AP72 = [2]SalmonProps!$F$2:$F$10001) *($AR72 = [2]SalmonProps!$G$2:$G$10001),0), 19))</f>
        <v>NA</v>
      </c>
      <c r="O72" s="165" t="str" cm="1">
        <f t="array" ref="O72">IF(ISBLANK($AQ72), "", INDEX([2]SalmonProps!$A$2:$AA$10001,MATCH(1,($A72=[2]SalmonProps!$A$2:$A$10001)*(1=[2]SalmonProps!$C$2:$C$10001)*(1=[2]SalmonProps!$D$2:$D$10001)*("A2" = [2]SalmonProps!$B$2:$B$10001)*($AP72 = [2]SalmonProps!$F$2:$F$10001) *($AR72 = [2]SalmonProps!$G$2:$G$10001),0), 19))</f>
        <v>NA</v>
      </c>
      <c r="P72" s="165" t="str" cm="1">
        <f t="array" ref="P72">IF(ISBLANK($AQ72), "", INDEX([2]SalmonProps!$A$2:$AA$10001,MATCH(1,($A72=[2]SalmonProps!$A$2:$A$10001)*(2=[2]SalmonProps!$C$2:$C$10001)*(1=[2]SalmonProps!$D$2:$D$10001)*("A2" = [2]SalmonProps!$B$2:$B$10001)*($AP72 = [2]SalmonProps!$F$2:$F$10001) *($AR72 = [2]SalmonProps!$G$2:$G$10001),0), 19))</f>
        <v>NA</v>
      </c>
      <c r="Q72" s="168" t="str" cm="1">
        <f t="array" ref="Q72">IF(ISBLANK($AQ72), "", INDEX([2]SalmonProps!$A$2:$AA$10001,MATCH(1,($A72=[2]SalmonProps!$A$2:$A$10001)*(3=[2]SalmonProps!$C$2:$C$10001)*(1=[2]SalmonProps!$D$2:$D$10001)*("A2" = [2]SalmonProps!$B$2:$B$10001)*($AP72 = [2]SalmonProps!$F$2:$F$10001) *($AR72 = [2]SalmonProps!$G$2:$G$10001),0), 19))</f>
        <v>NA</v>
      </c>
      <c r="R72" s="164" cm="1">
        <f t="array" ref="R72">IF(ISBLANK($AQ72), "", INDEX([2]SalmonProps!$A$2:$AA$10001,MATCH(1,($A72=[2]SalmonProps!$A$2:$A$10001)*(1=[2]SalmonProps!$C$2:$C$10001)*(1=[2]SalmonProps!$D$2:$D$10001)*("A1" = [2]SalmonProps!$B$2:$B$10001)*($AP72 = [2]SalmonProps!$F$2:$F$10001) *($AR72 = [2]SalmonProps!$G$2:$G$10001),0), 18))</f>
        <v>0.30659999999999998</v>
      </c>
      <c r="S72" s="165" cm="1">
        <f t="array" ref="S72">IF(ISBLANK($AQ72), "", INDEX([2]SalmonProps!$A$2:$AA$10001,MATCH(1,($A72=[2]SalmonProps!$A$2:$A$10001)*(1=[2]SalmonProps!$C$2:$C$10001)*(2=[2]SalmonProps!$D$2:$D$10001)*("A1" = [2]SalmonProps!$B$2:$B$10001)*($AP72 = [2]SalmonProps!$F$2:$F$10001) *($AR72 = [2]SalmonProps!$G$2:$G$10001),0), 18))</f>
        <v>0.4652</v>
      </c>
      <c r="T72" s="165" cm="1">
        <f t="array" ref="T72">IF(ISBLANK($AQ72), "", INDEX([2]SalmonProps!$A$2:$AA$10001,MATCH(1,($A72=[2]SalmonProps!$A$2:$A$10001)*(1=[2]SalmonProps!$C$2:$C$10001)*("1&amp;2"=[2]SalmonProps!$D$2:$D$10001)*("A1" = [2]SalmonProps!$B$2:$B$10001)*($AP72 = [2]SalmonProps!$F$2:$F$10001) *($AR72 = [2]SalmonProps!$G$2:$G$10001),0), 18))</f>
        <v>0.37780000000000002</v>
      </c>
      <c r="U72" s="165" cm="1">
        <f t="array" ref="U72">IF(ISBLANK($AQ72), "", INDEX([2]SalmonProps!$A$2:$AA$10001,MATCH(1,($A72=[2]SalmonProps!$A$2:$A$10001)*(2=[2]SalmonProps!$C$2:$C$10001)*(3=[2]SalmonProps!$D$2:$D$10001)*("A1" = [2]SalmonProps!$B$2:$B$10001)*($AP72 = [2]SalmonProps!$F$2:$F$10001) *($AR72 = [2]SalmonProps!$G$2:$G$10001),0), 18))</f>
        <v>0.77569999999999995</v>
      </c>
      <c r="V72" s="181" cm="1">
        <f t="array" ref="V72">IF(ISBLANK($AQ72), "", INDEX([2]SalmonProps!$A$2:$AA$10001,MATCH(1,($A72=[2]SalmonProps!$A$2:$A$10001)*(3=[2]SalmonProps!$C$2:$C$10001)*(3=[2]SalmonProps!$D$2:$D$10001)*("A1" = [2]SalmonProps!$B$2:$B$10001)*($AP72 = [2]SalmonProps!$F$2:$F$10001) *($AR72 = [2]SalmonProps!$G$2:$G$10001),0), 18))</f>
        <v>0.36940000000000001</v>
      </c>
      <c r="W72" s="180" cm="1">
        <f t="array" ref="W72">IF(ISBLANK($AQ72), "", INDEX([2]SalmonProps!$A$2:$AA$10001,MATCH(1,($A72=[2]SalmonProps!$A$2:$A$10001)*(1=[2]SalmonProps!$C$2:$C$10001)*(1=[2]SalmonProps!$D$2:$D$10001)*("A2" = [2]SalmonProps!$B$2:$B$10001)*($AP72 = [2]SalmonProps!$F$2:$F$10001) *($AR72 = [2]SalmonProps!$G$2:$G$10001),0), 18))</f>
        <v>0.84030000000000005</v>
      </c>
      <c r="X72" s="165" cm="1">
        <f t="array" ref="X72">IF(ISBLANK($AQ72), "", INDEX([2]SalmonProps!$A$2:$AA$10001,MATCH(1,($A72=[2]SalmonProps!$A$2:$A$10001)*(2=[2]SalmonProps!$C$2:$C$10001)*(1=[2]SalmonProps!$D$2:$D$10001)*("A2" = [2]SalmonProps!$B$2:$B$10001)*($AP72 = [2]SalmonProps!$F$2:$F$10001) *($AR72 = [2]SalmonProps!$G$2:$G$10001),0), 18))</f>
        <v>0.64349999999999996</v>
      </c>
      <c r="Y72" s="168" cm="1">
        <f t="array" ref="Y72">IF(ISBLANK($AQ72), "", INDEX([2]SalmonProps!$A$2:$AA$10001,MATCH(1,($A72=[2]SalmonProps!$A$2:$A$10001)*(3=[2]SalmonProps!$C$2:$C$10001)*(1=[2]SalmonProps!$D$2:$D$10001)*("A2" = [2]SalmonProps!$B$2:$B$10001)*($AP72 = [2]SalmonProps!$F$2:$F$10001) *($AR72 = [2]SalmonProps!$G$2:$G$10001),0), 18))</f>
        <v>0.46960000000000002</v>
      </c>
      <c r="Z72" s="164" cm="1">
        <f t="array" ref="Z72">IF(ISBLANK($AQ72), "", INDEX([2]SalmonProps!$A$2:$AA$10001,MATCH(1,($A72=[2]SalmonProps!$A$2:$A$10001)*(1=[2]SalmonProps!$C$2:$C$10001)*(1=[2]SalmonProps!$D$2:$D$10001)*("A1" = [2]SalmonProps!$B$2:$B$10001)*($AP72 = [2]SalmonProps!$F$2:$F$10001) *($AR72 = [2]SalmonProps!$G$2:$G$10001),0), 15))</f>
        <v>0.32669999999999999</v>
      </c>
      <c r="AA72" s="165" cm="1">
        <f t="array" ref="AA72">IF(ISBLANK($AQ72), "", INDEX([2]SalmonProps!$A$2:$AA$10001,MATCH(1,($A72=[2]SalmonProps!$A$2:$A$10001)*(1=[2]SalmonProps!$C$2:$C$10001)*(2=[2]SalmonProps!$D$2:$D$10001)*("A1" = [2]SalmonProps!$B$2:$B$10001)*($AP72 = [2]SalmonProps!$F$2:$F$10001) *($AR72 = [2]SalmonProps!$G$2:$G$10001),0), 15))</f>
        <v>0.46610000000000001</v>
      </c>
      <c r="AB72" s="165" cm="1">
        <f t="array" ref="AB72">IF(ISBLANK($AQ72), "", INDEX([2]SalmonProps!$A$2:$AA$10001,MATCH(1,($A72=[2]SalmonProps!$A$2:$A$10001)*(1=[2]SalmonProps!$C$2:$C$10001)*("1&amp;2"=[2]SalmonProps!$D$2:$D$10001)*("A1" = [2]SalmonProps!$B$2:$B$10001)*($AP72 = [2]SalmonProps!$F$2:$F$10001) *($AR72 = [2]SalmonProps!$G$2:$G$10001),0), 15))</f>
        <v>0.38590000000000002</v>
      </c>
      <c r="AC72" s="165" cm="1">
        <f t="array" ref="AC72">IF(ISBLANK($AQ72), "", INDEX([2]SalmonProps!$A$2:$AA$10001,MATCH(1,($A72=[2]SalmonProps!$A$2:$A$10001)*(2=[2]SalmonProps!$C$2:$C$10001)*(3=[2]SalmonProps!$D$2:$D$10001)*("A1" = [2]SalmonProps!$B$2:$B$10001)*($AP72 = [2]SalmonProps!$F$2:$F$10001) *($AR72 = [2]SalmonProps!$G$2:$G$10001),0), 15))</f>
        <v>0.84970000000000001</v>
      </c>
      <c r="AD72" s="181" cm="1">
        <f t="array" ref="AD72">IF(ISBLANK($AQ72), "", INDEX([2]SalmonProps!$A$2:$AA$10001,MATCH(1,($A72=[2]SalmonProps!$A$2:$A$10001)*(3=[2]SalmonProps!$C$2:$C$10001)*(3=[2]SalmonProps!$D$2:$D$10001)*("A1" = [2]SalmonProps!$B$2:$B$10001)*($AP72 = [2]SalmonProps!$F$2:$F$10001) *($AR72 = [2]SalmonProps!$G$2:$G$10001),0), 15))</f>
        <v>0.98870000000000002</v>
      </c>
      <c r="AE72" s="166" cm="1">
        <f t="array" ref="AE72">IF(ISBLANK($AQ72), "", INDEX([2]SalmonProps!$A$2:$AA$10001,MATCH(1,($A72=[2]SalmonProps!$A$2:$A$10001)*(1=[2]SalmonProps!$C$2:$C$10001)*(1=[2]SalmonProps!$D$2:$D$10001)*("A2" = [2]SalmonProps!$B$2:$B$10001)*($AP72 = [2]SalmonProps!$F$2:$F$10001) *($AR72 = [2]SalmonProps!$G$2:$G$10001),0), 15))</f>
        <v>0.87009999999999998</v>
      </c>
      <c r="AF72" s="166" cm="1">
        <f t="array" ref="AF72">IF(ISBLANK($AQ72), "", INDEX([2]SalmonProps!$A$2:$AA$10001,MATCH(1,($A72=[2]SalmonProps!$A$2:$A$10001)*(2=[2]SalmonProps!$C$2:$C$10001)*(1=[2]SalmonProps!$D$2:$D$10001)*("A2" = [2]SalmonProps!$B$2:$B$10001)*($AP72 = [2]SalmonProps!$F$2:$F$10001) *($AR72 = [2]SalmonProps!$G$2:$G$10001),0), 15))</f>
        <v>0.84930000000000005</v>
      </c>
      <c r="AG72" s="167" cm="1">
        <f t="array" ref="AG72">IF(ISBLANK($AQ72), "", INDEX([2]SalmonProps!$A$2:$AA$10001,MATCH(1,($A72=[2]SalmonProps!$A$2:$A$10001)*(3=[2]SalmonProps!$C$2:$C$10001)*(1=[2]SalmonProps!$D$2:$D$10001)*("A2" = [2]SalmonProps!$B$2:$B$10001)*($AP72 = [2]SalmonProps!$F$2:$F$10001) *($AR72 = [2]SalmonProps!$G$2:$G$10001),0), 15))</f>
        <v>0.92330000000000001</v>
      </c>
      <c r="AH72" s="173" cm="1">
        <f t="array" ref="AH72">IF(ISBLANK($AQ72), "", INDEX([2]SalmonProps!$A$2:$AA$10001,MATCH(1,($A72=[2]SalmonProps!$A$2:$A$10001)*($AP72 = [2]SalmonProps!$F$2:$F$10001) *($AR72 = [2]SalmonProps!$G$2:$G$10001),0), 24))</f>
        <v>53.9</v>
      </c>
      <c r="AI72" s="183" cm="1">
        <f t="array" ref="AI72">IF(ISBLANK($AQ72), "", INDEX([2]SalmonProps!$A$2:$AA$10001,MATCH(1,($A72=[2]SalmonProps!$A$2:$A$10001)*($AP72 = [2]SalmonProps!$F$2:$F$10001) *($AR72 = [2]SalmonProps!$G$2:$G$10001),0), 25))</f>
        <v>7</v>
      </c>
      <c r="AJ72" s="176" cm="1">
        <f t="array" ref="AJ72">IF(ISBLANK($AQ72), "", INDEX([2]SalmonProps!$A$2:$AA$10001,MATCH(1,($A72=[2]SalmonProps!$A$2:$A$10001)*($AP72 = [2]SalmonProps!$F$2:$F$10001) *($AR72 = [2]SalmonProps!$G$2:$G$10001),0), 20))</f>
        <v>59</v>
      </c>
      <c r="AK72" s="183" cm="1">
        <f t="array" ref="AK72">IF(ISBLANK($AQ72), "", INDEX([2]SalmonProps!$A$2:$AA$10001,MATCH(1,($A72=[2]SalmonProps!$A$2:$A$10001)*($AP72 = [2]SalmonProps!$F$2:$F$10001) *($AR72 = [2]SalmonProps!$G$2:$G$10001),0), 21))</f>
        <v>4.8</v>
      </c>
      <c r="AL72" s="174" cm="1">
        <f t="array" ref="AL72">IF(ISBLANK($AQ72), "", INDEX([2]SalmonProps!$A$2:$AA$10001,MATCH(1,($A72=[2]SalmonProps!$A$2:$A$10001)*($AP72 = [2]SalmonProps!$F$2:$F$10001) *($AR72 = [2]SalmonProps!$G$2:$G$10001),0), 22))</f>
        <v>73.3</v>
      </c>
      <c r="AM72" s="183" cm="1">
        <f t="array" ref="AM72">IF(ISBLANK($AQ72), "", INDEX([2]SalmonProps!$A$2:$AA$10001,MATCH(1,($A72=[2]SalmonProps!$A$2:$A$10001)*($AP72 = [2]SalmonProps!$F$2:$F$10001) *($AR72 = [2]SalmonProps!$G$2:$G$10001),0), 23))</f>
        <v>7.4</v>
      </c>
      <c r="AN72" s="174" t="str" cm="1">
        <f t="array" ref="AN72">IF(ISBLANK($AQ72), "", INDEX([2]SalmonProps!$A$2:$AA$10001,MATCH(1,($A72=[2]SalmonProps!$A$2:$A$10001)*($AP72 = [2]SalmonProps!$F$2:$F$10001) *($AR72 = [2]SalmonProps!$G$2:$G$10001),0), 26))</f>
        <v>NA</v>
      </c>
      <c r="AO72" s="175" t="str" cm="1">
        <f t="array" ref="AO72">IF(ISBLANK($AQ72), "", INDEX([2]SalmonProps!$A$2:$AA$10001,MATCH(1,($A72=[2]SalmonProps!$A$2:$A$10001)*($AP72 = [2]SalmonProps!$F$2:$F$10001) *($AR72 = [2]SalmonProps!$G$2:$G$10001),0), 27))</f>
        <v>NA</v>
      </c>
      <c r="AP72" s="112">
        <v>4</v>
      </c>
      <c r="AQ72" s="112" t="s">
        <v>133</v>
      </c>
      <c r="AR72" s="112" t="str">
        <f t="shared" si="1"/>
        <v>Unweighted</v>
      </c>
    </row>
    <row r="73" spans="1:44" x14ac:dyDescent="0.3">
      <c r="A73" s="20">
        <f>'[1]Passage Estimates'!$A73</f>
        <v>45175</v>
      </c>
      <c r="B73" s="164" cm="1">
        <f t="array" ref="B73">IF(ISBLANK($AQ73), "", INDEX([2]SalmonProps!$A$2:$AA$10001,MATCH(1,($A73=[2]SalmonProps!$A$2:$A$10001)*(1=[2]SalmonProps!$C$2:$C$10001)*(1=[2]SalmonProps!$D$2:$D$10001)*("A1" = [2]SalmonProps!$B$2:$B$10001)*($AP73 = [2]SalmonProps!$F$2:$F$10001) *($AR73 = [2]SalmonProps!$G$2:$G$10001),0), 17))</f>
        <v>1.49E-2</v>
      </c>
      <c r="C73" s="165" cm="1">
        <f t="array" ref="C73">IF(ISBLANK($AQ73), "", INDEX([2]SalmonProps!$A$2:$AA$10001,MATCH(1,($A73=[2]SalmonProps!$A$2:$A$10001)*(1=[2]SalmonProps!$C$2:$C$10001)*(2=[2]SalmonProps!$D$2:$D$10001)*("A1" = [2]SalmonProps!$B$2:$B$10001)*($AP73 = [2]SalmonProps!$F$2:$F$10001) *($AR73 = [2]SalmonProps!$G$2:$G$10001),0), 17))</f>
        <v>2.5999999999999999E-3</v>
      </c>
      <c r="D73" s="165" cm="1">
        <f t="array" ref="D73">IF(ISBLANK($AQ73), "", INDEX([2]SalmonProps!$A$2:$AA$10001,MATCH(1,($A73=[2]SalmonProps!$A$2:$A$10001)*(1=[2]SalmonProps!$C$2:$C$10001)*("1&amp;2"=[2]SalmonProps!$D$2:$D$10001)*("A1" = [2]SalmonProps!$B$2:$B$10001)*($AP73 = [2]SalmonProps!$F$2:$F$10001) *($AR73 = [2]SalmonProps!$G$2:$G$10001),0), 17))</f>
        <v>4.0000000000000001E-3</v>
      </c>
      <c r="E73" s="181" cm="1">
        <f t="array" ref="E73">IF(ISBLANK($AQ73), "", INDEX([2]SalmonProps!$A$2:$AA$10001,MATCH(1,($A73=[2]SalmonProps!$A$2:$A$10001)*(2=[2]SalmonProps!$C$2:$C$10001)*(3=[2]SalmonProps!$D$2:$D$10001)*("A1" = [2]SalmonProps!$B$2:$B$10001)*($AP73 = [2]SalmonProps!$F$2:$F$10001) *($AR73 = [2]SalmonProps!$G$2:$G$10001),0), 17))</f>
        <v>9.0999999999999998E-2</v>
      </c>
      <c r="F73" s="165" cm="1">
        <f t="array" ref="F73">IF(ISBLANK($AQ73), "", INDEX([2]SalmonProps!$A$2:$AA$10001,MATCH(1,($A73=[2]SalmonProps!$A$2:$A$10001)*(3=[2]SalmonProps!$C$2:$C$10001)*(3=[2]SalmonProps!$D$2:$D$10001)*("A1" = [2]SalmonProps!$B$2:$B$10001)*($AP73 = [2]SalmonProps!$F$2:$F$10001) *($AR73 = [2]SalmonProps!$G$2:$G$10001),0), 17))</f>
        <v>0.42920000000000003</v>
      </c>
      <c r="G73" s="165" cm="1">
        <f t="array" ref="G73">IF(ISBLANK($AQ73), "", INDEX([2]SalmonProps!$A$2:$AA$10001,MATCH(1,($A73=[2]SalmonProps!$A$2:$A$10001)*(1=[2]SalmonProps!$C$2:$C$10001)*(1=[2]SalmonProps!$D$2:$D$10001)*("A2" = [2]SalmonProps!$B$2:$B$10001)*($AP73 = [2]SalmonProps!$F$2:$F$10001) *($AR73 = [2]SalmonProps!$G$2:$G$10001),0), 17))</f>
        <v>2.98E-2</v>
      </c>
      <c r="H73" s="166" cm="1">
        <f t="array" ref="H73">IF(ISBLANK($AQ73), "", INDEX([2]SalmonProps!$A$2:$AA$10001,MATCH(1,($A73=[2]SalmonProps!$A$2:$A$10001)*(2=[2]SalmonProps!$C$2:$C$10001)*(1=[2]SalmonProps!$D$2:$D$10001)*("A2" = [2]SalmonProps!$B$2:$B$10001)*($AP73 = [2]SalmonProps!$F$2:$F$10001) *($AR73 = [2]SalmonProps!$G$2:$G$10001),0), 17))</f>
        <v>0.20580000000000001</v>
      </c>
      <c r="I73" s="167" cm="1">
        <f t="array" ref="I73">IF(ISBLANK($AQ73), "", INDEX([2]SalmonProps!$A$2:$AA$10001,MATCH(1,($A73=[2]SalmonProps!$A$2:$A$10001)*(3=[2]SalmonProps!$C$2:$C$10001)*(1=[2]SalmonProps!$D$2:$D$10001)*("A2" = [2]SalmonProps!$B$2:$B$10001)*($AP73 = [2]SalmonProps!$F$2:$F$10001) *($AR73 = [2]SalmonProps!$G$2:$G$10001),0), 17))</f>
        <v>0.45369999999999999</v>
      </c>
      <c r="J73" s="164" t="str" cm="1">
        <f t="array" ref="J73">IF(ISBLANK($AQ73), "", INDEX([2]SalmonProps!$A$2:$AA$10001,MATCH(1,($A73=[2]SalmonProps!$A$2:$A$10001)*(1=[2]SalmonProps!$C$2:$C$10001)*(1=[2]SalmonProps!$D$2:$D$10001)*("A1" = [2]SalmonProps!$B$2:$B$10001)*($AP73 = [2]SalmonProps!$F$2:$F$10001) *($AR73 = [2]SalmonProps!$G$2:$G$10001),0), 19))</f>
        <v>NA</v>
      </c>
      <c r="K73" s="165" t="str" cm="1">
        <f t="array" ref="K73">IF(ISBLANK($AQ73), "", INDEX([2]SalmonProps!$A$2:$AA$10001,MATCH(1,($A73=[2]SalmonProps!$A$2:$A$10001)*(1=[2]SalmonProps!$C$2:$C$10001)*(2=[2]SalmonProps!$D$2:$D$10001)*("A1" = [2]SalmonProps!$B$2:$B$10001)*($AP73 = [2]SalmonProps!$F$2:$F$10001) *($AR73 = [2]SalmonProps!$G$2:$G$10001),0), 19))</f>
        <v>NA</v>
      </c>
      <c r="L73" s="165" t="str" cm="1">
        <f t="array" ref="L73">IF(ISBLANK($AQ73), "", INDEX([2]SalmonProps!$A$2:$AA$10001,MATCH(1,($A73=[2]SalmonProps!$A$2:$A$10001)*(1=[2]SalmonProps!$C$2:$C$10001)*("1&amp;2"=[2]SalmonProps!$D$2:$D$10001)*("A1" = [2]SalmonProps!$B$2:$B$10001)*($AP73 = [2]SalmonProps!$F$2:$F$10001) *($AR73 = [2]SalmonProps!$G$2:$G$10001),0), 19))</f>
        <v>NA</v>
      </c>
      <c r="M73" s="165" t="str" cm="1">
        <f t="array" ref="M73">IF(ISBLANK($AQ73), "", INDEX([2]SalmonProps!$A$2:$AA$10001,MATCH(1,($A73=[2]SalmonProps!$A$2:$A$10001)*(2=[2]SalmonProps!$C$2:$C$10001)*(3=[2]SalmonProps!$D$2:$D$10001)*("A1" = [2]SalmonProps!$B$2:$B$10001)*($AP73 = [2]SalmonProps!$F$2:$F$10001) *($AR73 = [2]SalmonProps!$G$2:$G$10001),0), 19))</f>
        <v>NA</v>
      </c>
      <c r="N73" s="181" t="str" cm="1">
        <f t="array" ref="N73">IF(ISBLANK($AQ73), "", INDEX([2]SalmonProps!$A$2:$AA$10001,MATCH(1,($A73=[2]SalmonProps!$A$2:$A$10001)*(3=[2]SalmonProps!$C$2:$C$10001)*(3=[2]SalmonProps!$D$2:$D$10001)*("A1" = [2]SalmonProps!$B$2:$B$10001)*($AP73 = [2]SalmonProps!$F$2:$F$10001) *($AR73 = [2]SalmonProps!$G$2:$G$10001),0), 19))</f>
        <v>NA</v>
      </c>
      <c r="O73" s="165" t="str" cm="1">
        <f t="array" ref="O73">IF(ISBLANK($AQ73), "", INDEX([2]SalmonProps!$A$2:$AA$10001,MATCH(1,($A73=[2]SalmonProps!$A$2:$A$10001)*(1=[2]SalmonProps!$C$2:$C$10001)*(1=[2]SalmonProps!$D$2:$D$10001)*("A2" = [2]SalmonProps!$B$2:$B$10001)*($AP73 = [2]SalmonProps!$F$2:$F$10001) *($AR73 = [2]SalmonProps!$G$2:$G$10001),0), 19))</f>
        <v>NA</v>
      </c>
      <c r="P73" s="165" t="str" cm="1">
        <f t="array" ref="P73">IF(ISBLANK($AQ73), "", INDEX([2]SalmonProps!$A$2:$AA$10001,MATCH(1,($A73=[2]SalmonProps!$A$2:$A$10001)*(2=[2]SalmonProps!$C$2:$C$10001)*(1=[2]SalmonProps!$D$2:$D$10001)*("A2" = [2]SalmonProps!$B$2:$B$10001)*($AP73 = [2]SalmonProps!$F$2:$F$10001) *($AR73 = [2]SalmonProps!$G$2:$G$10001),0), 19))</f>
        <v>NA</v>
      </c>
      <c r="Q73" s="168" t="str" cm="1">
        <f t="array" ref="Q73">IF(ISBLANK($AQ73), "", INDEX([2]SalmonProps!$A$2:$AA$10001,MATCH(1,($A73=[2]SalmonProps!$A$2:$A$10001)*(3=[2]SalmonProps!$C$2:$C$10001)*(1=[2]SalmonProps!$D$2:$D$10001)*("A2" = [2]SalmonProps!$B$2:$B$10001)*($AP73 = [2]SalmonProps!$F$2:$F$10001) *($AR73 = [2]SalmonProps!$G$2:$G$10001),0), 19))</f>
        <v>NA</v>
      </c>
      <c r="R73" s="164" cm="1">
        <f t="array" ref="R73">IF(ISBLANK($AQ73), "", INDEX([2]SalmonProps!$A$2:$AA$10001,MATCH(1,($A73=[2]SalmonProps!$A$2:$A$10001)*(1=[2]SalmonProps!$C$2:$C$10001)*(1=[2]SalmonProps!$D$2:$D$10001)*("A1" = [2]SalmonProps!$B$2:$B$10001)*($AP73 = [2]SalmonProps!$F$2:$F$10001) *($AR73 = [2]SalmonProps!$G$2:$G$10001),0), 18))</f>
        <v>0.1139</v>
      </c>
      <c r="S73" s="165" cm="1">
        <f t="array" ref="S73">IF(ISBLANK($AQ73), "", INDEX([2]SalmonProps!$A$2:$AA$10001,MATCH(1,($A73=[2]SalmonProps!$A$2:$A$10001)*(1=[2]SalmonProps!$C$2:$C$10001)*(2=[2]SalmonProps!$D$2:$D$10001)*("A1" = [2]SalmonProps!$B$2:$B$10001)*($AP73 = [2]SalmonProps!$F$2:$F$10001) *($AR73 = [2]SalmonProps!$G$2:$G$10001),0), 18))</f>
        <v>0.65010000000000001</v>
      </c>
      <c r="T73" s="165" cm="1">
        <f t="array" ref="T73">IF(ISBLANK($AQ73), "", INDEX([2]SalmonProps!$A$2:$AA$10001,MATCH(1,($A73=[2]SalmonProps!$A$2:$A$10001)*(1=[2]SalmonProps!$C$2:$C$10001)*("1&amp;2"=[2]SalmonProps!$D$2:$D$10001)*("A1" = [2]SalmonProps!$B$2:$B$10001)*($AP73 = [2]SalmonProps!$F$2:$F$10001) *($AR73 = [2]SalmonProps!$G$2:$G$10001),0), 18))</f>
        <v>0.34300000000000003</v>
      </c>
      <c r="U73" s="165" cm="1">
        <f t="array" ref="U73">IF(ISBLANK($AQ73), "", INDEX([2]SalmonProps!$A$2:$AA$10001,MATCH(1,($A73=[2]SalmonProps!$A$2:$A$10001)*(2=[2]SalmonProps!$C$2:$C$10001)*(3=[2]SalmonProps!$D$2:$D$10001)*("A1" = [2]SalmonProps!$B$2:$B$10001)*($AP73 = [2]SalmonProps!$F$2:$F$10001) *($AR73 = [2]SalmonProps!$G$2:$G$10001),0), 18))</f>
        <v>0.72260000000000002</v>
      </c>
      <c r="V73" s="181" cm="1">
        <f t="array" ref="V73">IF(ISBLANK($AQ73), "", INDEX([2]SalmonProps!$A$2:$AA$10001,MATCH(1,($A73=[2]SalmonProps!$A$2:$A$10001)*(3=[2]SalmonProps!$C$2:$C$10001)*(3=[2]SalmonProps!$D$2:$D$10001)*("A1" = [2]SalmonProps!$B$2:$B$10001)*($AP73 = [2]SalmonProps!$F$2:$F$10001) *($AR73 = [2]SalmonProps!$G$2:$G$10001),0), 18))</f>
        <v>0.48920000000000002</v>
      </c>
      <c r="W73" s="180" cm="1">
        <f t="array" ref="W73">IF(ISBLANK($AQ73), "", INDEX([2]SalmonProps!$A$2:$AA$10001,MATCH(1,($A73=[2]SalmonProps!$A$2:$A$10001)*(1=[2]SalmonProps!$C$2:$C$10001)*(1=[2]SalmonProps!$D$2:$D$10001)*("A2" = [2]SalmonProps!$B$2:$B$10001)*($AP73 = [2]SalmonProps!$F$2:$F$10001) *($AR73 = [2]SalmonProps!$G$2:$G$10001),0), 18))</f>
        <v>0.84030000000000005</v>
      </c>
      <c r="X73" s="165" cm="1">
        <f t="array" ref="X73">IF(ISBLANK($AQ73), "", INDEX([2]SalmonProps!$A$2:$AA$10001,MATCH(1,($A73=[2]SalmonProps!$A$2:$A$10001)*(2=[2]SalmonProps!$C$2:$C$10001)*(1=[2]SalmonProps!$D$2:$D$10001)*("A2" = [2]SalmonProps!$B$2:$B$10001)*($AP73 = [2]SalmonProps!$F$2:$F$10001) *($AR73 = [2]SalmonProps!$G$2:$G$10001),0), 18))</f>
        <v>0.64349999999999996</v>
      </c>
      <c r="Y73" s="168" cm="1">
        <f t="array" ref="Y73">IF(ISBLANK($AQ73), "", INDEX([2]SalmonProps!$A$2:$AA$10001,MATCH(1,($A73=[2]SalmonProps!$A$2:$A$10001)*(3=[2]SalmonProps!$C$2:$C$10001)*(1=[2]SalmonProps!$D$2:$D$10001)*("A2" = [2]SalmonProps!$B$2:$B$10001)*($AP73 = [2]SalmonProps!$F$2:$F$10001) *($AR73 = [2]SalmonProps!$G$2:$G$10001),0), 18))</f>
        <v>0.46960000000000002</v>
      </c>
      <c r="Z73" s="164" cm="1">
        <f t="array" ref="Z73">IF(ISBLANK($AQ73), "", INDEX([2]SalmonProps!$A$2:$AA$10001,MATCH(1,($A73=[2]SalmonProps!$A$2:$A$10001)*(1=[2]SalmonProps!$C$2:$C$10001)*(1=[2]SalmonProps!$D$2:$D$10001)*("A1" = [2]SalmonProps!$B$2:$B$10001)*($AP73 = [2]SalmonProps!$F$2:$F$10001) *($AR73 = [2]SalmonProps!$G$2:$G$10001),0), 15))</f>
        <v>0.1288</v>
      </c>
      <c r="AA73" s="165" cm="1">
        <f t="array" ref="AA73">IF(ISBLANK($AQ73), "", INDEX([2]SalmonProps!$A$2:$AA$10001,MATCH(1,($A73=[2]SalmonProps!$A$2:$A$10001)*(1=[2]SalmonProps!$C$2:$C$10001)*(2=[2]SalmonProps!$D$2:$D$10001)*("A1" = [2]SalmonProps!$B$2:$B$10001)*($AP73 = [2]SalmonProps!$F$2:$F$10001) *($AR73 = [2]SalmonProps!$G$2:$G$10001),0), 15))</f>
        <v>0.65269999999999995</v>
      </c>
      <c r="AB73" s="165" cm="1">
        <f t="array" ref="AB73">IF(ISBLANK($AQ73), "", INDEX([2]SalmonProps!$A$2:$AA$10001,MATCH(1,($A73=[2]SalmonProps!$A$2:$A$10001)*(1=[2]SalmonProps!$C$2:$C$10001)*("1&amp;2"=[2]SalmonProps!$D$2:$D$10001)*("A1" = [2]SalmonProps!$B$2:$B$10001)*($AP73 = [2]SalmonProps!$F$2:$F$10001) *($AR73 = [2]SalmonProps!$G$2:$G$10001),0), 15))</f>
        <v>0.34699999999999998</v>
      </c>
      <c r="AC73" s="165" cm="1">
        <f t="array" ref="AC73">IF(ISBLANK($AQ73), "", INDEX([2]SalmonProps!$A$2:$AA$10001,MATCH(1,($A73=[2]SalmonProps!$A$2:$A$10001)*(2=[2]SalmonProps!$C$2:$C$10001)*(3=[2]SalmonProps!$D$2:$D$10001)*("A1" = [2]SalmonProps!$B$2:$B$10001)*($AP73 = [2]SalmonProps!$F$2:$F$10001) *($AR73 = [2]SalmonProps!$G$2:$G$10001),0), 15))</f>
        <v>0.93940000000000001</v>
      </c>
      <c r="AD73" s="181" cm="1">
        <f t="array" ref="AD73">IF(ISBLANK($AQ73), "", INDEX([2]SalmonProps!$A$2:$AA$10001,MATCH(1,($A73=[2]SalmonProps!$A$2:$A$10001)*(3=[2]SalmonProps!$C$2:$C$10001)*(3=[2]SalmonProps!$D$2:$D$10001)*("A1" = [2]SalmonProps!$B$2:$B$10001)*($AP73 = [2]SalmonProps!$F$2:$F$10001) *($AR73 = [2]SalmonProps!$G$2:$G$10001),0), 15))</f>
        <v>0.9748</v>
      </c>
      <c r="AE73" s="166" cm="1">
        <f t="array" ref="AE73">IF(ISBLANK($AQ73), "", INDEX([2]SalmonProps!$A$2:$AA$10001,MATCH(1,($A73=[2]SalmonProps!$A$2:$A$10001)*(1=[2]SalmonProps!$C$2:$C$10001)*(1=[2]SalmonProps!$D$2:$D$10001)*("A2" = [2]SalmonProps!$B$2:$B$10001)*($AP73 = [2]SalmonProps!$F$2:$F$10001) *($AR73 = [2]SalmonProps!$G$2:$G$10001),0), 15))</f>
        <v>0.87009999999999998</v>
      </c>
      <c r="AF73" s="166" cm="1">
        <f t="array" ref="AF73">IF(ISBLANK($AQ73), "", INDEX([2]SalmonProps!$A$2:$AA$10001,MATCH(1,($A73=[2]SalmonProps!$A$2:$A$10001)*(2=[2]SalmonProps!$C$2:$C$10001)*(1=[2]SalmonProps!$D$2:$D$10001)*("A2" = [2]SalmonProps!$B$2:$B$10001)*($AP73 = [2]SalmonProps!$F$2:$F$10001) *($AR73 = [2]SalmonProps!$G$2:$G$10001),0), 15))</f>
        <v>0.84930000000000005</v>
      </c>
      <c r="AG73" s="167" cm="1">
        <f t="array" ref="AG73">IF(ISBLANK($AQ73), "", INDEX([2]SalmonProps!$A$2:$AA$10001,MATCH(1,($A73=[2]SalmonProps!$A$2:$A$10001)*(3=[2]SalmonProps!$C$2:$C$10001)*(1=[2]SalmonProps!$D$2:$D$10001)*("A2" = [2]SalmonProps!$B$2:$B$10001)*($AP73 = [2]SalmonProps!$F$2:$F$10001) *($AR73 = [2]SalmonProps!$G$2:$G$10001),0), 15))</f>
        <v>0.92330000000000001</v>
      </c>
      <c r="AH73" s="173" cm="1">
        <f t="array" ref="AH73">IF(ISBLANK($AQ73), "", INDEX([2]SalmonProps!$A$2:$AA$10001,MATCH(1,($A73=[2]SalmonProps!$A$2:$A$10001)*($AP73 = [2]SalmonProps!$F$2:$F$10001) *($AR73 = [2]SalmonProps!$G$2:$G$10001),0), 24))</f>
        <v>54.2</v>
      </c>
      <c r="AI73" s="183" cm="1">
        <f t="array" ref="AI73">IF(ISBLANK($AQ73), "", INDEX([2]SalmonProps!$A$2:$AA$10001,MATCH(1,($A73=[2]SalmonProps!$A$2:$A$10001)*($AP73 = [2]SalmonProps!$F$2:$F$10001) *($AR73 = [2]SalmonProps!$G$2:$G$10001),0), 25))</f>
        <v>7</v>
      </c>
      <c r="AJ73" s="176" cm="1">
        <f t="array" ref="AJ73">IF(ISBLANK($AQ73), "", INDEX([2]SalmonProps!$A$2:$AA$10001,MATCH(1,($A73=[2]SalmonProps!$A$2:$A$10001)*($AP73 = [2]SalmonProps!$F$2:$F$10001) *($AR73 = [2]SalmonProps!$G$2:$G$10001),0), 20))</f>
        <v>59.7</v>
      </c>
      <c r="AK73" s="183" cm="1">
        <f t="array" ref="AK73">IF(ISBLANK($AQ73), "", INDEX([2]SalmonProps!$A$2:$AA$10001,MATCH(1,($A73=[2]SalmonProps!$A$2:$A$10001)*($AP73 = [2]SalmonProps!$F$2:$F$10001) *($AR73 = [2]SalmonProps!$G$2:$G$10001),0), 21))</f>
        <v>4.8</v>
      </c>
      <c r="AL73" s="174" cm="1">
        <f t="array" ref="AL73">IF(ISBLANK($AQ73), "", INDEX([2]SalmonProps!$A$2:$AA$10001,MATCH(1,($A73=[2]SalmonProps!$A$2:$A$10001)*($AP73 = [2]SalmonProps!$F$2:$F$10001) *($AR73 = [2]SalmonProps!$G$2:$G$10001),0), 22))</f>
        <v>72.900000000000006</v>
      </c>
      <c r="AM73" s="183" cm="1">
        <f t="array" ref="AM73">IF(ISBLANK($AQ73), "", INDEX([2]SalmonProps!$A$2:$AA$10001,MATCH(1,($A73=[2]SalmonProps!$A$2:$A$10001)*($AP73 = [2]SalmonProps!$F$2:$F$10001) *($AR73 = [2]SalmonProps!$G$2:$G$10001),0), 23))</f>
        <v>7.4</v>
      </c>
      <c r="AN73" s="174" t="str" cm="1">
        <f t="array" ref="AN73">IF(ISBLANK($AQ73), "", INDEX([2]SalmonProps!$A$2:$AA$10001,MATCH(1,($A73=[2]SalmonProps!$A$2:$A$10001)*($AP73 = [2]SalmonProps!$F$2:$F$10001) *($AR73 = [2]SalmonProps!$G$2:$G$10001),0), 26))</f>
        <v>NA</v>
      </c>
      <c r="AO73" s="175" t="str" cm="1">
        <f t="array" ref="AO73">IF(ISBLANK($AQ73), "", INDEX([2]SalmonProps!$A$2:$AA$10001,MATCH(1,($A73=[2]SalmonProps!$A$2:$A$10001)*($AP73 = [2]SalmonProps!$F$2:$F$10001) *($AR73 = [2]SalmonProps!$G$2:$G$10001),0), 27))</f>
        <v>NA</v>
      </c>
      <c r="AP73" s="112">
        <v>4</v>
      </c>
      <c r="AQ73" s="112" t="s">
        <v>133</v>
      </c>
      <c r="AR73" s="112" t="str">
        <f t="shared" si="1"/>
        <v>Unweighted</v>
      </c>
    </row>
    <row r="74" spans="1:44" x14ac:dyDescent="0.3">
      <c r="A74" s="20">
        <f>'[1]Passage Estimates'!$A74</f>
        <v>45176</v>
      </c>
      <c r="B74" s="164" cm="1">
        <f t="array" ref="B74">IF(ISBLANK($AQ74), "", INDEX([2]SalmonProps!$A$2:$AA$10001,MATCH(1,($A74=[2]SalmonProps!$A$2:$A$10001)*(1=[2]SalmonProps!$C$2:$C$10001)*(1=[2]SalmonProps!$D$2:$D$10001)*("A1" = [2]SalmonProps!$B$2:$B$10001)*($AP74 = [2]SalmonProps!$F$2:$F$10001) *($AR74 = [2]SalmonProps!$G$2:$G$10001),0), 17))</f>
        <v>1.5E-3</v>
      </c>
      <c r="C74" s="165" cm="1">
        <f t="array" ref="C74">IF(ISBLANK($AQ74), "", INDEX([2]SalmonProps!$A$2:$AA$10001,MATCH(1,($A74=[2]SalmonProps!$A$2:$A$10001)*(1=[2]SalmonProps!$C$2:$C$10001)*(2=[2]SalmonProps!$D$2:$D$10001)*("A1" = [2]SalmonProps!$B$2:$B$10001)*($AP74 = [2]SalmonProps!$F$2:$F$10001) *($AR74 = [2]SalmonProps!$G$2:$G$10001),0), 17))</f>
        <v>6.8999999999999999E-3</v>
      </c>
      <c r="D74" s="165" cm="1">
        <f t="array" ref="D74">IF(ISBLANK($AQ74), "", INDEX([2]SalmonProps!$A$2:$AA$10001,MATCH(1,($A74=[2]SalmonProps!$A$2:$A$10001)*(1=[2]SalmonProps!$C$2:$C$10001)*("1&amp;2"=[2]SalmonProps!$D$2:$D$10001)*("A1" = [2]SalmonProps!$B$2:$B$10001)*($AP74 = [2]SalmonProps!$F$2:$F$10001) *($AR74 = [2]SalmonProps!$G$2:$G$10001),0), 17))</f>
        <v>3.5999999999999999E-3</v>
      </c>
      <c r="E74" s="181" cm="1">
        <f t="array" ref="E74">IF(ISBLANK($AQ74), "", INDEX([2]SalmonProps!$A$2:$AA$10001,MATCH(1,($A74=[2]SalmonProps!$A$2:$A$10001)*(2=[2]SalmonProps!$C$2:$C$10001)*(3=[2]SalmonProps!$D$2:$D$10001)*("A1" = [2]SalmonProps!$B$2:$B$10001)*($AP74 = [2]SalmonProps!$F$2:$F$10001) *($AR74 = [2]SalmonProps!$G$2:$G$10001),0), 17))</f>
        <v>0.1588</v>
      </c>
      <c r="F74" s="165" cm="1">
        <f t="array" ref="F74">IF(ISBLANK($AQ74), "", INDEX([2]SalmonProps!$A$2:$AA$10001,MATCH(1,($A74=[2]SalmonProps!$A$2:$A$10001)*(3=[2]SalmonProps!$C$2:$C$10001)*(3=[2]SalmonProps!$D$2:$D$10001)*("A1" = [2]SalmonProps!$B$2:$B$10001)*($AP74 = [2]SalmonProps!$F$2:$F$10001) *($AR74 = [2]SalmonProps!$G$2:$G$10001),0), 17))</f>
        <v>0.4496</v>
      </c>
      <c r="G74" s="165" cm="1">
        <f t="array" ref="G74">IF(ISBLANK($AQ74), "", INDEX([2]SalmonProps!$A$2:$AA$10001,MATCH(1,($A74=[2]SalmonProps!$A$2:$A$10001)*(1=[2]SalmonProps!$C$2:$C$10001)*(1=[2]SalmonProps!$D$2:$D$10001)*("A2" = [2]SalmonProps!$B$2:$B$10001)*($AP74 = [2]SalmonProps!$F$2:$F$10001) *($AR74 = [2]SalmonProps!$G$2:$G$10001),0), 17))</f>
        <v>2.3400000000000001E-2</v>
      </c>
      <c r="H74" s="166" cm="1">
        <f t="array" ref="H74">IF(ISBLANK($AQ74), "", INDEX([2]SalmonProps!$A$2:$AA$10001,MATCH(1,($A74=[2]SalmonProps!$A$2:$A$10001)*(2=[2]SalmonProps!$C$2:$C$10001)*(1=[2]SalmonProps!$D$2:$D$10001)*("A2" = [2]SalmonProps!$B$2:$B$10001)*($AP74 = [2]SalmonProps!$F$2:$F$10001) *($AR74 = [2]SalmonProps!$G$2:$G$10001),0), 17))</f>
        <v>0.19570000000000001</v>
      </c>
      <c r="I74" s="167" cm="1">
        <f t="array" ref="I74">IF(ISBLANK($AQ74), "", INDEX([2]SalmonProps!$A$2:$AA$10001,MATCH(1,($A74=[2]SalmonProps!$A$2:$A$10001)*(3=[2]SalmonProps!$C$2:$C$10001)*(1=[2]SalmonProps!$D$2:$D$10001)*("A2" = [2]SalmonProps!$B$2:$B$10001)*($AP74 = [2]SalmonProps!$F$2:$F$10001) *($AR74 = [2]SalmonProps!$G$2:$G$10001),0), 17))</f>
        <v>0.4274</v>
      </c>
      <c r="J74" s="164" t="str" cm="1">
        <f t="array" ref="J74">IF(ISBLANK($AQ74), "", INDEX([2]SalmonProps!$A$2:$AA$10001,MATCH(1,($A74=[2]SalmonProps!$A$2:$A$10001)*(1=[2]SalmonProps!$C$2:$C$10001)*(1=[2]SalmonProps!$D$2:$D$10001)*("A1" = [2]SalmonProps!$B$2:$B$10001)*($AP74 = [2]SalmonProps!$F$2:$F$10001) *($AR74 = [2]SalmonProps!$G$2:$G$10001),0), 19))</f>
        <v>NA</v>
      </c>
      <c r="K74" s="165" t="str" cm="1">
        <f t="array" ref="K74">IF(ISBLANK($AQ74), "", INDEX([2]SalmonProps!$A$2:$AA$10001,MATCH(1,($A74=[2]SalmonProps!$A$2:$A$10001)*(1=[2]SalmonProps!$C$2:$C$10001)*(2=[2]SalmonProps!$D$2:$D$10001)*("A1" = [2]SalmonProps!$B$2:$B$10001)*($AP74 = [2]SalmonProps!$F$2:$F$10001) *($AR74 = [2]SalmonProps!$G$2:$G$10001),0), 19))</f>
        <v>NA</v>
      </c>
      <c r="L74" s="165" t="str" cm="1">
        <f t="array" ref="L74">IF(ISBLANK($AQ74), "", INDEX([2]SalmonProps!$A$2:$AA$10001,MATCH(1,($A74=[2]SalmonProps!$A$2:$A$10001)*(1=[2]SalmonProps!$C$2:$C$10001)*("1&amp;2"=[2]SalmonProps!$D$2:$D$10001)*("A1" = [2]SalmonProps!$B$2:$B$10001)*($AP74 = [2]SalmonProps!$F$2:$F$10001) *($AR74 = [2]SalmonProps!$G$2:$G$10001),0), 19))</f>
        <v>NA</v>
      </c>
      <c r="M74" s="165" t="str" cm="1">
        <f t="array" ref="M74">IF(ISBLANK($AQ74), "", INDEX([2]SalmonProps!$A$2:$AA$10001,MATCH(1,($A74=[2]SalmonProps!$A$2:$A$10001)*(2=[2]SalmonProps!$C$2:$C$10001)*(3=[2]SalmonProps!$D$2:$D$10001)*("A1" = [2]SalmonProps!$B$2:$B$10001)*($AP74 = [2]SalmonProps!$F$2:$F$10001) *($AR74 = [2]SalmonProps!$G$2:$G$10001),0), 19))</f>
        <v>NA</v>
      </c>
      <c r="N74" s="181" t="str" cm="1">
        <f t="array" ref="N74">IF(ISBLANK($AQ74), "", INDEX([2]SalmonProps!$A$2:$AA$10001,MATCH(1,($A74=[2]SalmonProps!$A$2:$A$10001)*(3=[2]SalmonProps!$C$2:$C$10001)*(3=[2]SalmonProps!$D$2:$D$10001)*("A1" = [2]SalmonProps!$B$2:$B$10001)*($AP74 = [2]SalmonProps!$F$2:$F$10001) *($AR74 = [2]SalmonProps!$G$2:$G$10001),0), 19))</f>
        <v>NA</v>
      </c>
      <c r="O74" s="165" t="str" cm="1">
        <f t="array" ref="O74">IF(ISBLANK($AQ74), "", INDEX([2]SalmonProps!$A$2:$AA$10001,MATCH(1,($A74=[2]SalmonProps!$A$2:$A$10001)*(1=[2]SalmonProps!$C$2:$C$10001)*(1=[2]SalmonProps!$D$2:$D$10001)*("A2" = [2]SalmonProps!$B$2:$B$10001)*($AP74 = [2]SalmonProps!$F$2:$F$10001) *($AR74 = [2]SalmonProps!$G$2:$G$10001),0), 19))</f>
        <v>NA</v>
      </c>
      <c r="P74" s="165" t="str" cm="1">
        <f t="array" ref="P74">IF(ISBLANK($AQ74), "", INDEX([2]SalmonProps!$A$2:$AA$10001,MATCH(1,($A74=[2]SalmonProps!$A$2:$A$10001)*(2=[2]SalmonProps!$C$2:$C$10001)*(1=[2]SalmonProps!$D$2:$D$10001)*("A2" = [2]SalmonProps!$B$2:$B$10001)*($AP74 = [2]SalmonProps!$F$2:$F$10001) *($AR74 = [2]SalmonProps!$G$2:$G$10001),0), 19))</f>
        <v>NA</v>
      </c>
      <c r="Q74" s="168" t="str" cm="1">
        <f t="array" ref="Q74">IF(ISBLANK($AQ74), "", INDEX([2]SalmonProps!$A$2:$AA$10001,MATCH(1,($A74=[2]SalmonProps!$A$2:$A$10001)*(3=[2]SalmonProps!$C$2:$C$10001)*(1=[2]SalmonProps!$D$2:$D$10001)*("A2" = [2]SalmonProps!$B$2:$B$10001)*($AP74 = [2]SalmonProps!$F$2:$F$10001) *($AR74 = [2]SalmonProps!$G$2:$G$10001),0), 19))</f>
        <v>NA</v>
      </c>
      <c r="R74" s="164" cm="1">
        <f t="array" ref="R74">IF(ISBLANK($AQ74), "", INDEX([2]SalmonProps!$A$2:$AA$10001,MATCH(1,($A74=[2]SalmonProps!$A$2:$A$10001)*(1=[2]SalmonProps!$C$2:$C$10001)*(1=[2]SalmonProps!$D$2:$D$10001)*("A1" = [2]SalmonProps!$B$2:$B$10001)*($AP74 = [2]SalmonProps!$F$2:$F$10001) *($AR74 = [2]SalmonProps!$G$2:$G$10001),0), 18))</f>
        <v>0.26319999999999999</v>
      </c>
      <c r="S74" s="165" cm="1">
        <f t="array" ref="S74">IF(ISBLANK($AQ74), "", INDEX([2]SalmonProps!$A$2:$AA$10001,MATCH(1,($A74=[2]SalmonProps!$A$2:$A$10001)*(1=[2]SalmonProps!$C$2:$C$10001)*(2=[2]SalmonProps!$D$2:$D$10001)*("A1" = [2]SalmonProps!$B$2:$B$10001)*($AP74 = [2]SalmonProps!$F$2:$F$10001) *($AR74 = [2]SalmonProps!$G$2:$G$10001),0), 18))</f>
        <v>0.66930000000000001</v>
      </c>
      <c r="T74" s="165" cm="1">
        <f t="array" ref="T74">IF(ISBLANK($AQ74), "", INDEX([2]SalmonProps!$A$2:$AA$10001,MATCH(1,($A74=[2]SalmonProps!$A$2:$A$10001)*(1=[2]SalmonProps!$C$2:$C$10001)*("1&amp;2"=[2]SalmonProps!$D$2:$D$10001)*("A1" = [2]SalmonProps!$B$2:$B$10001)*($AP74 = [2]SalmonProps!$F$2:$F$10001) *($AR74 = [2]SalmonProps!$G$2:$G$10001),0), 18))</f>
        <v>0.44069999999999998</v>
      </c>
      <c r="U74" s="165" cm="1">
        <f t="array" ref="U74">IF(ISBLANK($AQ74), "", INDEX([2]SalmonProps!$A$2:$AA$10001,MATCH(1,($A74=[2]SalmonProps!$A$2:$A$10001)*(2=[2]SalmonProps!$C$2:$C$10001)*(3=[2]SalmonProps!$D$2:$D$10001)*("A1" = [2]SalmonProps!$B$2:$B$10001)*($AP74 = [2]SalmonProps!$F$2:$F$10001) *($AR74 = [2]SalmonProps!$G$2:$G$10001),0), 18))</f>
        <v>0.80410000000000004</v>
      </c>
      <c r="V74" s="181" cm="1">
        <f t="array" ref="V74">IF(ISBLANK($AQ74), "", INDEX([2]SalmonProps!$A$2:$AA$10001,MATCH(1,($A74=[2]SalmonProps!$A$2:$A$10001)*(3=[2]SalmonProps!$C$2:$C$10001)*(3=[2]SalmonProps!$D$2:$D$10001)*("A1" = [2]SalmonProps!$B$2:$B$10001)*($AP74 = [2]SalmonProps!$F$2:$F$10001) *($AR74 = [2]SalmonProps!$G$2:$G$10001),0), 18))</f>
        <v>0.54239999999999999</v>
      </c>
      <c r="W74" s="180" cm="1">
        <f t="array" ref="W74">IF(ISBLANK($AQ74), "", INDEX([2]SalmonProps!$A$2:$AA$10001,MATCH(1,($A74=[2]SalmonProps!$A$2:$A$10001)*(1=[2]SalmonProps!$C$2:$C$10001)*(1=[2]SalmonProps!$D$2:$D$10001)*("A2" = [2]SalmonProps!$B$2:$B$10001)*($AP74 = [2]SalmonProps!$F$2:$F$10001) *($AR74 = [2]SalmonProps!$G$2:$G$10001),0), 18))</f>
        <v>0.7903</v>
      </c>
      <c r="X74" s="165" cm="1">
        <f t="array" ref="X74">IF(ISBLANK($AQ74), "", INDEX([2]SalmonProps!$A$2:$AA$10001,MATCH(1,($A74=[2]SalmonProps!$A$2:$A$10001)*(2=[2]SalmonProps!$C$2:$C$10001)*(1=[2]SalmonProps!$D$2:$D$10001)*("A2" = [2]SalmonProps!$B$2:$B$10001)*($AP74 = [2]SalmonProps!$F$2:$F$10001) *($AR74 = [2]SalmonProps!$G$2:$G$10001),0), 18))</f>
        <v>0.66839999999999999</v>
      </c>
      <c r="Y74" s="168" cm="1">
        <f t="array" ref="Y74">IF(ISBLANK($AQ74), "", INDEX([2]SalmonProps!$A$2:$AA$10001,MATCH(1,($A74=[2]SalmonProps!$A$2:$A$10001)*(3=[2]SalmonProps!$C$2:$C$10001)*(1=[2]SalmonProps!$D$2:$D$10001)*("A2" = [2]SalmonProps!$B$2:$B$10001)*($AP74 = [2]SalmonProps!$F$2:$F$10001) *($AR74 = [2]SalmonProps!$G$2:$G$10001),0), 18))</f>
        <v>0.56730000000000003</v>
      </c>
      <c r="Z74" s="164" cm="1">
        <f t="array" ref="Z74">IF(ISBLANK($AQ74), "", INDEX([2]SalmonProps!$A$2:$AA$10001,MATCH(1,($A74=[2]SalmonProps!$A$2:$A$10001)*(1=[2]SalmonProps!$C$2:$C$10001)*(1=[2]SalmonProps!$D$2:$D$10001)*("A1" = [2]SalmonProps!$B$2:$B$10001)*($AP74 = [2]SalmonProps!$F$2:$F$10001) *($AR74 = [2]SalmonProps!$G$2:$G$10001),0), 15))</f>
        <v>0.26469999999999999</v>
      </c>
      <c r="AA74" s="165" cm="1">
        <f t="array" ref="AA74">IF(ISBLANK($AQ74), "", INDEX([2]SalmonProps!$A$2:$AA$10001,MATCH(1,($A74=[2]SalmonProps!$A$2:$A$10001)*(1=[2]SalmonProps!$C$2:$C$10001)*(2=[2]SalmonProps!$D$2:$D$10001)*("A1" = [2]SalmonProps!$B$2:$B$10001)*($AP74 = [2]SalmonProps!$F$2:$F$10001) *($AR74 = [2]SalmonProps!$G$2:$G$10001),0), 15))</f>
        <v>0.67620000000000002</v>
      </c>
      <c r="AB74" s="165" cm="1">
        <f t="array" ref="AB74">IF(ISBLANK($AQ74), "", INDEX([2]SalmonProps!$A$2:$AA$10001,MATCH(1,($A74=[2]SalmonProps!$A$2:$A$10001)*(1=[2]SalmonProps!$C$2:$C$10001)*("1&amp;2"=[2]SalmonProps!$D$2:$D$10001)*("A1" = [2]SalmonProps!$B$2:$B$10001)*($AP74 = [2]SalmonProps!$F$2:$F$10001) *($AR74 = [2]SalmonProps!$G$2:$G$10001),0), 15))</f>
        <v>0.44429999999999997</v>
      </c>
      <c r="AC74" s="165" cm="1">
        <f t="array" ref="AC74">IF(ISBLANK($AQ74), "", INDEX([2]SalmonProps!$A$2:$AA$10001,MATCH(1,($A74=[2]SalmonProps!$A$2:$A$10001)*(2=[2]SalmonProps!$C$2:$C$10001)*(3=[2]SalmonProps!$D$2:$D$10001)*("A1" = [2]SalmonProps!$B$2:$B$10001)*($AP74 = [2]SalmonProps!$F$2:$F$10001) *($AR74 = [2]SalmonProps!$G$2:$G$10001),0), 15))</f>
        <v>0.96289999999999998</v>
      </c>
      <c r="AD74" s="181" cm="1">
        <f t="array" ref="AD74">IF(ISBLANK($AQ74), "", INDEX([2]SalmonProps!$A$2:$AA$10001,MATCH(1,($A74=[2]SalmonProps!$A$2:$A$10001)*(3=[2]SalmonProps!$C$2:$C$10001)*(3=[2]SalmonProps!$D$2:$D$10001)*("A1" = [2]SalmonProps!$B$2:$B$10001)*($AP74 = [2]SalmonProps!$F$2:$F$10001) *($AR74 = [2]SalmonProps!$G$2:$G$10001),0), 15))</f>
        <v>0.99199999999999999</v>
      </c>
      <c r="AE74" s="166" cm="1">
        <f t="array" ref="AE74">IF(ISBLANK($AQ74), "", INDEX([2]SalmonProps!$A$2:$AA$10001,MATCH(1,($A74=[2]SalmonProps!$A$2:$A$10001)*(1=[2]SalmonProps!$C$2:$C$10001)*(1=[2]SalmonProps!$D$2:$D$10001)*("A2" = [2]SalmonProps!$B$2:$B$10001)*($AP74 = [2]SalmonProps!$F$2:$F$10001) *($AR74 = [2]SalmonProps!$G$2:$G$10001),0), 15))</f>
        <v>0.81369999999999998</v>
      </c>
      <c r="AF74" s="166" cm="1">
        <f t="array" ref="AF74">IF(ISBLANK($AQ74), "", INDEX([2]SalmonProps!$A$2:$AA$10001,MATCH(1,($A74=[2]SalmonProps!$A$2:$A$10001)*(2=[2]SalmonProps!$C$2:$C$10001)*(1=[2]SalmonProps!$D$2:$D$10001)*("A2" = [2]SalmonProps!$B$2:$B$10001)*($AP74 = [2]SalmonProps!$F$2:$F$10001) *($AR74 = [2]SalmonProps!$G$2:$G$10001),0), 15))</f>
        <v>0.86409999999999998</v>
      </c>
      <c r="AG74" s="167" cm="1">
        <f t="array" ref="AG74">IF(ISBLANK($AQ74), "", INDEX([2]SalmonProps!$A$2:$AA$10001,MATCH(1,($A74=[2]SalmonProps!$A$2:$A$10001)*(3=[2]SalmonProps!$C$2:$C$10001)*(1=[2]SalmonProps!$D$2:$D$10001)*("A2" = [2]SalmonProps!$B$2:$B$10001)*($AP74 = [2]SalmonProps!$F$2:$F$10001) *($AR74 = [2]SalmonProps!$G$2:$G$10001),0), 15))</f>
        <v>0.99470000000000003</v>
      </c>
      <c r="AH74" s="173" cm="1">
        <f t="array" ref="AH74">IF(ISBLANK($AQ74), "", INDEX([2]SalmonProps!$A$2:$AA$10001,MATCH(1,($A74=[2]SalmonProps!$A$2:$A$10001)*($AP74 = [2]SalmonProps!$F$2:$F$10001) *($AR74 = [2]SalmonProps!$G$2:$G$10001),0), 24))</f>
        <v>54.2</v>
      </c>
      <c r="AI74" s="183" cm="1">
        <f t="array" ref="AI74">IF(ISBLANK($AQ74), "", INDEX([2]SalmonProps!$A$2:$AA$10001,MATCH(1,($A74=[2]SalmonProps!$A$2:$A$10001)*($AP74 = [2]SalmonProps!$F$2:$F$10001) *($AR74 = [2]SalmonProps!$G$2:$G$10001),0), 25))</f>
        <v>7</v>
      </c>
      <c r="AJ74" s="176" cm="1">
        <f t="array" ref="AJ74">IF(ISBLANK($AQ74), "", INDEX([2]SalmonProps!$A$2:$AA$10001,MATCH(1,($A74=[2]SalmonProps!$A$2:$A$10001)*($AP74 = [2]SalmonProps!$F$2:$F$10001) *($AR74 = [2]SalmonProps!$G$2:$G$10001),0), 20))</f>
        <v>59.7</v>
      </c>
      <c r="AK74" s="183" cm="1">
        <f t="array" ref="AK74">IF(ISBLANK($AQ74), "", INDEX([2]SalmonProps!$A$2:$AA$10001,MATCH(1,($A74=[2]SalmonProps!$A$2:$A$10001)*($AP74 = [2]SalmonProps!$F$2:$F$10001) *($AR74 = [2]SalmonProps!$G$2:$G$10001),0), 21))</f>
        <v>4.8</v>
      </c>
      <c r="AL74" s="174" cm="1">
        <f t="array" ref="AL74">IF(ISBLANK($AQ74), "", INDEX([2]SalmonProps!$A$2:$AA$10001,MATCH(1,($A74=[2]SalmonProps!$A$2:$A$10001)*($AP74 = [2]SalmonProps!$F$2:$F$10001) *($AR74 = [2]SalmonProps!$G$2:$G$10001),0), 22))</f>
        <v>72.900000000000006</v>
      </c>
      <c r="AM74" s="183" cm="1">
        <f t="array" ref="AM74">IF(ISBLANK($AQ74), "", INDEX([2]SalmonProps!$A$2:$AA$10001,MATCH(1,($A74=[2]SalmonProps!$A$2:$A$10001)*($AP74 = [2]SalmonProps!$F$2:$F$10001) *($AR74 = [2]SalmonProps!$G$2:$G$10001),0), 23))</f>
        <v>7.4</v>
      </c>
      <c r="AN74" s="174" t="str" cm="1">
        <f t="array" ref="AN74">IF(ISBLANK($AQ74), "", INDEX([2]SalmonProps!$A$2:$AA$10001,MATCH(1,($A74=[2]SalmonProps!$A$2:$A$10001)*($AP74 = [2]SalmonProps!$F$2:$F$10001) *($AR74 = [2]SalmonProps!$G$2:$G$10001),0), 26))</f>
        <v>NA</v>
      </c>
      <c r="AO74" s="175" t="str" cm="1">
        <f t="array" ref="AO74">IF(ISBLANK($AQ74), "", INDEX([2]SalmonProps!$A$2:$AA$10001,MATCH(1,($A74=[2]SalmonProps!$A$2:$A$10001)*($AP74 = [2]SalmonProps!$F$2:$F$10001) *($AR74 = [2]SalmonProps!$G$2:$G$10001),0), 27))</f>
        <v>NA</v>
      </c>
      <c r="AP74" s="112">
        <v>4</v>
      </c>
      <c r="AQ74" s="112" t="s">
        <v>133</v>
      </c>
      <c r="AR74" s="112" t="str">
        <f t="shared" ref="AR74:AR128" si="2">INDEX($AT$2:$AU$5, MATCH(AQ74,$AT$2:$AT$5, 0), 2)</f>
        <v>Unweighted</v>
      </c>
    </row>
    <row r="75" spans="1:44" x14ac:dyDescent="0.3">
      <c r="A75" s="20">
        <f>'[1]Passage Estimates'!$A75</f>
        <v>45177</v>
      </c>
      <c r="B75" s="164" cm="1">
        <f t="array" ref="B75">IF(ISBLANK($AQ75), "", INDEX([2]SalmonProps!$A$2:$AA$10001,MATCH(1,($A75=[2]SalmonProps!$A$2:$A$10001)*(1=[2]SalmonProps!$C$2:$C$10001)*(1=[2]SalmonProps!$D$2:$D$10001)*("A1" = [2]SalmonProps!$B$2:$B$10001)*($AP75 = [2]SalmonProps!$F$2:$F$10001) *($AR75 = [2]SalmonProps!$G$2:$G$10001),0), 17))</f>
        <v>2E-3</v>
      </c>
      <c r="C75" s="165" cm="1">
        <f t="array" ref="C75">IF(ISBLANK($AQ75), "", INDEX([2]SalmonProps!$A$2:$AA$10001,MATCH(1,($A75=[2]SalmonProps!$A$2:$A$10001)*(1=[2]SalmonProps!$C$2:$C$10001)*(2=[2]SalmonProps!$D$2:$D$10001)*("A1" = [2]SalmonProps!$B$2:$B$10001)*($AP75 = [2]SalmonProps!$F$2:$F$10001) *($AR75 = [2]SalmonProps!$G$2:$G$10001),0), 17))</f>
        <v>0</v>
      </c>
      <c r="D75" s="165" cm="1">
        <f t="array" ref="D75">IF(ISBLANK($AQ75), "", INDEX([2]SalmonProps!$A$2:$AA$10001,MATCH(1,($A75=[2]SalmonProps!$A$2:$A$10001)*(1=[2]SalmonProps!$C$2:$C$10001)*("1&amp;2"=[2]SalmonProps!$D$2:$D$10001)*("A1" = [2]SalmonProps!$B$2:$B$10001)*($AP75 = [2]SalmonProps!$F$2:$F$10001) *($AR75 = [2]SalmonProps!$G$2:$G$10001),0), 17))</f>
        <v>0</v>
      </c>
      <c r="E75" s="181" cm="1">
        <f t="array" ref="E75">IF(ISBLANK($AQ75), "", INDEX([2]SalmonProps!$A$2:$AA$10001,MATCH(1,($A75=[2]SalmonProps!$A$2:$A$10001)*(2=[2]SalmonProps!$C$2:$C$10001)*(3=[2]SalmonProps!$D$2:$D$10001)*("A1" = [2]SalmonProps!$B$2:$B$10001)*($AP75 = [2]SalmonProps!$F$2:$F$10001) *($AR75 = [2]SalmonProps!$G$2:$G$10001),0), 17))</f>
        <v>0.21190000000000001</v>
      </c>
      <c r="F75" s="165" cm="1">
        <f t="array" ref="F75">IF(ISBLANK($AQ75), "", INDEX([2]SalmonProps!$A$2:$AA$10001,MATCH(1,($A75=[2]SalmonProps!$A$2:$A$10001)*(3=[2]SalmonProps!$C$2:$C$10001)*(3=[2]SalmonProps!$D$2:$D$10001)*("A1" = [2]SalmonProps!$B$2:$B$10001)*($AP75 = [2]SalmonProps!$F$2:$F$10001) *($AR75 = [2]SalmonProps!$G$2:$G$10001),0), 17))</f>
        <v>0.45960000000000001</v>
      </c>
      <c r="G75" s="165" cm="1">
        <f t="array" ref="G75">IF(ISBLANK($AQ75), "", INDEX([2]SalmonProps!$A$2:$AA$10001,MATCH(1,($A75=[2]SalmonProps!$A$2:$A$10001)*(1=[2]SalmonProps!$C$2:$C$10001)*(1=[2]SalmonProps!$D$2:$D$10001)*("A2" = [2]SalmonProps!$B$2:$B$10001)*($AP75 = [2]SalmonProps!$F$2:$F$10001) *($AR75 = [2]SalmonProps!$G$2:$G$10001),0), 17))</f>
        <v>2.3400000000000001E-2</v>
      </c>
      <c r="H75" s="166" cm="1">
        <f t="array" ref="H75">IF(ISBLANK($AQ75), "", INDEX([2]SalmonProps!$A$2:$AA$10001,MATCH(1,($A75=[2]SalmonProps!$A$2:$A$10001)*(2=[2]SalmonProps!$C$2:$C$10001)*(1=[2]SalmonProps!$D$2:$D$10001)*("A2" = [2]SalmonProps!$B$2:$B$10001)*($AP75 = [2]SalmonProps!$F$2:$F$10001) *($AR75 = [2]SalmonProps!$G$2:$G$10001),0), 17))</f>
        <v>0.19570000000000001</v>
      </c>
      <c r="I75" s="167" cm="1">
        <f t="array" ref="I75">IF(ISBLANK($AQ75), "", INDEX([2]SalmonProps!$A$2:$AA$10001,MATCH(1,($A75=[2]SalmonProps!$A$2:$A$10001)*(3=[2]SalmonProps!$C$2:$C$10001)*(1=[2]SalmonProps!$D$2:$D$10001)*("A2" = [2]SalmonProps!$B$2:$B$10001)*($AP75 = [2]SalmonProps!$F$2:$F$10001) *($AR75 = [2]SalmonProps!$G$2:$G$10001),0), 17))</f>
        <v>0.4274</v>
      </c>
      <c r="J75" s="164" t="str" cm="1">
        <f t="array" ref="J75">IF(ISBLANK($AQ75), "", INDEX([2]SalmonProps!$A$2:$AA$10001,MATCH(1,($A75=[2]SalmonProps!$A$2:$A$10001)*(1=[2]SalmonProps!$C$2:$C$10001)*(1=[2]SalmonProps!$D$2:$D$10001)*("A1" = [2]SalmonProps!$B$2:$B$10001)*($AP75 = [2]SalmonProps!$F$2:$F$10001) *($AR75 = [2]SalmonProps!$G$2:$G$10001),0), 19))</f>
        <v>NA</v>
      </c>
      <c r="K75" s="165" t="str" cm="1">
        <f t="array" ref="K75">IF(ISBLANK($AQ75), "", INDEX([2]SalmonProps!$A$2:$AA$10001,MATCH(1,($A75=[2]SalmonProps!$A$2:$A$10001)*(1=[2]SalmonProps!$C$2:$C$10001)*(2=[2]SalmonProps!$D$2:$D$10001)*("A1" = [2]SalmonProps!$B$2:$B$10001)*($AP75 = [2]SalmonProps!$F$2:$F$10001) *($AR75 = [2]SalmonProps!$G$2:$G$10001),0), 19))</f>
        <v>NA</v>
      </c>
      <c r="L75" s="165" t="str" cm="1">
        <f t="array" ref="L75">IF(ISBLANK($AQ75), "", INDEX([2]SalmonProps!$A$2:$AA$10001,MATCH(1,($A75=[2]SalmonProps!$A$2:$A$10001)*(1=[2]SalmonProps!$C$2:$C$10001)*("1&amp;2"=[2]SalmonProps!$D$2:$D$10001)*("A1" = [2]SalmonProps!$B$2:$B$10001)*($AP75 = [2]SalmonProps!$F$2:$F$10001) *($AR75 = [2]SalmonProps!$G$2:$G$10001),0), 19))</f>
        <v>NA</v>
      </c>
      <c r="M75" s="165" t="str" cm="1">
        <f t="array" ref="M75">IF(ISBLANK($AQ75), "", INDEX([2]SalmonProps!$A$2:$AA$10001,MATCH(1,($A75=[2]SalmonProps!$A$2:$A$10001)*(2=[2]SalmonProps!$C$2:$C$10001)*(3=[2]SalmonProps!$D$2:$D$10001)*("A1" = [2]SalmonProps!$B$2:$B$10001)*($AP75 = [2]SalmonProps!$F$2:$F$10001) *($AR75 = [2]SalmonProps!$G$2:$G$10001),0), 19))</f>
        <v>NA</v>
      </c>
      <c r="N75" s="181" t="str" cm="1">
        <f t="array" ref="N75">IF(ISBLANK($AQ75), "", INDEX([2]SalmonProps!$A$2:$AA$10001,MATCH(1,($A75=[2]SalmonProps!$A$2:$A$10001)*(3=[2]SalmonProps!$C$2:$C$10001)*(3=[2]SalmonProps!$D$2:$D$10001)*("A1" = [2]SalmonProps!$B$2:$B$10001)*($AP75 = [2]SalmonProps!$F$2:$F$10001) *($AR75 = [2]SalmonProps!$G$2:$G$10001),0), 19))</f>
        <v>NA</v>
      </c>
      <c r="O75" s="165" t="str" cm="1">
        <f t="array" ref="O75">IF(ISBLANK($AQ75), "", INDEX([2]SalmonProps!$A$2:$AA$10001,MATCH(1,($A75=[2]SalmonProps!$A$2:$A$10001)*(1=[2]SalmonProps!$C$2:$C$10001)*(1=[2]SalmonProps!$D$2:$D$10001)*("A2" = [2]SalmonProps!$B$2:$B$10001)*($AP75 = [2]SalmonProps!$F$2:$F$10001) *($AR75 = [2]SalmonProps!$G$2:$G$10001),0), 19))</f>
        <v>NA</v>
      </c>
      <c r="P75" s="165" t="str" cm="1">
        <f t="array" ref="P75">IF(ISBLANK($AQ75), "", INDEX([2]SalmonProps!$A$2:$AA$10001,MATCH(1,($A75=[2]SalmonProps!$A$2:$A$10001)*(2=[2]SalmonProps!$C$2:$C$10001)*(1=[2]SalmonProps!$D$2:$D$10001)*("A2" = [2]SalmonProps!$B$2:$B$10001)*($AP75 = [2]SalmonProps!$F$2:$F$10001) *($AR75 = [2]SalmonProps!$G$2:$G$10001),0), 19))</f>
        <v>NA</v>
      </c>
      <c r="Q75" s="168" t="str" cm="1">
        <f t="array" ref="Q75">IF(ISBLANK($AQ75), "", INDEX([2]SalmonProps!$A$2:$AA$10001,MATCH(1,($A75=[2]SalmonProps!$A$2:$A$10001)*(3=[2]SalmonProps!$C$2:$C$10001)*(1=[2]SalmonProps!$D$2:$D$10001)*("A2" = [2]SalmonProps!$B$2:$B$10001)*($AP75 = [2]SalmonProps!$F$2:$F$10001) *($AR75 = [2]SalmonProps!$G$2:$G$10001),0), 19))</f>
        <v>NA</v>
      </c>
      <c r="R75" s="164" cm="1">
        <f t="array" ref="R75">IF(ISBLANK($AQ75), "", INDEX([2]SalmonProps!$A$2:$AA$10001,MATCH(1,($A75=[2]SalmonProps!$A$2:$A$10001)*(1=[2]SalmonProps!$C$2:$C$10001)*(1=[2]SalmonProps!$D$2:$D$10001)*("A1" = [2]SalmonProps!$B$2:$B$10001)*($AP75 = [2]SalmonProps!$F$2:$F$10001) *($AR75 = [2]SalmonProps!$G$2:$G$10001),0), 18))</f>
        <v>0.2089</v>
      </c>
      <c r="S75" s="165" cm="1">
        <f t="array" ref="S75">IF(ISBLANK($AQ75), "", INDEX([2]SalmonProps!$A$2:$AA$10001,MATCH(1,($A75=[2]SalmonProps!$A$2:$A$10001)*(1=[2]SalmonProps!$C$2:$C$10001)*(2=[2]SalmonProps!$D$2:$D$10001)*("A1" = [2]SalmonProps!$B$2:$B$10001)*($AP75 = [2]SalmonProps!$F$2:$F$10001) *($AR75 = [2]SalmonProps!$G$2:$G$10001),0), 18))</f>
        <v>0.50690000000000002</v>
      </c>
      <c r="T75" s="165" cm="1">
        <f t="array" ref="T75">IF(ISBLANK($AQ75), "", INDEX([2]SalmonProps!$A$2:$AA$10001,MATCH(1,($A75=[2]SalmonProps!$A$2:$A$10001)*(1=[2]SalmonProps!$C$2:$C$10001)*("1&amp;2"=[2]SalmonProps!$D$2:$D$10001)*("A1" = [2]SalmonProps!$B$2:$B$10001)*($AP75 = [2]SalmonProps!$F$2:$F$10001) *($AR75 = [2]SalmonProps!$G$2:$G$10001),0), 18))</f>
        <v>0.36130000000000001</v>
      </c>
      <c r="U75" s="165" cm="1">
        <f t="array" ref="U75">IF(ISBLANK($AQ75), "", INDEX([2]SalmonProps!$A$2:$AA$10001,MATCH(1,($A75=[2]SalmonProps!$A$2:$A$10001)*(2=[2]SalmonProps!$C$2:$C$10001)*(3=[2]SalmonProps!$D$2:$D$10001)*("A1" = [2]SalmonProps!$B$2:$B$10001)*($AP75 = [2]SalmonProps!$F$2:$F$10001) *($AR75 = [2]SalmonProps!$G$2:$G$10001),0), 18))</f>
        <v>0.43959999999999999</v>
      </c>
      <c r="V75" s="181" cm="1">
        <f t="array" ref="V75">IF(ISBLANK($AQ75), "", INDEX([2]SalmonProps!$A$2:$AA$10001,MATCH(1,($A75=[2]SalmonProps!$A$2:$A$10001)*(3=[2]SalmonProps!$C$2:$C$10001)*(3=[2]SalmonProps!$D$2:$D$10001)*("A1" = [2]SalmonProps!$B$2:$B$10001)*($AP75 = [2]SalmonProps!$F$2:$F$10001) *($AR75 = [2]SalmonProps!$G$2:$G$10001),0), 18))</f>
        <v>0.37340000000000001</v>
      </c>
      <c r="W75" s="180" cm="1">
        <f t="array" ref="W75">IF(ISBLANK($AQ75), "", INDEX([2]SalmonProps!$A$2:$AA$10001,MATCH(1,($A75=[2]SalmonProps!$A$2:$A$10001)*(1=[2]SalmonProps!$C$2:$C$10001)*(1=[2]SalmonProps!$D$2:$D$10001)*("A2" = [2]SalmonProps!$B$2:$B$10001)*($AP75 = [2]SalmonProps!$F$2:$F$10001) *($AR75 = [2]SalmonProps!$G$2:$G$10001),0), 18))</f>
        <v>0.7903</v>
      </c>
      <c r="X75" s="165" cm="1">
        <f t="array" ref="X75">IF(ISBLANK($AQ75), "", INDEX([2]SalmonProps!$A$2:$AA$10001,MATCH(1,($A75=[2]SalmonProps!$A$2:$A$10001)*(2=[2]SalmonProps!$C$2:$C$10001)*(1=[2]SalmonProps!$D$2:$D$10001)*("A2" = [2]SalmonProps!$B$2:$B$10001)*($AP75 = [2]SalmonProps!$F$2:$F$10001) *($AR75 = [2]SalmonProps!$G$2:$G$10001),0), 18))</f>
        <v>0.66839999999999999</v>
      </c>
      <c r="Y75" s="168" cm="1">
        <f t="array" ref="Y75">IF(ISBLANK($AQ75), "", INDEX([2]SalmonProps!$A$2:$AA$10001,MATCH(1,($A75=[2]SalmonProps!$A$2:$A$10001)*(3=[2]SalmonProps!$C$2:$C$10001)*(1=[2]SalmonProps!$D$2:$D$10001)*("A2" = [2]SalmonProps!$B$2:$B$10001)*($AP75 = [2]SalmonProps!$F$2:$F$10001) *($AR75 = [2]SalmonProps!$G$2:$G$10001),0), 18))</f>
        <v>0.56730000000000003</v>
      </c>
      <c r="Z75" s="164" cm="1">
        <f t="array" ref="Z75">IF(ISBLANK($AQ75), "", INDEX([2]SalmonProps!$A$2:$AA$10001,MATCH(1,($A75=[2]SalmonProps!$A$2:$A$10001)*(1=[2]SalmonProps!$C$2:$C$10001)*(1=[2]SalmonProps!$D$2:$D$10001)*("A1" = [2]SalmonProps!$B$2:$B$10001)*($AP75 = [2]SalmonProps!$F$2:$F$10001) *($AR75 = [2]SalmonProps!$G$2:$G$10001),0), 15))</f>
        <v>0.2109</v>
      </c>
      <c r="AA75" s="165" cm="1">
        <f t="array" ref="AA75">IF(ISBLANK($AQ75), "", INDEX([2]SalmonProps!$A$2:$AA$10001,MATCH(1,($A75=[2]SalmonProps!$A$2:$A$10001)*(1=[2]SalmonProps!$C$2:$C$10001)*(2=[2]SalmonProps!$D$2:$D$10001)*("A1" = [2]SalmonProps!$B$2:$B$10001)*($AP75 = [2]SalmonProps!$F$2:$F$10001) *($AR75 = [2]SalmonProps!$G$2:$G$10001),0), 15))</f>
        <v>0.71230000000000004</v>
      </c>
      <c r="AB75" s="165" cm="1">
        <f t="array" ref="AB75">IF(ISBLANK($AQ75), "", INDEX([2]SalmonProps!$A$2:$AA$10001,MATCH(1,($A75=[2]SalmonProps!$A$2:$A$10001)*(1=[2]SalmonProps!$C$2:$C$10001)*("1&amp;2"=[2]SalmonProps!$D$2:$D$10001)*("A1" = [2]SalmonProps!$B$2:$B$10001)*($AP75 = [2]SalmonProps!$F$2:$F$10001) *($AR75 = [2]SalmonProps!$G$2:$G$10001),0), 15))</f>
        <v>0.48399999999999999</v>
      </c>
      <c r="AC75" s="165" cm="1">
        <f t="array" ref="AC75">IF(ISBLANK($AQ75), "", INDEX([2]SalmonProps!$A$2:$AA$10001,MATCH(1,($A75=[2]SalmonProps!$A$2:$A$10001)*(2=[2]SalmonProps!$C$2:$C$10001)*(3=[2]SalmonProps!$D$2:$D$10001)*("A1" = [2]SalmonProps!$B$2:$B$10001)*($AP75 = [2]SalmonProps!$F$2:$F$10001) *($AR75 = [2]SalmonProps!$G$2:$G$10001),0), 15))</f>
        <v>0.88739999999999997</v>
      </c>
      <c r="AD75" s="181" cm="1">
        <f t="array" ref="AD75">IF(ISBLANK($AQ75), "", INDEX([2]SalmonProps!$A$2:$AA$10001,MATCH(1,($A75=[2]SalmonProps!$A$2:$A$10001)*(3=[2]SalmonProps!$C$2:$C$10001)*(3=[2]SalmonProps!$D$2:$D$10001)*("A1" = [2]SalmonProps!$B$2:$B$10001)*($AP75 = [2]SalmonProps!$F$2:$F$10001) *($AR75 = [2]SalmonProps!$G$2:$G$10001),0), 15))</f>
        <v>0.97799999999999998</v>
      </c>
      <c r="AE75" s="166" cm="1">
        <f t="array" ref="AE75">IF(ISBLANK($AQ75), "", INDEX([2]SalmonProps!$A$2:$AA$10001,MATCH(1,($A75=[2]SalmonProps!$A$2:$A$10001)*(1=[2]SalmonProps!$C$2:$C$10001)*(1=[2]SalmonProps!$D$2:$D$10001)*("A2" = [2]SalmonProps!$B$2:$B$10001)*($AP75 = [2]SalmonProps!$F$2:$F$10001) *($AR75 = [2]SalmonProps!$G$2:$G$10001),0), 15))</f>
        <v>0.81369999999999998</v>
      </c>
      <c r="AF75" s="166" cm="1">
        <f t="array" ref="AF75">IF(ISBLANK($AQ75), "", INDEX([2]SalmonProps!$A$2:$AA$10001,MATCH(1,($A75=[2]SalmonProps!$A$2:$A$10001)*(2=[2]SalmonProps!$C$2:$C$10001)*(1=[2]SalmonProps!$D$2:$D$10001)*("A2" = [2]SalmonProps!$B$2:$B$10001)*($AP75 = [2]SalmonProps!$F$2:$F$10001) *($AR75 = [2]SalmonProps!$G$2:$G$10001),0), 15))</f>
        <v>0.86409999999999998</v>
      </c>
      <c r="AG75" s="167" cm="1">
        <f t="array" ref="AG75">IF(ISBLANK($AQ75), "", INDEX([2]SalmonProps!$A$2:$AA$10001,MATCH(1,($A75=[2]SalmonProps!$A$2:$A$10001)*(3=[2]SalmonProps!$C$2:$C$10001)*(1=[2]SalmonProps!$D$2:$D$10001)*("A2" = [2]SalmonProps!$B$2:$B$10001)*($AP75 = [2]SalmonProps!$F$2:$F$10001) *($AR75 = [2]SalmonProps!$G$2:$G$10001),0), 15))</f>
        <v>0.99470000000000003</v>
      </c>
      <c r="AH75" s="173" cm="1">
        <f t="array" ref="AH75">IF(ISBLANK($AQ75), "", INDEX([2]SalmonProps!$A$2:$AA$10001,MATCH(1,($A75=[2]SalmonProps!$A$2:$A$10001)*($AP75 = [2]SalmonProps!$F$2:$F$10001) *($AR75 = [2]SalmonProps!$G$2:$G$10001),0), 24))</f>
        <v>54.2</v>
      </c>
      <c r="AI75" s="183" cm="1">
        <f t="array" ref="AI75">IF(ISBLANK($AQ75), "", INDEX([2]SalmonProps!$A$2:$AA$10001,MATCH(1,($A75=[2]SalmonProps!$A$2:$A$10001)*($AP75 = [2]SalmonProps!$F$2:$F$10001) *($AR75 = [2]SalmonProps!$G$2:$G$10001),0), 25))</f>
        <v>7</v>
      </c>
      <c r="AJ75" s="176" cm="1">
        <f t="array" ref="AJ75">IF(ISBLANK($AQ75), "", INDEX([2]SalmonProps!$A$2:$AA$10001,MATCH(1,($A75=[2]SalmonProps!$A$2:$A$10001)*($AP75 = [2]SalmonProps!$F$2:$F$10001) *($AR75 = [2]SalmonProps!$G$2:$G$10001),0), 20))</f>
        <v>59.7</v>
      </c>
      <c r="AK75" s="183" cm="1">
        <f t="array" ref="AK75">IF(ISBLANK($AQ75), "", INDEX([2]SalmonProps!$A$2:$AA$10001,MATCH(1,($A75=[2]SalmonProps!$A$2:$A$10001)*($AP75 = [2]SalmonProps!$F$2:$F$10001) *($AR75 = [2]SalmonProps!$G$2:$G$10001),0), 21))</f>
        <v>4.8</v>
      </c>
      <c r="AL75" s="174" cm="1">
        <f t="array" ref="AL75">IF(ISBLANK($AQ75), "", INDEX([2]SalmonProps!$A$2:$AA$10001,MATCH(1,($A75=[2]SalmonProps!$A$2:$A$10001)*($AP75 = [2]SalmonProps!$F$2:$F$10001) *($AR75 = [2]SalmonProps!$G$2:$G$10001),0), 22))</f>
        <v>72.900000000000006</v>
      </c>
      <c r="AM75" s="183" cm="1">
        <f t="array" ref="AM75">IF(ISBLANK($AQ75), "", INDEX([2]SalmonProps!$A$2:$AA$10001,MATCH(1,($A75=[2]SalmonProps!$A$2:$A$10001)*($AP75 = [2]SalmonProps!$F$2:$F$10001) *($AR75 = [2]SalmonProps!$G$2:$G$10001),0), 23))</f>
        <v>7.4</v>
      </c>
      <c r="AN75" s="174" t="str" cm="1">
        <f t="array" ref="AN75">IF(ISBLANK($AQ75), "", INDEX([2]SalmonProps!$A$2:$AA$10001,MATCH(1,($A75=[2]SalmonProps!$A$2:$A$10001)*($AP75 = [2]SalmonProps!$F$2:$F$10001) *($AR75 = [2]SalmonProps!$G$2:$G$10001),0), 26))</f>
        <v>NA</v>
      </c>
      <c r="AO75" s="175" t="str" cm="1">
        <f t="array" ref="AO75">IF(ISBLANK($AQ75), "", INDEX([2]SalmonProps!$A$2:$AA$10001,MATCH(1,($A75=[2]SalmonProps!$A$2:$A$10001)*($AP75 = [2]SalmonProps!$F$2:$F$10001) *($AR75 = [2]SalmonProps!$G$2:$G$10001),0), 27))</f>
        <v>NA</v>
      </c>
      <c r="AP75" s="112">
        <v>4</v>
      </c>
      <c r="AQ75" s="112" t="s">
        <v>133</v>
      </c>
      <c r="AR75" s="112" t="str">
        <f t="shared" si="2"/>
        <v>Unweighted</v>
      </c>
    </row>
    <row r="76" spans="1:44" x14ac:dyDescent="0.3">
      <c r="A76" s="20">
        <f>'[1]Passage Estimates'!$A76</f>
        <v>45178</v>
      </c>
      <c r="B76" s="164" cm="1">
        <f t="array" ref="B76">IF(ISBLANK($AQ76), "", INDEX([2]SalmonProps!$A$2:$AA$10001,MATCH(1,($A76=[2]SalmonProps!$A$2:$A$10001)*(1=[2]SalmonProps!$C$2:$C$10001)*(1=[2]SalmonProps!$D$2:$D$10001)*("A1" = [2]SalmonProps!$B$2:$B$10001)*($AP76 = [2]SalmonProps!$F$2:$F$10001) *($AR76 = [2]SalmonProps!$G$2:$G$10001),0), 17))</f>
        <v>1.1999999999999999E-3</v>
      </c>
      <c r="C76" s="165" cm="1">
        <f t="array" ref="C76">IF(ISBLANK($AQ76), "", INDEX([2]SalmonProps!$A$2:$AA$10001,MATCH(1,($A76=[2]SalmonProps!$A$2:$A$10001)*(1=[2]SalmonProps!$C$2:$C$10001)*(2=[2]SalmonProps!$D$2:$D$10001)*("A1" = [2]SalmonProps!$B$2:$B$10001)*($AP76 = [2]SalmonProps!$F$2:$F$10001) *($AR76 = [2]SalmonProps!$G$2:$G$10001),0), 17))</f>
        <v>0</v>
      </c>
      <c r="D76" s="165" cm="1">
        <f t="array" ref="D76">IF(ISBLANK($AQ76), "", INDEX([2]SalmonProps!$A$2:$AA$10001,MATCH(1,($A76=[2]SalmonProps!$A$2:$A$10001)*(1=[2]SalmonProps!$C$2:$C$10001)*("1&amp;2"=[2]SalmonProps!$D$2:$D$10001)*("A1" = [2]SalmonProps!$B$2:$B$10001)*($AP76 = [2]SalmonProps!$F$2:$F$10001) *($AR76 = [2]SalmonProps!$G$2:$G$10001),0), 17))</f>
        <v>0</v>
      </c>
      <c r="E76" s="181" cm="1">
        <f t="array" ref="E76">IF(ISBLANK($AQ76), "", INDEX([2]SalmonProps!$A$2:$AA$10001,MATCH(1,($A76=[2]SalmonProps!$A$2:$A$10001)*(2=[2]SalmonProps!$C$2:$C$10001)*(3=[2]SalmonProps!$D$2:$D$10001)*("A1" = [2]SalmonProps!$B$2:$B$10001)*($AP76 = [2]SalmonProps!$F$2:$F$10001) *($AR76 = [2]SalmonProps!$G$2:$G$10001),0), 17))</f>
        <v>4.8599999999999997E-2</v>
      </c>
      <c r="F76" s="165" cm="1">
        <f t="array" ref="F76">IF(ISBLANK($AQ76), "", INDEX([2]SalmonProps!$A$2:$AA$10001,MATCH(1,($A76=[2]SalmonProps!$A$2:$A$10001)*(3=[2]SalmonProps!$C$2:$C$10001)*(3=[2]SalmonProps!$D$2:$D$10001)*("A1" = [2]SalmonProps!$B$2:$B$10001)*($AP76 = [2]SalmonProps!$F$2:$F$10001) *($AR76 = [2]SalmonProps!$G$2:$G$10001),0), 17))</f>
        <v>0.20749999999999999</v>
      </c>
      <c r="G76" s="165" cm="1">
        <f t="array" ref="G76">IF(ISBLANK($AQ76), "", INDEX([2]SalmonProps!$A$2:$AA$10001,MATCH(1,($A76=[2]SalmonProps!$A$2:$A$10001)*(1=[2]SalmonProps!$C$2:$C$10001)*(1=[2]SalmonProps!$D$2:$D$10001)*("A2" = [2]SalmonProps!$B$2:$B$10001)*($AP76 = [2]SalmonProps!$F$2:$F$10001) *($AR76 = [2]SalmonProps!$G$2:$G$10001),0), 17))</f>
        <v>1.12E-2</v>
      </c>
      <c r="H76" s="166" cm="1">
        <f t="array" ref="H76">IF(ISBLANK($AQ76), "", INDEX([2]SalmonProps!$A$2:$AA$10001,MATCH(1,($A76=[2]SalmonProps!$A$2:$A$10001)*(2=[2]SalmonProps!$C$2:$C$10001)*(1=[2]SalmonProps!$D$2:$D$10001)*("A2" = [2]SalmonProps!$B$2:$B$10001)*($AP76 = [2]SalmonProps!$F$2:$F$10001) *($AR76 = [2]SalmonProps!$G$2:$G$10001),0), 17))</f>
        <v>0.12280000000000001</v>
      </c>
      <c r="I76" s="167" cm="1">
        <f t="array" ref="I76">IF(ISBLANK($AQ76), "", INDEX([2]SalmonProps!$A$2:$AA$10001,MATCH(1,($A76=[2]SalmonProps!$A$2:$A$10001)*(3=[2]SalmonProps!$C$2:$C$10001)*(1=[2]SalmonProps!$D$2:$D$10001)*("A2" = [2]SalmonProps!$B$2:$B$10001)*($AP76 = [2]SalmonProps!$F$2:$F$10001) *($AR76 = [2]SalmonProps!$G$2:$G$10001),0), 17))</f>
        <v>0.47220000000000001</v>
      </c>
      <c r="J76" s="164" t="str" cm="1">
        <f t="array" ref="J76">IF(ISBLANK($AQ76), "", INDEX([2]SalmonProps!$A$2:$AA$10001,MATCH(1,($A76=[2]SalmonProps!$A$2:$A$10001)*(1=[2]SalmonProps!$C$2:$C$10001)*(1=[2]SalmonProps!$D$2:$D$10001)*("A1" = [2]SalmonProps!$B$2:$B$10001)*($AP76 = [2]SalmonProps!$F$2:$F$10001) *($AR76 = [2]SalmonProps!$G$2:$G$10001),0), 19))</f>
        <v>NA</v>
      </c>
      <c r="K76" s="165" t="str" cm="1">
        <f t="array" ref="K76">IF(ISBLANK($AQ76), "", INDEX([2]SalmonProps!$A$2:$AA$10001,MATCH(1,($A76=[2]SalmonProps!$A$2:$A$10001)*(1=[2]SalmonProps!$C$2:$C$10001)*(2=[2]SalmonProps!$D$2:$D$10001)*("A1" = [2]SalmonProps!$B$2:$B$10001)*($AP76 = [2]SalmonProps!$F$2:$F$10001) *($AR76 = [2]SalmonProps!$G$2:$G$10001),0), 19))</f>
        <v>NA</v>
      </c>
      <c r="L76" s="165" t="str" cm="1">
        <f t="array" ref="L76">IF(ISBLANK($AQ76), "", INDEX([2]SalmonProps!$A$2:$AA$10001,MATCH(1,($A76=[2]SalmonProps!$A$2:$A$10001)*(1=[2]SalmonProps!$C$2:$C$10001)*("1&amp;2"=[2]SalmonProps!$D$2:$D$10001)*("A1" = [2]SalmonProps!$B$2:$B$10001)*($AP76 = [2]SalmonProps!$F$2:$F$10001) *($AR76 = [2]SalmonProps!$G$2:$G$10001),0), 19))</f>
        <v>NA</v>
      </c>
      <c r="M76" s="165" t="str" cm="1">
        <f t="array" ref="M76">IF(ISBLANK($AQ76), "", INDEX([2]SalmonProps!$A$2:$AA$10001,MATCH(1,($A76=[2]SalmonProps!$A$2:$A$10001)*(2=[2]SalmonProps!$C$2:$C$10001)*(3=[2]SalmonProps!$D$2:$D$10001)*("A1" = [2]SalmonProps!$B$2:$B$10001)*($AP76 = [2]SalmonProps!$F$2:$F$10001) *($AR76 = [2]SalmonProps!$G$2:$G$10001),0), 19))</f>
        <v>NA</v>
      </c>
      <c r="N76" s="181" t="str" cm="1">
        <f t="array" ref="N76">IF(ISBLANK($AQ76), "", INDEX([2]SalmonProps!$A$2:$AA$10001,MATCH(1,($A76=[2]SalmonProps!$A$2:$A$10001)*(3=[2]SalmonProps!$C$2:$C$10001)*(3=[2]SalmonProps!$D$2:$D$10001)*("A1" = [2]SalmonProps!$B$2:$B$10001)*($AP76 = [2]SalmonProps!$F$2:$F$10001) *($AR76 = [2]SalmonProps!$G$2:$G$10001),0), 19))</f>
        <v>NA</v>
      </c>
      <c r="O76" s="165" t="str" cm="1">
        <f t="array" ref="O76">IF(ISBLANK($AQ76), "", INDEX([2]SalmonProps!$A$2:$AA$10001,MATCH(1,($A76=[2]SalmonProps!$A$2:$A$10001)*(1=[2]SalmonProps!$C$2:$C$10001)*(1=[2]SalmonProps!$D$2:$D$10001)*("A2" = [2]SalmonProps!$B$2:$B$10001)*($AP76 = [2]SalmonProps!$F$2:$F$10001) *($AR76 = [2]SalmonProps!$G$2:$G$10001),0), 19))</f>
        <v>NA</v>
      </c>
      <c r="P76" s="165" t="str" cm="1">
        <f t="array" ref="P76">IF(ISBLANK($AQ76), "", INDEX([2]SalmonProps!$A$2:$AA$10001,MATCH(1,($A76=[2]SalmonProps!$A$2:$A$10001)*(2=[2]SalmonProps!$C$2:$C$10001)*(1=[2]SalmonProps!$D$2:$D$10001)*("A2" = [2]SalmonProps!$B$2:$B$10001)*($AP76 = [2]SalmonProps!$F$2:$F$10001) *($AR76 = [2]SalmonProps!$G$2:$G$10001),0), 19))</f>
        <v>NA</v>
      </c>
      <c r="Q76" s="168" t="str" cm="1">
        <f t="array" ref="Q76">IF(ISBLANK($AQ76), "", INDEX([2]SalmonProps!$A$2:$AA$10001,MATCH(1,($A76=[2]SalmonProps!$A$2:$A$10001)*(3=[2]SalmonProps!$C$2:$C$10001)*(1=[2]SalmonProps!$D$2:$D$10001)*("A2" = [2]SalmonProps!$B$2:$B$10001)*($AP76 = [2]SalmonProps!$F$2:$F$10001) *($AR76 = [2]SalmonProps!$G$2:$G$10001),0), 19))</f>
        <v>NA</v>
      </c>
      <c r="R76" s="164" cm="1">
        <f t="array" ref="R76">IF(ISBLANK($AQ76), "", INDEX([2]SalmonProps!$A$2:$AA$10001,MATCH(1,($A76=[2]SalmonProps!$A$2:$A$10001)*(1=[2]SalmonProps!$C$2:$C$10001)*(1=[2]SalmonProps!$D$2:$D$10001)*("A1" = [2]SalmonProps!$B$2:$B$10001)*($AP76 = [2]SalmonProps!$F$2:$F$10001) *($AR76 = [2]SalmonProps!$G$2:$G$10001),0), 18))</f>
        <v>0.26500000000000001</v>
      </c>
      <c r="S76" s="165" cm="1">
        <f t="array" ref="S76">IF(ISBLANK($AQ76), "", INDEX([2]SalmonProps!$A$2:$AA$10001,MATCH(1,($A76=[2]SalmonProps!$A$2:$A$10001)*(1=[2]SalmonProps!$C$2:$C$10001)*(2=[2]SalmonProps!$D$2:$D$10001)*("A1" = [2]SalmonProps!$B$2:$B$10001)*($AP76 = [2]SalmonProps!$F$2:$F$10001) *($AR76 = [2]SalmonProps!$G$2:$G$10001),0), 18))</f>
        <v>0.3538</v>
      </c>
      <c r="T76" s="165" cm="1">
        <f t="array" ref="T76">IF(ISBLANK($AQ76), "", INDEX([2]SalmonProps!$A$2:$AA$10001,MATCH(1,($A76=[2]SalmonProps!$A$2:$A$10001)*(1=[2]SalmonProps!$C$2:$C$10001)*("1&amp;2"=[2]SalmonProps!$D$2:$D$10001)*("A1" = [2]SalmonProps!$B$2:$B$10001)*($AP76 = [2]SalmonProps!$F$2:$F$10001) *($AR76 = [2]SalmonProps!$G$2:$G$10001),0), 18))</f>
        <v>0.31630000000000003</v>
      </c>
      <c r="U76" s="165" cm="1">
        <f t="array" ref="U76">IF(ISBLANK($AQ76), "", INDEX([2]SalmonProps!$A$2:$AA$10001,MATCH(1,($A76=[2]SalmonProps!$A$2:$A$10001)*(2=[2]SalmonProps!$C$2:$C$10001)*(3=[2]SalmonProps!$D$2:$D$10001)*("A1" = [2]SalmonProps!$B$2:$B$10001)*($AP76 = [2]SalmonProps!$F$2:$F$10001) *($AR76 = [2]SalmonProps!$G$2:$G$10001),0), 18))</f>
        <v>0.91710000000000003</v>
      </c>
      <c r="V76" s="181" cm="1">
        <f t="array" ref="V76">IF(ISBLANK($AQ76), "", INDEX([2]SalmonProps!$A$2:$AA$10001,MATCH(1,($A76=[2]SalmonProps!$A$2:$A$10001)*(3=[2]SalmonProps!$C$2:$C$10001)*(3=[2]SalmonProps!$D$2:$D$10001)*("A1" = [2]SalmonProps!$B$2:$B$10001)*($AP76 = [2]SalmonProps!$F$2:$F$10001) *($AR76 = [2]SalmonProps!$G$2:$G$10001),0), 18))</f>
        <v>0.7581</v>
      </c>
      <c r="W76" s="180" cm="1">
        <f t="array" ref="W76">IF(ISBLANK($AQ76), "", INDEX([2]SalmonProps!$A$2:$AA$10001,MATCH(1,($A76=[2]SalmonProps!$A$2:$A$10001)*(1=[2]SalmonProps!$C$2:$C$10001)*(1=[2]SalmonProps!$D$2:$D$10001)*("A2" = [2]SalmonProps!$B$2:$B$10001)*($AP76 = [2]SalmonProps!$F$2:$F$10001) *($AR76 = [2]SalmonProps!$G$2:$G$10001),0), 18))</f>
        <v>0.70169999999999999</v>
      </c>
      <c r="X76" s="165" cm="1">
        <f t="array" ref="X76">IF(ISBLANK($AQ76), "", INDEX([2]SalmonProps!$A$2:$AA$10001,MATCH(1,($A76=[2]SalmonProps!$A$2:$A$10001)*(2=[2]SalmonProps!$C$2:$C$10001)*(1=[2]SalmonProps!$D$2:$D$10001)*("A2" = [2]SalmonProps!$B$2:$B$10001)*($AP76 = [2]SalmonProps!$F$2:$F$10001) *($AR76 = [2]SalmonProps!$G$2:$G$10001),0), 18))</f>
        <v>0.66139999999999999</v>
      </c>
      <c r="Y76" s="168" cm="1">
        <f t="array" ref="Y76">IF(ISBLANK($AQ76), "", INDEX([2]SalmonProps!$A$2:$AA$10001,MATCH(1,($A76=[2]SalmonProps!$A$2:$A$10001)*(3=[2]SalmonProps!$C$2:$C$10001)*(1=[2]SalmonProps!$D$2:$D$10001)*("A2" = [2]SalmonProps!$B$2:$B$10001)*($AP76 = [2]SalmonProps!$F$2:$F$10001) *($AR76 = [2]SalmonProps!$G$2:$G$10001),0), 18))</f>
        <v>0.44950000000000001</v>
      </c>
      <c r="Z76" s="164" cm="1">
        <f t="array" ref="Z76">IF(ISBLANK($AQ76), "", INDEX([2]SalmonProps!$A$2:$AA$10001,MATCH(1,($A76=[2]SalmonProps!$A$2:$A$10001)*(1=[2]SalmonProps!$C$2:$C$10001)*(1=[2]SalmonProps!$D$2:$D$10001)*("A1" = [2]SalmonProps!$B$2:$B$10001)*($AP76 = [2]SalmonProps!$F$2:$F$10001) *($AR76 = [2]SalmonProps!$G$2:$G$10001),0), 15))</f>
        <v>0.26619999999999999</v>
      </c>
      <c r="AA76" s="165" cm="1">
        <f t="array" ref="AA76">IF(ISBLANK($AQ76), "", INDEX([2]SalmonProps!$A$2:$AA$10001,MATCH(1,($A76=[2]SalmonProps!$A$2:$A$10001)*(1=[2]SalmonProps!$C$2:$C$10001)*(2=[2]SalmonProps!$D$2:$D$10001)*("A1" = [2]SalmonProps!$B$2:$B$10001)*($AP76 = [2]SalmonProps!$F$2:$F$10001) *($AR76 = [2]SalmonProps!$G$2:$G$10001),0), 15))</f>
        <v>0.4667</v>
      </c>
      <c r="AB76" s="165" cm="1">
        <f t="array" ref="AB76">IF(ISBLANK($AQ76), "", INDEX([2]SalmonProps!$A$2:$AA$10001,MATCH(1,($A76=[2]SalmonProps!$A$2:$A$10001)*(1=[2]SalmonProps!$C$2:$C$10001)*("1&amp;2"=[2]SalmonProps!$D$2:$D$10001)*("A1" = [2]SalmonProps!$B$2:$B$10001)*($AP76 = [2]SalmonProps!$F$2:$F$10001) *($AR76 = [2]SalmonProps!$G$2:$G$10001),0), 15))</f>
        <v>0.36840000000000001</v>
      </c>
      <c r="AC76" s="165" cm="1">
        <f t="array" ref="AC76">IF(ISBLANK($AQ76), "", INDEX([2]SalmonProps!$A$2:$AA$10001,MATCH(1,($A76=[2]SalmonProps!$A$2:$A$10001)*(2=[2]SalmonProps!$C$2:$C$10001)*(3=[2]SalmonProps!$D$2:$D$10001)*("A1" = [2]SalmonProps!$B$2:$B$10001)*($AP76 = [2]SalmonProps!$F$2:$F$10001) *($AR76 = [2]SalmonProps!$G$2:$G$10001),0), 15))</f>
        <v>0.9657</v>
      </c>
      <c r="AD76" s="181" cm="1">
        <f t="array" ref="AD76">IF(ISBLANK($AQ76), "", INDEX([2]SalmonProps!$A$2:$AA$10001,MATCH(1,($A76=[2]SalmonProps!$A$2:$A$10001)*(3=[2]SalmonProps!$C$2:$C$10001)*(3=[2]SalmonProps!$D$2:$D$10001)*("A1" = [2]SalmonProps!$B$2:$B$10001)*($AP76 = [2]SalmonProps!$F$2:$F$10001) *($AR76 = [2]SalmonProps!$G$2:$G$10001),0), 15))</f>
        <v>0.96560000000000001</v>
      </c>
      <c r="AE76" s="166" cm="1">
        <f t="array" ref="AE76">IF(ISBLANK($AQ76), "", INDEX([2]SalmonProps!$A$2:$AA$10001,MATCH(1,($A76=[2]SalmonProps!$A$2:$A$10001)*(1=[2]SalmonProps!$C$2:$C$10001)*(1=[2]SalmonProps!$D$2:$D$10001)*("A2" = [2]SalmonProps!$B$2:$B$10001)*($AP76 = [2]SalmonProps!$F$2:$F$10001) *($AR76 = [2]SalmonProps!$G$2:$G$10001),0), 15))</f>
        <v>0.71289999999999998</v>
      </c>
      <c r="AF76" s="166" cm="1">
        <f t="array" ref="AF76">IF(ISBLANK($AQ76), "", INDEX([2]SalmonProps!$A$2:$AA$10001,MATCH(1,($A76=[2]SalmonProps!$A$2:$A$10001)*(2=[2]SalmonProps!$C$2:$C$10001)*(1=[2]SalmonProps!$D$2:$D$10001)*("A2" = [2]SalmonProps!$B$2:$B$10001)*($AP76 = [2]SalmonProps!$F$2:$F$10001) *($AR76 = [2]SalmonProps!$G$2:$G$10001),0), 15))</f>
        <v>0.78420000000000001</v>
      </c>
      <c r="AG76" s="167" cm="1">
        <f t="array" ref="AG76">IF(ISBLANK($AQ76), "", INDEX([2]SalmonProps!$A$2:$AA$10001,MATCH(1,($A76=[2]SalmonProps!$A$2:$A$10001)*(3=[2]SalmonProps!$C$2:$C$10001)*(1=[2]SalmonProps!$D$2:$D$10001)*("A2" = [2]SalmonProps!$B$2:$B$10001)*($AP76 = [2]SalmonProps!$F$2:$F$10001) *($AR76 = [2]SalmonProps!$G$2:$G$10001),0), 15))</f>
        <v>0.92169999999999996</v>
      </c>
      <c r="AH76" s="173" cm="1">
        <f t="array" ref="AH76">IF(ISBLANK($AQ76), "", INDEX([2]SalmonProps!$A$2:$AA$10001,MATCH(1,($A76=[2]SalmonProps!$A$2:$A$10001)*($AP76 = [2]SalmonProps!$F$2:$F$10001) *($AR76 = [2]SalmonProps!$G$2:$G$10001),0), 24))</f>
        <v>54.2</v>
      </c>
      <c r="AI76" s="183" cm="1">
        <f t="array" ref="AI76">IF(ISBLANK($AQ76), "", INDEX([2]SalmonProps!$A$2:$AA$10001,MATCH(1,($A76=[2]SalmonProps!$A$2:$A$10001)*($AP76 = [2]SalmonProps!$F$2:$F$10001) *($AR76 = [2]SalmonProps!$G$2:$G$10001),0), 25))</f>
        <v>7</v>
      </c>
      <c r="AJ76" s="174" cm="1">
        <f t="array" ref="AJ76">IF(ISBLANK($AQ76), "", INDEX([2]SalmonProps!$A$2:$AA$10001,MATCH(1,($A76=[2]SalmonProps!$A$2:$A$10001)*($AP76 = [2]SalmonProps!$F$2:$F$10001) *($AR76 = [2]SalmonProps!$G$2:$G$10001),0), 20))</f>
        <v>59.7</v>
      </c>
      <c r="AK76" s="183" cm="1">
        <f t="array" ref="AK76">IF(ISBLANK($AQ76), "", INDEX([2]SalmonProps!$A$2:$AA$10001,MATCH(1,($A76=[2]SalmonProps!$A$2:$A$10001)*($AP76 = [2]SalmonProps!$F$2:$F$10001) *($AR76 = [2]SalmonProps!$G$2:$G$10001),0), 21))</f>
        <v>4.8</v>
      </c>
      <c r="AL76" s="174" cm="1">
        <f t="array" ref="AL76">IF(ISBLANK($AQ76), "", INDEX([2]SalmonProps!$A$2:$AA$10001,MATCH(1,($A76=[2]SalmonProps!$A$2:$A$10001)*($AP76 = [2]SalmonProps!$F$2:$F$10001) *($AR76 = [2]SalmonProps!$G$2:$G$10001),0), 22))</f>
        <v>72.900000000000006</v>
      </c>
      <c r="AM76" s="183" cm="1">
        <f t="array" ref="AM76">IF(ISBLANK($AQ76), "", INDEX([2]SalmonProps!$A$2:$AA$10001,MATCH(1,($A76=[2]SalmonProps!$A$2:$A$10001)*($AP76 = [2]SalmonProps!$F$2:$F$10001) *($AR76 = [2]SalmonProps!$G$2:$G$10001),0), 23))</f>
        <v>7.4</v>
      </c>
      <c r="AN76" s="174" t="str" cm="1">
        <f t="array" ref="AN76">IF(ISBLANK($AQ76), "", INDEX([2]SalmonProps!$A$2:$AA$10001,MATCH(1,($A76=[2]SalmonProps!$A$2:$A$10001)*($AP76 = [2]SalmonProps!$F$2:$F$10001) *($AR76 = [2]SalmonProps!$G$2:$G$10001),0), 26))</f>
        <v>NA</v>
      </c>
      <c r="AO76" s="175" t="str" cm="1">
        <f t="array" ref="AO76">IF(ISBLANK($AQ76), "", INDEX([2]SalmonProps!$A$2:$AA$10001,MATCH(1,($A76=[2]SalmonProps!$A$2:$A$10001)*($AP76 = [2]SalmonProps!$F$2:$F$10001) *($AR76 = [2]SalmonProps!$G$2:$G$10001),0), 27))</f>
        <v>NA</v>
      </c>
      <c r="AP76" s="112">
        <v>4</v>
      </c>
      <c r="AQ76" s="112" t="s">
        <v>133</v>
      </c>
      <c r="AR76" s="112" t="str">
        <f t="shared" si="2"/>
        <v>Unweighted</v>
      </c>
    </row>
    <row r="77" spans="1:44" x14ac:dyDescent="0.3">
      <c r="A77" s="20">
        <f>'[1]Passage Estimates'!$A77</f>
        <v>45179</v>
      </c>
      <c r="B77" s="164" cm="1">
        <f t="array" ref="B77">IF(ISBLANK($AQ77), "", INDEX([2]SalmonProps!$A$2:$AA$10001,MATCH(1,($A77=[2]SalmonProps!$A$2:$A$10001)*(1=[2]SalmonProps!$C$2:$C$10001)*(1=[2]SalmonProps!$D$2:$D$10001)*("A1" = [2]SalmonProps!$B$2:$B$10001)*($AP77 = [2]SalmonProps!$F$2:$F$10001) *($AR77 = [2]SalmonProps!$G$2:$G$10001),0), 17))</f>
        <v>0</v>
      </c>
      <c r="C77" s="165" cm="1">
        <f t="array" ref="C77">IF(ISBLANK($AQ77), "", INDEX([2]SalmonProps!$A$2:$AA$10001,MATCH(1,($A77=[2]SalmonProps!$A$2:$A$10001)*(1=[2]SalmonProps!$C$2:$C$10001)*(2=[2]SalmonProps!$D$2:$D$10001)*("A1" = [2]SalmonProps!$B$2:$B$10001)*($AP77 = [2]SalmonProps!$F$2:$F$10001) *($AR77 = [2]SalmonProps!$G$2:$G$10001),0), 17))</f>
        <v>0</v>
      </c>
      <c r="D77" s="165" cm="1">
        <f t="array" ref="D77">IF(ISBLANK($AQ77), "", INDEX([2]SalmonProps!$A$2:$AA$10001,MATCH(1,($A77=[2]SalmonProps!$A$2:$A$10001)*(1=[2]SalmonProps!$C$2:$C$10001)*("1&amp;2"=[2]SalmonProps!$D$2:$D$10001)*("A1" = [2]SalmonProps!$B$2:$B$10001)*($AP77 = [2]SalmonProps!$F$2:$F$10001) *($AR77 = [2]SalmonProps!$G$2:$G$10001),0), 17))</f>
        <v>0</v>
      </c>
      <c r="E77" s="181" cm="1">
        <f t="array" ref="E77">IF(ISBLANK($AQ77), "", INDEX([2]SalmonProps!$A$2:$AA$10001,MATCH(1,($A77=[2]SalmonProps!$A$2:$A$10001)*(2=[2]SalmonProps!$C$2:$C$10001)*(3=[2]SalmonProps!$D$2:$D$10001)*("A1" = [2]SalmonProps!$B$2:$B$10001)*($AP77 = [2]SalmonProps!$F$2:$F$10001) *($AR77 = [2]SalmonProps!$G$2:$G$10001),0), 17))</f>
        <v>0.1045</v>
      </c>
      <c r="F77" s="165" cm="1">
        <f t="array" ref="F77">IF(ISBLANK($AQ77), "", INDEX([2]SalmonProps!$A$2:$AA$10001,MATCH(1,($A77=[2]SalmonProps!$A$2:$A$10001)*(3=[2]SalmonProps!$C$2:$C$10001)*(3=[2]SalmonProps!$D$2:$D$10001)*("A1" = [2]SalmonProps!$B$2:$B$10001)*($AP77 = [2]SalmonProps!$F$2:$F$10001) *($AR77 = [2]SalmonProps!$G$2:$G$10001),0), 17))</f>
        <v>0.30649999999999999</v>
      </c>
      <c r="G77" s="165" cm="1">
        <f t="array" ref="G77">IF(ISBLANK($AQ77), "", INDEX([2]SalmonProps!$A$2:$AA$10001,MATCH(1,($A77=[2]SalmonProps!$A$2:$A$10001)*(1=[2]SalmonProps!$C$2:$C$10001)*(1=[2]SalmonProps!$D$2:$D$10001)*("A2" = [2]SalmonProps!$B$2:$B$10001)*($AP77 = [2]SalmonProps!$F$2:$F$10001) *($AR77 = [2]SalmonProps!$G$2:$G$10001),0), 17))</f>
        <v>1.12E-2</v>
      </c>
      <c r="H77" s="166" cm="1">
        <f t="array" ref="H77">IF(ISBLANK($AQ77), "", INDEX([2]SalmonProps!$A$2:$AA$10001,MATCH(1,($A77=[2]SalmonProps!$A$2:$A$10001)*(2=[2]SalmonProps!$C$2:$C$10001)*(1=[2]SalmonProps!$D$2:$D$10001)*("A2" = [2]SalmonProps!$B$2:$B$10001)*($AP77 = [2]SalmonProps!$F$2:$F$10001) *($AR77 = [2]SalmonProps!$G$2:$G$10001),0), 17))</f>
        <v>0.12280000000000001</v>
      </c>
      <c r="I77" s="167" cm="1">
        <f t="array" ref="I77">IF(ISBLANK($AQ77), "", INDEX([2]SalmonProps!$A$2:$AA$10001,MATCH(1,($A77=[2]SalmonProps!$A$2:$A$10001)*(3=[2]SalmonProps!$C$2:$C$10001)*(1=[2]SalmonProps!$D$2:$D$10001)*("A2" = [2]SalmonProps!$B$2:$B$10001)*($AP77 = [2]SalmonProps!$F$2:$F$10001) *($AR77 = [2]SalmonProps!$G$2:$G$10001),0), 17))</f>
        <v>0.47220000000000001</v>
      </c>
      <c r="J77" s="164" t="str" cm="1">
        <f t="array" ref="J77">IF(ISBLANK($AQ77), "", INDEX([2]SalmonProps!$A$2:$AA$10001,MATCH(1,($A77=[2]SalmonProps!$A$2:$A$10001)*(1=[2]SalmonProps!$C$2:$C$10001)*(1=[2]SalmonProps!$D$2:$D$10001)*("A1" = [2]SalmonProps!$B$2:$B$10001)*($AP77 = [2]SalmonProps!$F$2:$F$10001) *($AR77 = [2]SalmonProps!$G$2:$G$10001),0), 19))</f>
        <v>NA</v>
      </c>
      <c r="K77" s="165" t="str" cm="1">
        <f t="array" ref="K77">IF(ISBLANK($AQ77), "", INDEX([2]SalmonProps!$A$2:$AA$10001,MATCH(1,($A77=[2]SalmonProps!$A$2:$A$10001)*(1=[2]SalmonProps!$C$2:$C$10001)*(2=[2]SalmonProps!$D$2:$D$10001)*("A1" = [2]SalmonProps!$B$2:$B$10001)*($AP77 = [2]SalmonProps!$F$2:$F$10001) *($AR77 = [2]SalmonProps!$G$2:$G$10001),0), 19))</f>
        <v>NA</v>
      </c>
      <c r="L77" s="165" t="str" cm="1">
        <f t="array" ref="L77">IF(ISBLANK($AQ77), "", INDEX([2]SalmonProps!$A$2:$AA$10001,MATCH(1,($A77=[2]SalmonProps!$A$2:$A$10001)*(1=[2]SalmonProps!$C$2:$C$10001)*("1&amp;2"=[2]SalmonProps!$D$2:$D$10001)*("A1" = [2]SalmonProps!$B$2:$B$10001)*($AP77 = [2]SalmonProps!$F$2:$F$10001) *($AR77 = [2]SalmonProps!$G$2:$G$10001),0), 19))</f>
        <v>NA</v>
      </c>
      <c r="M77" s="165" t="str" cm="1">
        <f t="array" ref="M77">IF(ISBLANK($AQ77), "", INDEX([2]SalmonProps!$A$2:$AA$10001,MATCH(1,($A77=[2]SalmonProps!$A$2:$A$10001)*(2=[2]SalmonProps!$C$2:$C$10001)*(3=[2]SalmonProps!$D$2:$D$10001)*("A1" = [2]SalmonProps!$B$2:$B$10001)*($AP77 = [2]SalmonProps!$F$2:$F$10001) *($AR77 = [2]SalmonProps!$G$2:$G$10001),0), 19))</f>
        <v>NA</v>
      </c>
      <c r="N77" s="181" t="str" cm="1">
        <f t="array" ref="N77">IF(ISBLANK($AQ77), "", INDEX([2]SalmonProps!$A$2:$AA$10001,MATCH(1,($A77=[2]SalmonProps!$A$2:$A$10001)*(3=[2]SalmonProps!$C$2:$C$10001)*(3=[2]SalmonProps!$D$2:$D$10001)*("A1" = [2]SalmonProps!$B$2:$B$10001)*($AP77 = [2]SalmonProps!$F$2:$F$10001) *($AR77 = [2]SalmonProps!$G$2:$G$10001),0), 19))</f>
        <v>NA</v>
      </c>
      <c r="O77" s="165" t="str" cm="1">
        <f t="array" ref="O77">IF(ISBLANK($AQ77), "", INDEX([2]SalmonProps!$A$2:$AA$10001,MATCH(1,($A77=[2]SalmonProps!$A$2:$A$10001)*(1=[2]SalmonProps!$C$2:$C$10001)*(1=[2]SalmonProps!$D$2:$D$10001)*("A2" = [2]SalmonProps!$B$2:$B$10001)*($AP77 = [2]SalmonProps!$F$2:$F$10001) *($AR77 = [2]SalmonProps!$G$2:$G$10001),0), 19))</f>
        <v>NA</v>
      </c>
      <c r="P77" s="165" t="str" cm="1">
        <f t="array" ref="P77">IF(ISBLANK($AQ77), "", INDEX([2]SalmonProps!$A$2:$AA$10001,MATCH(1,($A77=[2]SalmonProps!$A$2:$A$10001)*(2=[2]SalmonProps!$C$2:$C$10001)*(1=[2]SalmonProps!$D$2:$D$10001)*("A2" = [2]SalmonProps!$B$2:$B$10001)*($AP77 = [2]SalmonProps!$F$2:$F$10001) *($AR77 = [2]SalmonProps!$G$2:$G$10001),0), 19))</f>
        <v>NA</v>
      </c>
      <c r="Q77" s="168" t="str" cm="1">
        <f t="array" ref="Q77">IF(ISBLANK($AQ77), "", INDEX([2]SalmonProps!$A$2:$AA$10001,MATCH(1,($A77=[2]SalmonProps!$A$2:$A$10001)*(3=[2]SalmonProps!$C$2:$C$10001)*(1=[2]SalmonProps!$D$2:$D$10001)*("A2" = [2]SalmonProps!$B$2:$B$10001)*($AP77 = [2]SalmonProps!$F$2:$F$10001) *($AR77 = [2]SalmonProps!$G$2:$G$10001),0), 19))</f>
        <v>NA</v>
      </c>
      <c r="R77" s="164" cm="1">
        <f t="array" ref="R77">IF(ISBLANK($AQ77), "", INDEX([2]SalmonProps!$A$2:$AA$10001,MATCH(1,($A77=[2]SalmonProps!$A$2:$A$10001)*(1=[2]SalmonProps!$C$2:$C$10001)*(1=[2]SalmonProps!$D$2:$D$10001)*("A1" = [2]SalmonProps!$B$2:$B$10001)*($AP77 = [2]SalmonProps!$F$2:$F$10001) *($AR77 = [2]SalmonProps!$G$2:$G$10001),0), 18))</f>
        <v>0.28920000000000001</v>
      </c>
      <c r="S77" s="165" cm="1">
        <f t="array" ref="S77">IF(ISBLANK($AQ77), "", INDEX([2]SalmonProps!$A$2:$AA$10001,MATCH(1,($A77=[2]SalmonProps!$A$2:$A$10001)*(1=[2]SalmonProps!$C$2:$C$10001)*(2=[2]SalmonProps!$D$2:$D$10001)*("A1" = [2]SalmonProps!$B$2:$B$10001)*($AP77 = [2]SalmonProps!$F$2:$F$10001) *($AR77 = [2]SalmonProps!$G$2:$G$10001),0), 18))</f>
        <v>0.41489999999999999</v>
      </c>
      <c r="T77" s="165" cm="1">
        <f t="array" ref="T77">IF(ISBLANK($AQ77), "", INDEX([2]SalmonProps!$A$2:$AA$10001,MATCH(1,($A77=[2]SalmonProps!$A$2:$A$10001)*(1=[2]SalmonProps!$C$2:$C$10001)*("1&amp;2"=[2]SalmonProps!$D$2:$D$10001)*("A1" = [2]SalmonProps!$B$2:$B$10001)*($AP77 = [2]SalmonProps!$F$2:$F$10001) *($AR77 = [2]SalmonProps!$G$2:$G$10001),0), 18))</f>
        <v>0.35570000000000002</v>
      </c>
      <c r="U77" s="165" cm="1">
        <f t="array" ref="U77">IF(ISBLANK($AQ77), "", INDEX([2]SalmonProps!$A$2:$AA$10001,MATCH(1,($A77=[2]SalmonProps!$A$2:$A$10001)*(2=[2]SalmonProps!$C$2:$C$10001)*(3=[2]SalmonProps!$D$2:$D$10001)*("A1" = [2]SalmonProps!$B$2:$B$10001)*($AP77 = [2]SalmonProps!$F$2:$F$10001) *($AR77 = [2]SalmonProps!$G$2:$G$10001),0), 18))</f>
        <v>0.71589999999999998</v>
      </c>
      <c r="V77" s="181" cm="1">
        <f t="array" ref="V77">IF(ISBLANK($AQ77), "", INDEX([2]SalmonProps!$A$2:$AA$10001,MATCH(1,($A77=[2]SalmonProps!$A$2:$A$10001)*(3=[2]SalmonProps!$C$2:$C$10001)*(3=[2]SalmonProps!$D$2:$D$10001)*("A1" = [2]SalmonProps!$B$2:$B$10001)*($AP77 = [2]SalmonProps!$F$2:$F$10001) *($AR77 = [2]SalmonProps!$G$2:$G$10001),0), 18))</f>
        <v>0.58020000000000005</v>
      </c>
      <c r="W77" s="180" cm="1">
        <f t="array" ref="W77">IF(ISBLANK($AQ77), "", INDEX([2]SalmonProps!$A$2:$AA$10001,MATCH(1,($A77=[2]SalmonProps!$A$2:$A$10001)*(1=[2]SalmonProps!$C$2:$C$10001)*(1=[2]SalmonProps!$D$2:$D$10001)*("A2" = [2]SalmonProps!$B$2:$B$10001)*($AP77 = [2]SalmonProps!$F$2:$F$10001) *($AR77 = [2]SalmonProps!$G$2:$G$10001),0), 18))</f>
        <v>0.70169999999999999</v>
      </c>
      <c r="X77" s="165" cm="1">
        <f t="array" ref="X77">IF(ISBLANK($AQ77), "", INDEX([2]SalmonProps!$A$2:$AA$10001,MATCH(1,($A77=[2]SalmonProps!$A$2:$A$10001)*(2=[2]SalmonProps!$C$2:$C$10001)*(1=[2]SalmonProps!$D$2:$D$10001)*("A2" = [2]SalmonProps!$B$2:$B$10001)*($AP77 = [2]SalmonProps!$F$2:$F$10001) *($AR77 = [2]SalmonProps!$G$2:$G$10001),0), 18))</f>
        <v>0.66139999999999999</v>
      </c>
      <c r="Y77" s="168" cm="1">
        <f t="array" ref="Y77">IF(ISBLANK($AQ77), "", INDEX([2]SalmonProps!$A$2:$AA$10001,MATCH(1,($A77=[2]SalmonProps!$A$2:$A$10001)*(3=[2]SalmonProps!$C$2:$C$10001)*(1=[2]SalmonProps!$D$2:$D$10001)*("A2" = [2]SalmonProps!$B$2:$B$10001)*($AP77 = [2]SalmonProps!$F$2:$F$10001) *($AR77 = [2]SalmonProps!$G$2:$G$10001),0), 18))</f>
        <v>0.44950000000000001</v>
      </c>
      <c r="Z77" s="164" cm="1">
        <f t="array" ref="Z77">IF(ISBLANK($AQ77), "", INDEX([2]SalmonProps!$A$2:$AA$10001,MATCH(1,($A77=[2]SalmonProps!$A$2:$A$10001)*(1=[2]SalmonProps!$C$2:$C$10001)*(1=[2]SalmonProps!$D$2:$D$10001)*("A1" = [2]SalmonProps!$B$2:$B$10001)*($AP77 = [2]SalmonProps!$F$2:$F$10001) *($AR77 = [2]SalmonProps!$G$2:$G$10001),0), 15))</f>
        <v>0.32569999999999999</v>
      </c>
      <c r="AA77" s="165" cm="1">
        <f t="array" ref="AA77">IF(ISBLANK($AQ77), "", INDEX([2]SalmonProps!$A$2:$AA$10001,MATCH(1,($A77=[2]SalmonProps!$A$2:$A$10001)*(1=[2]SalmonProps!$C$2:$C$10001)*(2=[2]SalmonProps!$D$2:$D$10001)*("A1" = [2]SalmonProps!$B$2:$B$10001)*($AP77 = [2]SalmonProps!$F$2:$F$10001) *($AR77 = [2]SalmonProps!$G$2:$G$10001),0), 15))</f>
        <v>0.5544</v>
      </c>
      <c r="AB77" s="165" cm="1">
        <f t="array" ref="AB77">IF(ISBLANK($AQ77), "", INDEX([2]SalmonProps!$A$2:$AA$10001,MATCH(1,($A77=[2]SalmonProps!$A$2:$A$10001)*(1=[2]SalmonProps!$C$2:$C$10001)*("1&amp;2"=[2]SalmonProps!$D$2:$D$10001)*("A1" = [2]SalmonProps!$B$2:$B$10001)*($AP77 = [2]SalmonProps!$F$2:$F$10001) *($AR77 = [2]SalmonProps!$G$2:$G$10001),0), 15))</f>
        <v>0.4446</v>
      </c>
      <c r="AC77" s="165" cm="1">
        <f t="array" ref="AC77">IF(ISBLANK($AQ77), "", INDEX([2]SalmonProps!$A$2:$AA$10001,MATCH(1,($A77=[2]SalmonProps!$A$2:$A$10001)*(2=[2]SalmonProps!$C$2:$C$10001)*(3=[2]SalmonProps!$D$2:$D$10001)*("A1" = [2]SalmonProps!$B$2:$B$10001)*($AP77 = [2]SalmonProps!$F$2:$F$10001) *($AR77 = [2]SalmonProps!$G$2:$G$10001),0), 15))</f>
        <v>0.82040000000000002</v>
      </c>
      <c r="AD77" s="181" cm="1">
        <f t="array" ref="AD77">IF(ISBLANK($AQ77), "", INDEX([2]SalmonProps!$A$2:$AA$10001,MATCH(1,($A77=[2]SalmonProps!$A$2:$A$10001)*(3=[2]SalmonProps!$C$2:$C$10001)*(3=[2]SalmonProps!$D$2:$D$10001)*("A1" = [2]SalmonProps!$B$2:$B$10001)*($AP77 = [2]SalmonProps!$F$2:$F$10001) *($AR77 = [2]SalmonProps!$G$2:$G$10001),0), 15))</f>
        <v>0.96850000000000003</v>
      </c>
      <c r="AE77" s="166" cm="1">
        <f t="array" ref="AE77">IF(ISBLANK($AQ77), "", INDEX([2]SalmonProps!$A$2:$AA$10001,MATCH(1,($A77=[2]SalmonProps!$A$2:$A$10001)*(1=[2]SalmonProps!$C$2:$C$10001)*(1=[2]SalmonProps!$D$2:$D$10001)*("A2" = [2]SalmonProps!$B$2:$B$10001)*($AP77 = [2]SalmonProps!$F$2:$F$10001) *($AR77 = [2]SalmonProps!$G$2:$G$10001),0), 15))</f>
        <v>0.71289999999999998</v>
      </c>
      <c r="AF77" s="166" cm="1">
        <f t="array" ref="AF77">IF(ISBLANK($AQ77), "", INDEX([2]SalmonProps!$A$2:$AA$10001,MATCH(1,($A77=[2]SalmonProps!$A$2:$A$10001)*(2=[2]SalmonProps!$C$2:$C$10001)*(1=[2]SalmonProps!$D$2:$D$10001)*("A2" = [2]SalmonProps!$B$2:$B$10001)*($AP77 = [2]SalmonProps!$F$2:$F$10001) *($AR77 = [2]SalmonProps!$G$2:$G$10001),0), 15))</f>
        <v>0.78420000000000001</v>
      </c>
      <c r="AG77" s="167" cm="1">
        <f t="array" ref="AG77">IF(ISBLANK($AQ77), "", INDEX([2]SalmonProps!$A$2:$AA$10001,MATCH(1,($A77=[2]SalmonProps!$A$2:$A$10001)*(3=[2]SalmonProps!$C$2:$C$10001)*(1=[2]SalmonProps!$D$2:$D$10001)*("A2" = [2]SalmonProps!$B$2:$B$10001)*($AP77 = [2]SalmonProps!$F$2:$F$10001) *($AR77 = [2]SalmonProps!$G$2:$G$10001),0), 15))</f>
        <v>0.92169999999999996</v>
      </c>
      <c r="AH77" s="173" cm="1">
        <f t="array" ref="AH77">IF(ISBLANK($AQ77), "", INDEX([2]SalmonProps!$A$2:$AA$10001,MATCH(1,($A77=[2]SalmonProps!$A$2:$A$10001)*($AP77 = [2]SalmonProps!$F$2:$F$10001) *($AR77 = [2]SalmonProps!$G$2:$G$10001),0), 24))</f>
        <v>54.2</v>
      </c>
      <c r="AI77" s="183" cm="1">
        <f t="array" ref="AI77">IF(ISBLANK($AQ77), "", INDEX([2]SalmonProps!$A$2:$AA$10001,MATCH(1,($A77=[2]SalmonProps!$A$2:$A$10001)*($AP77 = [2]SalmonProps!$F$2:$F$10001) *($AR77 = [2]SalmonProps!$G$2:$G$10001),0), 25))</f>
        <v>7</v>
      </c>
      <c r="AJ77" s="174" cm="1">
        <f t="array" ref="AJ77">IF(ISBLANK($AQ77), "", INDEX([2]SalmonProps!$A$2:$AA$10001,MATCH(1,($A77=[2]SalmonProps!$A$2:$A$10001)*($AP77 = [2]SalmonProps!$F$2:$F$10001) *($AR77 = [2]SalmonProps!$G$2:$G$10001),0), 20))</f>
        <v>59.7</v>
      </c>
      <c r="AK77" s="183" cm="1">
        <f t="array" ref="AK77">IF(ISBLANK($AQ77), "", INDEX([2]SalmonProps!$A$2:$AA$10001,MATCH(1,($A77=[2]SalmonProps!$A$2:$A$10001)*($AP77 = [2]SalmonProps!$F$2:$F$10001) *($AR77 = [2]SalmonProps!$G$2:$G$10001),0), 21))</f>
        <v>4.8</v>
      </c>
      <c r="AL77" s="174" cm="1">
        <f t="array" ref="AL77">IF(ISBLANK($AQ77), "", INDEX([2]SalmonProps!$A$2:$AA$10001,MATCH(1,($A77=[2]SalmonProps!$A$2:$A$10001)*($AP77 = [2]SalmonProps!$F$2:$F$10001) *($AR77 = [2]SalmonProps!$G$2:$G$10001),0), 22))</f>
        <v>72.900000000000006</v>
      </c>
      <c r="AM77" s="183" cm="1">
        <f t="array" ref="AM77">IF(ISBLANK($AQ77), "", INDEX([2]SalmonProps!$A$2:$AA$10001,MATCH(1,($A77=[2]SalmonProps!$A$2:$A$10001)*($AP77 = [2]SalmonProps!$F$2:$F$10001) *($AR77 = [2]SalmonProps!$G$2:$G$10001),0), 23))</f>
        <v>7.4</v>
      </c>
      <c r="AN77" s="174" t="str" cm="1">
        <f t="array" ref="AN77">IF(ISBLANK($AQ77), "", INDEX([2]SalmonProps!$A$2:$AA$10001,MATCH(1,($A77=[2]SalmonProps!$A$2:$A$10001)*($AP77 = [2]SalmonProps!$F$2:$F$10001) *($AR77 = [2]SalmonProps!$G$2:$G$10001),0), 26))</f>
        <v>NA</v>
      </c>
      <c r="AO77" s="175" t="str" cm="1">
        <f t="array" ref="AO77">IF(ISBLANK($AQ77), "", INDEX([2]SalmonProps!$A$2:$AA$10001,MATCH(1,($A77=[2]SalmonProps!$A$2:$A$10001)*($AP77 = [2]SalmonProps!$F$2:$F$10001) *($AR77 = [2]SalmonProps!$G$2:$G$10001),0), 27))</f>
        <v>NA</v>
      </c>
      <c r="AP77" s="112">
        <v>4</v>
      </c>
      <c r="AQ77" s="112" t="s">
        <v>133</v>
      </c>
      <c r="AR77" s="112" t="str">
        <f t="shared" si="2"/>
        <v>Unweighted</v>
      </c>
    </row>
    <row r="78" spans="1:44" x14ac:dyDescent="0.3">
      <c r="A78" s="20">
        <f>'[1]Passage Estimates'!$A78</f>
        <v>45180</v>
      </c>
      <c r="B78" s="164" cm="1">
        <f t="array" ref="B78">IF(ISBLANK($AQ78), "", INDEX([2]SalmonProps!$A$2:$AA$10001,MATCH(1,($A78=[2]SalmonProps!$A$2:$A$10001)*(1=[2]SalmonProps!$C$2:$C$10001)*(1=[2]SalmonProps!$D$2:$D$10001)*("A1" = [2]SalmonProps!$B$2:$B$10001)*($AP78 = [2]SalmonProps!$F$2:$F$10001) *($AR78 = [2]SalmonProps!$G$2:$G$10001),0), 17))</f>
        <v>0</v>
      </c>
      <c r="C78" s="165" cm="1">
        <f t="array" ref="C78">IF(ISBLANK($AQ78), "", INDEX([2]SalmonProps!$A$2:$AA$10001,MATCH(1,($A78=[2]SalmonProps!$A$2:$A$10001)*(1=[2]SalmonProps!$C$2:$C$10001)*(2=[2]SalmonProps!$D$2:$D$10001)*("A1" = [2]SalmonProps!$B$2:$B$10001)*($AP78 = [2]SalmonProps!$F$2:$F$10001) *($AR78 = [2]SalmonProps!$G$2:$G$10001),0), 17))</f>
        <v>0</v>
      </c>
      <c r="D78" s="165" cm="1">
        <f t="array" ref="D78">IF(ISBLANK($AQ78), "", INDEX([2]SalmonProps!$A$2:$AA$10001,MATCH(1,($A78=[2]SalmonProps!$A$2:$A$10001)*(1=[2]SalmonProps!$C$2:$C$10001)*("1&amp;2"=[2]SalmonProps!$D$2:$D$10001)*("A1" = [2]SalmonProps!$B$2:$B$10001)*($AP78 = [2]SalmonProps!$F$2:$F$10001) *($AR78 = [2]SalmonProps!$G$2:$G$10001),0), 17))</f>
        <v>0</v>
      </c>
      <c r="E78" s="181" cm="1">
        <f t="array" ref="E78">IF(ISBLANK($AQ78), "", INDEX([2]SalmonProps!$A$2:$AA$10001,MATCH(1,($A78=[2]SalmonProps!$A$2:$A$10001)*(2=[2]SalmonProps!$C$2:$C$10001)*(3=[2]SalmonProps!$D$2:$D$10001)*("A1" = [2]SalmonProps!$B$2:$B$10001)*($AP78 = [2]SalmonProps!$F$2:$F$10001) *($AR78 = [2]SalmonProps!$G$2:$G$10001),0), 17))</f>
        <v>0.1157</v>
      </c>
      <c r="F78" s="165" cm="1">
        <f t="array" ref="F78">IF(ISBLANK($AQ78), "", INDEX([2]SalmonProps!$A$2:$AA$10001,MATCH(1,($A78=[2]SalmonProps!$A$2:$A$10001)*(3=[2]SalmonProps!$C$2:$C$10001)*(3=[2]SalmonProps!$D$2:$D$10001)*("A1" = [2]SalmonProps!$B$2:$B$10001)*($AP78 = [2]SalmonProps!$F$2:$F$10001) *($AR78 = [2]SalmonProps!$G$2:$G$10001),0), 17))</f>
        <v>0.42759999999999998</v>
      </c>
      <c r="G78" s="165" cm="1">
        <f t="array" ref="G78">IF(ISBLANK($AQ78), "", INDEX([2]SalmonProps!$A$2:$AA$10001,MATCH(1,($A78=[2]SalmonProps!$A$2:$A$10001)*(1=[2]SalmonProps!$C$2:$C$10001)*(1=[2]SalmonProps!$D$2:$D$10001)*("A2" = [2]SalmonProps!$B$2:$B$10001)*($AP78 = [2]SalmonProps!$F$2:$F$10001) *($AR78 = [2]SalmonProps!$G$2:$G$10001),0), 17))</f>
        <v>0</v>
      </c>
      <c r="H78" s="166" cm="1">
        <f t="array" ref="H78">IF(ISBLANK($AQ78), "", INDEX([2]SalmonProps!$A$2:$AA$10001,MATCH(1,($A78=[2]SalmonProps!$A$2:$A$10001)*(2=[2]SalmonProps!$C$2:$C$10001)*(1=[2]SalmonProps!$D$2:$D$10001)*("A2" = [2]SalmonProps!$B$2:$B$10001)*($AP78 = [2]SalmonProps!$F$2:$F$10001) *($AR78 = [2]SalmonProps!$G$2:$G$10001),0), 17))</f>
        <v>0.1142</v>
      </c>
      <c r="I78" s="167" cm="1">
        <f t="array" ref="I78">IF(ISBLANK($AQ78), "", INDEX([2]SalmonProps!$A$2:$AA$10001,MATCH(1,($A78=[2]SalmonProps!$A$2:$A$10001)*(3=[2]SalmonProps!$C$2:$C$10001)*(1=[2]SalmonProps!$D$2:$D$10001)*("A2" = [2]SalmonProps!$B$2:$B$10001)*($AP78 = [2]SalmonProps!$F$2:$F$10001) *($AR78 = [2]SalmonProps!$G$2:$G$10001),0), 17))</f>
        <v>0.37</v>
      </c>
      <c r="J78" s="164" t="str" cm="1">
        <f t="array" ref="J78">IF(ISBLANK($AQ78), "", INDEX([2]SalmonProps!$A$2:$AA$10001,MATCH(1,($A78=[2]SalmonProps!$A$2:$A$10001)*(1=[2]SalmonProps!$C$2:$C$10001)*(1=[2]SalmonProps!$D$2:$D$10001)*("A1" = [2]SalmonProps!$B$2:$B$10001)*($AP78 = [2]SalmonProps!$F$2:$F$10001) *($AR78 = [2]SalmonProps!$G$2:$G$10001),0), 19))</f>
        <v>NA</v>
      </c>
      <c r="K78" s="165" t="str" cm="1">
        <f t="array" ref="K78">IF(ISBLANK($AQ78), "", INDEX([2]SalmonProps!$A$2:$AA$10001,MATCH(1,($A78=[2]SalmonProps!$A$2:$A$10001)*(1=[2]SalmonProps!$C$2:$C$10001)*(2=[2]SalmonProps!$D$2:$D$10001)*("A1" = [2]SalmonProps!$B$2:$B$10001)*($AP78 = [2]SalmonProps!$F$2:$F$10001) *($AR78 = [2]SalmonProps!$G$2:$G$10001),0), 19))</f>
        <v>NA</v>
      </c>
      <c r="L78" s="165" t="str" cm="1">
        <f t="array" ref="L78">IF(ISBLANK($AQ78), "", INDEX([2]SalmonProps!$A$2:$AA$10001,MATCH(1,($A78=[2]SalmonProps!$A$2:$A$10001)*(1=[2]SalmonProps!$C$2:$C$10001)*("1&amp;2"=[2]SalmonProps!$D$2:$D$10001)*("A1" = [2]SalmonProps!$B$2:$B$10001)*($AP78 = [2]SalmonProps!$F$2:$F$10001) *($AR78 = [2]SalmonProps!$G$2:$G$10001),0), 19))</f>
        <v>NA</v>
      </c>
      <c r="M78" s="165" t="str" cm="1">
        <f t="array" ref="M78">IF(ISBLANK($AQ78), "", INDEX([2]SalmonProps!$A$2:$AA$10001,MATCH(1,($A78=[2]SalmonProps!$A$2:$A$10001)*(2=[2]SalmonProps!$C$2:$C$10001)*(3=[2]SalmonProps!$D$2:$D$10001)*("A1" = [2]SalmonProps!$B$2:$B$10001)*($AP78 = [2]SalmonProps!$F$2:$F$10001) *($AR78 = [2]SalmonProps!$G$2:$G$10001),0), 19))</f>
        <v>NA</v>
      </c>
      <c r="N78" s="181" t="str" cm="1">
        <f t="array" ref="N78">IF(ISBLANK($AQ78), "", INDEX([2]SalmonProps!$A$2:$AA$10001,MATCH(1,($A78=[2]SalmonProps!$A$2:$A$10001)*(3=[2]SalmonProps!$C$2:$C$10001)*(3=[2]SalmonProps!$D$2:$D$10001)*("A1" = [2]SalmonProps!$B$2:$B$10001)*($AP78 = [2]SalmonProps!$F$2:$F$10001) *($AR78 = [2]SalmonProps!$G$2:$G$10001),0), 19))</f>
        <v>NA</v>
      </c>
      <c r="O78" s="165" t="str" cm="1">
        <f t="array" ref="O78">IF(ISBLANK($AQ78), "", INDEX([2]SalmonProps!$A$2:$AA$10001,MATCH(1,($A78=[2]SalmonProps!$A$2:$A$10001)*(1=[2]SalmonProps!$C$2:$C$10001)*(1=[2]SalmonProps!$D$2:$D$10001)*("A2" = [2]SalmonProps!$B$2:$B$10001)*($AP78 = [2]SalmonProps!$F$2:$F$10001) *($AR78 = [2]SalmonProps!$G$2:$G$10001),0), 19))</f>
        <v>NA</v>
      </c>
      <c r="P78" s="165" t="str" cm="1">
        <f t="array" ref="P78">IF(ISBLANK($AQ78), "", INDEX([2]SalmonProps!$A$2:$AA$10001,MATCH(1,($A78=[2]SalmonProps!$A$2:$A$10001)*(2=[2]SalmonProps!$C$2:$C$10001)*(1=[2]SalmonProps!$D$2:$D$10001)*("A2" = [2]SalmonProps!$B$2:$B$10001)*($AP78 = [2]SalmonProps!$F$2:$F$10001) *($AR78 = [2]SalmonProps!$G$2:$G$10001),0), 19))</f>
        <v>NA</v>
      </c>
      <c r="Q78" s="168" t="str" cm="1">
        <f t="array" ref="Q78">IF(ISBLANK($AQ78), "", INDEX([2]SalmonProps!$A$2:$AA$10001,MATCH(1,($A78=[2]SalmonProps!$A$2:$A$10001)*(3=[2]SalmonProps!$C$2:$C$10001)*(1=[2]SalmonProps!$D$2:$D$10001)*("A2" = [2]SalmonProps!$B$2:$B$10001)*($AP78 = [2]SalmonProps!$F$2:$F$10001) *($AR78 = [2]SalmonProps!$G$2:$G$10001),0), 19))</f>
        <v>NA</v>
      </c>
      <c r="R78" s="164" cm="1">
        <f t="array" ref="R78">IF(ISBLANK($AQ78), "", INDEX([2]SalmonProps!$A$2:$AA$10001,MATCH(1,($A78=[2]SalmonProps!$A$2:$A$10001)*(1=[2]SalmonProps!$C$2:$C$10001)*(1=[2]SalmonProps!$D$2:$D$10001)*("A1" = [2]SalmonProps!$B$2:$B$10001)*($AP78 = [2]SalmonProps!$F$2:$F$10001) *($AR78 = [2]SalmonProps!$G$2:$G$10001),0), 18))</f>
        <v>0.4365</v>
      </c>
      <c r="S78" s="165" cm="1">
        <f t="array" ref="S78">IF(ISBLANK($AQ78), "", INDEX([2]SalmonProps!$A$2:$AA$10001,MATCH(1,($A78=[2]SalmonProps!$A$2:$A$10001)*(1=[2]SalmonProps!$C$2:$C$10001)*(2=[2]SalmonProps!$D$2:$D$10001)*("A1" = [2]SalmonProps!$B$2:$B$10001)*($AP78 = [2]SalmonProps!$F$2:$F$10001) *($AR78 = [2]SalmonProps!$G$2:$G$10001),0), 18))</f>
        <v>0.43080000000000002</v>
      </c>
      <c r="T78" s="165" cm="1">
        <f t="array" ref="T78">IF(ISBLANK($AQ78), "", INDEX([2]SalmonProps!$A$2:$AA$10001,MATCH(1,($A78=[2]SalmonProps!$A$2:$A$10001)*(1=[2]SalmonProps!$C$2:$C$10001)*("1&amp;2"=[2]SalmonProps!$D$2:$D$10001)*("A1" = [2]SalmonProps!$B$2:$B$10001)*($AP78 = [2]SalmonProps!$F$2:$F$10001) *($AR78 = [2]SalmonProps!$G$2:$G$10001),0), 18))</f>
        <v>0.41830000000000001</v>
      </c>
      <c r="U78" s="165" cm="1">
        <f t="array" ref="U78">IF(ISBLANK($AQ78), "", INDEX([2]SalmonProps!$A$2:$AA$10001,MATCH(1,($A78=[2]SalmonProps!$A$2:$A$10001)*(2=[2]SalmonProps!$C$2:$C$10001)*(3=[2]SalmonProps!$D$2:$D$10001)*("A1" = [2]SalmonProps!$B$2:$B$10001)*($AP78 = [2]SalmonProps!$F$2:$F$10001) *($AR78 = [2]SalmonProps!$G$2:$G$10001),0), 18))</f>
        <v>0.61380000000000001</v>
      </c>
      <c r="V78" s="181" cm="1">
        <f t="array" ref="V78">IF(ISBLANK($AQ78), "", INDEX([2]SalmonProps!$A$2:$AA$10001,MATCH(1,($A78=[2]SalmonProps!$A$2:$A$10001)*(3=[2]SalmonProps!$C$2:$C$10001)*(3=[2]SalmonProps!$D$2:$D$10001)*("A1" = [2]SalmonProps!$B$2:$B$10001)*($AP78 = [2]SalmonProps!$F$2:$F$10001) *($AR78 = [2]SalmonProps!$G$2:$G$10001),0), 18))</f>
        <v>0.34560000000000002</v>
      </c>
      <c r="W78" s="180" cm="1">
        <f t="array" ref="W78">IF(ISBLANK($AQ78), "", INDEX([2]SalmonProps!$A$2:$AA$10001,MATCH(1,($A78=[2]SalmonProps!$A$2:$A$10001)*(1=[2]SalmonProps!$C$2:$C$10001)*(1=[2]SalmonProps!$D$2:$D$10001)*("A2" = [2]SalmonProps!$B$2:$B$10001)*($AP78 = [2]SalmonProps!$F$2:$F$10001) *($AR78 = [2]SalmonProps!$G$2:$G$10001),0), 18))</f>
        <v>0.63729999999999998</v>
      </c>
      <c r="X78" s="165" cm="1">
        <f t="array" ref="X78">IF(ISBLANK($AQ78), "", INDEX([2]SalmonProps!$A$2:$AA$10001,MATCH(1,($A78=[2]SalmonProps!$A$2:$A$10001)*(2=[2]SalmonProps!$C$2:$C$10001)*(1=[2]SalmonProps!$D$2:$D$10001)*("A2" = [2]SalmonProps!$B$2:$B$10001)*($AP78 = [2]SalmonProps!$F$2:$F$10001) *($AR78 = [2]SalmonProps!$G$2:$G$10001),0), 18))</f>
        <v>0.74750000000000005</v>
      </c>
      <c r="Y78" s="168" cm="1">
        <f t="array" ref="Y78">IF(ISBLANK($AQ78), "", INDEX([2]SalmonProps!$A$2:$AA$10001,MATCH(1,($A78=[2]SalmonProps!$A$2:$A$10001)*(3=[2]SalmonProps!$C$2:$C$10001)*(1=[2]SalmonProps!$D$2:$D$10001)*("A2" = [2]SalmonProps!$B$2:$B$10001)*($AP78 = [2]SalmonProps!$F$2:$F$10001) *($AR78 = [2]SalmonProps!$G$2:$G$10001),0), 18))</f>
        <v>0.3962</v>
      </c>
      <c r="Z78" s="164" cm="1">
        <f t="array" ref="Z78">IF(ISBLANK($AQ78), "", INDEX([2]SalmonProps!$A$2:$AA$10001,MATCH(1,($A78=[2]SalmonProps!$A$2:$A$10001)*(1=[2]SalmonProps!$C$2:$C$10001)*(1=[2]SalmonProps!$D$2:$D$10001)*("A1" = [2]SalmonProps!$B$2:$B$10001)*($AP78 = [2]SalmonProps!$F$2:$F$10001) *($AR78 = [2]SalmonProps!$G$2:$G$10001),0), 15))</f>
        <v>0.53449999999999998</v>
      </c>
      <c r="AA78" s="165" cm="1">
        <f t="array" ref="AA78">IF(ISBLANK($AQ78), "", INDEX([2]SalmonProps!$A$2:$AA$10001,MATCH(1,($A78=[2]SalmonProps!$A$2:$A$10001)*(1=[2]SalmonProps!$C$2:$C$10001)*(2=[2]SalmonProps!$D$2:$D$10001)*("A1" = [2]SalmonProps!$B$2:$B$10001)*($AP78 = [2]SalmonProps!$F$2:$F$10001) *($AR78 = [2]SalmonProps!$G$2:$G$10001),0), 15))</f>
        <v>0.61370000000000002</v>
      </c>
      <c r="AB78" s="165" cm="1">
        <f t="array" ref="AB78">IF(ISBLANK($AQ78), "", INDEX([2]SalmonProps!$A$2:$AA$10001,MATCH(1,($A78=[2]SalmonProps!$A$2:$A$10001)*(1=[2]SalmonProps!$C$2:$C$10001)*("1&amp;2"=[2]SalmonProps!$D$2:$D$10001)*("A1" = [2]SalmonProps!$B$2:$B$10001)*($AP78 = [2]SalmonProps!$F$2:$F$10001) *($AR78 = [2]SalmonProps!$G$2:$G$10001),0), 15))</f>
        <v>0.56669999999999998</v>
      </c>
      <c r="AC78" s="165" cm="1">
        <f t="array" ref="AC78">IF(ISBLANK($AQ78), "", INDEX([2]SalmonProps!$A$2:$AA$10001,MATCH(1,($A78=[2]SalmonProps!$A$2:$A$10001)*(2=[2]SalmonProps!$C$2:$C$10001)*(3=[2]SalmonProps!$D$2:$D$10001)*("A1" = [2]SalmonProps!$B$2:$B$10001)*($AP78 = [2]SalmonProps!$F$2:$F$10001) *($AR78 = [2]SalmonProps!$G$2:$G$10001),0), 15))</f>
        <v>0.93620000000000003</v>
      </c>
      <c r="AD78" s="181" cm="1">
        <f t="array" ref="AD78">IF(ISBLANK($AQ78), "", INDEX([2]SalmonProps!$A$2:$AA$10001,MATCH(1,($A78=[2]SalmonProps!$A$2:$A$10001)*(3=[2]SalmonProps!$C$2:$C$10001)*(3=[2]SalmonProps!$D$2:$D$10001)*("A1" = [2]SalmonProps!$B$2:$B$10001)*($AP78 = [2]SalmonProps!$F$2:$F$10001) *($AR78 = [2]SalmonProps!$G$2:$G$10001),0), 15))</f>
        <v>0.99719999999999998</v>
      </c>
      <c r="AE78" s="166" cm="1">
        <f t="array" ref="AE78">IF(ISBLANK($AQ78), "", INDEX([2]SalmonProps!$A$2:$AA$10001,MATCH(1,($A78=[2]SalmonProps!$A$2:$A$10001)*(1=[2]SalmonProps!$C$2:$C$10001)*(1=[2]SalmonProps!$D$2:$D$10001)*("A2" = [2]SalmonProps!$B$2:$B$10001)*($AP78 = [2]SalmonProps!$F$2:$F$10001) *($AR78 = [2]SalmonProps!$G$2:$G$10001),0), 15))</f>
        <v>0.85429999999999995</v>
      </c>
      <c r="AF78" s="166" cm="1">
        <f t="array" ref="AF78">IF(ISBLANK($AQ78), "", INDEX([2]SalmonProps!$A$2:$AA$10001,MATCH(1,($A78=[2]SalmonProps!$A$2:$A$10001)*(2=[2]SalmonProps!$C$2:$C$10001)*(1=[2]SalmonProps!$D$2:$D$10001)*("A2" = [2]SalmonProps!$B$2:$B$10001)*($AP78 = [2]SalmonProps!$F$2:$F$10001) *($AR78 = [2]SalmonProps!$G$2:$G$10001),0), 15))</f>
        <v>0.91720000000000002</v>
      </c>
      <c r="AG78" s="167" cm="1">
        <f t="array" ref="AG78">IF(ISBLANK($AQ78), "", INDEX([2]SalmonProps!$A$2:$AA$10001,MATCH(1,($A78=[2]SalmonProps!$A$2:$A$10001)*(3=[2]SalmonProps!$C$2:$C$10001)*(1=[2]SalmonProps!$D$2:$D$10001)*("A2" = [2]SalmonProps!$B$2:$B$10001)*($AP78 = [2]SalmonProps!$F$2:$F$10001) *($AR78 = [2]SalmonProps!$G$2:$G$10001),0), 15))</f>
        <v>0.93279999999999996</v>
      </c>
      <c r="AH78" s="173" cm="1">
        <f t="array" ref="AH78">IF(ISBLANK($AQ78), "", INDEX([2]SalmonProps!$A$2:$AA$10001,MATCH(1,($A78=[2]SalmonProps!$A$2:$A$10001)*($AP78 = [2]SalmonProps!$F$2:$F$10001) *($AR78 = [2]SalmonProps!$G$2:$G$10001),0), 24))</f>
        <v>52.3</v>
      </c>
      <c r="AI78" s="183" cm="1">
        <f t="array" ref="AI78">IF(ISBLANK($AQ78), "", INDEX([2]SalmonProps!$A$2:$AA$10001,MATCH(1,($A78=[2]SalmonProps!$A$2:$A$10001)*($AP78 = [2]SalmonProps!$F$2:$F$10001) *($AR78 = [2]SalmonProps!$G$2:$G$10001),0), 25))</f>
        <v>6.8</v>
      </c>
      <c r="AJ78" s="174" cm="1">
        <f t="array" ref="AJ78">IF(ISBLANK($AQ78), "", INDEX([2]SalmonProps!$A$2:$AA$10001,MATCH(1,($A78=[2]SalmonProps!$A$2:$A$10001)*($AP78 = [2]SalmonProps!$F$2:$F$10001) *($AR78 = [2]SalmonProps!$G$2:$G$10001),0), 20))</f>
        <v>60.3</v>
      </c>
      <c r="AK78" s="183" cm="1">
        <f t="array" ref="AK78">IF(ISBLANK($AQ78), "", INDEX([2]SalmonProps!$A$2:$AA$10001,MATCH(1,($A78=[2]SalmonProps!$A$2:$A$10001)*($AP78 = [2]SalmonProps!$F$2:$F$10001) *($AR78 = [2]SalmonProps!$G$2:$G$10001),0), 21))</f>
        <v>4.9000000000000004</v>
      </c>
      <c r="AL78" s="174" cm="1">
        <f t="array" ref="AL78">IF(ISBLANK($AQ78), "", INDEX([2]SalmonProps!$A$2:$AA$10001,MATCH(1,($A78=[2]SalmonProps!$A$2:$A$10001)*($AP78 = [2]SalmonProps!$F$2:$F$10001) *($AR78 = [2]SalmonProps!$G$2:$G$10001),0), 22))</f>
        <v>73.900000000000006</v>
      </c>
      <c r="AM78" s="183" cm="1">
        <f t="array" ref="AM78">IF(ISBLANK($AQ78), "", INDEX([2]SalmonProps!$A$2:$AA$10001,MATCH(1,($A78=[2]SalmonProps!$A$2:$A$10001)*($AP78 = [2]SalmonProps!$F$2:$F$10001) *($AR78 = [2]SalmonProps!$G$2:$G$10001),0), 23))</f>
        <v>7.5</v>
      </c>
      <c r="AN78" s="174" t="str" cm="1">
        <f t="array" ref="AN78">IF(ISBLANK($AQ78), "", INDEX([2]SalmonProps!$A$2:$AA$10001,MATCH(1,($A78=[2]SalmonProps!$A$2:$A$10001)*($AP78 = [2]SalmonProps!$F$2:$F$10001) *($AR78 = [2]SalmonProps!$G$2:$G$10001),0), 26))</f>
        <v>NA</v>
      </c>
      <c r="AO78" s="175" t="str" cm="1">
        <f t="array" ref="AO78">IF(ISBLANK($AQ78), "", INDEX([2]SalmonProps!$A$2:$AA$10001,MATCH(1,($A78=[2]SalmonProps!$A$2:$A$10001)*($AP78 = [2]SalmonProps!$F$2:$F$10001) *($AR78 = [2]SalmonProps!$G$2:$G$10001),0), 27))</f>
        <v>NA</v>
      </c>
      <c r="AP78" s="112">
        <v>4</v>
      </c>
      <c r="AQ78" s="112" t="s">
        <v>133</v>
      </c>
      <c r="AR78" s="112" t="str">
        <f t="shared" si="2"/>
        <v>Unweighted</v>
      </c>
    </row>
    <row r="79" spans="1:44" x14ac:dyDescent="0.3">
      <c r="A79" s="20">
        <f>'[1]Passage Estimates'!$A79</f>
        <v>45181</v>
      </c>
      <c r="B79" s="164" cm="1">
        <f t="array" ref="B79">IF(ISBLANK($AQ79), "", INDEX([2]SalmonProps!$A$2:$AA$10001,MATCH(1,($A79=[2]SalmonProps!$A$2:$A$10001)*(1=[2]SalmonProps!$C$2:$C$10001)*(1=[2]SalmonProps!$D$2:$D$10001)*("A1" = [2]SalmonProps!$B$2:$B$10001)*($AP79 = [2]SalmonProps!$F$2:$F$10001) *($AR79 = [2]SalmonProps!$G$2:$G$10001),0), 17))</f>
        <v>0</v>
      </c>
      <c r="C79" s="165" cm="1">
        <f t="array" ref="C79">IF(ISBLANK($AQ79), "", INDEX([2]SalmonProps!$A$2:$AA$10001,MATCH(1,($A79=[2]SalmonProps!$A$2:$A$10001)*(1=[2]SalmonProps!$C$2:$C$10001)*(2=[2]SalmonProps!$D$2:$D$10001)*("A1" = [2]SalmonProps!$B$2:$B$10001)*($AP79 = [2]SalmonProps!$F$2:$F$10001) *($AR79 = [2]SalmonProps!$G$2:$G$10001),0), 17))</f>
        <v>1.2E-2</v>
      </c>
      <c r="D79" s="165" cm="1">
        <f t="array" ref="D79">IF(ISBLANK($AQ79), "", INDEX([2]SalmonProps!$A$2:$AA$10001,MATCH(1,($A79=[2]SalmonProps!$A$2:$A$10001)*(1=[2]SalmonProps!$C$2:$C$10001)*("1&amp;2"=[2]SalmonProps!$D$2:$D$10001)*("A1" = [2]SalmonProps!$B$2:$B$10001)*($AP79 = [2]SalmonProps!$F$2:$F$10001) *($AR79 = [2]SalmonProps!$G$2:$G$10001),0), 17))</f>
        <v>9.7999999999999997E-3</v>
      </c>
      <c r="E79" s="181" cm="1">
        <f t="array" ref="E79">IF(ISBLANK($AQ79), "", INDEX([2]SalmonProps!$A$2:$AA$10001,MATCH(1,($A79=[2]SalmonProps!$A$2:$A$10001)*(2=[2]SalmonProps!$C$2:$C$10001)*(3=[2]SalmonProps!$D$2:$D$10001)*("A1" = [2]SalmonProps!$B$2:$B$10001)*($AP79 = [2]SalmonProps!$F$2:$F$10001) *($AR79 = [2]SalmonProps!$G$2:$G$10001),0), 17))</f>
        <v>6.9900000000000004E-2</v>
      </c>
      <c r="F79" s="165" cm="1">
        <f t="array" ref="F79">IF(ISBLANK($AQ79), "", INDEX([2]SalmonProps!$A$2:$AA$10001,MATCH(1,($A79=[2]SalmonProps!$A$2:$A$10001)*(3=[2]SalmonProps!$C$2:$C$10001)*(3=[2]SalmonProps!$D$2:$D$10001)*("A1" = [2]SalmonProps!$B$2:$B$10001)*($AP79 = [2]SalmonProps!$F$2:$F$10001) *($AR79 = [2]SalmonProps!$G$2:$G$10001),0), 17))</f>
        <v>0.3266</v>
      </c>
      <c r="G79" s="165" cm="1">
        <f t="array" ref="G79">IF(ISBLANK($AQ79), "", INDEX([2]SalmonProps!$A$2:$AA$10001,MATCH(1,($A79=[2]SalmonProps!$A$2:$A$10001)*(1=[2]SalmonProps!$C$2:$C$10001)*(1=[2]SalmonProps!$D$2:$D$10001)*("A2" = [2]SalmonProps!$B$2:$B$10001)*($AP79 = [2]SalmonProps!$F$2:$F$10001) *($AR79 = [2]SalmonProps!$G$2:$G$10001),0), 17))</f>
        <v>0</v>
      </c>
      <c r="H79" s="166" cm="1">
        <f t="array" ref="H79">IF(ISBLANK($AQ79), "", INDEX([2]SalmonProps!$A$2:$AA$10001,MATCH(1,($A79=[2]SalmonProps!$A$2:$A$10001)*(2=[2]SalmonProps!$C$2:$C$10001)*(1=[2]SalmonProps!$D$2:$D$10001)*("A2" = [2]SalmonProps!$B$2:$B$10001)*($AP79 = [2]SalmonProps!$F$2:$F$10001) *($AR79 = [2]SalmonProps!$G$2:$G$10001),0), 17))</f>
        <v>0.1142</v>
      </c>
      <c r="I79" s="167" cm="1">
        <f t="array" ref="I79">IF(ISBLANK($AQ79), "", INDEX([2]SalmonProps!$A$2:$AA$10001,MATCH(1,($A79=[2]SalmonProps!$A$2:$A$10001)*(3=[2]SalmonProps!$C$2:$C$10001)*(1=[2]SalmonProps!$D$2:$D$10001)*("A2" = [2]SalmonProps!$B$2:$B$10001)*($AP79 = [2]SalmonProps!$F$2:$F$10001) *($AR79 = [2]SalmonProps!$G$2:$G$10001),0), 17))</f>
        <v>0.37</v>
      </c>
      <c r="J79" s="164" t="str" cm="1">
        <f t="array" ref="J79">IF(ISBLANK($AQ79), "", INDEX([2]SalmonProps!$A$2:$AA$10001,MATCH(1,($A79=[2]SalmonProps!$A$2:$A$10001)*(1=[2]SalmonProps!$C$2:$C$10001)*(1=[2]SalmonProps!$D$2:$D$10001)*("A1" = [2]SalmonProps!$B$2:$B$10001)*($AP79 = [2]SalmonProps!$F$2:$F$10001) *($AR79 = [2]SalmonProps!$G$2:$G$10001),0), 19))</f>
        <v>NA</v>
      </c>
      <c r="K79" s="165" t="str" cm="1">
        <f t="array" ref="K79">IF(ISBLANK($AQ79), "", INDEX([2]SalmonProps!$A$2:$AA$10001,MATCH(1,($A79=[2]SalmonProps!$A$2:$A$10001)*(1=[2]SalmonProps!$C$2:$C$10001)*(2=[2]SalmonProps!$D$2:$D$10001)*("A1" = [2]SalmonProps!$B$2:$B$10001)*($AP79 = [2]SalmonProps!$F$2:$F$10001) *($AR79 = [2]SalmonProps!$G$2:$G$10001),0), 19))</f>
        <v>NA</v>
      </c>
      <c r="L79" s="165" t="str" cm="1">
        <f t="array" ref="L79">IF(ISBLANK($AQ79), "", INDEX([2]SalmonProps!$A$2:$AA$10001,MATCH(1,($A79=[2]SalmonProps!$A$2:$A$10001)*(1=[2]SalmonProps!$C$2:$C$10001)*("1&amp;2"=[2]SalmonProps!$D$2:$D$10001)*("A1" = [2]SalmonProps!$B$2:$B$10001)*($AP79 = [2]SalmonProps!$F$2:$F$10001) *($AR79 = [2]SalmonProps!$G$2:$G$10001),0), 19))</f>
        <v>NA</v>
      </c>
      <c r="M79" s="165" t="str" cm="1">
        <f t="array" ref="M79">IF(ISBLANK($AQ79), "", INDEX([2]SalmonProps!$A$2:$AA$10001,MATCH(1,($A79=[2]SalmonProps!$A$2:$A$10001)*(2=[2]SalmonProps!$C$2:$C$10001)*(3=[2]SalmonProps!$D$2:$D$10001)*("A1" = [2]SalmonProps!$B$2:$B$10001)*($AP79 = [2]SalmonProps!$F$2:$F$10001) *($AR79 = [2]SalmonProps!$G$2:$G$10001),0), 19))</f>
        <v>NA</v>
      </c>
      <c r="N79" s="181" t="str" cm="1">
        <f t="array" ref="N79">IF(ISBLANK($AQ79), "", INDEX([2]SalmonProps!$A$2:$AA$10001,MATCH(1,($A79=[2]SalmonProps!$A$2:$A$10001)*(3=[2]SalmonProps!$C$2:$C$10001)*(3=[2]SalmonProps!$D$2:$D$10001)*("A1" = [2]SalmonProps!$B$2:$B$10001)*($AP79 = [2]SalmonProps!$F$2:$F$10001) *($AR79 = [2]SalmonProps!$G$2:$G$10001),0), 19))</f>
        <v>NA</v>
      </c>
      <c r="O79" s="165" t="str" cm="1">
        <f t="array" ref="O79">IF(ISBLANK($AQ79), "", INDEX([2]SalmonProps!$A$2:$AA$10001,MATCH(1,($A79=[2]SalmonProps!$A$2:$A$10001)*(1=[2]SalmonProps!$C$2:$C$10001)*(1=[2]SalmonProps!$D$2:$D$10001)*("A2" = [2]SalmonProps!$B$2:$B$10001)*($AP79 = [2]SalmonProps!$F$2:$F$10001) *($AR79 = [2]SalmonProps!$G$2:$G$10001),0), 19))</f>
        <v>NA</v>
      </c>
      <c r="P79" s="165" t="str" cm="1">
        <f t="array" ref="P79">IF(ISBLANK($AQ79), "", INDEX([2]SalmonProps!$A$2:$AA$10001,MATCH(1,($A79=[2]SalmonProps!$A$2:$A$10001)*(2=[2]SalmonProps!$C$2:$C$10001)*(1=[2]SalmonProps!$D$2:$D$10001)*("A2" = [2]SalmonProps!$B$2:$B$10001)*($AP79 = [2]SalmonProps!$F$2:$F$10001) *($AR79 = [2]SalmonProps!$G$2:$G$10001),0), 19))</f>
        <v>NA</v>
      </c>
      <c r="Q79" s="168" t="str" cm="1">
        <f t="array" ref="Q79">IF(ISBLANK($AQ79), "", INDEX([2]SalmonProps!$A$2:$AA$10001,MATCH(1,($A79=[2]SalmonProps!$A$2:$A$10001)*(3=[2]SalmonProps!$C$2:$C$10001)*(1=[2]SalmonProps!$D$2:$D$10001)*("A2" = [2]SalmonProps!$B$2:$B$10001)*($AP79 = [2]SalmonProps!$F$2:$F$10001) *($AR79 = [2]SalmonProps!$G$2:$G$10001),0), 19))</f>
        <v>NA</v>
      </c>
      <c r="R79" s="164" cm="1">
        <f t="array" ref="R79">IF(ISBLANK($AQ79), "", INDEX([2]SalmonProps!$A$2:$AA$10001,MATCH(1,($A79=[2]SalmonProps!$A$2:$A$10001)*(1=[2]SalmonProps!$C$2:$C$10001)*(1=[2]SalmonProps!$D$2:$D$10001)*("A1" = [2]SalmonProps!$B$2:$B$10001)*($AP79 = [2]SalmonProps!$F$2:$F$10001) *($AR79 = [2]SalmonProps!$G$2:$G$10001),0), 18))</f>
        <v>0.42349999999999999</v>
      </c>
      <c r="S79" s="165" cm="1">
        <f t="array" ref="S79">IF(ISBLANK($AQ79), "", INDEX([2]SalmonProps!$A$2:$AA$10001,MATCH(1,($A79=[2]SalmonProps!$A$2:$A$10001)*(1=[2]SalmonProps!$C$2:$C$10001)*(2=[2]SalmonProps!$D$2:$D$10001)*("A1" = [2]SalmonProps!$B$2:$B$10001)*($AP79 = [2]SalmonProps!$F$2:$F$10001) *($AR79 = [2]SalmonProps!$G$2:$G$10001),0), 18))</f>
        <v>0.64019999999999999</v>
      </c>
      <c r="T79" s="165" cm="1">
        <f t="array" ref="T79">IF(ISBLANK($AQ79), "", INDEX([2]SalmonProps!$A$2:$AA$10001,MATCH(1,($A79=[2]SalmonProps!$A$2:$A$10001)*(1=[2]SalmonProps!$C$2:$C$10001)*("1&amp;2"=[2]SalmonProps!$D$2:$D$10001)*("A1" = [2]SalmonProps!$B$2:$B$10001)*($AP79 = [2]SalmonProps!$F$2:$F$10001) *($AR79 = [2]SalmonProps!$G$2:$G$10001),0), 18))</f>
        <v>0.54949999999999999</v>
      </c>
      <c r="U79" s="165" cm="1">
        <f t="array" ref="U79">IF(ISBLANK($AQ79), "", INDEX([2]SalmonProps!$A$2:$AA$10001,MATCH(1,($A79=[2]SalmonProps!$A$2:$A$10001)*(2=[2]SalmonProps!$C$2:$C$10001)*(3=[2]SalmonProps!$D$2:$D$10001)*("A1" = [2]SalmonProps!$B$2:$B$10001)*($AP79 = [2]SalmonProps!$F$2:$F$10001) *($AR79 = [2]SalmonProps!$G$2:$G$10001),0), 18))</f>
        <v>0.66559999999999997</v>
      </c>
      <c r="V79" s="181" cm="1">
        <f t="array" ref="V79">IF(ISBLANK($AQ79), "", INDEX([2]SalmonProps!$A$2:$AA$10001,MATCH(1,($A79=[2]SalmonProps!$A$2:$A$10001)*(3=[2]SalmonProps!$C$2:$C$10001)*(3=[2]SalmonProps!$D$2:$D$10001)*("A1" = [2]SalmonProps!$B$2:$B$10001)*($AP79 = [2]SalmonProps!$F$2:$F$10001) *($AR79 = [2]SalmonProps!$G$2:$G$10001),0), 18))</f>
        <v>0.29959999999999998</v>
      </c>
      <c r="W79" s="180" cm="1">
        <f t="array" ref="W79">IF(ISBLANK($AQ79), "", INDEX([2]SalmonProps!$A$2:$AA$10001,MATCH(1,($A79=[2]SalmonProps!$A$2:$A$10001)*(1=[2]SalmonProps!$C$2:$C$10001)*(1=[2]SalmonProps!$D$2:$D$10001)*("A2" = [2]SalmonProps!$B$2:$B$10001)*($AP79 = [2]SalmonProps!$F$2:$F$10001) *($AR79 = [2]SalmonProps!$G$2:$G$10001),0), 18))</f>
        <v>0.63729999999999998</v>
      </c>
      <c r="X79" s="165" cm="1">
        <f t="array" ref="X79">IF(ISBLANK($AQ79), "", INDEX([2]SalmonProps!$A$2:$AA$10001,MATCH(1,($A79=[2]SalmonProps!$A$2:$A$10001)*(2=[2]SalmonProps!$C$2:$C$10001)*(1=[2]SalmonProps!$D$2:$D$10001)*("A2" = [2]SalmonProps!$B$2:$B$10001)*($AP79 = [2]SalmonProps!$F$2:$F$10001) *($AR79 = [2]SalmonProps!$G$2:$G$10001),0), 18))</f>
        <v>0.74750000000000005</v>
      </c>
      <c r="Y79" s="168" cm="1">
        <f t="array" ref="Y79">IF(ISBLANK($AQ79), "", INDEX([2]SalmonProps!$A$2:$AA$10001,MATCH(1,($A79=[2]SalmonProps!$A$2:$A$10001)*(3=[2]SalmonProps!$C$2:$C$10001)*(1=[2]SalmonProps!$D$2:$D$10001)*("A2" = [2]SalmonProps!$B$2:$B$10001)*($AP79 = [2]SalmonProps!$F$2:$F$10001) *($AR79 = [2]SalmonProps!$G$2:$G$10001),0), 18))</f>
        <v>0.3962</v>
      </c>
      <c r="Z79" s="164" cm="1">
        <f t="array" ref="Z79">IF(ISBLANK($AQ79), "", INDEX([2]SalmonProps!$A$2:$AA$10001,MATCH(1,($A79=[2]SalmonProps!$A$2:$A$10001)*(1=[2]SalmonProps!$C$2:$C$10001)*(1=[2]SalmonProps!$D$2:$D$10001)*("A1" = [2]SalmonProps!$B$2:$B$10001)*($AP79 = [2]SalmonProps!$F$2:$F$10001) *($AR79 = [2]SalmonProps!$G$2:$G$10001),0), 15))</f>
        <v>0.52470000000000006</v>
      </c>
      <c r="AA79" s="165" cm="1">
        <f t="array" ref="AA79">IF(ISBLANK($AQ79), "", INDEX([2]SalmonProps!$A$2:$AA$10001,MATCH(1,($A79=[2]SalmonProps!$A$2:$A$10001)*(1=[2]SalmonProps!$C$2:$C$10001)*(2=[2]SalmonProps!$D$2:$D$10001)*("A1" = [2]SalmonProps!$B$2:$B$10001)*($AP79 = [2]SalmonProps!$F$2:$F$10001) *($AR79 = [2]SalmonProps!$G$2:$G$10001),0), 15))</f>
        <v>0.6522</v>
      </c>
      <c r="AB79" s="165" cm="1">
        <f t="array" ref="AB79">IF(ISBLANK($AQ79), "", INDEX([2]SalmonProps!$A$2:$AA$10001,MATCH(1,($A79=[2]SalmonProps!$A$2:$A$10001)*(1=[2]SalmonProps!$C$2:$C$10001)*("1&amp;2"=[2]SalmonProps!$D$2:$D$10001)*("A1" = [2]SalmonProps!$B$2:$B$10001)*($AP79 = [2]SalmonProps!$F$2:$F$10001) *($AR79 = [2]SalmonProps!$G$2:$G$10001),0), 15))</f>
        <v>0.55930000000000002</v>
      </c>
      <c r="AC79" s="165" cm="1">
        <f t="array" ref="AC79">IF(ISBLANK($AQ79), "", INDEX([2]SalmonProps!$A$2:$AA$10001,MATCH(1,($A79=[2]SalmonProps!$A$2:$A$10001)*(2=[2]SalmonProps!$C$2:$C$10001)*(3=[2]SalmonProps!$D$2:$D$10001)*("A1" = [2]SalmonProps!$B$2:$B$10001)*($AP79 = [2]SalmonProps!$F$2:$F$10001) *($AR79 = [2]SalmonProps!$G$2:$G$10001),0), 15))</f>
        <v>0.89800000000000002</v>
      </c>
      <c r="AD79" s="181" cm="1">
        <f t="array" ref="AD79">IF(ISBLANK($AQ79), "", INDEX([2]SalmonProps!$A$2:$AA$10001,MATCH(1,($A79=[2]SalmonProps!$A$2:$A$10001)*(3=[2]SalmonProps!$C$2:$C$10001)*(3=[2]SalmonProps!$D$2:$D$10001)*("A1" = [2]SalmonProps!$B$2:$B$10001)*($AP79 = [2]SalmonProps!$F$2:$F$10001) *($AR79 = [2]SalmonProps!$G$2:$G$10001),0), 15))</f>
        <v>0.97929999999999995</v>
      </c>
      <c r="AE79" s="166" cm="1">
        <f t="array" ref="AE79">IF(ISBLANK($AQ79), "", INDEX([2]SalmonProps!$A$2:$AA$10001,MATCH(1,($A79=[2]SalmonProps!$A$2:$A$10001)*(1=[2]SalmonProps!$C$2:$C$10001)*(1=[2]SalmonProps!$D$2:$D$10001)*("A2" = [2]SalmonProps!$B$2:$B$10001)*($AP79 = [2]SalmonProps!$F$2:$F$10001) *($AR79 = [2]SalmonProps!$G$2:$G$10001),0), 15))</f>
        <v>0.85429999999999995</v>
      </c>
      <c r="AF79" s="166" cm="1">
        <f t="array" ref="AF79">IF(ISBLANK($AQ79), "", INDEX([2]SalmonProps!$A$2:$AA$10001,MATCH(1,($A79=[2]SalmonProps!$A$2:$A$10001)*(2=[2]SalmonProps!$C$2:$C$10001)*(1=[2]SalmonProps!$D$2:$D$10001)*("A2" = [2]SalmonProps!$B$2:$B$10001)*($AP79 = [2]SalmonProps!$F$2:$F$10001) *($AR79 = [2]SalmonProps!$G$2:$G$10001),0), 15))</f>
        <v>0.91720000000000002</v>
      </c>
      <c r="AG79" s="167" cm="1">
        <f t="array" ref="AG79">IF(ISBLANK($AQ79), "", INDEX([2]SalmonProps!$A$2:$AA$10001,MATCH(1,($A79=[2]SalmonProps!$A$2:$A$10001)*(3=[2]SalmonProps!$C$2:$C$10001)*(1=[2]SalmonProps!$D$2:$D$10001)*("A2" = [2]SalmonProps!$B$2:$B$10001)*($AP79 = [2]SalmonProps!$F$2:$F$10001) *($AR79 = [2]SalmonProps!$G$2:$G$10001),0), 15))</f>
        <v>0.93279999999999996</v>
      </c>
      <c r="AH79" s="173" cm="1">
        <f t="array" ref="AH79">IF(ISBLANK($AQ79), "", INDEX([2]SalmonProps!$A$2:$AA$10001,MATCH(1,($A79=[2]SalmonProps!$A$2:$A$10001)*($AP79 = [2]SalmonProps!$F$2:$F$10001) *($AR79 = [2]SalmonProps!$G$2:$G$10001),0), 24))</f>
        <v>52.3</v>
      </c>
      <c r="AI79" s="183" cm="1">
        <f t="array" ref="AI79">IF(ISBLANK($AQ79), "", INDEX([2]SalmonProps!$A$2:$AA$10001,MATCH(1,($A79=[2]SalmonProps!$A$2:$A$10001)*($AP79 = [2]SalmonProps!$F$2:$F$10001) *($AR79 = [2]SalmonProps!$G$2:$G$10001),0), 25))</f>
        <v>6.8</v>
      </c>
      <c r="AJ79" s="174" cm="1">
        <f t="array" ref="AJ79">IF(ISBLANK($AQ79), "", INDEX([2]SalmonProps!$A$2:$AA$10001,MATCH(1,($A79=[2]SalmonProps!$A$2:$A$10001)*($AP79 = [2]SalmonProps!$F$2:$F$10001) *($AR79 = [2]SalmonProps!$G$2:$G$10001),0), 20))</f>
        <v>60.3</v>
      </c>
      <c r="AK79" s="183" cm="1">
        <f t="array" ref="AK79">IF(ISBLANK($AQ79), "", INDEX([2]SalmonProps!$A$2:$AA$10001,MATCH(1,($A79=[2]SalmonProps!$A$2:$A$10001)*($AP79 = [2]SalmonProps!$F$2:$F$10001) *($AR79 = [2]SalmonProps!$G$2:$G$10001),0), 21))</f>
        <v>4.9000000000000004</v>
      </c>
      <c r="AL79" s="174" cm="1">
        <f t="array" ref="AL79">IF(ISBLANK($AQ79), "", INDEX([2]SalmonProps!$A$2:$AA$10001,MATCH(1,($A79=[2]SalmonProps!$A$2:$A$10001)*($AP79 = [2]SalmonProps!$F$2:$F$10001) *($AR79 = [2]SalmonProps!$G$2:$G$10001),0), 22))</f>
        <v>73.900000000000006</v>
      </c>
      <c r="AM79" s="183" cm="1">
        <f t="array" ref="AM79">IF(ISBLANK($AQ79), "", INDEX([2]SalmonProps!$A$2:$AA$10001,MATCH(1,($A79=[2]SalmonProps!$A$2:$A$10001)*($AP79 = [2]SalmonProps!$F$2:$F$10001) *($AR79 = [2]SalmonProps!$G$2:$G$10001),0), 23))</f>
        <v>7.5</v>
      </c>
      <c r="AN79" s="174" t="str" cm="1">
        <f t="array" ref="AN79">IF(ISBLANK($AQ79), "", INDEX([2]SalmonProps!$A$2:$AA$10001,MATCH(1,($A79=[2]SalmonProps!$A$2:$A$10001)*($AP79 = [2]SalmonProps!$F$2:$F$10001) *($AR79 = [2]SalmonProps!$G$2:$G$10001),0), 26))</f>
        <v>NA</v>
      </c>
      <c r="AO79" s="175" t="str" cm="1">
        <f t="array" ref="AO79">IF(ISBLANK($AQ79), "", INDEX([2]SalmonProps!$A$2:$AA$10001,MATCH(1,($A79=[2]SalmonProps!$A$2:$A$10001)*($AP79 = [2]SalmonProps!$F$2:$F$10001) *($AR79 = [2]SalmonProps!$G$2:$G$10001),0), 27))</f>
        <v>NA</v>
      </c>
      <c r="AP79" s="112">
        <v>4</v>
      </c>
      <c r="AQ79" s="112" t="s">
        <v>133</v>
      </c>
      <c r="AR79" s="112" t="str">
        <f t="shared" si="2"/>
        <v>Unweighted</v>
      </c>
    </row>
    <row r="80" spans="1:44" x14ac:dyDescent="0.3">
      <c r="A80" s="20">
        <f>'[1]Passage Estimates'!$A80</f>
        <v>45182</v>
      </c>
      <c r="B80" s="164" cm="1">
        <f t="array" ref="B80">IF(ISBLANK($AQ80), "", INDEX([2]SalmonProps!$A$2:$AA$10001,MATCH(1,($A80=[2]SalmonProps!$A$2:$A$10001)*(1=[2]SalmonProps!$C$2:$C$10001)*(1=[2]SalmonProps!$D$2:$D$10001)*("A1" = [2]SalmonProps!$B$2:$B$10001)*($AP80 = [2]SalmonProps!$F$2:$F$10001) *($AR80 = [2]SalmonProps!$G$2:$G$10001),0), 17))</f>
        <v>0</v>
      </c>
      <c r="C80" s="165" cm="1">
        <f t="array" ref="C80">IF(ISBLANK($AQ80), "", INDEX([2]SalmonProps!$A$2:$AA$10001,MATCH(1,($A80=[2]SalmonProps!$A$2:$A$10001)*(1=[2]SalmonProps!$C$2:$C$10001)*(2=[2]SalmonProps!$D$2:$D$10001)*("A1" = [2]SalmonProps!$B$2:$B$10001)*($AP80 = [2]SalmonProps!$F$2:$F$10001) *($AR80 = [2]SalmonProps!$G$2:$G$10001),0), 17))</f>
        <v>0</v>
      </c>
      <c r="D80" s="165" cm="1">
        <f t="array" ref="D80">IF(ISBLANK($AQ80), "", INDEX([2]SalmonProps!$A$2:$AA$10001,MATCH(1,($A80=[2]SalmonProps!$A$2:$A$10001)*(1=[2]SalmonProps!$C$2:$C$10001)*("1&amp;2"=[2]SalmonProps!$D$2:$D$10001)*("A1" = [2]SalmonProps!$B$2:$B$10001)*($AP80 = [2]SalmonProps!$F$2:$F$10001) *($AR80 = [2]SalmonProps!$G$2:$G$10001),0), 17))</f>
        <v>0</v>
      </c>
      <c r="E80" s="181" cm="1">
        <f t="array" ref="E80">IF(ISBLANK($AQ80), "", INDEX([2]SalmonProps!$A$2:$AA$10001,MATCH(1,($A80=[2]SalmonProps!$A$2:$A$10001)*(2=[2]SalmonProps!$C$2:$C$10001)*(3=[2]SalmonProps!$D$2:$D$10001)*("A1" = [2]SalmonProps!$B$2:$B$10001)*($AP80 = [2]SalmonProps!$F$2:$F$10001) *($AR80 = [2]SalmonProps!$G$2:$G$10001),0), 17))</f>
        <v>0.13689999999999999</v>
      </c>
      <c r="F80" s="165" cm="1">
        <f t="array" ref="F80">IF(ISBLANK($AQ80), "", INDEX([2]SalmonProps!$A$2:$AA$10001,MATCH(1,($A80=[2]SalmonProps!$A$2:$A$10001)*(3=[2]SalmonProps!$C$2:$C$10001)*(3=[2]SalmonProps!$D$2:$D$10001)*("A1" = [2]SalmonProps!$B$2:$B$10001)*($AP80 = [2]SalmonProps!$F$2:$F$10001) *($AR80 = [2]SalmonProps!$G$2:$G$10001),0), 17))</f>
        <v>0.2432</v>
      </c>
      <c r="G80" s="165" cm="1">
        <f t="array" ref="G80">IF(ISBLANK($AQ80), "", INDEX([2]SalmonProps!$A$2:$AA$10001,MATCH(1,($A80=[2]SalmonProps!$A$2:$A$10001)*(1=[2]SalmonProps!$C$2:$C$10001)*(1=[2]SalmonProps!$D$2:$D$10001)*("A2" = [2]SalmonProps!$B$2:$B$10001)*($AP80 = [2]SalmonProps!$F$2:$F$10001) *($AR80 = [2]SalmonProps!$G$2:$G$10001),0), 17))</f>
        <v>4.5999999999999999E-3</v>
      </c>
      <c r="H80" s="166" cm="1">
        <f t="array" ref="H80">IF(ISBLANK($AQ80), "", INDEX([2]SalmonProps!$A$2:$AA$10001,MATCH(1,($A80=[2]SalmonProps!$A$2:$A$10001)*(2=[2]SalmonProps!$C$2:$C$10001)*(1=[2]SalmonProps!$D$2:$D$10001)*("A2" = [2]SalmonProps!$B$2:$B$10001)*($AP80 = [2]SalmonProps!$F$2:$F$10001) *($AR80 = [2]SalmonProps!$G$2:$G$10001),0), 17))</f>
        <v>0.17230000000000001</v>
      </c>
      <c r="I80" s="167" cm="1">
        <f t="array" ref="I80">IF(ISBLANK($AQ80), "", INDEX([2]SalmonProps!$A$2:$AA$10001,MATCH(1,($A80=[2]SalmonProps!$A$2:$A$10001)*(3=[2]SalmonProps!$C$2:$C$10001)*(1=[2]SalmonProps!$D$2:$D$10001)*("A2" = [2]SalmonProps!$B$2:$B$10001)*($AP80 = [2]SalmonProps!$F$2:$F$10001) *($AR80 = [2]SalmonProps!$G$2:$G$10001),0), 17))</f>
        <v>0.44340000000000002</v>
      </c>
      <c r="J80" s="164" t="str" cm="1">
        <f t="array" ref="J80">IF(ISBLANK($AQ80), "", INDEX([2]SalmonProps!$A$2:$AA$10001,MATCH(1,($A80=[2]SalmonProps!$A$2:$A$10001)*(1=[2]SalmonProps!$C$2:$C$10001)*(1=[2]SalmonProps!$D$2:$D$10001)*("A1" = [2]SalmonProps!$B$2:$B$10001)*($AP80 = [2]SalmonProps!$F$2:$F$10001) *($AR80 = [2]SalmonProps!$G$2:$G$10001),0), 19))</f>
        <v>NA</v>
      </c>
      <c r="K80" s="165" t="str" cm="1">
        <f t="array" ref="K80">IF(ISBLANK($AQ80), "", INDEX([2]SalmonProps!$A$2:$AA$10001,MATCH(1,($A80=[2]SalmonProps!$A$2:$A$10001)*(1=[2]SalmonProps!$C$2:$C$10001)*(2=[2]SalmonProps!$D$2:$D$10001)*("A1" = [2]SalmonProps!$B$2:$B$10001)*($AP80 = [2]SalmonProps!$F$2:$F$10001) *($AR80 = [2]SalmonProps!$G$2:$G$10001),0), 19))</f>
        <v>NA</v>
      </c>
      <c r="L80" s="165" t="str" cm="1">
        <f t="array" ref="L80">IF(ISBLANK($AQ80), "", INDEX([2]SalmonProps!$A$2:$AA$10001,MATCH(1,($A80=[2]SalmonProps!$A$2:$A$10001)*(1=[2]SalmonProps!$C$2:$C$10001)*("1&amp;2"=[2]SalmonProps!$D$2:$D$10001)*("A1" = [2]SalmonProps!$B$2:$B$10001)*($AP80 = [2]SalmonProps!$F$2:$F$10001) *($AR80 = [2]SalmonProps!$G$2:$G$10001),0), 19))</f>
        <v>NA</v>
      </c>
      <c r="M80" s="165" t="str" cm="1">
        <f t="array" ref="M80">IF(ISBLANK($AQ80), "", INDEX([2]SalmonProps!$A$2:$AA$10001,MATCH(1,($A80=[2]SalmonProps!$A$2:$A$10001)*(2=[2]SalmonProps!$C$2:$C$10001)*(3=[2]SalmonProps!$D$2:$D$10001)*("A1" = [2]SalmonProps!$B$2:$B$10001)*($AP80 = [2]SalmonProps!$F$2:$F$10001) *($AR80 = [2]SalmonProps!$G$2:$G$10001),0), 19))</f>
        <v>NA</v>
      </c>
      <c r="N80" s="181" t="str" cm="1">
        <f t="array" ref="N80">IF(ISBLANK($AQ80), "", INDEX([2]SalmonProps!$A$2:$AA$10001,MATCH(1,($A80=[2]SalmonProps!$A$2:$A$10001)*(3=[2]SalmonProps!$C$2:$C$10001)*(3=[2]SalmonProps!$D$2:$D$10001)*("A1" = [2]SalmonProps!$B$2:$B$10001)*($AP80 = [2]SalmonProps!$F$2:$F$10001) *($AR80 = [2]SalmonProps!$G$2:$G$10001),0), 19))</f>
        <v>NA</v>
      </c>
      <c r="O80" s="165" t="str" cm="1">
        <f t="array" ref="O80">IF(ISBLANK($AQ80), "", INDEX([2]SalmonProps!$A$2:$AA$10001,MATCH(1,($A80=[2]SalmonProps!$A$2:$A$10001)*(1=[2]SalmonProps!$C$2:$C$10001)*(1=[2]SalmonProps!$D$2:$D$10001)*("A2" = [2]SalmonProps!$B$2:$B$10001)*($AP80 = [2]SalmonProps!$F$2:$F$10001) *($AR80 = [2]SalmonProps!$G$2:$G$10001),0), 19))</f>
        <v>NA</v>
      </c>
      <c r="P80" s="165" t="str" cm="1">
        <f t="array" ref="P80">IF(ISBLANK($AQ80), "", INDEX([2]SalmonProps!$A$2:$AA$10001,MATCH(1,($A80=[2]SalmonProps!$A$2:$A$10001)*(2=[2]SalmonProps!$C$2:$C$10001)*(1=[2]SalmonProps!$D$2:$D$10001)*("A2" = [2]SalmonProps!$B$2:$B$10001)*($AP80 = [2]SalmonProps!$F$2:$F$10001) *($AR80 = [2]SalmonProps!$G$2:$G$10001),0), 19))</f>
        <v>NA</v>
      </c>
      <c r="Q80" s="168" t="str" cm="1">
        <f t="array" ref="Q80">IF(ISBLANK($AQ80), "", INDEX([2]SalmonProps!$A$2:$AA$10001,MATCH(1,($A80=[2]SalmonProps!$A$2:$A$10001)*(3=[2]SalmonProps!$C$2:$C$10001)*(1=[2]SalmonProps!$D$2:$D$10001)*("A2" = [2]SalmonProps!$B$2:$B$10001)*($AP80 = [2]SalmonProps!$F$2:$F$10001) *($AR80 = [2]SalmonProps!$G$2:$G$10001),0), 19))</f>
        <v>NA</v>
      </c>
      <c r="R80" s="164" cm="1">
        <f t="array" ref="R80">IF(ISBLANK($AQ80), "", INDEX([2]SalmonProps!$A$2:$AA$10001,MATCH(1,($A80=[2]SalmonProps!$A$2:$A$10001)*(1=[2]SalmonProps!$C$2:$C$10001)*(1=[2]SalmonProps!$D$2:$D$10001)*("A1" = [2]SalmonProps!$B$2:$B$10001)*($AP80 = [2]SalmonProps!$F$2:$F$10001) *($AR80 = [2]SalmonProps!$G$2:$G$10001),0), 18))</f>
        <v>0.33850000000000002</v>
      </c>
      <c r="S80" s="165" cm="1">
        <f t="array" ref="S80">IF(ISBLANK($AQ80), "", INDEX([2]SalmonProps!$A$2:$AA$10001,MATCH(1,($A80=[2]SalmonProps!$A$2:$A$10001)*(1=[2]SalmonProps!$C$2:$C$10001)*(2=[2]SalmonProps!$D$2:$D$10001)*("A1" = [2]SalmonProps!$B$2:$B$10001)*($AP80 = [2]SalmonProps!$F$2:$F$10001) *($AR80 = [2]SalmonProps!$G$2:$G$10001),0), 18))</f>
        <v>0.34279999999999999</v>
      </c>
      <c r="T80" s="165" cm="1">
        <f t="array" ref="T80">IF(ISBLANK($AQ80), "", INDEX([2]SalmonProps!$A$2:$AA$10001,MATCH(1,($A80=[2]SalmonProps!$A$2:$A$10001)*(1=[2]SalmonProps!$C$2:$C$10001)*("1&amp;2"=[2]SalmonProps!$D$2:$D$10001)*("A1" = [2]SalmonProps!$B$2:$B$10001)*($AP80 = [2]SalmonProps!$F$2:$F$10001) *($AR80 = [2]SalmonProps!$G$2:$G$10001),0), 18))</f>
        <v>0.3417</v>
      </c>
      <c r="U80" s="165" cm="1">
        <f t="array" ref="U80">IF(ISBLANK($AQ80), "", INDEX([2]SalmonProps!$A$2:$AA$10001,MATCH(1,($A80=[2]SalmonProps!$A$2:$A$10001)*(2=[2]SalmonProps!$C$2:$C$10001)*(3=[2]SalmonProps!$D$2:$D$10001)*("A1" = [2]SalmonProps!$B$2:$B$10001)*($AP80 = [2]SalmonProps!$F$2:$F$10001) *($AR80 = [2]SalmonProps!$G$2:$G$10001),0), 18))</f>
        <v>0.57569999999999999</v>
      </c>
      <c r="V80" s="181" cm="1">
        <f t="array" ref="V80">IF(ISBLANK($AQ80), "", INDEX([2]SalmonProps!$A$2:$AA$10001,MATCH(1,($A80=[2]SalmonProps!$A$2:$A$10001)*(3=[2]SalmonProps!$C$2:$C$10001)*(3=[2]SalmonProps!$D$2:$D$10001)*("A1" = [2]SalmonProps!$B$2:$B$10001)*($AP80 = [2]SalmonProps!$F$2:$F$10001) *($AR80 = [2]SalmonProps!$G$2:$G$10001),0), 18))</f>
        <v>0.61329999999999996</v>
      </c>
      <c r="W80" s="180" cm="1">
        <f t="array" ref="W80">IF(ISBLANK($AQ80), "", INDEX([2]SalmonProps!$A$2:$AA$10001,MATCH(1,($A80=[2]SalmonProps!$A$2:$A$10001)*(1=[2]SalmonProps!$C$2:$C$10001)*(1=[2]SalmonProps!$D$2:$D$10001)*("A2" = [2]SalmonProps!$B$2:$B$10001)*($AP80 = [2]SalmonProps!$F$2:$F$10001) *($AR80 = [2]SalmonProps!$G$2:$G$10001),0), 18))</f>
        <v>0.93759999999999999</v>
      </c>
      <c r="X80" s="165" cm="1">
        <f t="array" ref="X80">IF(ISBLANK($AQ80), "", INDEX([2]SalmonProps!$A$2:$AA$10001,MATCH(1,($A80=[2]SalmonProps!$A$2:$A$10001)*(2=[2]SalmonProps!$C$2:$C$10001)*(1=[2]SalmonProps!$D$2:$D$10001)*("A2" = [2]SalmonProps!$B$2:$B$10001)*($AP80 = [2]SalmonProps!$F$2:$F$10001) *($AR80 = [2]SalmonProps!$G$2:$G$10001),0), 18))</f>
        <v>0.74309999999999998</v>
      </c>
      <c r="Y80" s="168" cm="1">
        <f t="array" ref="Y80">IF(ISBLANK($AQ80), "", INDEX([2]SalmonProps!$A$2:$AA$10001,MATCH(1,($A80=[2]SalmonProps!$A$2:$A$10001)*(3=[2]SalmonProps!$C$2:$C$10001)*(1=[2]SalmonProps!$D$2:$D$10001)*("A2" = [2]SalmonProps!$B$2:$B$10001)*($AP80 = [2]SalmonProps!$F$2:$F$10001) *($AR80 = [2]SalmonProps!$G$2:$G$10001),0), 18))</f>
        <v>0.32719999999999999</v>
      </c>
      <c r="Z80" s="164" cm="1">
        <f t="array" ref="Z80">IF(ISBLANK($AQ80), "", INDEX([2]SalmonProps!$A$2:$AA$10001,MATCH(1,($A80=[2]SalmonProps!$A$2:$A$10001)*(1=[2]SalmonProps!$C$2:$C$10001)*(1=[2]SalmonProps!$D$2:$D$10001)*("A1" = [2]SalmonProps!$B$2:$B$10001)*($AP80 = [2]SalmonProps!$F$2:$F$10001) *($AR80 = [2]SalmonProps!$G$2:$G$10001),0), 15))</f>
        <v>0.40400000000000003</v>
      </c>
      <c r="AA80" s="165" cm="1">
        <f t="array" ref="AA80">IF(ISBLANK($AQ80), "", INDEX([2]SalmonProps!$A$2:$AA$10001,MATCH(1,($A80=[2]SalmonProps!$A$2:$A$10001)*(1=[2]SalmonProps!$C$2:$C$10001)*(2=[2]SalmonProps!$D$2:$D$10001)*("A1" = [2]SalmonProps!$B$2:$B$10001)*($AP80 = [2]SalmonProps!$F$2:$F$10001) *($AR80 = [2]SalmonProps!$G$2:$G$10001),0), 15))</f>
        <v>0.48780000000000001</v>
      </c>
      <c r="AB80" s="165" cm="1">
        <f t="array" ref="AB80">IF(ISBLANK($AQ80), "", INDEX([2]SalmonProps!$A$2:$AA$10001,MATCH(1,($A80=[2]SalmonProps!$A$2:$A$10001)*(1=[2]SalmonProps!$C$2:$C$10001)*("1&amp;2"=[2]SalmonProps!$D$2:$D$10001)*("A1" = [2]SalmonProps!$B$2:$B$10001)*($AP80 = [2]SalmonProps!$F$2:$F$10001) *($AR80 = [2]SalmonProps!$G$2:$G$10001),0), 15))</f>
        <v>0.43990000000000001</v>
      </c>
      <c r="AC80" s="165" cm="1">
        <f t="array" ref="AC80">IF(ISBLANK($AQ80), "", INDEX([2]SalmonProps!$A$2:$AA$10001,MATCH(1,($A80=[2]SalmonProps!$A$2:$A$10001)*(2=[2]SalmonProps!$C$2:$C$10001)*(3=[2]SalmonProps!$D$2:$D$10001)*("A1" = [2]SalmonProps!$B$2:$B$10001)*($AP80 = [2]SalmonProps!$F$2:$F$10001) *($AR80 = [2]SalmonProps!$G$2:$G$10001),0), 15))</f>
        <v>0.80840000000000001</v>
      </c>
      <c r="AD80" s="181" cm="1">
        <f t="array" ref="AD80">IF(ISBLANK($AQ80), "", INDEX([2]SalmonProps!$A$2:$AA$10001,MATCH(1,($A80=[2]SalmonProps!$A$2:$A$10001)*(3=[2]SalmonProps!$C$2:$C$10001)*(3=[2]SalmonProps!$D$2:$D$10001)*("A1" = [2]SalmonProps!$B$2:$B$10001)*($AP80 = [2]SalmonProps!$F$2:$F$10001) *($AR80 = [2]SalmonProps!$G$2:$G$10001),0), 15))</f>
        <v>0.91500000000000004</v>
      </c>
      <c r="AE80" s="166" cm="1">
        <f t="array" ref="AE80">IF(ISBLANK($AQ80), "", INDEX([2]SalmonProps!$A$2:$AA$10001,MATCH(1,($A80=[2]SalmonProps!$A$2:$A$10001)*(1=[2]SalmonProps!$C$2:$C$10001)*(1=[2]SalmonProps!$D$2:$D$10001)*("A2" = [2]SalmonProps!$B$2:$B$10001)*($AP80 = [2]SalmonProps!$F$2:$F$10001) *($AR80 = [2]SalmonProps!$G$2:$G$10001),0), 15))</f>
        <v>0.94220000000000004</v>
      </c>
      <c r="AF80" s="166" cm="1">
        <f t="array" ref="AF80">IF(ISBLANK($AQ80), "", INDEX([2]SalmonProps!$A$2:$AA$10001,MATCH(1,($A80=[2]SalmonProps!$A$2:$A$10001)*(2=[2]SalmonProps!$C$2:$C$10001)*(1=[2]SalmonProps!$D$2:$D$10001)*("A2" = [2]SalmonProps!$B$2:$B$10001)*($AP80 = [2]SalmonProps!$F$2:$F$10001) *($AR80 = [2]SalmonProps!$G$2:$G$10001),0), 15))</f>
        <v>0.93659999999999999</v>
      </c>
      <c r="AG80" s="167" cm="1">
        <f t="array" ref="AG80">IF(ISBLANK($AQ80), "", INDEX([2]SalmonProps!$A$2:$AA$10001,MATCH(1,($A80=[2]SalmonProps!$A$2:$A$10001)*(3=[2]SalmonProps!$C$2:$C$10001)*(1=[2]SalmonProps!$D$2:$D$10001)*("A2" = [2]SalmonProps!$B$2:$B$10001)*($AP80 = [2]SalmonProps!$F$2:$F$10001) *($AR80 = [2]SalmonProps!$G$2:$G$10001),0), 15))</f>
        <v>0.9234</v>
      </c>
      <c r="AH80" s="173" cm="1">
        <f t="array" ref="AH80">IF(ISBLANK($AQ80), "", INDEX([2]SalmonProps!$A$2:$AA$10001,MATCH(1,($A80=[2]SalmonProps!$A$2:$A$10001)*($AP80 = [2]SalmonProps!$F$2:$F$10001) *($AR80 = [2]SalmonProps!$G$2:$G$10001),0), 24))</f>
        <v>52.3</v>
      </c>
      <c r="AI80" s="183" cm="1">
        <f t="array" ref="AI80">IF(ISBLANK($AQ80), "", INDEX([2]SalmonProps!$A$2:$AA$10001,MATCH(1,($A80=[2]SalmonProps!$A$2:$A$10001)*($AP80 = [2]SalmonProps!$F$2:$F$10001) *($AR80 = [2]SalmonProps!$G$2:$G$10001),0), 25))</f>
        <v>6.8</v>
      </c>
      <c r="AJ80" s="174" cm="1">
        <f t="array" ref="AJ80">IF(ISBLANK($AQ80), "", INDEX([2]SalmonProps!$A$2:$AA$10001,MATCH(1,($A80=[2]SalmonProps!$A$2:$A$10001)*($AP80 = [2]SalmonProps!$F$2:$F$10001) *($AR80 = [2]SalmonProps!$G$2:$G$10001),0), 20))</f>
        <v>60.3</v>
      </c>
      <c r="AK80" s="183" cm="1">
        <f t="array" ref="AK80">IF(ISBLANK($AQ80), "", INDEX([2]SalmonProps!$A$2:$AA$10001,MATCH(1,($A80=[2]SalmonProps!$A$2:$A$10001)*($AP80 = [2]SalmonProps!$F$2:$F$10001) *($AR80 = [2]SalmonProps!$G$2:$G$10001),0), 21))</f>
        <v>4.9000000000000004</v>
      </c>
      <c r="AL80" s="174" cm="1">
        <f t="array" ref="AL80">IF(ISBLANK($AQ80), "", INDEX([2]SalmonProps!$A$2:$AA$10001,MATCH(1,($A80=[2]SalmonProps!$A$2:$A$10001)*($AP80 = [2]SalmonProps!$F$2:$F$10001) *($AR80 = [2]SalmonProps!$G$2:$G$10001),0), 22))</f>
        <v>73.900000000000006</v>
      </c>
      <c r="AM80" s="183" cm="1">
        <f t="array" ref="AM80">IF(ISBLANK($AQ80), "", INDEX([2]SalmonProps!$A$2:$AA$10001,MATCH(1,($A80=[2]SalmonProps!$A$2:$A$10001)*($AP80 = [2]SalmonProps!$F$2:$F$10001) *($AR80 = [2]SalmonProps!$G$2:$G$10001),0), 23))</f>
        <v>7.5</v>
      </c>
      <c r="AN80" s="174" t="str" cm="1">
        <f t="array" ref="AN80">IF(ISBLANK($AQ80), "", INDEX([2]SalmonProps!$A$2:$AA$10001,MATCH(1,($A80=[2]SalmonProps!$A$2:$A$10001)*($AP80 = [2]SalmonProps!$F$2:$F$10001) *($AR80 = [2]SalmonProps!$G$2:$G$10001),0), 26))</f>
        <v>NA</v>
      </c>
      <c r="AO80" s="175" t="str" cm="1">
        <f t="array" ref="AO80">IF(ISBLANK($AQ80), "", INDEX([2]SalmonProps!$A$2:$AA$10001,MATCH(1,($A80=[2]SalmonProps!$A$2:$A$10001)*($AP80 = [2]SalmonProps!$F$2:$F$10001) *($AR80 = [2]SalmonProps!$G$2:$G$10001),0), 27))</f>
        <v>NA</v>
      </c>
      <c r="AP80" s="112">
        <v>4</v>
      </c>
      <c r="AQ80" s="112" t="s">
        <v>133</v>
      </c>
      <c r="AR80" s="112" t="str">
        <f t="shared" si="2"/>
        <v>Unweighted</v>
      </c>
    </row>
    <row r="81" spans="1:44" x14ac:dyDescent="0.3">
      <c r="A81" s="20">
        <f>'[1]Passage Estimates'!$A81</f>
        <v>45183</v>
      </c>
      <c r="B81" s="164" cm="1">
        <f t="array" ref="B81">IF(ISBLANK($AQ81), "", INDEX([2]SalmonProps!$A$2:$AA$10001,MATCH(1,($A81=[2]SalmonProps!$A$2:$A$10001)*(1=[2]SalmonProps!$C$2:$C$10001)*(1=[2]SalmonProps!$D$2:$D$10001)*("A1" = [2]SalmonProps!$B$2:$B$10001)*($AP81 = [2]SalmonProps!$F$2:$F$10001) *($AR81 = [2]SalmonProps!$G$2:$G$10001),0), 17))</f>
        <v>5.1000000000000004E-3</v>
      </c>
      <c r="C81" s="165" cm="1">
        <f t="array" ref="C81">IF(ISBLANK($AQ81), "", INDEX([2]SalmonProps!$A$2:$AA$10001,MATCH(1,($A81=[2]SalmonProps!$A$2:$A$10001)*(1=[2]SalmonProps!$C$2:$C$10001)*(2=[2]SalmonProps!$D$2:$D$10001)*("A1" = [2]SalmonProps!$B$2:$B$10001)*($AP81 = [2]SalmonProps!$F$2:$F$10001) *($AR81 = [2]SalmonProps!$G$2:$G$10001),0), 17))</f>
        <v>2.3999999999999998E-3</v>
      </c>
      <c r="D81" s="165" cm="1">
        <f t="array" ref="D81">IF(ISBLANK($AQ81), "", INDEX([2]SalmonProps!$A$2:$AA$10001,MATCH(1,($A81=[2]SalmonProps!$A$2:$A$10001)*(1=[2]SalmonProps!$C$2:$C$10001)*("1&amp;2"=[2]SalmonProps!$D$2:$D$10001)*("A1" = [2]SalmonProps!$B$2:$B$10001)*($AP81 = [2]SalmonProps!$F$2:$F$10001) *($AR81 = [2]SalmonProps!$G$2:$G$10001),0), 17))</f>
        <v>0.01</v>
      </c>
      <c r="E81" s="181" cm="1">
        <f t="array" ref="E81">IF(ISBLANK($AQ81), "", INDEX([2]SalmonProps!$A$2:$AA$10001,MATCH(1,($A81=[2]SalmonProps!$A$2:$A$10001)*(2=[2]SalmonProps!$C$2:$C$10001)*(3=[2]SalmonProps!$D$2:$D$10001)*("A1" = [2]SalmonProps!$B$2:$B$10001)*($AP81 = [2]SalmonProps!$F$2:$F$10001) *($AR81 = [2]SalmonProps!$G$2:$G$10001),0), 17))</f>
        <v>0.17030000000000001</v>
      </c>
      <c r="F81" s="165" cm="1">
        <f t="array" ref="F81">IF(ISBLANK($AQ81), "", INDEX([2]SalmonProps!$A$2:$AA$10001,MATCH(1,($A81=[2]SalmonProps!$A$2:$A$10001)*(3=[2]SalmonProps!$C$2:$C$10001)*(3=[2]SalmonProps!$D$2:$D$10001)*("A1" = [2]SalmonProps!$B$2:$B$10001)*($AP81 = [2]SalmonProps!$F$2:$F$10001) *($AR81 = [2]SalmonProps!$G$2:$G$10001),0), 17))</f>
        <v>0.31730000000000003</v>
      </c>
      <c r="G81" s="165" cm="1">
        <f t="array" ref="G81">IF(ISBLANK($AQ81), "", INDEX([2]SalmonProps!$A$2:$AA$10001,MATCH(1,($A81=[2]SalmonProps!$A$2:$A$10001)*(1=[2]SalmonProps!$C$2:$C$10001)*(1=[2]SalmonProps!$D$2:$D$10001)*("A2" = [2]SalmonProps!$B$2:$B$10001)*($AP81 = [2]SalmonProps!$F$2:$F$10001) *($AR81 = [2]SalmonProps!$G$2:$G$10001),0), 17))</f>
        <v>4.5999999999999999E-3</v>
      </c>
      <c r="H81" s="166" cm="1">
        <f t="array" ref="H81">IF(ISBLANK($AQ81), "", INDEX([2]SalmonProps!$A$2:$AA$10001,MATCH(1,($A81=[2]SalmonProps!$A$2:$A$10001)*(2=[2]SalmonProps!$C$2:$C$10001)*(1=[2]SalmonProps!$D$2:$D$10001)*("A2" = [2]SalmonProps!$B$2:$B$10001)*($AP81 = [2]SalmonProps!$F$2:$F$10001) *($AR81 = [2]SalmonProps!$G$2:$G$10001),0), 17))</f>
        <v>0.17230000000000001</v>
      </c>
      <c r="I81" s="167" cm="1">
        <f t="array" ref="I81">IF(ISBLANK($AQ81), "", INDEX([2]SalmonProps!$A$2:$AA$10001,MATCH(1,($A81=[2]SalmonProps!$A$2:$A$10001)*(3=[2]SalmonProps!$C$2:$C$10001)*(1=[2]SalmonProps!$D$2:$D$10001)*("A2" = [2]SalmonProps!$B$2:$B$10001)*($AP81 = [2]SalmonProps!$F$2:$F$10001) *($AR81 = [2]SalmonProps!$G$2:$G$10001),0), 17))</f>
        <v>0.44340000000000002</v>
      </c>
      <c r="J81" s="164" t="str" cm="1">
        <f t="array" ref="J81">IF(ISBLANK($AQ81), "", INDEX([2]SalmonProps!$A$2:$AA$10001,MATCH(1,($A81=[2]SalmonProps!$A$2:$A$10001)*(1=[2]SalmonProps!$C$2:$C$10001)*(1=[2]SalmonProps!$D$2:$D$10001)*("A1" = [2]SalmonProps!$B$2:$B$10001)*($AP81 = [2]SalmonProps!$F$2:$F$10001) *($AR81 = [2]SalmonProps!$G$2:$G$10001),0), 19))</f>
        <v>NA</v>
      </c>
      <c r="K81" s="165" t="str" cm="1">
        <f t="array" ref="K81">IF(ISBLANK($AQ81), "", INDEX([2]SalmonProps!$A$2:$AA$10001,MATCH(1,($A81=[2]SalmonProps!$A$2:$A$10001)*(1=[2]SalmonProps!$C$2:$C$10001)*(2=[2]SalmonProps!$D$2:$D$10001)*("A1" = [2]SalmonProps!$B$2:$B$10001)*($AP81 = [2]SalmonProps!$F$2:$F$10001) *($AR81 = [2]SalmonProps!$G$2:$G$10001),0), 19))</f>
        <v>NA</v>
      </c>
      <c r="L81" s="165" t="str" cm="1">
        <f t="array" ref="L81">IF(ISBLANK($AQ81), "", INDEX([2]SalmonProps!$A$2:$AA$10001,MATCH(1,($A81=[2]SalmonProps!$A$2:$A$10001)*(1=[2]SalmonProps!$C$2:$C$10001)*("1&amp;2"=[2]SalmonProps!$D$2:$D$10001)*("A1" = [2]SalmonProps!$B$2:$B$10001)*($AP81 = [2]SalmonProps!$F$2:$F$10001) *($AR81 = [2]SalmonProps!$G$2:$G$10001),0), 19))</f>
        <v>NA</v>
      </c>
      <c r="M81" s="165" t="str" cm="1">
        <f t="array" ref="M81">IF(ISBLANK($AQ81), "", INDEX([2]SalmonProps!$A$2:$AA$10001,MATCH(1,($A81=[2]SalmonProps!$A$2:$A$10001)*(2=[2]SalmonProps!$C$2:$C$10001)*(3=[2]SalmonProps!$D$2:$D$10001)*("A1" = [2]SalmonProps!$B$2:$B$10001)*($AP81 = [2]SalmonProps!$F$2:$F$10001) *($AR81 = [2]SalmonProps!$G$2:$G$10001),0), 19))</f>
        <v>NA</v>
      </c>
      <c r="N81" s="181" t="str" cm="1">
        <f t="array" ref="N81">IF(ISBLANK($AQ81), "", INDEX([2]SalmonProps!$A$2:$AA$10001,MATCH(1,($A81=[2]SalmonProps!$A$2:$A$10001)*(3=[2]SalmonProps!$C$2:$C$10001)*(3=[2]SalmonProps!$D$2:$D$10001)*("A1" = [2]SalmonProps!$B$2:$B$10001)*($AP81 = [2]SalmonProps!$F$2:$F$10001) *($AR81 = [2]SalmonProps!$G$2:$G$10001),0), 19))</f>
        <v>NA</v>
      </c>
      <c r="O81" s="165" t="str" cm="1">
        <f t="array" ref="O81">IF(ISBLANK($AQ81), "", INDEX([2]SalmonProps!$A$2:$AA$10001,MATCH(1,($A81=[2]SalmonProps!$A$2:$A$10001)*(1=[2]SalmonProps!$C$2:$C$10001)*(1=[2]SalmonProps!$D$2:$D$10001)*("A2" = [2]SalmonProps!$B$2:$B$10001)*($AP81 = [2]SalmonProps!$F$2:$F$10001) *($AR81 = [2]SalmonProps!$G$2:$G$10001),0), 19))</f>
        <v>NA</v>
      </c>
      <c r="P81" s="165" t="str" cm="1">
        <f t="array" ref="P81">IF(ISBLANK($AQ81), "", INDEX([2]SalmonProps!$A$2:$AA$10001,MATCH(1,($A81=[2]SalmonProps!$A$2:$A$10001)*(2=[2]SalmonProps!$C$2:$C$10001)*(1=[2]SalmonProps!$D$2:$D$10001)*("A2" = [2]SalmonProps!$B$2:$B$10001)*($AP81 = [2]SalmonProps!$F$2:$F$10001) *($AR81 = [2]SalmonProps!$G$2:$G$10001),0), 19))</f>
        <v>NA</v>
      </c>
      <c r="Q81" s="168" t="str" cm="1">
        <f t="array" ref="Q81">IF(ISBLANK($AQ81), "", INDEX([2]SalmonProps!$A$2:$AA$10001,MATCH(1,($A81=[2]SalmonProps!$A$2:$A$10001)*(3=[2]SalmonProps!$C$2:$C$10001)*(1=[2]SalmonProps!$D$2:$D$10001)*("A2" = [2]SalmonProps!$B$2:$B$10001)*($AP81 = [2]SalmonProps!$F$2:$F$10001) *($AR81 = [2]SalmonProps!$G$2:$G$10001),0), 19))</f>
        <v>NA</v>
      </c>
      <c r="R81" s="164" cm="1">
        <f t="array" ref="R81">IF(ISBLANK($AQ81), "", INDEX([2]SalmonProps!$A$2:$AA$10001,MATCH(1,($A81=[2]SalmonProps!$A$2:$A$10001)*(1=[2]SalmonProps!$C$2:$C$10001)*(1=[2]SalmonProps!$D$2:$D$10001)*("A1" = [2]SalmonProps!$B$2:$B$10001)*($AP81 = [2]SalmonProps!$F$2:$F$10001) *($AR81 = [2]SalmonProps!$G$2:$G$10001),0), 18))</f>
        <v>0.35060000000000002</v>
      </c>
      <c r="S81" s="165" cm="1">
        <f t="array" ref="S81">IF(ISBLANK($AQ81), "", INDEX([2]SalmonProps!$A$2:$AA$10001,MATCH(1,($A81=[2]SalmonProps!$A$2:$A$10001)*(1=[2]SalmonProps!$C$2:$C$10001)*(2=[2]SalmonProps!$D$2:$D$10001)*("A1" = [2]SalmonProps!$B$2:$B$10001)*($AP81 = [2]SalmonProps!$F$2:$F$10001) *($AR81 = [2]SalmonProps!$G$2:$G$10001),0), 18))</f>
        <v>0.48570000000000002</v>
      </c>
      <c r="T81" s="165" cm="1">
        <f t="array" ref="T81">IF(ISBLANK($AQ81), "", INDEX([2]SalmonProps!$A$2:$AA$10001,MATCH(1,($A81=[2]SalmonProps!$A$2:$A$10001)*(1=[2]SalmonProps!$C$2:$C$10001)*("1&amp;2"=[2]SalmonProps!$D$2:$D$10001)*("A1" = [2]SalmonProps!$B$2:$B$10001)*($AP81 = [2]SalmonProps!$F$2:$F$10001) *($AR81 = [2]SalmonProps!$G$2:$G$10001),0), 18))</f>
        <v>0.4027</v>
      </c>
      <c r="U81" s="165" cm="1">
        <f t="array" ref="U81">IF(ISBLANK($AQ81), "", INDEX([2]SalmonProps!$A$2:$AA$10001,MATCH(1,($A81=[2]SalmonProps!$A$2:$A$10001)*(2=[2]SalmonProps!$C$2:$C$10001)*(3=[2]SalmonProps!$D$2:$D$10001)*("A1" = [2]SalmonProps!$B$2:$B$10001)*($AP81 = [2]SalmonProps!$F$2:$F$10001) *($AR81 = [2]SalmonProps!$G$2:$G$10001),0), 18))</f>
        <v>0.57210000000000005</v>
      </c>
      <c r="V81" s="181" cm="1">
        <f t="array" ref="V81">IF(ISBLANK($AQ81), "", INDEX([2]SalmonProps!$A$2:$AA$10001,MATCH(1,($A81=[2]SalmonProps!$A$2:$A$10001)*(3=[2]SalmonProps!$C$2:$C$10001)*(3=[2]SalmonProps!$D$2:$D$10001)*("A1" = [2]SalmonProps!$B$2:$B$10001)*($AP81 = [2]SalmonProps!$F$2:$F$10001) *($AR81 = [2]SalmonProps!$G$2:$G$10001),0), 18))</f>
        <v>0.60670000000000002</v>
      </c>
      <c r="W81" s="180" cm="1">
        <f t="array" ref="W81">IF(ISBLANK($AQ81), "", INDEX([2]SalmonProps!$A$2:$AA$10001,MATCH(1,($A81=[2]SalmonProps!$A$2:$A$10001)*(1=[2]SalmonProps!$C$2:$C$10001)*(1=[2]SalmonProps!$D$2:$D$10001)*("A2" = [2]SalmonProps!$B$2:$B$10001)*($AP81 = [2]SalmonProps!$F$2:$F$10001) *($AR81 = [2]SalmonProps!$G$2:$G$10001),0), 18))</f>
        <v>0.93759999999999999</v>
      </c>
      <c r="X81" s="165" cm="1">
        <f t="array" ref="X81">IF(ISBLANK($AQ81), "", INDEX([2]SalmonProps!$A$2:$AA$10001,MATCH(1,($A81=[2]SalmonProps!$A$2:$A$10001)*(2=[2]SalmonProps!$C$2:$C$10001)*(1=[2]SalmonProps!$D$2:$D$10001)*("A2" = [2]SalmonProps!$B$2:$B$10001)*($AP81 = [2]SalmonProps!$F$2:$F$10001) *($AR81 = [2]SalmonProps!$G$2:$G$10001),0), 18))</f>
        <v>0.74309999999999998</v>
      </c>
      <c r="Y81" s="168" cm="1">
        <f t="array" ref="Y81">IF(ISBLANK($AQ81), "", INDEX([2]SalmonProps!$A$2:$AA$10001,MATCH(1,($A81=[2]SalmonProps!$A$2:$A$10001)*(3=[2]SalmonProps!$C$2:$C$10001)*(1=[2]SalmonProps!$D$2:$D$10001)*("A2" = [2]SalmonProps!$B$2:$B$10001)*($AP81 = [2]SalmonProps!$F$2:$F$10001) *($AR81 = [2]SalmonProps!$G$2:$G$10001),0), 18))</f>
        <v>0.32719999999999999</v>
      </c>
      <c r="Z81" s="164" cm="1">
        <f t="array" ref="Z81">IF(ISBLANK($AQ81), "", INDEX([2]SalmonProps!$A$2:$AA$10001,MATCH(1,($A81=[2]SalmonProps!$A$2:$A$10001)*(1=[2]SalmonProps!$C$2:$C$10001)*(1=[2]SalmonProps!$D$2:$D$10001)*("A1" = [2]SalmonProps!$B$2:$B$10001)*($AP81 = [2]SalmonProps!$F$2:$F$10001) *($AR81 = [2]SalmonProps!$G$2:$G$10001),0), 15))</f>
        <v>0.35570000000000002</v>
      </c>
      <c r="AA81" s="165" cm="1">
        <f t="array" ref="AA81">IF(ISBLANK($AQ81), "", INDEX([2]SalmonProps!$A$2:$AA$10001,MATCH(1,($A81=[2]SalmonProps!$A$2:$A$10001)*(1=[2]SalmonProps!$C$2:$C$10001)*(2=[2]SalmonProps!$D$2:$D$10001)*("A1" = [2]SalmonProps!$B$2:$B$10001)*($AP81 = [2]SalmonProps!$F$2:$F$10001) *($AR81 = [2]SalmonProps!$G$2:$G$10001),0), 15))</f>
        <v>0.48809999999999998</v>
      </c>
      <c r="AB81" s="165" cm="1">
        <f t="array" ref="AB81">IF(ISBLANK($AQ81), "", INDEX([2]SalmonProps!$A$2:$AA$10001,MATCH(1,($A81=[2]SalmonProps!$A$2:$A$10001)*(1=[2]SalmonProps!$C$2:$C$10001)*("1&amp;2"=[2]SalmonProps!$D$2:$D$10001)*("A1" = [2]SalmonProps!$B$2:$B$10001)*($AP81 = [2]SalmonProps!$F$2:$F$10001) *($AR81 = [2]SalmonProps!$G$2:$G$10001),0), 15))</f>
        <v>0.41270000000000001</v>
      </c>
      <c r="AC81" s="165" cm="1">
        <f t="array" ref="AC81">IF(ISBLANK($AQ81), "", INDEX([2]SalmonProps!$A$2:$AA$10001,MATCH(1,($A81=[2]SalmonProps!$A$2:$A$10001)*(2=[2]SalmonProps!$C$2:$C$10001)*(3=[2]SalmonProps!$D$2:$D$10001)*("A1" = [2]SalmonProps!$B$2:$B$10001)*($AP81 = [2]SalmonProps!$F$2:$F$10001) *($AR81 = [2]SalmonProps!$G$2:$G$10001),0), 15))</f>
        <v>0.81</v>
      </c>
      <c r="AD81" s="181" cm="1">
        <f t="array" ref="AD81">IF(ISBLANK($AQ81), "", INDEX([2]SalmonProps!$A$2:$AA$10001,MATCH(1,($A81=[2]SalmonProps!$A$2:$A$10001)*(3=[2]SalmonProps!$C$2:$C$10001)*(3=[2]SalmonProps!$D$2:$D$10001)*("A1" = [2]SalmonProps!$B$2:$B$10001)*($AP81 = [2]SalmonProps!$F$2:$F$10001) *($AR81 = [2]SalmonProps!$G$2:$G$10001),0), 15))</f>
        <v>0.92589999999999995</v>
      </c>
      <c r="AE81" s="166" cm="1">
        <f t="array" ref="AE81">IF(ISBLANK($AQ81), "", INDEX([2]SalmonProps!$A$2:$AA$10001,MATCH(1,($A81=[2]SalmonProps!$A$2:$A$10001)*(1=[2]SalmonProps!$C$2:$C$10001)*(1=[2]SalmonProps!$D$2:$D$10001)*("A2" = [2]SalmonProps!$B$2:$B$10001)*($AP81 = [2]SalmonProps!$F$2:$F$10001) *($AR81 = [2]SalmonProps!$G$2:$G$10001),0), 15))</f>
        <v>0.94220000000000004</v>
      </c>
      <c r="AF81" s="166" cm="1">
        <f t="array" ref="AF81">IF(ISBLANK($AQ81), "", INDEX([2]SalmonProps!$A$2:$AA$10001,MATCH(1,($A81=[2]SalmonProps!$A$2:$A$10001)*(2=[2]SalmonProps!$C$2:$C$10001)*(1=[2]SalmonProps!$D$2:$D$10001)*("A2" = [2]SalmonProps!$B$2:$B$10001)*($AP81 = [2]SalmonProps!$F$2:$F$10001) *($AR81 = [2]SalmonProps!$G$2:$G$10001),0), 15))</f>
        <v>0.93659999999999999</v>
      </c>
      <c r="AG81" s="167" cm="1">
        <f t="array" ref="AG81">IF(ISBLANK($AQ81), "", INDEX([2]SalmonProps!$A$2:$AA$10001,MATCH(1,($A81=[2]SalmonProps!$A$2:$A$10001)*(3=[2]SalmonProps!$C$2:$C$10001)*(1=[2]SalmonProps!$D$2:$D$10001)*("A2" = [2]SalmonProps!$B$2:$B$10001)*($AP81 = [2]SalmonProps!$F$2:$F$10001) *($AR81 = [2]SalmonProps!$G$2:$G$10001),0), 15))</f>
        <v>0.9234</v>
      </c>
      <c r="AH81" s="173" cm="1">
        <f t="array" ref="AH81">IF(ISBLANK($AQ81), "", INDEX([2]SalmonProps!$A$2:$AA$10001,MATCH(1,($A81=[2]SalmonProps!$A$2:$A$10001)*($AP81 = [2]SalmonProps!$F$2:$F$10001) *($AR81 = [2]SalmonProps!$G$2:$G$10001),0), 24))</f>
        <v>52.3</v>
      </c>
      <c r="AI81" s="183" cm="1">
        <f t="array" ref="AI81">IF(ISBLANK($AQ81), "", INDEX([2]SalmonProps!$A$2:$AA$10001,MATCH(1,($A81=[2]SalmonProps!$A$2:$A$10001)*($AP81 = [2]SalmonProps!$F$2:$F$10001) *($AR81 = [2]SalmonProps!$G$2:$G$10001),0), 25))</f>
        <v>6.8</v>
      </c>
      <c r="AJ81" s="174" cm="1">
        <f t="array" ref="AJ81">IF(ISBLANK($AQ81), "", INDEX([2]SalmonProps!$A$2:$AA$10001,MATCH(1,($A81=[2]SalmonProps!$A$2:$A$10001)*($AP81 = [2]SalmonProps!$F$2:$F$10001) *($AR81 = [2]SalmonProps!$G$2:$G$10001),0), 20))</f>
        <v>60.3</v>
      </c>
      <c r="AK81" s="183" cm="1">
        <f t="array" ref="AK81">IF(ISBLANK($AQ81), "", INDEX([2]SalmonProps!$A$2:$AA$10001,MATCH(1,($A81=[2]SalmonProps!$A$2:$A$10001)*($AP81 = [2]SalmonProps!$F$2:$F$10001) *($AR81 = [2]SalmonProps!$G$2:$G$10001),0), 21))</f>
        <v>4.9000000000000004</v>
      </c>
      <c r="AL81" s="174" cm="1">
        <f t="array" ref="AL81">IF(ISBLANK($AQ81), "", INDEX([2]SalmonProps!$A$2:$AA$10001,MATCH(1,($A81=[2]SalmonProps!$A$2:$A$10001)*($AP81 = [2]SalmonProps!$F$2:$F$10001) *($AR81 = [2]SalmonProps!$G$2:$G$10001),0), 22))</f>
        <v>75.7</v>
      </c>
      <c r="AM81" s="183" cm="1">
        <f t="array" ref="AM81">IF(ISBLANK($AQ81), "", INDEX([2]SalmonProps!$A$2:$AA$10001,MATCH(1,($A81=[2]SalmonProps!$A$2:$A$10001)*($AP81 = [2]SalmonProps!$F$2:$F$10001) *($AR81 = [2]SalmonProps!$G$2:$G$10001),0), 23))</f>
        <v>7.6</v>
      </c>
      <c r="AN81" s="174" t="str" cm="1">
        <f t="array" ref="AN81">IF(ISBLANK($AQ81), "", INDEX([2]SalmonProps!$A$2:$AA$10001,MATCH(1,($A81=[2]SalmonProps!$A$2:$A$10001)*($AP81 = [2]SalmonProps!$F$2:$F$10001) *($AR81 = [2]SalmonProps!$G$2:$G$10001),0), 26))</f>
        <v>NA</v>
      </c>
      <c r="AO81" s="175" t="str" cm="1">
        <f t="array" ref="AO81">IF(ISBLANK($AQ81), "", INDEX([2]SalmonProps!$A$2:$AA$10001,MATCH(1,($A81=[2]SalmonProps!$A$2:$A$10001)*($AP81 = [2]SalmonProps!$F$2:$F$10001) *($AR81 = [2]SalmonProps!$G$2:$G$10001),0), 27))</f>
        <v>NA</v>
      </c>
      <c r="AP81" s="112">
        <v>4</v>
      </c>
      <c r="AQ81" s="112" t="s">
        <v>133</v>
      </c>
      <c r="AR81" s="112" t="str">
        <f t="shared" si="2"/>
        <v>Unweighted</v>
      </c>
    </row>
    <row r="82" spans="1:44" x14ac:dyDescent="0.3">
      <c r="A82" s="20">
        <f>'[1]Passage Estimates'!$A82</f>
        <v>45184</v>
      </c>
      <c r="B82" s="164" cm="1">
        <f t="array" ref="B82">IF(ISBLANK($AQ82), "", INDEX([2]SalmonProps!$A$2:$AA$10001,MATCH(1,($A82=[2]SalmonProps!$A$2:$A$10001)*(1=[2]SalmonProps!$C$2:$C$10001)*(1=[2]SalmonProps!$D$2:$D$10001)*("A1" = [2]SalmonProps!$B$2:$B$10001)*($AP82 = [2]SalmonProps!$F$2:$F$10001) *($AR82 = [2]SalmonProps!$G$2:$G$10001),0), 17))</f>
        <v>4.8999999999999998E-3</v>
      </c>
      <c r="C82" s="165" cm="1">
        <f t="array" ref="C82">IF(ISBLANK($AQ82), "", INDEX([2]SalmonProps!$A$2:$AA$10001,MATCH(1,($A82=[2]SalmonProps!$A$2:$A$10001)*(1=[2]SalmonProps!$C$2:$C$10001)*(2=[2]SalmonProps!$D$2:$D$10001)*("A1" = [2]SalmonProps!$B$2:$B$10001)*($AP82 = [2]SalmonProps!$F$2:$F$10001) *($AR82 = [2]SalmonProps!$G$2:$G$10001),0), 17))</f>
        <v>0</v>
      </c>
      <c r="D82" s="165" cm="1">
        <f t="array" ref="D82">IF(ISBLANK($AQ82), "", INDEX([2]SalmonProps!$A$2:$AA$10001,MATCH(1,($A82=[2]SalmonProps!$A$2:$A$10001)*(1=[2]SalmonProps!$C$2:$C$10001)*("1&amp;2"=[2]SalmonProps!$D$2:$D$10001)*("A1" = [2]SalmonProps!$B$2:$B$10001)*($AP82 = [2]SalmonProps!$F$2:$F$10001) *($AR82 = [2]SalmonProps!$G$2:$G$10001),0), 17))</f>
        <v>1E-3</v>
      </c>
      <c r="E82" s="181" cm="1">
        <f t="array" ref="E82">IF(ISBLANK($AQ82), "", INDEX([2]SalmonProps!$A$2:$AA$10001,MATCH(1,($A82=[2]SalmonProps!$A$2:$A$10001)*(2=[2]SalmonProps!$C$2:$C$10001)*(3=[2]SalmonProps!$D$2:$D$10001)*("A1" = [2]SalmonProps!$B$2:$B$10001)*($AP82 = [2]SalmonProps!$F$2:$F$10001) *($AR82 = [2]SalmonProps!$G$2:$G$10001),0), 17))</f>
        <v>0.1234</v>
      </c>
      <c r="F82" s="165" cm="1">
        <f t="array" ref="F82">IF(ISBLANK($AQ82), "", INDEX([2]SalmonProps!$A$2:$AA$10001,MATCH(1,($A82=[2]SalmonProps!$A$2:$A$10001)*(3=[2]SalmonProps!$C$2:$C$10001)*(3=[2]SalmonProps!$D$2:$D$10001)*("A1" = [2]SalmonProps!$B$2:$B$10001)*($AP82 = [2]SalmonProps!$F$2:$F$10001) *($AR82 = [2]SalmonProps!$G$2:$G$10001),0), 17))</f>
        <v>0.21029999999999999</v>
      </c>
      <c r="G82" s="165" cm="1">
        <f t="array" ref="G82">IF(ISBLANK($AQ82), "", INDEX([2]SalmonProps!$A$2:$AA$10001,MATCH(1,($A82=[2]SalmonProps!$A$2:$A$10001)*(1=[2]SalmonProps!$C$2:$C$10001)*(1=[2]SalmonProps!$D$2:$D$10001)*("A2" = [2]SalmonProps!$B$2:$B$10001)*($AP82 = [2]SalmonProps!$F$2:$F$10001) *($AR82 = [2]SalmonProps!$G$2:$G$10001),0), 17))</f>
        <v>0</v>
      </c>
      <c r="H82" s="166" cm="1">
        <f t="array" ref="H82">IF(ISBLANK($AQ82), "", INDEX([2]SalmonProps!$A$2:$AA$10001,MATCH(1,($A82=[2]SalmonProps!$A$2:$A$10001)*(2=[2]SalmonProps!$C$2:$C$10001)*(1=[2]SalmonProps!$D$2:$D$10001)*("A2" = [2]SalmonProps!$B$2:$B$10001)*($AP82 = [2]SalmonProps!$F$2:$F$10001) *($AR82 = [2]SalmonProps!$G$2:$G$10001),0), 17))</f>
        <v>0.1169</v>
      </c>
      <c r="I82" s="167" cm="1">
        <f t="array" ref="I82">IF(ISBLANK($AQ82), "", INDEX([2]SalmonProps!$A$2:$AA$10001,MATCH(1,($A82=[2]SalmonProps!$A$2:$A$10001)*(3=[2]SalmonProps!$C$2:$C$10001)*(1=[2]SalmonProps!$D$2:$D$10001)*("A2" = [2]SalmonProps!$B$2:$B$10001)*($AP82 = [2]SalmonProps!$F$2:$F$10001) *($AR82 = [2]SalmonProps!$G$2:$G$10001),0), 17))</f>
        <v>0.39639999999999997</v>
      </c>
      <c r="J82" s="164" t="str" cm="1">
        <f t="array" ref="J82">IF(ISBLANK($AQ82), "", INDEX([2]SalmonProps!$A$2:$AA$10001,MATCH(1,($A82=[2]SalmonProps!$A$2:$A$10001)*(1=[2]SalmonProps!$C$2:$C$10001)*(1=[2]SalmonProps!$D$2:$D$10001)*("A1" = [2]SalmonProps!$B$2:$B$10001)*($AP82 = [2]SalmonProps!$F$2:$F$10001) *($AR82 = [2]SalmonProps!$G$2:$G$10001),0), 19))</f>
        <v>NA</v>
      </c>
      <c r="K82" s="165" t="str" cm="1">
        <f t="array" ref="K82">IF(ISBLANK($AQ82), "", INDEX([2]SalmonProps!$A$2:$AA$10001,MATCH(1,($A82=[2]SalmonProps!$A$2:$A$10001)*(1=[2]SalmonProps!$C$2:$C$10001)*(2=[2]SalmonProps!$D$2:$D$10001)*("A1" = [2]SalmonProps!$B$2:$B$10001)*($AP82 = [2]SalmonProps!$F$2:$F$10001) *($AR82 = [2]SalmonProps!$G$2:$G$10001),0), 19))</f>
        <v>NA</v>
      </c>
      <c r="L82" s="165" t="str" cm="1">
        <f t="array" ref="L82">IF(ISBLANK($AQ82), "", INDEX([2]SalmonProps!$A$2:$AA$10001,MATCH(1,($A82=[2]SalmonProps!$A$2:$A$10001)*(1=[2]SalmonProps!$C$2:$C$10001)*("1&amp;2"=[2]SalmonProps!$D$2:$D$10001)*("A1" = [2]SalmonProps!$B$2:$B$10001)*($AP82 = [2]SalmonProps!$F$2:$F$10001) *($AR82 = [2]SalmonProps!$G$2:$G$10001),0), 19))</f>
        <v>NA</v>
      </c>
      <c r="M82" s="165" t="str" cm="1">
        <f t="array" ref="M82">IF(ISBLANK($AQ82), "", INDEX([2]SalmonProps!$A$2:$AA$10001,MATCH(1,($A82=[2]SalmonProps!$A$2:$A$10001)*(2=[2]SalmonProps!$C$2:$C$10001)*(3=[2]SalmonProps!$D$2:$D$10001)*("A1" = [2]SalmonProps!$B$2:$B$10001)*($AP82 = [2]SalmonProps!$F$2:$F$10001) *($AR82 = [2]SalmonProps!$G$2:$G$10001),0), 19))</f>
        <v>NA</v>
      </c>
      <c r="N82" s="181" t="str" cm="1">
        <f t="array" ref="N82">IF(ISBLANK($AQ82), "", INDEX([2]SalmonProps!$A$2:$AA$10001,MATCH(1,($A82=[2]SalmonProps!$A$2:$A$10001)*(3=[2]SalmonProps!$C$2:$C$10001)*(3=[2]SalmonProps!$D$2:$D$10001)*("A1" = [2]SalmonProps!$B$2:$B$10001)*($AP82 = [2]SalmonProps!$F$2:$F$10001) *($AR82 = [2]SalmonProps!$G$2:$G$10001),0), 19))</f>
        <v>NA</v>
      </c>
      <c r="O82" s="165" t="str" cm="1">
        <f t="array" ref="O82">IF(ISBLANK($AQ82), "", INDEX([2]SalmonProps!$A$2:$AA$10001,MATCH(1,($A82=[2]SalmonProps!$A$2:$A$10001)*(1=[2]SalmonProps!$C$2:$C$10001)*(1=[2]SalmonProps!$D$2:$D$10001)*("A2" = [2]SalmonProps!$B$2:$B$10001)*($AP82 = [2]SalmonProps!$F$2:$F$10001) *($AR82 = [2]SalmonProps!$G$2:$G$10001),0), 19))</f>
        <v>NA</v>
      </c>
      <c r="P82" s="165" t="str" cm="1">
        <f t="array" ref="P82">IF(ISBLANK($AQ82), "", INDEX([2]SalmonProps!$A$2:$AA$10001,MATCH(1,($A82=[2]SalmonProps!$A$2:$A$10001)*(2=[2]SalmonProps!$C$2:$C$10001)*(1=[2]SalmonProps!$D$2:$D$10001)*("A2" = [2]SalmonProps!$B$2:$B$10001)*($AP82 = [2]SalmonProps!$F$2:$F$10001) *($AR82 = [2]SalmonProps!$G$2:$G$10001),0), 19))</f>
        <v>NA</v>
      </c>
      <c r="Q82" s="168" t="str" cm="1">
        <f t="array" ref="Q82">IF(ISBLANK($AQ82), "", INDEX([2]SalmonProps!$A$2:$AA$10001,MATCH(1,($A82=[2]SalmonProps!$A$2:$A$10001)*(3=[2]SalmonProps!$C$2:$C$10001)*(1=[2]SalmonProps!$D$2:$D$10001)*("A2" = [2]SalmonProps!$B$2:$B$10001)*($AP82 = [2]SalmonProps!$F$2:$F$10001) *($AR82 = [2]SalmonProps!$G$2:$G$10001),0), 19))</f>
        <v>NA</v>
      </c>
      <c r="R82" s="164" cm="1">
        <f t="array" ref="R82">IF(ISBLANK($AQ82), "", INDEX([2]SalmonProps!$A$2:$AA$10001,MATCH(1,($A82=[2]SalmonProps!$A$2:$A$10001)*(1=[2]SalmonProps!$C$2:$C$10001)*(1=[2]SalmonProps!$D$2:$D$10001)*("A1" = [2]SalmonProps!$B$2:$B$10001)*($AP82 = [2]SalmonProps!$F$2:$F$10001) *($AR82 = [2]SalmonProps!$G$2:$G$10001),0), 18))</f>
        <v>0.22500000000000001</v>
      </c>
      <c r="S82" s="165" cm="1">
        <f t="array" ref="S82">IF(ISBLANK($AQ82), "", INDEX([2]SalmonProps!$A$2:$AA$10001,MATCH(1,($A82=[2]SalmonProps!$A$2:$A$10001)*(1=[2]SalmonProps!$C$2:$C$10001)*(2=[2]SalmonProps!$D$2:$D$10001)*("A1" = [2]SalmonProps!$B$2:$B$10001)*($AP82 = [2]SalmonProps!$F$2:$F$10001) *($AR82 = [2]SalmonProps!$G$2:$G$10001),0), 18))</f>
        <v>0.32940000000000003</v>
      </c>
      <c r="T82" s="165" cm="1">
        <f t="array" ref="T82">IF(ISBLANK($AQ82), "", INDEX([2]SalmonProps!$A$2:$AA$10001,MATCH(1,($A82=[2]SalmonProps!$A$2:$A$10001)*(1=[2]SalmonProps!$C$2:$C$10001)*("1&amp;2"=[2]SalmonProps!$D$2:$D$10001)*("A1" = [2]SalmonProps!$B$2:$B$10001)*($AP82 = [2]SalmonProps!$F$2:$F$10001) *($AR82 = [2]SalmonProps!$G$2:$G$10001),0), 18))</f>
        <v>0.31619999999999998</v>
      </c>
      <c r="U82" s="165" cm="1">
        <f t="array" ref="U82">IF(ISBLANK($AQ82), "", INDEX([2]SalmonProps!$A$2:$AA$10001,MATCH(1,($A82=[2]SalmonProps!$A$2:$A$10001)*(2=[2]SalmonProps!$C$2:$C$10001)*(3=[2]SalmonProps!$D$2:$D$10001)*("A1" = [2]SalmonProps!$B$2:$B$10001)*($AP82 = [2]SalmonProps!$F$2:$F$10001) *($AR82 = [2]SalmonProps!$G$2:$G$10001),0), 18))</f>
        <v>0.69850000000000001</v>
      </c>
      <c r="V82" s="181" cm="1">
        <f t="array" ref="V82">IF(ISBLANK($AQ82), "", INDEX([2]SalmonProps!$A$2:$AA$10001,MATCH(1,($A82=[2]SalmonProps!$A$2:$A$10001)*(3=[2]SalmonProps!$C$2:$C$10001)*(3=[2]SalmonProps!$D$2:$D$10001)*("A1" = [2]SalmonProps!$B$2:$B$10001)*($AP82 = [2]SalmonProps!$F$2:$F$10001) *($AR82 = [2]SalmonProps!$G$2:$G$10001),0), 18))</f>
        <v>0.45989999999999998</v>
      </c>
      <c r="W82" s="180" cm="1">
        <f t="array" ref="W82">IF(ISBLANK($AQ82), "", INDEX([2]SalmonProps!$A$2:$AA$10001,MATCH(1,($A82=[2]SalmonProps!$A$2:$A$10001)*(1=[2]SalmonProps!$C$2:$C$10001)*(1=[2]SalmonProps!$D$2:$D$10001)*("A2" = [2]SalmonProps!$B$2:$B$10001)*($AP82 = [2]SalmonProps!$F$2:$F$10001) *($AR82 = [2]SalmonProps!$G$2:$G$10001),0), 18))</f>
        <v>0.4879</v>
      </c>
      <c r="X82" s="165" cm="1">
        <f t="array" ref="X82">IF(ISBLANK($AQ82), "", INDEX([2]SalmonProps!$A$2:$AA$10001,MATCH(1,($A82=[2]SalmonProps!$A$2:$A$10001)*(2=[2]SalmonProps!$C$2:$C$10001)*(1=[2]SalmonProps!$D$2:$D$10001)*("A2" = [2]SalmonProps!$B$2:$B$10001)*($AP82 = [2]SalmonProps!$F$2:$F$10001) *($AR82 = [2]SalmonProps!$G$2:$G$10001),0), 18))</f>
        <v>0.45529999999999998</v>
      </c>
      <c r="Y82" s="168" cm="1">
        <f t="array" ref="Y82">IF(ISBLANK($AQ82), "", INDEX([2]SalmonProps!$A$2:$AA$10001,MATCH(1,($A82=[2]SalmonProps!$A$2:$A$10001)*(3=[2]SalmonProps!$C$2:$C$10001)*(1=[2]SalmonProps!$D$2:$D$10001)*("A2" = [2]SalmonProps!$B$2:$B$10001)*($AP82 = [2]SalmonProps!$F$2:$F$10001) *($AR82 = [2]SalmonProps!$G$2:$G$10001),0), 18))</f>
        <v>0.40670000000000001</v>
      </c>
      <c r="Z82" s="164" cm="1">
        <f t="array" ref="Z82">IF(ISBLANK($AQ82), "", INDEX([2]SalmonProps!$A$2:$AA$10001,MATCH(1,($A82=[2]SalmonProps!$A$2:$A$10001)*(1=[2]SalmonProps!$C$2:$C$10001)*(1=[2]SalmonProps!$D$2:$D$10001)*("A1" = [2]SalmonProps!$B$2:$B$10001)*($AP82 = [2]SalmonProps!$F$2:$F$10001) *($AR82 = [2]SalmonProps!$G$2:$G$10001),0), 15))</f>
        <v>0.22989999999999999</v>
      </c>
      <c r="AA82" s="165" cm="1">
        <f t="array" ref="AA82">IF(ISBLANK($AQ82), "", INDEX([2]SalmonProps!$A$2:$AA$10001,MATCH(1,($A82=[2]SalmonProps!$A$2:$A$10001)*(1=[2]SalmonProps!$C$2:$C$10001)*(2=[2]SalmonProps!$D$2:$D$10001)*("A1" = [2]SalmonProps!$B$2:$B$10001)*($AP82 = [2]SalmonProps!$F$2:$F$10001) *($AR82 = [2]SalmonProps!$G$2:$G$10001),0), 15))</f>
        <v>0.43080000000000002</v>
      </c>
      <c r="AB82" s="165" cm="1">
        <f t="array" ref="AB82">IF(ISBLANK($AQ82), "", INDEX([2]SalmonProps!$A$2:$AA$10001,MATCH(1,($A82=[2]SalmonProps!$A$2:$A$10001)*(1=[2]SalmonProps!$C$2:$C$10001)*("1&amp;2"=[2]SalmonProps!$D$2:$D$10001)*("A1" = [2]SalmonProps!$B$2:$B$10001)*($AP82 = [2]SalmonProps!$F$2:$F$10001) *($AR82 = [2]SalmonProps!$G$2:$G$10001),0), 15))</f>
        <v>0.31719999999999998</v>
      </c>
      <c r="AC82" s="165" cm="1">
        <f t="array" ref="AC82">IF(ISBLANK($AQ82), "", INDEX([2]SalmonProps!$A$2:$AA$10001,MATCH(1,($A82=[2]SalmonProps!$A$2:$A$10001)*(2=[2]SalmonProps!$C$2:$C$10001)*(3=[2]SalmonProps!$D$2:$D$10001)*("A1" = [2]SalmonProps!$B$2:$B$10001)*($AP82 = [2]SalmonProps!$F$2:$F$10001) *($AR82 = [2]SalmonProps!$G$2:$G$10001),0), 15))</f>
        <v>0.8407</v>
      </c>
      <c r="AD82" s="181" cm="1">
        <f t="array" ref="AD82">IF(ISBLANK($AQ82), "", INDEX([2]SalmonProps!$A$2:$AA$10001,MATCH(1,($A82=[2]SalmonProps!$A$2:$A$10001)*(3=[2]SalmonProps!$C$2:$C$10001)*(3=[2]SalmonProps!$D$2:$D$10001)*("A1" = [2]SalmonProps!$B$2:$B$10001)*($AP82 = [2]SalmonProps!$F$2:$F$10001) *($AR82 = [2]SalmonProps!$G$2:$G$10001),0), 15))</f>
        <v>0.88670000000000004</v>
      </c>
      <c r="AE82" s="166" cm="1">
        <f t="array" ref="AE82">IF(ISBLANK($AQ82), "", INDEX([2]SalmonProps!$A$2:$AA$10001,MATCH(1,($A82=[2]SalmonProps!$A$2:$A$10001)*(1=[2]SalmonProps!$C$2:$C$10001)*(1=[2]SalmonProps!$D$2:$D$10001)*("A2" = [2]SalmonProps!$B$2:$B$10001)*($AP82 = [2]SalmonProps!$F$2:$F$10001) *($AR82 = [2]SalmonProps!$G$2:$G$10001),0), 15))</f>
        <v>0.71460000000000001</v>
      </c>
      <c r="AF82" s="166" cm="1">
        <f t="array" ref="AF82">IF(ISBLANK($AQ82), "", INDEX([2]SalmonProps!$A$2:$AA$10001,MATCH(1,($A82=[2]SalmonProps!$A$2:$A$10001)*(2=[2]SalmonProps!$C$2:$C$10001)*(1=[2]SalmonProps!$D$2:$D$10001)*("A2" = [2]SalmonProps!$B$2:$B$10001)*($AP82 = [2]SalmonProps!$F$2:$F$10001) *($AR82 = [2]SalmonProps!$G$2:$G$10001),0), 15))</f>
        <v>0.7611</v>
      </c>
      <c r="AG82" s="167" cm="1">
        <f t="array" ref="AG82">IF(ISBLANK($AQ82), "", INDEX([2]SalmonProps!$A$2:$AA$10001,MATCH(1,($A82=[2]SalmonProps!$A$2:$A$10001)*(3=[2]SalmonProps!$C$2:$C$10001)*(1=[2]SalmonProps!$D$2:$D$10001)*("A2" = [2]SalmonProps!$B$2:$B$10001)*($AP82 = [2]SalmonProps!$F$2:$F$10001) *($AR82 = [2]SalmonProps!$G$2:$G$10001),0), 15))</f>
        <v>0.91549999999999998</v>
      </c>
      <c r="AH82" s="173" cm="1">
        <f t="array" ref="AH82">IF(ISBLANK($AQ82), "", INDEX([2]SalmonProps!$A$2:$AA$10001,MATCH(1,($A82=[2]SalmonProps!$A$2:$A$10001)*($AP82 = [2]SalmonProps!$F$2:$F$10001) *($AR82 = [2]SalmonProps!$G$2:$G$10001),0), 24))</f>
        <v>52.3</v>
      </c>
      <c r="AI82" s="183" cm="1">
        <f t="array" ref="AI82">IF(ISBLANK($AQ82), "", INDEX([2]SalmonProps!$A$2:$AA$10001,MATCH(1,($A82=[2]SalmonProps!$A$2:$A$10001)*($AP82 = [2]SalmonProps!$F$2:$F$10001) *($AR82 = [2]SalmonProps!$G$2:$G$10001),0), 25))</f>
        <v>6.8</v>
      </c>
      <c r="AJ82" s="174" cm="1">
        <f t="array" ref="AJ82">IF(ISBLANK($AQ82), "", INDEX([2]SalmonProps!$A$2:$AA$10001,MATCH(1,($A82=[2]SalmonProps!$A$2:$A$10001)*($AP82 = [2]SalmonProps!$F$2:$F$10001) *($AR82 = [2]SalmonProps!$G$2:$G$10001),0), 20))</f>
        <v>60.3</v>
      </c>
      <c r="AK82" s="183" cm="1">
        <f t="array" ref="AK82">IF(ISBLANK($AQ82), "", INDEX([2]SalmonProps!$A$2:$AA$10001,MATCH(1,($A82=[2]SalmonProps!$A$2:$A$10001)*($AP82 = [2]SalmonProps!$F$2:$F$10001) *($AR82 = [2]SalmonProps!$G$2:$G$10001),0), 21))</f>
        <v>4.9000000000000004</v>
      </c>
      <c r="AL82" s="174" cm="1">
        <f t="array" ref="AL82">IF(ISBLANK($AQ82), "", INDEX([2]SalmonProps!$A$2:$AA$10001,MATCH(1,($A82=[2]SalmonProps!$A$2:$A$10001)*($AP82 = [2]SalmonProps!$F$2:$F$10001) *($AR82 = [2]SalmonProps!$G$2:$G$10001),0), 22))</f>
        <v>75.7</v>
      </c>
      <c r="AM82" s="183" cm="1">
        <f t="array" ref="AM82">IF(ISBLANK($AQ82), "", INDEX([2]SalmonProps!$A$2:$AA$10001,MATCH(1,($A82=[2]SalmonProps!$A$2:$A$10001)*($AP82 = [2]SalmonProps!$F$2:$F$10001) *($AR82 = [2]SalmonProps!$G$2:$G$10001),0), 23))</f>
        <v>7.6</v>
      </c>
      <c r="AN82" s="174" t="str" cm="1">
        <f t="array" ref="AN82">IF(ISBLANK($AQ82), "", INDEX([2]SalmonProps!$A$2:$AA$10001,MATCH(1,($A82=[2]SalmonProps!$A$2:$A$10001)*($AP82 = [2]SalmonProps!$F$2:$F$10001) *($AR82 = [2]SalmonProps!$G$2:$G$10001),0), 26))</f>
        <v>NA</v>
      </c>
      <c r="AO82" s="175" t="str" cm="1">
        <f t="array" ref="AO82">IF(ISBLANK($AQ82), "", INDEX([2]SalmonProps!$A$2:$AA$10001,MATCH(1,($A82=[2]SalmonProps!$A$2:$A$10001)*($AP82 = [2]SalmonProps!$F$2:$F$10001) *($AR82 = [2]SalmonProps!$G$2:$G$10001),0), 27))</f>
        <v>NA</v>
      </c>
      <c r="AP82" s="112">
        <v>4</v>
      </c>
      <c r="AQ82" s="112" t="s">
        <v>133</v>
      </c>
      <c r="AR82" s="112" t="str">
        <f t="shared" si="2"/>
        <v>Unweighted</v>
      </c>
    </row>
    <row r="83" spans="1:44" x14ac:dyDescent="0.3">
      <c r="A83" s="20">
        <f>'[1]Passage Estimates'!$A83</f>
        <v>45185</v>
      </c>
      <c r="B83" s="164" cm="1">
        <f t="array" ref="B83">IF(ISBLANK($AQ83), "", INDEX([2]SalmonProps!$A$2:$AA$10001,MATCH(1,($A83=[2]SalmonProps!$A$2:$A$10001)*(1=[2]SalmonProps!$C$2:$C$10001)*(1=[2]SalmonProps!$D$2:$D$10001)*("A1" = [2]SalmonProps!$B$2:$B$10001)*($AP83 = [2]SalmonProps!$F$2:$F$10001) *($AR83 = [2]SalmonProps!$G$2:$G$10001),0), 17))</f>
        <v>3.5000000000000001E-3</v>
      </c>
      <c r="C83" s="165" cm="1">
        <f t="array" ref="C83">IF(ISBLANK($AQ83), "", INDEX([2]SalmonProps!$A$2:$AA$10001,MATCH(1,($A83=[2]SalmonProps!$A$2:$A$10001)*(1=[2]SalmonProps!$C$2:$C$10001)*(2=[2]SalmonProps!$D$2:$D$10001)*("A1" = [2]SalmonProps!$B$2:$B$10001)*($AP83 = [2]SalmonProps!$F$2:$F$10001) *($AR83 = [2]SalmonProps!$G$2:$G$10001),0), 17))</f>
        <v>0</v>
      </c>
      <c r="D83" s="165" cm="1">
        <f t="array" ref="D83">IF(ISBLANK($AQ83), "", INDEX([2]SalmonProps!$A$2:$AA$10001,MATCH(1,($A83=[2]SalmonProps!$A$2:$A$10001)*(1=[2]SalmonProps!$C$2:$C$10001)*("1&amp;2"=[2]SalmonProps!$D$2:$D$10001)*("A1" = [2]SalmonProps!$B$2:$B$10001)*($AP83 = [2]SalmonProps!$F$2:$F$10001) *($AR83 = [2]SalmonProps!$G$2:$G$10001),0), 17))</f>
        <v>1.6000000000000001E-3</v>
      </c>
      <c r="E83" s="181" cm="1">
        <f t="array" ref="E83">IF(ISBLANK($AQ83), "", INDEX([2]SalmonProps!$A$2:$AA$10001,MATCH(1,($A83=[2]SalmonProps!$A$2:$A$10001)*(2=[2]SalmonProps!$C$2:$C$10001)*(3=[2]SalmonProps!$D$2:$D$10001)*("A1" = [2]SalmonProps!$B$2:$B$10001)*($AP83 = [2]SalmonProps!$F$2:$F$10001) *($AR83 = [2]SalmonProps!$G$2:$G$10001),0), 17))</f>
        <v>7.1800000000000003E-2</v>
      </c>
      <c r="F83" s="165" cm="1">
        <f t="array" ref="F83">IF(ISBLANK($AQ83), "", INDEX([2]SalmonProps!$A$2:$AA$10001,MATCH(1,($A83=[2]SalmonProps!$A$2:$A$10001)*(3=[2]SalmonProps!$C$2:$C$10001)*(3=[2]SalmonProps!$D$2:$D$10001)*("A1" = [2]SalmonProps!$B$2:$B$10001)*($AP83 = [2]SalmonProps!$F$2:$F$10001) *($AR83 = [2]SalmonProps!$G$2:$G$10001),0), 17))</f>
        <v>0.19089999999999999</v>
      </c>
      <c r="G83" s="165" cm="1">
        <f t="array" ref="G83">IF(ISBLANK($AQ83), "", INDEX([2]SalmonProps!$A$2:$AA$10001,MATCH(1,($A83=[2]SalmonProps!$A$2:$A$10001)*(1=[2]SalmonProps!$C$2:$C$10001)*(1=[2]SalmonProps!$D$2:$D$10001)*("A2" = [2]SalmonProps!$B$2:$B$10001)*($AP83 = [2]SalmonProps!$F$2:$F$10001) *($AR83 = [2]SalmonProps!$G$2:$G$10001),0), 17))</f>
        <v>0</v>
      </c>
      <c r="H83" s="166" cm="1">
        <f t="array" ref="H83">IF(ISBLANK($AQ83), "", INDEX([2]SalmonProps!$A$2:$AA$10001,MATCH(1,($A83=[2]SalmonProps!$A$2:$A$10001)*(2=[2]SalmonProps!$C$2:$C$10001)*(1=[2]SalmonProps!$D$2:$D$10001)*("A2" = [2]SalmonProps!$B$2:$B$10001)*($AP83 = [2]SalmonProps!$F$2:$F$10001) *($AR83 = [2]SalmonProps!$G$2:$G$10001),0), 17))</f>
        <v>0.1169</v>
      </c>
      <c r="I83" s="167" cm="1">
        <f t="array" ref="I83">IF(ISBLANK($AQ83), "", INDEX([2]SalmonProps!$A$2:$AA$10001,MATCH(1,($A83=[2]SalmonProps!$A$2:$A$10001)*(3=[2]SalmonProps!$C$2:$C$10001)*(1=[2]SalmonProps!$D$2:$D$10001)*("A2" = [2]SalmonProps!$B$2:$B$10001)*($AP83 = [2]SalmonProps!$F$2:$F$10001) *($AR83 = [2]SalmonProps!$G$2:$G$10001),0), 17))</f>
        <v>0.39639999999999997</v>
      </c>
      <c r="J83" s="164" t="str" cm="1">
        <f t="array" ref="J83">IF(ISBLANK($AQ83), "", INDEX([2]SalmonProps!$A$2:$AA$10001,MATCH(1,($A83=[2]SalmonProps!$A$2:$A$10001)*(1=[2]SalmonProps!$C$2:$C$10001)*(1=[2]SalmonProps!$D$2:$D$10001)*("A1" = [2]SalmonProps!$B$2:$B$10001)*($AP83 = [2]SalmonProps!$F$2:$F$10001) *($AR83 = [2]SalmonProps!$G$2:$G$10001),0), 19))</f>
        <v>NA</v>
      </c>
      <c r="K83" s="165" t="str" cm="1">
        <f t="array" ref="K83">IF(ISBLANK($AQ83), "", INDEX([2]SalmonProps!$A$2:$AA$10001,MATCH(1,($A83=[2]SalmonProps!$A$2:$A$10001)*(1=[2]SalmonProps!$C$2:$C$10001)*(2=[2]SalmonProps!$D$2:$D$10001)*("A1" = [2]SalmonProps!$B$2:$B$10001)*($AP83 = [2]SalmonProps!$F$2:$F$10001) *($AR83 = [2]SalmonProps!$G$2:$G$10001),0), 19))</f>
        <v>NA</v>
      </c>
      <c r="L83" s="165" t="str" cm="1">
        <f t="array" ref="L83">IF(ISBLANK($AQ83), "", INDEX([2]SalmonProps!$A$2:$AA$10001,MATCH(1,($A83=[2]SalmonProps!$A$2:$A$10001)*(1=[2]SalmonProps!$C$2:$C$10001)*("1&amp;2"=[2]SalmonProps!$D$2:$D$10001)*("A1" = [2]SalmonProps!$B$2:$B$10001)*($AP83 = [2]SalmonProps!$F$2:$F$10001) *($AR83 = [2]SalmonProps!$G$2:$G$10001),0), 19))</f>
        <v>NA</v>
      </c>
      <c r="M83" s="165" t="str" cm="1">
        <f t="array" ref="M83">IF(ISBLANK($AQ83), "", INDEX([2]SalmonProps!$A$2:$AA$10001,MATCH(1,($A83=[2]SalmonProps!$A$2:$A$10001)*(2=[2]SalmonProps!$C$2:$C$10001)*(3=[2]SalmonProps!$D$2:$D$10001)*("A1" = [2]SalmonProps!$B$2:$B$10001)*($AP83 = [2]SalmonProps!$F$2:$F$10001) *($AR83 = [2]SalmonProps!$G$2:$G$10001),0), 19))</f>
        <v>NA</v>
      </c>
      <c r="N83" s="181" t="str" cm="1">
        <f t="array" ref="N83">IF(ISBLANK($AQ83), "", INDEX([2]SalmonProps!$A$2:$AA$10001,MATCH(1,($A83=[2]SalmonProps!$A$2:$A$10001)*(3=[2]SalmonProps!$C$2:$C$10001)*(3=[2]SalmonProps!$D$2:$D$10001)*("A1" = [2]SalmonProps!$B$2:$B$10001)*($AP83 = [2]SalmonProps!$F$2:$F$10001) *($AR83 = [2]SalmonProps!$G$2:$G$10001),0), 19))</f>
        <v>NA</v>
      </c>
      <c r="O83" s="165" t="str" cm="1">
        <f t="array" ref="O83">IF(ISBLANK($AQ83), "", INDEX([2]SalmonProps!$A$2:$AA$10001,MATCH(1,($A83=[2]SalmonProps!$A$2:$A$10001)*(1=[2]SalmonProps!$C$2:$C$10001)*(1=[2]SalmonProps!$D$2:$D$10001)*("A2" = [2]SalmonProps!$B$2:$B$10001)*($AP83 = [2]SalmonProps!$F$2:$F$10001) *($AR83 = [2]SalmonProps!$G$2:$G$10001),0), 19))</f>
        <v>NA</v>
      </c>
      <c r="P83" s="165" t="str" cm="1">
        <f t="array" ref="P83">IF(ISBLANK($AQ83), "", INDEX([2]SalmonProps!$A$2:$AA$10001,MATCH(1,($A83=[2]SalmonProps!$A$2:$A$10001)*(2=[2]SalmonProps!$C$2:$C$10001)*(1=[2]SalmonProps!$D$2:$D$10001)*("A2" = [2]SalmonProps!$B$2:$B$10001)*($AP83 = [2]SalmonProps!$F$2:$F$10001) *($AR83 = [2]SalmonProps!$G$2:$G$10001),0), 19))</f>
        <v>NA</v>
      </c>
      <c r="Q83" s="168" t="str" cm="1">
        <f t="array" ref="Q83">IF(ISBLANK($AQ83), "", INDEX([2]SalmonProps!$A$2:$AA$10001,MATCH(1,($A83=[2]SalmonProps!$A$2:$A$10001)*(3=[2]SalmonProps!$C$2:$C$10001)*(1=[2]SalmonProps!$D$2:$D$10001)*("A2" = [2]SalmonProps!$B$2:$B$10001)*($AP83 = [2]SalmonProps!$F$2:$F$10001) *($AR83 = [2]SalmonProps!$G$2:$G$10001),0), 19))</f>
        <v>NA</v>
      </c>
      <c r="R83" s="164" cm="1">
        <f t="array" ref="R83">IF(ISBLANK($AQ83), "", INDEX([2]SalmonProps!$A$2:$AA$10001,MATCH(1,($A83=[2]SalmonProps!$A$2:$A$10001)*(1=[2]SalmonProps!$C$2:$C$10001)*(1=[2]SalmonProps!$D$2:$D$10001)*("A1" = [2]SalmonProps!$B$2:$B$10001)*($AP83 = [2]SalmonProps!$F$2:$F$10001) *($AR83 = [2]SalmonProps!$G$2:$G$10001),0), 18))</f>
        <v>0.27650000000000002</v>
      </c>
      <c r="S83" s="165" cm="1">
        <f t="array" ref="S83">IF(ISBLANK($AQ83), "", INDEX([2]SalmonProps!$A$2:$AA$10001,MATCH(1,($A83=[2]SalmonProps!$A$2:$A$10001)*(1=[2]SalmonProps!$C$2:$C$10001)*(2=[2]SalmonProps!$D$2:$D$10001)*("A1" = [2]SalmonProps!$B$2:$B$10001)*($AP83 = [2]SalmonProps!$F$2:$F$10001) *($AR83 = [2]SalmonProps!$G$2:$G$10001),0), 18))</f>
        <v>0.38109999999999999</v>
      </c>
      <c r="T83" s="165" cm="1">
        <f t="array" ref="T83">IF(ISBLANK($AQ83), "", INDEX([2]SalmonProps!$A$2:$AA$10001,MATCH(1,($A83=[2]SalmonProps!$A$2:$A$10001)*(1=[2]SalmonProps!$C$2:$C$10001)*("1&amp;2"=[2]SalmonProps!$D$2:$D$10001)*("A1" = [2]SalmonProps!$B$2:$B$10001)*($AP83 = [2]SalmonProps!$F$2:$F$10001) *($AR83 = [2]SalmonProps!$G$2:$G$10001),0), 18))</f>
        <v>0.37159999999999999</v>
      </c>
      <c r="U83" s="165" cm="1">
        <f t="array" ref="U83">IF(ISBLANK($AQ83), "", INDEX([2]SalmonProps!$A$2:$AA$10001,MATCH(1,($A83=[2]SalmonProps!$A$2:$A$10001)*(2=[2]SalmonProps!$C$2:$C$10001)*(3=[2]SalmonProps!$D$2:$D$10001)*("A1" = [2]SalmonProps!$B$2:$B$10001)*($AP83 = [2]SalmonProps!$F$2:$F$10001) *($AR83 = [2]SalmonProps!$G$2:$G$10001),0), 18))</f>
        <v>0.71709999999999996</v>
      </c>
      <c r="V83" s="181" cm="1">
        <f t="array" ref="V83">IF(ISBLANK($AQ83), "", INDEX([2]SalmonProps!$A$2:$AA$10001,MATCH(1,($A83=[2]SalmonProps!$A$2:$A$10001)*(3=[2]SalmonProps!$C$2:$C$10001)*(3=[2]SalmonProps!$D$2:$D$10001)*("A1" = [2]SalmonProps!$B$2:$B$10001)*($AP83 = [2]SalmonProps!$F$2:$F$10001) *($AR83 = [2]SalmonProps!$G$2:$G$10001),0), 18))</f>
        <v>0.76039999999999996</v>
      </c>
      <c r="W83" s="180" cm="1">
        <f t="array" ref="W83">IF(ISBLANK($AQ83), "", INDEX([2]SalmonProps!$A$2:$AA$10001,MATCH(1,($A83=[2]SalmonProps!$A$2:$A$10001)*(1=[2]SalmonProps!$C$2:$C$10001)*(1=[2]SalmonProps!$D$2:$D$10001)*("A2" = [2]SalmonProps!$B$2:$B$10001)*($AP83 = [2]SalmonProps!$F$2:$F$10001) *($AR83 = [2]SalmonProps!$G$2:$G$10001),0), 18))</f>
        <v>0.4879</v>
      </c>
      <c r="X83" s="165" cm="1">
        <f t="array" ref="X83">IF(ISBLANK($AQ83), "", INDEX([2]SalmonProps!$A$2:$AA$10001,MATCH(1,($A83=[2]SalmonProps!$A$2:$A$10001)*(2=[2]SalmonProps!$C$2:$C$10001)*(1=[2]SalmonProps!$D$2:$D$10001)*("A2" = [2]SalmonProps!$B$2:$B$10001)*($AP83 = [2]SalmonProps!$F$2:$F$10001) *($AR83 = [2]SalmonProps!$G$2:$G$10001),0), 18))</f>
        <v>0.45529999999999998</v>
      </c>
      <c r="Y83" s="168" cm="1">
        <f t="array" ref="Y83">IF(ISBLANK($AQ83), "", INDEX([2]SalmonProps!$A$2:$AA$10001,MATCH(1,($A83=[2]SalmonProps!$A$2:$A$10001)*(3=[2]SalmonProps!$C$2:$C$10001)*(1=[2]SalmonProps!$D$2:$D$10001)*("A2" = [2]SalmonProps!$B$2:$B$10001)*($AP83 = [2]SalmonProps!$F$2:$F$10001) *($AR83 = [2]SalmonProps!$G$2:$G$10001),0), 18))</f>
        <v>0.40670000000000001</v>
      </c>
      <c r="Z83" s="164" cm="1">
        <f t="array" ref="Z83">IF(ISBLANK($AQ83), "", INDEX([2]SalmonProps!$A$2:$AA$10001,MATCH(1,($A83=[2]SalmonProps!$A$2:$A$10001)*(1=[2]SalmonProps!$C$2:$C$10001)*(1=[2]SalmonProps!$D$2:$D$10001)*("A1" = [2]SalmonProps!$B$2:$B$10001)*($AP83 = [2]SalmonProps!$F$2:$F$10001) *($AR83 = [2]SalmonProps!$G$2:$G$10001),0), 15))</f>
        <v>0.28000000000000003</v>
      </c>
      <c r="AA83" s="165" cm="1">
        <f t="array" ref="AA83">IF(ISBLANK($AQ83), "", INDEX([2]SalmonProps!$A$2:$AA$10001,MATCH(1,($A83=[2]SalmonProps!$A$2:$A$10001)*(1=[2]SalmonProps!$C$2:$C$10001)*(2=[2]SalmonProps!$D$2:$D$10001)*("A1" = [2]SalmonProps!$B$2:$B$10001)*($AP83 = [2]SalmonProps!$F$2:$F$10001) *($AR83 = [2]SalmonProps!$G$2:$G$10001),0), 15))</f>
        <v>0.49109999999999998</v>
      </c>
      <c r="AB83" s="165" cm="1">
        <f t="array" ref="AB83">IF(ISBLANK($AQ83), "", INDEX([2]SalmonProps!$A$2:$AA$10001,MATCH(1,($A83=[2]SalmonProps!$A$2:$A$10001)*(1=[2]SalmonProps!$C$2:$C$10001)*("1&amp;2"=[2]SalmonProps!$D$2:$D$10001)*("A1" = [2]SalmonProps!$B$2:$B$10001)*($AP83 = [2]SalmonProps!$F$2:$F$10001) *($AR83 = [2]SalmonProps!$G$2:$G$10001),0), 15))</f>
        <v>0.37319999999999998</v>
      </c>
      <c r="AC83" s="165" cm="1">
        <f t="array" ref="AC83">IF(ISBLANK($AQ83), "", INDEX([2]SalmonProps!$A$2:$AA$10001,MATCH(1,($A83=[2]SalmonProps!$A$2:$A$10001)*(2=[2]SalmonProps!$C$2:$C$10001)*(3=[2]SalmonProps!$D$2:$D$10001)*("A1" = [2]SalmonProps!$B$2:$B$10001)*($AP83 = [2]SalmonProps!$F$2:$F$10001) *($AR83 = [2]SalmonProps!$G$2:$G$10001),0), 15))</f>
        <v>0.86819999999999997</v>
      </c>
      <c r="AD83" s="181" cm="1">
        <f t="array" ref="AD83">IF(ISBLANK($AQ83), "", INDEX([2]SalmonProps!$A$2:$AA$10001,MATCH(1,($A83=[2]SalmonProps!$A$2:$A$10001)*(3=[2]SalmonProps!$C$2:$C$10001)*(3=[2]SalmonProps!$D$2:$D$10001)*("A1" = [2]SalmonProps!$B$2:$B$10001)*($AP83 = [2]SalmonProps!$F$2:$F$10001) *($AR83 = [2]SalmonProps!$G$2:$G$10001),0), 15))</f>
        <v>0.97419999999999995</v>
      </c>
      <c r="AE83" s="166" cm="1">
        <f t="array" ref="AE83">IF(ISBLANK($AQ83), "", INDEX([2]SalmonProps!$A$2:$AA$10001,MATCH(1,($A83=[2]SalmonProps!$A$2:$A$10001)*(1=[2]SalmonProps!$C$2:$C$10001)*(1=[2]SalmonProps!$D$2:$D$10001)*("A2" = [2]SalmonProps!$B$2:$B$10001)*($AP83 = [2]SalmonProps!$F$2:$F$10001) *($AR83 = [2]SalmonProps!$G$2:$G$10001),0), 15))</f>
        <v>0.71460000000000001</v>
      </c>
      <c r="AF83" s="166" cm="1">
        <f t="array" ref="AF83">IF(ISBLANK($AQ83), "", INDEX([2]SalmonProps!$A$2:$AA$10001,MATCH(1,($A83=[2]SalmonProps!$A$2:$A$10001)*(2=[2]SalmonProps!$C$2:$C$10001)*(1=[2]SalmonProps!$D$2:$D$10001)*("A2" = [2]SalmonProps!$B$2:$B$10001)*($AP83 = [2]SalmonProps!$F$2:$F$10001) *($AR83 = [2]SalmonProps!$G$2:$G$10001),0), 15))</f>
        <v>0.7611</v>
      </c>
      <c r="AG83" s="167" cm="1">
        <f t="array" ref="AG83">IF(ISBLANK($AQ83), "", INDEX([2]SalmonProps!$A$2:$AA$10001,MATCH(1,($A83=[2]SalmonProps!$A$2:$A$10001)*(3=[2]SalmonProps!$C$2:$C$10001)*(1=[2]SalmonProps!$D$2:$D$10001)*("A2" = [2]SalmonProps!$B$2:$B$10001)*($AP83 = [2]SalmonProps!$F$2:$F$10001) *($AR83 = [2]SalmonProps!$G$2:$G$10001),0), 15))</f>
        <v>0.91549999999999998</v>
      </c>
      <c r="AH83" s="173" cm="1">
        <f t="array" ref="AH83">IF(ISBLANK($AQ83), "", INDEX([2]SalmonProps!$A$2:$AA$10001,MATCH(1,($A83=[2]SalmonProps!$A$2:$A$10001)*($AP83 = [2]SalmonProps!$F$2:$F$10001) *($AR83 = [2]SalmonProps!$G$2:$G$10001),0), 24))</f>
        <v>52.3</v>
      </c>
      <c r="AI83" s="183" cm="1">
        <f t="array" ref="AI83">IF(ISBLANK($AQ83), "", INDEX([2]SalmonProps!$A$2:$AA$10001,MATCH(1,($A83=[2]SalmonProps!$A$2:$A$10001)*($AP83 = [2]SalmonProps!$F$2:$F$10001) *($AR83 = [2]SalmonProps!$G$2:$G$10001),0), 25))</f>
        <v>6.8</v>
      </c>
      <c r="AJ83" s="174" cm="1">
        <f t="array" ref="AJ83">IF(ISBLANK($AQ83), "", INDEX([2]SalmonProps!$A$2:$AA$10001,MATCH(1,($A83=[2]SalmonProps!$A$2:$A$10001)*($AP83 = [2]SalmonProps!$F$2:$F$10001) *($AR83 = [2]SalmonProps!$G$2:$G$10001),0), 20))</f>
        <v>60.3</v>
      </c>
      <c r="AK83" s="183" cm="1">
        <f t="array" ref="AK83">IF(ISBLANK($AQ83), "", INDEX([2]SalmonProps!$A$2:$AA$10001,MATCH(1,($A83=[2]SalmonProps!$A$2:$A$10001)*($AP83 = [2]SalmonProps!$F$2:$F$10001) *($AR83 = [2]SalmonProps!$G$2:$G$10001),0), 21))</f>
        <v>4.9000000000000004</v>
      </c>
      <c r="AL83" s="174" cm="1">
        <f t="array" ref="AL83">IF(ISBLANK($AQ83), "", INDEX([2]SalmonProps!$A$2:$AA$10001,MATCH(1,($A83=[2]SalmonProps!$A$2:$A$10001)*($AP83 = [2]SalmonProps!$F$2:$F$10001) *($AR83 = [2]SalmonProps!$G$2:$G$10001),0), 22))</f>
        <v>75.7</v>
      </c>
      <c r="AM83" s="183" cm="1">
        <f t="array" ref="AM83">IF(ISBLANK($AQ83), "", INDEX([2]SalmonProps!$A$2:$AA$10001,MATCH(1,($A83=[2]SalmonProps!$A$2:$A$10001)*($AP83 = [2]SalmonProps!$F$2:$F$10001) *($AR83 = [2]SalmonProps!$G$2:$G$10001),0), 23))</f>
        <v>7.6</v>
      </c>
      <c r="AN83" s="174" t="str" cm="1">
        <f t="array" ref="AN83">IF(ISBLANK($AQ83), "", INDEX([2]SalmonProps!$A$2:$AA$10001,MATCH(1,($A83=[2]SalmonProps!$A$2:$A$10001)*($AP83 = [2]SalmonProps!$F$2:$F$10001) *($AR83 = [2]SalmonProps!$G$2:$G$10001),0), 26))</f>
        <v>NA</v>
      </c>
      <c r="AO83" s="175" t="str" cm="1">
        <f t="array" ref="AO83">IF(ISBLANK($AQ83), "", INDEX([2]SalmonProps!$A$2:$AA$10001,MATCH(1,($A83=[2]SalmonProps!$A$2:$A$10001)*($AP83 = [2]SalmonProps!$F$2:$F$10001) *($AR83 = [2]SalmonProps!$G$2:$G$10001),0), 27))</f>
        <v>NA</v>
      </c>
      <c r="AP83" s="112">
        <v>4</v>
      </c>
      <c r="AQ83" s="112" t="s">
        <v>133</v>
      </c>
      <c r="AR83" s="112" t="str">
        <f t="shared" si="2"/>
        <v>Unweighted</v>
      </c>
    </row>
    <row r="84" spans="1:44" x14ac:dyDescent="0.3">
      <c r="A84" s="20">
        <f>'[1]Passage Estimates'!$A84</f>
        <v>45186</v>
      </c>
      <c r="B84" s="164" cm="1">
        <f t="array" ref="B84">IF(ISBLANK($AQ84), "", INDEX([2]SalmonProps!$A$2:$AA$10001,MATCH(1,($A84=[2]SalmonProps!$A$2:$A$10001)*(1=[2]SalmonProps!$C$2:$C$10001)*(1=[2]SalmonProps!$D$2:$D$10001)*("A1" = [2]SalmonProps!$B$2:$B$10001)*($AP84 = [2]SalmonProps!$F$2:$F$10001) *($AR84 = [2]SalmonProps!$G$2:$G$10001),0), 17))</f>
        <v>0</v>
      </c>
      <c r="C84" s="165" cm="1">
        <f t="array" ref="C84">IF(ISBLANK($AQ84), "", INDEX([2]SalmonProps!$A$2:$AA$10001,MATCH(1,($A84=[2]SalmonProps!$A$2:$A$10001)*(1=[2]SalmonProps!$C$2:$C$10001)*(2=[2]SalmonProps!$D$2:$D$10001)*("A1" = [2]SalmonProps!$B$2:$B$10001)*($AP84 = [2]SalmonProps!$F$2:$F$10001) *($AR84 = [2]SalmonProps!$G$2:$G$10001),0), 17))</f>
        <v>0</v>
      </c>
      <c r="D84" s="165" cm="1">
        <f t="array" ref="D84">IF(ISBLANK($AQ84), "", INDEX([2]SalmonProps!$A$2:$AA$10001,MATCH(1,($A84=[2]SalmonProps!$A$2:$A$10001)*(1=[2]SalmonProps!$C$2:$C$10001)*("1&amp;2"=[2]SalmonProps!$D$2:$D$10001)*("A1" = [2]SalmonProps!$B$2:$B$10001)*($AP84 = [2]SalmonProps!$F$2:$F$10001) *($AR84 = [2]SalmonProps!$G$2:$G$10001),0), 17))</f>
        <v>0</v>
      </c>
      <c r="E84" s="181" cm="1">
        <f t="array" ref="E84">IF(ISBLANK($AQ84), "", INDEX([2]SalmonProps!$A$2:$AA$10001,MATCH(1,($A84=[2]SalmonProps!$A$2:$A$10001)*(2=[2]SalmonProps!$C$2:$C$10001)*(3=[2]SalmonProps!$D$2:$D$10001)*("A1" = [2]SalmonProps!$B$2:$B$10001)*($AP84 = [2]SalmonProps!$F$2:$F$10001) *($AR84 = [2]SalmonProps!$G$2:$G$10001),0), 17))</f>
        <v>5.7000000000000002E-2</v>
      </c>
      <c r="F84" s="165" cm="1">
        <f t="array" ref="F84">IF(ISBLANK($AQ84), "", INDEX([2]SalmonProps!$A$2:$AA$10001,MATCH(1,($A84=[2]SalmonProps!$A$2:$A$10001)*(3=[2]SalmonProps!$C$2:$C$10001)*(3=[2]SalmonProps!$D$2:$D$10001)*("A1" = [2]SalmonProps!$B$2:$B$10001)*($AP84 = [2]SalmonProps!$F$2:$F$10001) *($AR84 = [2]SalmonProps!$G$2:$G$10001),0), 17))</f>
        <v>0.27200000000000002</v>
      </c>
      <c r="G84" s="165" cm="1">
        <f t="array" ref="G84">IF(ISBLANK($AQ84), "", INDEX([2]SalmonProps!$A$2:$AA$10001,MATCH(1,($A84=[2]SalmonProps!$A$2:$A$10001)*(1=[2]SalmonProps!$C$2:$C$10001)*(1=[2]SalmonProps!$D$2:$D$10001)*("A2" = [2]SalmonProps!$B$2:$B$10001)*($AP84 = [2]SalmonProps!$F$2:$F$10001) *($AR84 = [2]SalmonProps!$G$2:$G$10001),0), 17))</f>
        <v>5.45E-2</v>
      </c>
      <c r="H84" s="166" cm="1">
        <f t="array" ref="H84">IF(ISBLANK($AQ84), "", INDEX([2]SalmonProps!$A$2:$AA$10001,MATCH(1,($A84=[2]SalmonProps!$A$2:$A$10001)*(2=[2]SalmonProps!$C$2:$C$10001)*(1=[2]SalmonProps!$D$2:$D$10001)*("A2" = [2]SalmonProps!$B$2:$B$10001)*($AP84 = [2]SalmonProps!$F$2:$F$10001) *($AR84 = [2]SalmonProps!$G$2:$G$10001),0), 17))</f>
        <v>0.15959999999999999</v>
      </c>
      <c r="I84" s="167" cm="1">
        <f t="array" ref="I84">IF(ISBLANK($AQ84), "", INDEX([2]SalmonProps!$A$2:$AA$10001,MATCH(1,($A84=[2]SalmonProps!$A$2:$A$10001)*(3=[2]SalmonProps!$C$2:$C$10001)*(1=[2]SalmonProps!$D$2:$D$10001)*("A2" = [2]SalmonProps!$B$2:$B$10001)*($AP84 = [2]SalmonProps!$F$2:$F$10001) *($AR84 = [2]SalmonProps!$G$2:$G$10001),0), 17))</f>
        <v>0.2777</v>
      </c>
      <c r="J84" s="164" t="str" cm="1">
        <f t="array" ref="J84">IF(ISBLANK($AQ84), "", INDEX([2]SalmonProps!$A$2:$AA$10001,MATCH(1,($A84=[2]SalmonProps!$A$2:$A$10001)*(1=[2]SalmonProps!$C$2:$C$10001)*(1=[2]SalmonProps!$D$2:$D$10001)*("A1" = [2]SalmonProps!$B$2:$B$10001)*($AP84 = [2]SalmonProps!$F$2:$F$10001) *($AR84 = [2]SalmonProps!$G$2:$G$10001),0), 19))</f>
        <v>NA</v>
      </c>
      <c r="K84" s="165" t="str" cm="1">
        <f t="array" ref="K84">IF(ISBLANK($AQ84), "", INDEX([2]SalmonProps!$A$2:$AA$10001,MATCH(1,($A84=[2]SalmonProps!$A$2:$A$10001)*(1=[2]SalmonProps!$C$2:$C$10001)*(2=[2]SalmonProps!$D$2:$D$10001)*("A1" = [2]SalmonProps!$B$2:$B$10001)*($AP84 = [2]SalmonProps!$F$2:$F$10001) *($AR84 = [2]SalmonProps!$G$2:$G$10001),0), 19))</f>
        <v>NA</v>
      </c>
      <c r="L84" s="165" t="str" cm="1">
        <f t="array" ref="L84">IF(ISBLANK($AQ84), "", INDEX([2]SalmonProps!$A$2:$AA$10001,MATCH(1,($A84=[2]SalmonProps!$A$2:$A$10001)*(1=[2]SalmonProps!$C$2:$C$10001)*("1&amp;2"=[2]SalmonProps!$D$2:$D$10001)*("A1" = [2]SalmonProps!$B$2:$B$10001)*($AP84 = [2]SalmonProps!$F$2:$F$10001) *($AR84 = [2]SalmonProps!$G$2:$G$10001),0), 19))</f>
        <v>NA</v>
      </c>
      <c r="M84" s="165" t="str" cm="1">
        <f t="array" ref="M84">IF(ISBLANK($AQ84), "", INDEX([2]SalmonProps!$A$2:$AA$10001,MATCH(1,($A84=[2]SalmonProps!$A$2:$A$10001)*(2=[2]SalmonProps!$C$2:$C$10001)*(3=[2]SalmonProps!$D$2:$D$10001)*("A1" = [2]SalmonProps!$B$2:$B$10001)*($AP84 = [2]SalmonProps!$F$2:$F$10001) *($AR84 = [2]SalmonProps!$G$2:$G$10001),0), 19))</f>
        <v>NA</v>
      </c>
      <c r="N84" s="181" t="str" cm="1">
        <f t="array" ref="N84">IF(ISBLANK($AQ84), "", INDEX([2]SalmonProps!$A$2:$AA$10001,MATCH(1,($A84=[2]SalmonProps!$A$2:$A$10001)*(3=[2]SalmonProps!$C$2:$C$10001)*(3=[2]SalmonProps!$D$2:$D$10001)*("A1" = [2]SalmonProps!$B$2:$B$10001)*($AP84 = [2]SalmonProps!$F$2:$F$10001) *($AR84 = [2]SalmonProps!$G$2:$G$10001),0), 19))</f>
        <v>NA</v>
      </c>
      <c r="O84" s="165" t="str" cm="1">
        <f t="array" ref="O84">IF(ISBLANK($AQ84), "", INDEX([2]SalmonProps!$A$2:$AA$10001,MATCH(1,($A84=[2]SalmonProps!$A$2:$A$10001)*(1=[2]SalmonProps!$C$2:$C$10001)*(1=[2]SalmonProps!$D$2:$D$10001)*("A2" = [2]SalmonProps!$B$2:$B$10001)*($AP84 = [2]SalmonProps!$F$2:$F$10001) *($AR84 = [2]SalmonProps!$G$2:$G$10001),0), 19))</f>
        <v>NA</v>
      </c>
      <c r="P84" s="165" t="str" cm="1">
        <f t="array" ref="P84">IF(ISBLANK($AQ84), "", INDEX([2]SalmonProps!$A$2:$AA$10001,MATCH(1,($A84=[2]SalmonProps!$A$2:$A$10001)*(2=[2]SalmonProps!$C$2:$C$10001)*(1=[2]SalmonProps!$D$2:$D$10001)*("A2" = [2]SalmonProps!$B$2:$B$10001)*($AP84 = [2]SalmonProps!$F$2:$F$10001) *($AR84 = [2]SalmonProps!$G$2:$G$10001),0), 19))</f>
        <v>NA</v>
      </c>
      <c r="Q84" s="168" t="str" cm="1">
        <f t="array" ref="Q84">IF(ISBLANK($AQ84), "", INDEX([2]SalmonProps!$A$2:$AA$10001,MATCH(1,($A84=[2]SalmonProps!$A$2:$A$10001)*(3=[2]SalmonProps!$C$2:$C$10001)*(1=[2]SalmonProps!$D$2:$D$10001)*("A2" = [2]SalmonProps!$B$2:$B$10001)*($AP84 = [2]SalmonProps!$F$2:$F$10001) *($AR84 = [2]SalmonProps!$G$2:$G$10001),0), 19))</f>
        <v>NA</v>
      </c>
      <c r="R84" s="164" cm="1">
        <f t="array" ref="R84">IF(ISBLANK($AQ84), "", INDEX([2]SalmonProps!$A$2:$AA$10001,MATCH(1,($A84=[2]SalmonProps!$A$2:$A$10001)*(1=[2]SalmonProps!$C$2:$C$10001)*(1=[2]SalmonProps!$D$2:$D$10001)*("A1" = [2]SalmonProps!$B$2:$B$10001)*($AP84 = [2]SalmonProps!$F$2:$F$10001) *($AR84 = [2]SalmonProps!$G$2:$G$10001),0), 18))</f>
        <v>0.52170000000000005</v>
      </c>
      <c r="S84" s="165" cm="1">
        <f t="array" ref="S84">IF(ISBLANK($AQ84), "", INDEX([2]SalmonProps!$A$2:$AA$10001,MATCH(1,($A84=[2]SalmonProps!$A$2:$A$10001)*(1=[2]SalmonProps!$C$2:$C$10001)*(2=[2]SalmonProps!$D$2:$D$10001)*("A1" = [2]SalmonProps!$B$2:$B$10001)*($AP84 = [2]SalmonProps!$F$2:$F$10001) *($AR84 = [2]SalmonProps!$G$2:$G$10001),0), 18))</f>
        <v>0.5746</v>
      </c>
      <c r="T84" s="165" cm="1">
        <f t="array" ref="T84">IF(ISBLANK($AQ84), "", INDEX([2]SalmonProps!$A$2:$AA$10001,MATCH(1,($A84=[2]SalmonProps!$A$2:$A$10001)*(1=[2]SalmonProps!$C$2:$C$10001)*("1&amp;2"=[2]SalmonProps!$D$2:$D$10001)*("A1" = [2]SalmonProps!$B$2:$B$10001)*($AP84 = [2]SalmonProps!$F$2:$F$10001) *($AR84 = [2]SalmonProps!$G$2:$G$10001),0), 18))</f>
        <v>0.54879999999999995</v>
      </c>
      <c r="U84" s="165" cm="1">
        <f t="array" ref="U84">IF(ISBLANK($AQ84), "", INDEX([2]SalmonProps!$A$2:$AA$10001,MATCH(1,($A84=[2]SalmonProps!$A$2:$A$10001)*(2=[2]SalmonProps!$C$2:$C$10001)*(3=[2]SalmonProps!$D$2:$D$10001)*("A1" = [2]SalmonProps!$B$2:$B$10001)*($AP84 = [2]SalmonProps!$F$2:$F$10001) *($AR84 = [2]SalmonProps!$G$2:$G$10001),0), 18))</f>
        <v>0.60329999999999995</v>
      </c>
      <c r="V84" s="181" cm="1">
        <f t="array" ref="V84">IF(ISBLANK($AQ84), "", INDEX([2]SalmonProps!$A$2:$AA$10001,MATCH(1,($A84=[2]SalmonProps!$A$2:$A$10001)*(3=[2]SalmonProps!$C$2:$C$10001)*(3=[2]SalmonProps!$D$2:$D$10001)*("A1" = [2]SalmonProps!$B$2:$B$10001)*($AP84 = [2]SalmonProps!$F$2:$F$10001) *($AR84 = [2]SalmonProps!$G$2:$G$10001),0), 18))</f>
        <v>0.30980000000000002</v>
      </c>
      <c r="W84" s="180" cm="1">
        <f t="array" ref="W84">IF(ISBLANK($AQ84), "", INDEX([2]SalmonProps!$A$2:$AA$10001,MATCH(1,($A84=[2]SalmonProps!$A$2:$A$10001)*(1=[2]SalmonProps!$C$2:$C$10001)*(1=[2]SalmonProps!$D$2:$D$10001)*("A2" = [2]SalmonProps!$B$2:$B$10001)*($AP84 = [2]SalmonProps!$F$2:$F$10001) *($AR84 = [2]SalmonProps!$G$2:$G$10001),0), 18))</f>
        <v>0.622</v>
      </c>
      <c r="X84" s="165" cm="1">
        <f t="array" ref="X84">IF(ISBLANK($AQ84), "", INDEX([2]SalmonProps!$A$2:$AA$10001,MATCH(1,($A84=[2]SalmonProps!$A$2:$A$10001)*(2=[2]SalmonProps!$C$2:$C$10001)*(1=[2]SalmonProps!$D$2:$D$10001)*("A2" = [2]SalmonProps!$B$2:$B$10001)*($AP84 = [2]SalmonProps!$F$2:$F$10001) *($AR84 = [2]SalmonProps!$G$2:$G$10001),0), 18))</f>
        <v>0.40649999999999997</v>
      </c>
      <c r="Y84" s="168" cm="1">
        <f t="array" ref="Y84">IF(ISBLANK($AQ84), "", INDEX([2]SalmonProps!$A$2:$AA$10001,MATCH(1,($A84=[2]SalmonProps!$A$2:$A$10001)*(3=[2]SalmonProps!$C$2:$C$10001)*(1=[2]SalmonProps!$D$2:$D$10001)*("A2" = [2]SalmonProps!$B$2:$B$10001)*($AP84 = [2]SalmonProps!$F$2:$F$10001) *($AR84 = [2]SalmonProps!$G$2:$G$10001),0), 18))</f>
        <v>0.37940000000000002</v>
      </c>
      <c r="Z84" s="164" cm="1">
        <f t="array" ref="Z84">IF(ISBLANK($AQ84), "", INDEX([2]SalmonProps!$A$2:$AA$10001,MATCH(1,($A84=[2]SalmonProps!$A$2:$A$10001)*(1=[2]SalmonProps!$C$2:$C$10001)*(1=[2]SalmonProps!$D$2:$D$10001)*("A1" = [2]SalmonProps!$B$2:$B$10001)*($AP84 = [2]SalmonProps!$F$2:$F$10001) *($AR84 = [2]SalmonProps!$G$2:$G$10001),0), 15))</f>
        <v>0.64949999999999997</v>
      </c>
      <c r="AA84" s="165" cm="1">
        <f t="array" ref="AA84">IF(ISBLANK($AQ84), "", INDEX([2]SalmonProps!$A$2:$AA$10001,MATCH(1,($A84=[2]SalmonProps!$A$2:$A$10001)*(1=[2]SalmonProps!$C$2:$C$10001)*(2=[2]SalmonProps!$D$2:$D$10001)*("A1" = [2]SalmonProps!$B$2:$B$10001)*($AP84 = [2]SalmonProps!$F$2:$F$10001) *($AR84 = [2]SalmonProps!$G$2:$G$10001),0), 15))</f>
        <v>0.7923</v>
      </c>
      <c r="AB84" s="165" cm="1">
        <f t="array" ref="AB84">IF(ISBLANK($AQ84), "", INDEX([2]SalmonProps!$A$2:$AA$10001,MATCH(1,($A84=[2]SalmonProps!$A$2:$A$10001)*(1=[2]SalmonProps!$C$2:$C$10001)*("1&amp;2"=[2]SalmonProps!$D$2:$D$10001)*("A1" = [2]SalmonProps!$B$2:$B$10001)*($AP84 = [2]SalmonProps!$F$2:$F$10001) *($AR84 = [2]SalmonProps!$G$2:$G$10001),0), 15))</f>
        <v>0.71489999999999998</v>
      </c>
      <c r="AC84" s="165" cm="1">
        <f t="array" ref="AC84">IF(ISBLANK($AQ84), "", INDEX([2]SalmonProps!$A$2:$AA$10001,MATCH(1,($A84=[2]SalmonProps!$A$2:$A$10001)*(2=[2]SalmonProps!$C$2:$C$10001)*(3=[2]SalmonProps!$D$2:$D$10001)*("A1" = [2]SalmonProps!$B$2:$B$10001)*($AP84 = [2]SalmonProps!$F$2:$F$10001) *($AR84 = [2]SalmonProps!$G$2:$G$10001),0), 15))</f>
        <v>0.84670000000000001</v>
      </c>
      <c r="AD84" s="181" cm="1">
        <f t="array" ref="AD84">IF(ISBLANK($AQ84), "", INDEX([2]SalmonProps!$A$2:$AA$10001,MATCH(1,($A84=[2]SalmonProps!$A$2:$A$10001)*(3=[2]SalmonProps!$C$2:$C$10001)*(3=[2]SalmonProps!$D$2:$D$10001)*("A1" = [2]SalmonProps!$B$2:$B$10001)*($AP84 = [2]SalmonProps!$F$2:$F$10001) *($AR84 = [2]SalmonProps!$G$2:$G$10001),0), 15))</f>
        <v>0.97750000000000004</v>
      </c>
      <c r="AE84" s="166" cm="1">
        <f t="array" ref="AE84">IF(ISBLANK($AQ84), "", INDEX([2]SalmonProps!$A$2:$AA$10001,MATCH(1,($A84=[2]SalmonProps!$A$2:$A$10001)*(1=[2]SalmonProps!$C$2:$C$10001)*(1=[2]SalmonProps!$D$2:$D$10001)*("A2" = [2]SalmonProps!$B$2:$B$10001)*($AP84 = [2]SalmonProps!$F$2:$F$10001) *($AR84 = [2]SalmonProps!$G$2:$G$10001),0), 15))</f>
        <v>0.67649999999999999</v>
      </c>
      <c r="AF84" s="166" cm="1">
        <f t="array" ref="AF84">IF(ISBLANK($AQ84), "", INDEX([2]SalmonProps!$A$2:$AA$10001,MATCH(1,($A84=[2]SalmonProps!$A$2:$A$10001)*(2=[2]SalmonProps!$C$2:$C$10001)*(1=[2]SalmonProps!$D$2:$D$10001)*("A2" = [2]SalmonProps!$B$2:$B$10001)*($AP84 = [2]SalmonProps!$F$2:$F$10001) *($AR84 = [2]SalmonProps!$G$2:$G$10001),0), 15))</f>
        <v>0.83240000000000003</v>
      </c>
      <c r="AG84" s="167" cm="1">
        <f t="array" ref="AG84">IF(ISBLANK($AQ84), "", INDEX([2]SalmonProps!$A$2:$AA$10001,MATCH(1,($A84=[2]SalmonProps!$A$2:$A$10001)*(3=[2]SalmonProps!$C$2:$C$10001)*(1=[2]SalmonProps!$D$2:$D$10001)*("A2" = [2]SalmonProps!$B$2:$B$10001)*($AP84 = [2]SalmonProps!$F$2:$F$10001) *($AR84 = [2]SalmonProps!$G$2:$G$10001),0), 15))</f>
        <v>0.80640000000000001</v>
      </c>
      <c r="AH84" s="173" cm="1">
        <f t="array" ref="AH84">IF(ISBLANK($AQ84), "", INDEX([2]SalmonProps!$A$2:$AA$10001,MATCH(1,($A84=[2]SalmonProps!$A$2:$A$10001)*($AP84 = [2]SalmonProps!$F$2:$F$10001) *($AR84 = [2]SalmonProps!$G$2:$G$10001),0), 24))</f>
        <v>52.3</v>
      </c>
      <c r="AI84" s="183" cm="1">
        <f t="array" ref="AI84">IF(ISBLANK($AQ84), "", INDEX([2]SalmonProps!$A$2:$AA$10001,MATCH(1,($A84=[2]SalmonProps!$A$2:$A$10001)*($AP84 = [2]SalmonProps!$F$2:$F$10001) *($AR84 = [2]SalmonProps!$G$2:$G$10001),0), 25))</f>
        <v>6.8</v>
      </c>
      <c r="AJ84" s="174" cm="1">
        <f t="array" ref="AJ84">IF(ISBLANK($AQ84), "", INDEX([2]SalmonProps!$A$2:$AA$10001,MATCH(1,($A84=[2]SalmonProps!$A$2:$A$10001)*($AP84 = [2]SalmonProps!$F$2:$F$10001) *($AR84 = [2]SalmonProps!$G$2:$G$10001),0), 20))</f>
        <v>60.3</v>
      </c>
      <c r="AK84" s="183" cm="1">
        <f t="array" ref="AK84">IF(ISBLANK($AQ84), "", INDEX([2]SalmonProps!$A$2:$AA$10001,MATCH(1,($A84=[2]SalmonProps!$A$2:$A$10001)*($AP84 = [2]SalmonProps!$F$2:$F$10001) *($AR84 = [2]SalmonProps!$G$2:$G$10001),0), 21))</f>
        <v>4.9000000000000004</v>
      </c>
      <c r="AL84" s="174" cm="1">
        <f t="array" ref="AL84">IF(ISBLANK($AQ84), "", INDEX([2]SalmonProps!$A$2:$AA$10001,MATCH(1,($A84=[2]SalmonProps!$A$2:$A$10001)*($AP84 = [2]SalmonProps!$F$2:$F$10001) *($AR84 = [2]SalmonProps!$G$2:$G$10001),0), 22))</f>
        <v>75.7</v>
      </c>
      <c r="AM84" s="183" cm="1">
        <f t="array" ref="AM84">IF(ISBLANK($AQ84), "", INDEX([2]SalmonProps!$A$2:$AA$10001,MATCH(1,($A84=[2]SalmonProps!$A$2:$A$10001)*($AP84 = [2]SalmonProps!$F$2:$F$10001) *($AR84 = [2]SalmonProps!$G$2:$G$10001),0), 23))</f>
        <v>7.6</v>
      </c>
      <c r="AN84" s="174" t="str" cm="1">
        <f t="array" ref="AN84">IF(ISBLANK($AQ84), "", INDEX([2]SalmonProps!$A$2:$AA$10001,MATCH(1,($A84=[2]SalmonProps!$A$2:$A$10001)*($AP84 = [2]SalmonProps!$F$2:$F$10001) *($AR84 = [2]SalmonProps!$G$2:$G$10001),0), 26))</f>
        <v>NA</v>
      </c>
      <c r="AO84" s="175" t="str" cm="1">
        <f t="array" ref="AO84">IF(ISBLANK($AQ84), "", INDEX([2]SalmonProps!$A$2:$AA$10001,MATCH(1,($A84=[2]SalmonProps!$A$2:$A$10001)*($AP84 = [2]SalmonProps!$F$2:$F$10001) *($AR84 = [2]SalmonProps!$G$2:$G$10001),0), 27))</f>
        <v>NA</v>
      </c>
      <c r="AP84" s="112">
        <v>4</v>
      </c>
      <c r="AQ84" s="112" t="s">
        <v>133</v>
      </c>
      <c r="AR84" s="112" t="str">
        <f t="shared" si="2"/>
        <v>Unweighted</v>
      </c>
    </row>
    <row r="85" spans="1:44" x14ac:dyDescent="0.3">
      <c r="A85" s="20">
        <f>'[1]Passage Estimates'!$A85</f>
        <v>45187</v>
      </c>
      <c r="B85" s="164" cm="1">
        <f t="array" ref="B85">IF(ISBLANK($AQ85), "", INDEX([2]SalmonProps!$A$2:$AA$10001,MATCH(1,($A85=[2]SalmonProps!$A$2:$A$10001)*(1=[2]SalmonProps!$C$2:$C$10001)*(1=[2]SalmonProps!$D$2:$D$10001)*("A1" = [2]SalmonProps!$B$2:$B$10001)*($AP85 = [2]SalmonProps!$F$2:$F$10001) *($AR85 = [2]SalmonProps!$G$2:$G$10001),0), 17))</f>
        <v>0</v>
      </c>
      <c r="C85" s="165" cm="1">
        <f t="array" ref="C85">IF(ISBLANK($AQ85), "", INDEX([2]SalmonProps!$A$2:$AA$10001,MATCH(1,($A85=[2]SalmonProps!$A$2:$A$10001)*(1=[2]SalmonProps!$C$2:$C$10001)*(2=[2]SalmonProps!$D$2:$D$10001)*("A1" = [2]SalmonProps!$B$2:$B$10001)*($AP85 = [2]SalmonProps!$F$2:$F$10001) *($AR85 = [2]SalmonProps!$G$2:$G$10001),0), 17))</f>
        <v>0</v>
      </c>
      <c r="D85" s="165" cm="1">
        <f t="array" ref="D85">IF(ISBLANK($AQ85), "", INDEX([2]SalmonProps!$A$2:$AA$10001,MATCH(1,($A85=[2]SalmonProps!$A$2:$A$10001)*(1=[2]SalmonProps!$C$2:$C$10001)*("1&amp;2"=[2]SalmonProps!$D$2:$D$10001)*("A1" = [2]SalmonProps!$B$2:$B$10001)*($AP85 = [2]SalmonProps!$F$2:$F$10001) *($AR85 = [2]SalmonProps!$G$2:$G$10001),0), 17))</f>
        <v>0</v>
      </c>
      <c r="E85" s="181" cm="1">
        <f t="array" ref="E85">IF(ISBLANK($AQ85), "", INDEX([2]SalmonProps!$A$2:$AA$10001,MATCH(1,($A85=[2]SalmonProps!$A$2:$A$10001)*(2=[2]SalmonProps!$C$2:$C$10001)*(3=[2]SalmonProps!$D$2:$D$10001)*("A1" = [2]SalmonProps!$B$2:$B$10001)*($AP85 = [2]SalmonProps!$F$2:$F$10001) *($AR85 = [2]SalmonProps!$G$2:$G$10001),0), 17))</f>
        <v>0.12970000000000001</v>
      </c>
      <c r="F85" s="165" cm="1">
        <f t="array" ref="F85">IF(ISBLANK($AQ85), "", INDEX([2]SalmonProps!$A$2:$AA$10001,MATCH(1,($A85=[2]SalmonProps!$A$2:$A$10001)*(3=[2]SalmonProps!$C$2:$C$10001)*(3=[2]SalmonProps!$D$2:$D$10001)*("A1" = [2]SalmonProps!$B$2:$B$10001)*($AP85 = [2]SalmonProps!$F$2:$F$10001) *($AR85 = [2]SalmonProps!$G$2:$G$10001),0), 17))</f>
        <v>0.37690000000000001</v>
      </c>
      <c r="G85" s="165" cm="1">
        <f t="array" ref="G85">IF(ISBLANK($AQ85), "", INDEX([2]SalmonProps!$A$2:$AA$10001,MATCH(1,($A85=[2]SalmonProps!$A$2:$A$10001)*(1=[2]SalmonProps!$C$2:$C$10001)*(1=[2]SalmonProps!$D$2:$D$10001)*("A2" = [2]SalmonProps!$B$2:$B$10001)*($AP85 = [2]SalmonProps!$F$2:$F$10001) *($AR85 = [2]SalmonProps!$G$2:$G$10001),0), 17))</f>
        <v>5.45E-2</v>
      </c>
      <c r="H85" s="166" cm="1">
        <f t="array" ref="H85">IF(ISBLANK($AQ85), "", INDEX([2]SalmonProps!$A$2:$AA$10001,MATCH(1,($A85=[2]SalmonProps!$A$2:$A$10001)*(2=[2]SalmonProps!$C$2:$C$10001)*(1=[2]SalmonProps!$D$2:$D$10001)*("A2" = [2]SalmonProps!$B$2:$B$10001)*($AP85 = [2]SalmonProps!$F$2:$F$10001) *($AR85 = [2]SalmonProps!$G$2:$G$10001),0), 17))</f>
        <v>0.15959999999999999</v>
      </c>
      <c r="I85" s="167" cm="1">
        <f t="array" ref="I85">IF(ISBLANK($AQ85), "", INDEX([2]SalmonProps!$A$2:$AA$10001,MATCH(1,($A85=[2]SalmonProps!$A$2:$A$10001)*(3=[2]SalmonProps!$C$2:$C$10001)*(1=[2]SalmonProps!$D$2:$D$10001)*("A2" = [2]SalmonProps!$B$2:$B$10001)*($AP85 = [2]SalmonProps!$F$2:$F$10001) *($AR85 = [2]SalmonProps!$G$2:$G$10001),0), 17))</f>
        <v>0.2777</v>
      </c>
      <c r="J85" s="164" t="str" cm="1">
        <f t="array" ref="J85">IF(ISBLANK($AQ85), "", INDEX([2]SalmonProps!$A$2:$AA$10001,MATCH(1,($A85=[2]SalmonProps!$A$2:$A$10001)*(1=[2]SalmonProps!$C$2:$C$10001)*(1=[2]SalmonProps!$D$2:$D$10001)*("A1" = [2]SalmonProps!$B$2:$B$10001)*($AP85 = [2]SalmonProps!$F$2:$F$10001) *($AR85 = [2]SalmonProps!$G$2:$G$10001),0), 19))</f>
        <v>NA</v>
      </c>
      <c r="K85" s="165" t="str" cm="1">
        <f t="array" ref="K85">IF(ISBLANK($AQ85), "", INDEX([2]SalmonProps!$A$2:$AA$10001,MATCH(1,($A85=[2]SalmonProps!$A$2:$A$10001)*(1=[2]SalmonProps!$C$2:$C$10001)*(2=[2]SalmonProps!$D$2:$D$10001)*("A1" = [2]SalmonProps!$B$2:$B$10001)*($AP85 = [2]SalmonProps!$F$2:$F$10001) *($AR85 = [2]SalmonProps!$G$2:$G$10001),0), 19))</f>
        <v>NA</v>
      </c>
      <c r="L85" s="165" t="str" cm="1">
        <f t="array" ref="L85">IF(ISBLANK($AQ85), "", INDEX([2]SalmonProps!$A$2:$AA$10001,MATCH(1,($A85=[2]SalmonProps!$A$2:$A$10001)*(1=[2]SalmonProps!$C$2:$C$10001)*("1&amp;2"=[2]SalmonProps!$D$2:$D$10001)*("A1" = [2]SalmonProps!$B$2:$B$10001)*($AP85 = [2]SalmonProps!$F$2:$F$10001) *($AR85 = [2]SalmonProps!$G$2:$G$10001),0), 19))</f>
        <v>NA</v>
      </c>
      <c r="M85" s="165" t="str" cm="1">
        <f t="array" ref="M85">IF(ISBLANK($AQ85), "", INDEX([2]SalmonProps!$A$2:$AA$10001,MATCH(1,($A85=[2]SalmonProps!$A$2:$A$10001)*(2=[2]SalmonProps!$C$2:$C$10001)*(3=[2]SalmonProps!$D$2:$D$10001)*("A1" = [2]SalmonProps!$B$2:$B$10001)*($AP85 = [2]SalmonProps!$F$2:$F$10001) *($AR85 = [2]SalmonProps!$G$2:$G$10001),0), 19))</f>
        <v>NA</v>
      </c>
      <c r="N85" s="181" t="str" cm="1">
        <f t="array" ref="N85">IF(ISBLANK($AQ85), "", INDEX([2]SalmonProps!$A$2:$AA$10001,MATCH(1,($A85=[2]SalmonProps!$A$2:$A$10001)*(3=[2]SalmonProps!$C$2:$C$10001)*(3=[2]SalmonProps!$D$2:$D$10001)*("A1" = [2]SalmonProps!$B$2:$B$10001)*($AP85 = [2]SalmonProps!$F$2:$F$10001) *($AR85 = [2]SalmonProps!$G$2:$G$10001),0), 19))</f>
        <v>NA</v>
      </c>
      <c r="O85" s="165" t="str" cm="1">
        <f t="array" ref="O85">IF(ISBLANK($AQ85), "", INDEX([2]SalmonProps!$A$2:$AA$10001,MATCH(1,($A85=[2]SalmonProps!$A$2:$A$10001)*(1=[2]SalmonProps!$C$2:$C$10001)*(1=[2]SalmonProps!$D$2:$D$10001)*("A2" = [2]SalmonProps!$B$2:$B$10001)*($AP85 = [2]SalmonProps!$F$2:$F$10001) *($AR85 = [2]SalmonProps!$G$2:$G$10001),0), 19))</f>
        <v>NA</v>
      </c>
      <c r="P85" s="165" t="str" cm="1">
        <f t="array" ref="P85">IF(ISBLANK($AQ85), "", INDEX([2]SalmonProps!$A$2:$AA$10001,MATCH(1,($A85=[2]SalmonProps!$A$2:$A$10001)*(2=[2]SalmonProps!$C$2:$C$10001)*(1=[2]SalmonProps!$D$2:$D$10001)*("A2" = [2]SalmonProps!$B$2:$B$10001)*($AP85 = [2]SalmonProps!$F$2:$F$10001) *($AR85 = [2]SalmonProps!$G$2:$G$10001),0), 19))</f>
        <v>NA</v>
      </c>
      <c r="Q85" s="168" t="str" cm="1">
        <f t="array" ref="Q85">IF(ISBLANK($AQ85), "", INDEX([2]SalmonProps!$A$2:$AA$10001,MATCH(1,($A85=[2]SalmonProps!$A$2:$A$10001)*(3=[2]SalmonProps!$C$2:$C$10001)*(1=[2]SalmonProps!$D$2:$D$10001)*("A2" = [2]SalmonProps!$B$2:$B$10001)*($AP85 = [2]SalmonProps!$F$2:$F$10001) *($AR85 = [2]SalmonProps!$G$2:$G$10001),0), 19))</f>
        <v>NA</v>
      </c>
      <c r="R85" s="164" cm="1">
        <f t="array" ref="R85">IF(ISBLANK($AQ85), "", INDEX([2]SalmonProps!$A$2:$AA$10001,MATCH(1,($A85=[2]SalmonProps!$A$2:$A$10001)*(1=[2]SalmonProps!$C$2:$C$10001)*(1=[2]SalmonProps!$D$2:$D$10001)*("A1" = [2]SalmonProps!$B$2:$B$10001)*($AP85 = [2]SalmonProps!$F$2:$F$10001) *($AR85 = [2]SalmonProps!$G$2:$G$10001),0), 18))</f>
        <v>0.49819999999999998</v>
      </c>
      <c r="S85" s="165" cm="1">
        <f t="array" ref="S85">IF(ISBLANK($AQ85), "", INDEX([2]SalmonProps!$A$2:$AA$10001,MATCH(1,($A85=[2]SalmonProps!$A$2:$A$10001)*(1=[2]SalmonProps!$C$2:$C$10001)*(2=[2]SalmonProps!$D$2:$D$10001)*("A1" = [2]SalmonProps!$B$2:$B$10001)*($AP85 = [2]SalmonProps!$F$2:$F$10001) *($AR85 = [2]SalmonProps!$G$2:$G$10001),0), 18))</f>
        <v>0.62490000000000001</v>
      </c>
      <c r="T85" s="165" cm="1">
        <f t="array" ref="T85">IF(ISBLANK($AQ85), "", INDEX([2]SalmonProps!$A$2:$AA$10001,MATCH(1,($A85=[2]SalmonProps!$A$2:$A$10001)*(1=[2]SalmonProps!$C$2:$C$10001)*("1&amp;2"=[2]SalmonProps!$D$2:$D$10001)*("A1" = [2]SalmonProps!$B$2:$B$10001)*($AP85 = [2]SalmonProps!$F$2:$F$10001) *($AR85 = [2]SalmonProps!$G$2:$G$10001),0), 18))</f>
        <v>0.54949999999999999</v>
      </c>
      <c r="U85" s="165" cm="1">
        <f t="array" ref="U85">IF(ISBLANK($AQ85), "", INDEX([2]SalmonProps!$A$2:$AA$10001,MATCH(1,($A85=[2]SalmonProps!$A$2:$A$10001)*(2=[2]SalmonProps!$C$2:$C$10001)*(3=[2]SalmonProps!$D$2:$D$10001)*("A1" = [2]SalmonProps!$B$2:$B$10001)*($AP85 = [2]SalmonProps!$F$2:$F$10001) *($AR85 = [2]SalmonProps!$G$2:$G$10001),0), 18))</f>
        <v>0.4914</v>
      </c>
      <c r="V85" s="181" cm="1">
        <f t="array" ref="V85">IF(ISBLANK($AQ85), "", INDEX([2]SalmonProps!$A$2:$AA$10001,MATCH(1,($A85=[2]SalmonProps!$A$2:$A$10001)*(3=[2]SalmonProps!$C$2:$C$10001)*(3=[2]SalmonProps!$D$2:$D$10001)*("A1" = [2]SalmonProps!$B$2:$B$10001)*($AP85 = [2]SalmonProps!$F$2:$F$10001) *($AR85 = [2]SalmonProps!$G$2:$G$10001),0), 18))</f>
        <v>0.26650000000000001</v>
      </c>
      <c r="W85" s="180" cm="1">
        <f t="array" ref="W85">IF(ISBLANK($AQ85), "", INDEX([2]SalmonProps!$A$2:$AA$10001,MATCH(1,($A85=[2]SalmonProps!$A$2:$A$10001)*(1=[2]SalmonProps!$C$2:$C$10001)*(1=[2]SalmonProps!$D$2:$D$10001)*("A2" = [2]SalmonProps!$B$2:$B$10001)*($AP85 = [2]SalmonProps!$F$2:$F$10001) *($AR85 = [2]SalmonProps!$G$2:$G$10001),0), 18))</f>
        <v>0.622</v>
      </c>
      <c r="X85" s="165" cm="1">
        <f t="array" ref="X85">IF(ISBLANK($AQ85), "", INDEX([2]SalmonProps!$A$2:$AA$10001,MATCH(1,($A85=[2]SalmonProps!$A$2:$A$10001)*(2=[2]SalmonProps!$C$2:$C$10001)*(1=[2]SalmonProps!$D$2:$D$10001)*("A2" = [2]SalmonProps!$B$2:$B$10001)*($AP85 = [2]SalmonProps!$F$2:$F$10001) *($AR85 = [2]SalmonProps!$G$2:$G$10001),0), 18))</f>
        <v>0.40649999999999997</v>
      </c>
      <c r="Y85" s="168" cm="1">
        <f t="array" ref="Y85">IF(ISBLANK($AQ85), "", INDEX([2]SalmonProps!$A$2:$AA$10001,MATCH(1,($A85=[2]SalmonProps!$A$2:$A$10001)*(3=[2]SalmonProps!$C$2:$C$10001)*(1=[2]SalmonProps!$D$2:$D$10001)*("A2" = [2]SalmonProps!$B$2:$B$10001)*($AP85 = [2]SalmonProps!$F$2:$F$10001) *($AR85 = [2]SalmonProps!$G$2:$G$10001),0), 18))</f>
        <v>0.37940000000000002</v>
      </c>
      <c r="Z85" s="164" cm="1">
        <f t="array" ref="Z85">IF(ISBLANK($AQ85), "", INDEX([2]SalmonProps!$A$2:$AA$10001,MATCH(1,($A85=[2]SalmonProps!$A$2:$A$10001)*(1=[2]SalmonProps!$C$2:$C$10001)*(1=[2]SalmonProps!$D$2:$D$10001)*("A1" = [2]SalmonProps!$B$2:$B$10001)*($AP85 = [2]SalmonProps!$F$2:$F$10001) *($AR85 = [2]SalmonProps!$G$2:$G$10001),0), 15))</f>
        <v>0.62380000000000002</v>
      </c>
      <c r="AA85" s="165" cm="1">
        <f t="array" ref="AA85">IF(ISBLANK($AQ85), "", INDEX([2]SalmonProps!$A$2:$AA$10001,MATCH(1,($A85=[2]SalmonProps!$A$2:$A$10001)*(1=[2]SalmonProps!$C$2:$C$10001)*(2=[2]SalmonProps!$D$2:$D$10001)*("A1" = [2]SalmonProps!$B$2:$B$10001)*($AP85 = [2]SalmonProps!$F$2:$F$10001) *($AR85 = [2]SalmonProps!$G$2:$G$10001),0), 15))</f>
        <v>0.88239999999999996</v>
      </c>
      <c r="AB85" s="165" cm="1">
        <f t="array" ref="AB85">IF(ISBLANK($AQ85), "", INDEX([2]SalmonProps!$A$2:$AA$10001,MATCH(1,($A85=[2]SalmonProps!$A$2:$A$10001)*(1=[2]SalmonProps!$C$2:$C$10001)*("1&amp;2"=[2]SalmonProps!$D$2:$D$10001)*("A1" = [2]SalmonProps!$B$2:$B$10001)*($AP85 = [2]SalmonProps!$F$2:$F$10001) *($AR85 = [2]SalmonProps!$G$2:$G$10001),0), 15))</f>
        <v>0.745</v>
      </c>
      <c r="AC85" s="165" cm="1">
        <f t="array" ref="AC85">IF(ISBLANK($AQ85), "", INDEX([2]SalmonProps!$A$2:$AA$10001,MATCH(1,($A85=[2]SalmonProps!$A$2:$A$10001)*(2=[2]SalmonProps!$C$2:$C$10001)*(3=[2]SalmonProps!$D$2:$D$10001)*("A1" = [2]SalmonProps!$B$2:$B$10001)*($AP85 = [2]SalmonProps!$F$2:$F$10001) *($AR85 = [2]SalmonProps!$G$2:$G$10001),0), 15))</f>
        <v>0.92120000000000002</v>
      </c>
      <c r="AD85" s="181" cm="1">
        <f t="array" ref="AD85">IF(ISBLANK($AQ85), "", INDEX([2]SalmonProps!$A$2:$AA$10001,MATCH(1,($A85=[2]SalmonProps!$A$2:$A$10001)*(3=[2]SalmonProps!$C$2:$C$10001)*(3=[2]SalmonProps!$D$2:$D$10001)*("A1" = [2]SalmonProps!$B$2:$B$10001)*($AP85 = [2]SalmonProps!$F$2:$F$10001) *($AR85 = [2]SalmonProps!$G$2:$G$10001),0), 15))</f>
        <v>0.96140000000000003</v>
      </c>
      <c r="AE85" s="166" cm="1">
        <f t="array" ref="AE85">IF(ISBLANK($AQ85), "", INDEX([2]SalmonProps!$A$2:$AA$10001,MATCH(1,($A85=[2]SalmonProps!$A$2:$A$10001)*(1=[2]SalmonProps!$C$2:$C$10001)*(1=[2]SalmonProps!$D$2:$D$10001)*("A2" = [2]SalmonProps!$B$2:$B$10001)*($AP85 = [2]SalmonProps!$F$2:$F$10001) *($AR85 = [2]SalmonProps!$G$2:$G$10001),0), 15))</f>
        <v>0.67649999999999999</v>
      </c>
      <c r="AF85" s="166" cm="1">
        <f t="array" ref="AF85">IF(ISBLANK($AQ85), "", INDEX([2]SalmonProps!$A$2:$AA$10001,MATCH(1,($A85=[2]SalmonProps!$A$2:$A$10001)*(2=[2]SalmonProps!$C$2:$C$10001)*(1=[2]SalmonProps!$D$2:$D$10001)*("A2" = [2]SalmonProps!$B$2:$B$10001)*($AP85 = [2]SalmonProps!$F$2:$F$10001) *($AR85 = [2]SalmonProps!$G$2:$G$10001),0), 15))</f>
        <v>0.83240000000000003</v>
      </c>
      <c r="AG85" s="167" cm="1">
        <f t="array" ref="AG85">IF(ISBLANK($AQ85), "", INDEX([2]SalmonProps!$A$2:$AA$10001,MATCH(1,($A85=[2]SalmonProps!$A$2:$A$10001)*(3=[2]SalmonProps!$C$2:$C$10001)*(1=[2]SalmonProps!$D$2:$D$10001)*("A2" = [2]SalmonProps!$B$2:$B$10001)*($AP85 = [2]SalmonProps!$F$2:$F$10001) *($AR85 = [2]SalmonProps!$G$2:$G$10001),0), 15))</f>
        <v>0.80640000000000001</v>
      </c>
      <c r="AH85" s="173" cm="1">
        <f t="array" ref="AH85">IF(ISBLANK($AQ85), "", INDEX([2]SalmonProps!$A$2:$AA$10001,MATCH(1,($A85=[2]SalmonProps!$A$2:$A$10001)*($AP85 = [2]SalmonProps!$F$2:$F$10001) *($AR85 = [2]SalmonProps!$G$2:$G$10001),0), 24))</f>
        <v>52.3</v>
      </c>
      <c r="AI85" s="183" cm="1">
        <f t="array" ref="AI85">IF(ISBLANK($AQ85), "", INDEX([2]SalmonProps!$A$2:$AA$10001,MATCH(1,($A85=[2]SalmonProps!$A$2:$A$10001)*($AP85 = [2]SalmonProps!$F$2:$F$10001) *($AR85 = [2]SalmonProps!$G$2:$G$10001),0), 25))</f>
        <v>6.8</v>
      </c>
      <c r="AJ85" s="174" cm="1">
        <f t="array" ref="AJ85">IF(ISBLANK($AQ85), "", INDEX([2]SalmonProps!$A$2:$AA$10001,MATCH(1,($A85=[2]SalmonProps!$A$2:$A$10001)*($AP85 = [2]SalmonProps!$F$2:$F$10001) *($AR85 = [2]SalmonProps!$G$2:$G$10001),0), 20))</f>
        <v>60.3</v>
      </c>
      <c r="AK85" s="183" cm="1">
        <f t="array" ref="AK85">IF(ISBLANK($AQ85), "", INDEX([2]SalmonProps!$A$2:$AA$10001,MATCH(1,($A85=[2]SalmonProps!$A$2:$A$10001)*($AP85 = [2]SalmonProps!$F$2:$F$10001) *($AR85 = [2]SalmonProps!$G$2:$G$10001),0), 21))</f>
        <v>4.9000000000000004</v>
      </c>
      <c r="AL85" s="174" cm="1">
        <f t="array" ref="AL85">IF(ISBLANK($AQ85), "", INDEX([2]SalmonProps!$A$2:$AA$10001,MATCH(1,($A85=[2]SalmonProps!$A$2:$A$10001)*($AP85 = [2]SalmonProps!$F$2:$F$10001) *($AR85 = [2]SalmonProps!$G$2:$G$10001),0), 22))</f>
        <v>75.7</v>
      </c>
      <c r="AM85" s="183" cm="1">
        <f t="array" ref="AM85">IF(ISBLANK($AQ85), "", INDEX([2]SalmonProps!$A$2:$AA$10001,MATCH(1,($A85=[2]SalmonProps!$A$2:$A$10001)*($AP85 = [2]SalmonProps!$F$2:$F$10001) *($AR85 = [2]SalmonProps!$G$2:$G$10001),0), 23))</f>
        <v>7.6</v>
      </c>
      <c r="AN85" s="174" t="str" cm="1">
        <f t="array" ref="AN85">IF(ISBLANK($AQ85), "", INDEX([2]SalmonProps!$A$2:$AA$10001,MATCH(1,($A85=[2]SalmonProps!$A$2:$A$10001)*($AP85 = [2]SalmonProps!$F$2:$F$10001) *($AR85 = [2]SalmonProps!$G$2:$G$10001),0), 26))</f>
        <v>NA</v>
      </c>
      <c r="AO85" s="175" t="str" cm="1">
        <f t="array" ref="AO85">IF(ISBLANK($AQ85), "", INDEX([2]SalmonProps!$A$2:$AA$10001,MATCH(1,($A85=[2]SalmonProps!$A$2:$A$10001)*($AP85 = [2]SalmonProps!$F$2:$F$10001) *($AR85 = [2]SalmonProps!$G$2:$G$10001),0), 27))</f>
        <v>NA</v>
      </c>
      <c r="AP85" s="112">
        <v>4</v>
      </c>
      <c r="AQ85" s="112" t="s">
        <v>133</v>
      </c>
      <c r="AR85" s="112" t="str">
        <f t="shared" si="2"/>
        <v>Unweighted</v>
      </c>
    </row>
    <row r="86" spans="1:44" x14ac:dyDescent="0.3">
      <c r="A86" s="20">
        <f>'[1]Passage Estimates'!$A86</f>
        <v>45188</v>
      </c>
      <c r="B86" s="164" cm="1">
        <f t="array" ref="B86">IF(ISBLANK($AQ86), "", INDEX([2]SalmonProps!$A$2:$AA$10001,MATCH(1,($A86=[2]SalmonProps!$A$2:$A$10001)*(1=[2]SalmonProps!$C$2:$C$10001)*(1=[2]SalmonProps!$D$2:$D$10001)*("A1" = [2]SalmonProps!$B$2:$B$10001)*($AP86 = [2]SalmonProps!$F$2:$F$10001) *($AR86 = [2]SalmonProps!$G$2:$G$10001),0), 17))</f>
        <v>0</v>
      </c>
      <c r="C86" s="165" cm="1">
        <f t="array" ref="C86">IF(ISBLANK($AQ86), "", INDEX([2]SalmonProps!$A$2:$AA$10001,MATCH(1,($A86=[2]SalmonProps!$A$2:$A$10001)*(1=[2]SalmonProps!$C$2:$C$10001)*(2=[2]SalmonProps!$D$2:$D$10001)*("A1" = [2]SalmonProps!$B$2:$B$10001)*($AP86 = [2]SalmonProps!$F$2:$F$10001) *($AR86 = [2]SalmonProps!$G$2:$G$10001),0), 17))</f>
        <v>2.06E-2</v>
      </c>
      <c r="D86" s="165" cm="1">
        <f t="array" ref="D86">IF(ISBLANK($AQ86), "", INDEX([2]SalmonProps!$A$2:$AA$10001,MATCH(1,($A86=[2]SalmonProps!$A$2:$A$10001)*(1=[2]SalmonProps!$C$2:$C$10001)*("1&amp;2"=[2]SalmonProps!$D$2:$D$10001)*("A1" = [2]SalmonProps!$B$2:$B$10001)*($AP86 = [2]SalmonProps!$F$2:$F$10001) *($AR86 = [2]SalmonProps!$G$2:$G$10001),0), 17))</f>
        <v>9.5999999999999992E-3</v>
      </c>
      <c r="E86" s="181" cm="1">
        <f t="array" ref="E86">IF(ISBLANK($AQ86), "", INDEX([2]SalmonProps!$A$2:$AA$10001,MATCH(1,($A86=[2]SalmonProps!$A$2:$A$10001)*(2=[2]SalmonProps!$C$2:$C$10001)*(3=[2]SalmonProps!$D$2:$D$10001)*("A1" = [2]SalmonProps!$B$2:$B$10001)*($AP86 = [2]SalmonProps!$F$2:$F$10001) *($AR86 = [2]SalmonProps!$G$2:$G$10001),0), 17))</f>
        <v>4.8800000000000003E-2</v>
      </c>
      <c r="F86" s="165" cm="1">
        <f t="array" ref="F86">IF(ISBLANK($AQ86), "", INDEX([2]SalmonProps!$A$2:$AA$10001,MATCH(1,($A86=[2]SalmonProps!$A$2:$A$10001)*(3=[2]SalmonProps!$C$2:$C$10001)*(3=[2]SalmonProps!$D$2:$D$10001)*("A1" = [2]SalmonProps!$B$2:$B$10001)*($AP86 = [2]SalmonProps!$F$2:$F$10001) *($AR86 = [2]SalmonProps!$G$2:$G$10001),0), 17))</f>
        <v>0.23219999999999999</v>
      </c>
      <c r="G86" s="165" cm="1">
        <f t="array" ref="G86">IF(ISBLANK($AQ86), "", INDEX([2]SalmonProps!$A$2:$AA$10001,MATCH(1,($A86=[2]SalmonProps!$A$2:$A$10001)*(1=[2]SalmonProps!$C$2:$C$10001)*(1=[2]SalmonProps!$D$2:$D$10001)*("A2" = [2]SalmonProps!$B$2:$B$10001)*($AP86 = [2]SalmonProps!$F$2:$F$10001) *($AR86 = [2]SalmonProps!$G$2:$G$10001),0), 17))</f>
        <v>2.5999999999999999E-2</v>
      </c>
      <c r="H86" s="166" cm="1">
        <f t="array" ref="H86">IF(ISBLANK($AQ86), "", INDEX([2]SalmonProps!$A$2:$AA$10001,MATCH(1,($A86=[2]SalmonProps!$A$2:$A$10001)*(2=[2]SalmonProps!$C$2:$C$10001)*(1=[2]SalmonProps!$D$2:$D$10001)*("A2" = [2]SalmonProps!$B$2:$B$10001)*($AP86 = [2]SalmonProps!$F$2:$F$10001) *($AR86 = [2]SalmonProps!$G$2:$G$10001),0), 17))</f>
        <v>0.15759999999999999</v>
      </c>
      <c r="I86" s="167" cm="1">
        <f t="array" ref="I86">IF(ISBLANK($AQ86), "", INDEX([2]SalmonProps!$A$2:$AA$10001,MATCH(1,($A86=[2]SalmonProps!$A$2:$A$10001)*(3=[2]SalmonProps!$C$2:$C$10001)*(1=[2]SalmonProps!$D$2:$D$10001)*("A2" = [2]SalmonProps!$B$2:$B$10001)*($AP86 = [2]SalmonProps!$F$2:$F$10001) *($AR86 = [2]SalmonProps!$G$2:$G$10001),0), 17))</f>
        <v>0.43540000000000001</v>
      </c>
      <c r="J86" s="164" t="str" cm="1">
        <f t="array" ref="J86">IF(ISBLANK($AQ86), "", INDEX([2]SalmonProps!$A$2:$AA$10001,MATCH(1,($A86=[2]SalmonProps!$A$2:$A$10001)*(1=[2]SalmonProps!$C$2:$C$10001)*(1=[2]SalmonProps!$D$2:$D$10001)*("A1" = [2]SalmonProps!$B$2:$B$10001)*($AP86 = [2]SalmonProps!$F$2:$F$10001) *($AR86 = [2]SalmonProps!$G$2:$G$10001),0), 19))</f>
        <v>NA</v>
      </c>
      <c r="K86" s="165" t="str" cm="1">
        <f t="array" ref="K86">IF(ISBLANK($AQ86), "", INDEX([2]SalmonProps!$A$2:$AA$10001,MATCH(1,($A86=[2]SalmonProps!$A$2:$A$10001)*(1=[2]SalmonProps!$C$2:$C$10001)*(2=[2]SalmonProps!$D$2:$D$10001)*("A1" = [2]SalmonProps!$B$2:$B$10001)*($AP86 = [2]SalmonProps!$F$2:$F$10001) *($AR86 = [2]SalmonProps!$G$2:$G$10001),0), 19))</f>
        <v>NA</v>
      </c>
      <c r="L86" s="165" t="str" cm="1">
        <f t="array" ref="L86">IF(ISBLANK($AQ86), "", INDEX([2]SalmonProps!$A$2:$AA$10001,MATCH(1,($A86=[2]SalmonProps!$A$2:$A$10001)*(1=[2]SalmonProps!$C$2:$C$10001)*("1&amp;2"=[2]SalmonProps!$D$2:$D$10001)*("A1" = [2]SalmonProps!$B$2:$B$10001)*($AP86 = [2]SalmonProps!$F$2:$F$10001) *($AR86 = [2]SalmonProps!$G$2:$G$10001),0), 19))</f>
        <v>NA</v>
      </c>
      <c r="M86" s="165" t="str" cm="1">
        <f t="array" ref="M86">IF(ISBLANK($AQ86), "", INDEX([2]SalmonProps!$A$2:$AA$10001,MATCH(1,($A86=[2]SalmonProps!$A$2:$A$10001)*(2=[2]SalmonProps!$C$2:$C$10001)*(3=[2]SalmonProps!$D$2:$D$10001)*("A1" = [2]SalmonProps!$B$2:$B$10001)*($AP86 = [2]SalmonProps!$F$2:$F$10001) *($AR86 = [2]SalmonProps!$G$2:$G$10001),0), 19))</f>
        <v>NA</v>
      </c>
      <c r="N86" s="181" t="str" cm="1">
        <f t="array" ref="N86">IF(ISBLANK($AQ86), "", INDEX([2]SalmonProps!$A$2:$AA$10001,MATCH(1,($A86=[2]SalmonProps!$A$2:$A$10001)*(3=[2]SalmonProps!$C$2:$C$10001)*(3=[2]SalmonProps!$D$2:$D$10001)*("A1" = [2]SalmonProps!$B$2:$B$10001)*($AP86 = [2]SalmonProps!$F$2:$F$10001) *($AR86 = [2]SalmonProps!$G$2:$G$10001),0), 19))</f>
        <v>NA</v>
      </c>
      <c r="O86" s="165" t="str" cm="1">
        <f t="array" ref="O86">IF(ISBLANK($AQ86), "", INDEX([2]SalmonProps!$A$2:$AA$10001,MATCH(1,($A86=[2]SalmonProps!$A$2:$A$10001)*(1=[2]SalmonProps!$C$2:$C$10001)*(1=[2]SalmonProps!$D$2:$D$10001)*("A2" = [2]SalmonProps!$B$2:$B$10001)*($AP86 = [2]SalmonProps!$F$2:$F$10001) *($AR86 = [2]SalmonProps!$G$2:$G$10001),0), 19))</f>
        <v>NA</v>
      </c>
      <c r="P86" s="165" t="str" cm="1">
        <f t="array" ref="P86">IF(ISBLANK($AQ86), "", INDEX([2]SalmonProps!$A$2:$AA$10001,MATCH(1,($A86=[2]SalmonProps!$A$2:$A$10001)*(2=[2]SalmonProps!$C$2:$C$10001)*(1=[2]SalmonProps!$D$2:$D$10001)*("A2" = [2]SalmonProps!$B$2:$B$10001)*($AP86 = [2]SalmonProps!$F$2:$F$10001) *($AR86 = [2]SalmonProps!$G$2:$G$10001),0), 19))</f>
        <v>NA</v>
      </c>
      <c r="Q86" s="168" t="str" cm="1">
        <f t="array" ref="Q86">IF(ISBLANK($AQ86), "", INDEX([2]SalmonProps!$A$2:$AA$10001,MATCH(1,($A86=[2]SalmonProps!$A$2:$A$10001)*(3=[2]SalmonProps!$C$2:$C$10001)*(1=[2]SalmonProps!$D$2:$D$10001)*("A2" = [2]SalmonProps!$B$2:$B$10001)*($AP86 = [2]SalmonProps!$F$2:$F$10001) *($AR86 = [2]SalmonProps!$G$2:$G$10001),0), 19))</f>
        <v>NA</v>
      </c>
      <c r="R86" s="164" cm="1">
        <f t="array" ref="R86">IF(ISBLANK($AQ86), "", INDEX([2]SalmonProps!$A$2:$AA$10001,MATCH(1,($A86=[2]SalmonProps!$A$2:$A$10001)*(1=[2]SalmonProps!$C$2:$C$10001)*(1=[2]SalmonProps!$D$2:$D$10001)*("A1" = [2]SalmonProps!$B$2:$B$10001)*($AP86 = [2]SalmonProps!$F$2:$F$10001) *($AR86 = [2]SalmonProps!$G$2:$G$10001),0), 18))</f>
        <v>0.4123</v>
      </c>
      <c r="S86" s="165" cm="1">
        <f t="array" ref="S86">IF(ISBLANK($AQ86), "", INDEX([2]SalmonProps!$A$2:$AA$10001,MATCH(1,($A86=[2]SalmonProps!$A$2:$A$10001)*(1=[2]SalmonProps!$C$2:$C$10001)*(2=[2]SalmonProps!$D$2:$D$10001)*("A1" = [2]SalmonProps!$B$2:$B$10001)*($AP86 = [2]SalmonProps!$F$2:$F$10001) *($AR86 = [2]SalmonProps!$G$2:$G$10001),0), 18))</f>
        <v>0.50590000000000002</v>
      </c>
      <c r="T86" s="165" cm="1">
        <f t="array" ref="T86">IF(ISBLANK($AQ86), "", INDEX([2]SalmonProps!$A$2:$AA$10001,MATCH(1,($A86=[2]SalmonProps!$A$2:$A$10001)*(1=[2]SalmonProps!$C$2:$C$10001)*("1&amp;2"=[2]SalmonProps!$D$2:$D$10001)*("A1" = [2]SalmonProps!$B$2:$B$10001)*($AP86 = [2]SalmonProps!$F$2:$F$10001) *($AR86 = [2]SalmonProps!$G$2:$G$10001),0), 18))</f>
        <v>0.46310000000000001</v>
      </c>
      <c r="U86" s="165" cm="1">
        <f t="array" ref="U86">IF(ISBLANK($AQ86), "", INDEX([2]SalmonProps!$A$2:$AA$10001,MATCH(1,($A86=[2]SalmonProps!$A$2:$A$10001)*(2=[2]SalmonProps!$C$2:$C$10001)*(3=[2]SalmonProps!$D$2:$D$10001)*("A1" = [2]SalmonProps!$B$2:$B$10001)*($AP86 = [2]SalmonProps!$F$2:$F$10001) *($AR86 = [2]SalmonProps!$G$2:$G$10001),0), 18))</f>
        <v>0.7157</v>
      </c>
      <c r="V86" s="181" cm="1">
        <f t="array" ref="V86">IF(ISBLANK($AQ86), "", INDEX([2]SalmonProps!$A$2:$AA$10001,MATCH(1,($A86=[2]SalmonProps!$A$2:$A$10001)*(3=[2]SalmonProps!$C$2:$C$10001)*(3=[2]SalmonProps!$D$2:$D$10001)*("A1" = [2]SalmonProps!$B$2:$B$10001)*($AP86 = [2]SalmonProps!$F$2:$F$10001) *($AR86 = [2]SalmonProps!$G$2:$G$10001),0), 18))</f>
        <v>0.61160000000000003</v>
      </c>
      <c r="W86" s="180" cm="1">
        <f t="array" ref="W86">IF(ISBLANK($AQ86), "", INDEX([2]SalmonProps!$A$2:$AA$10001,MATCH(1,($A86=[2]SalmonProps!$A$2:$A$10001)*(1=[2]SalmonProps!$C$2:$C$10001)*(1=[2]SalmonProps!$D$2:$D$10001)*("A2" = [2]SalmonProps!$B$2:$B$10001)*($AP86 = [2]SalmonProps!$F$2:$F$10001) *($AR86 = [2]SalmonProps!$G$2:$G$10001),0), 18))</f>
        <v>0.62419999999999998</v>
      </c>
      <c r="X86" s="165" cm="1">
        <f t="array" ref="X86">IF(ISBLANK($AQ86), "", INDEX([2]SalmonProps!$A$2:$AA$10001,MATCH(1,($A86=[2]SalmonProps!$A$2:$A$10001)*(2=[2]SalmonProps!$C$2:$C$10001)*(1=[2]SalmonProps!$D$2:$D$10001)*("A2" = [2]SalmonProps!$B$2:$B$10001)*($AP86 = [2]SalmonProps!$F$2:$F$10001) *($AR86 = [2]SalmonProps!$G$2:$G$10001),0), 18))</f>
        <v>0.49919999999999998</v>
      </c>
      <c r="Y86" s="168" cm="1">
        <f t="array" ref="Y86">IF(ISBLANK($AQ86), "", INDEX([2]SalmonProps!$A$2:$AA$10001,MATCH(1,($A86=[2]SalmonProps!$A$2:$A$10001)*(3=[2]SalmonProps!$C$2:$C$10001)*(1=[2]SalmonProps!$D$2:$D$10001)*("A2" = [2]SalmonProps!$B$2:$B$10001)*($AP86 = [2]SalmonProps!$F$2:$F$10001) *($AR86 = [2]SalmonProps!$G$2:$G$10001),0), 18))</f>
        <v>0.41360000000000002</v>
      </c>
      <c r="Z86" s="164" cm="1">
        <f t="array" ref="Z86">IF(ISBLANK($AQ86), "", INDEX([2]SalmonProps!$A$2:$AA$10001,MATCH(1,($A86=[2]SalmonProps!$A$2:$A$10001)*(1=[2]SalmonProps!$C$2:$C$10001)*(1=[2]SalmonProps!$D$2:$D$10001)*("A1" = [2]SalmonProps!$B$2:$B$10001)*($AP86 = [2]SalmonProps!$F$2:$F$10001) *($AR86 = [2]SalmonProps!$G$2:$G$10001),0), 15))</f>
        <v>0.55700000000000005</v>
      </c>
      <c r="AA86" s="165" cm="1">
        <f t="array" ref="AA86">IF(ISBLANK($AQ86), "", INDEX([2]SalmonProps!$A$2:$AA$10001,MATCH(1,($A86=[2]SalmonProps!$A$2:$A$10001)*(1=[2]SalmonProps!$C$2:$C$10001)*(2=[2]SalmonProps!$D$2:$D$10001)*("A1" = [2]SalmonProps!$B$2:$B$10001)*($AP86 = [2]SalmonProps!$F$2:$F$10001) *($AR86 = [2]SalmonProps!$G$2:$G$10001),0), 15))</f>
        <v>0.58040000000000003</v>
      </c>
      <c r="AB86" s="165" cm="1">
        <f t="array" ref="AB86">IF(ISBLANK($AQ86), "", INDEX([2]SalmonProps!$A$2:$AA$10001,MATCH(1,($A86=[2]SalmonProps!$A$2:$A$10001)*(1=[2]SalmonProps!$C$2:$C$10001)*("1&amp;2"=[2]SalmonProps!$D$2:$D$10001)*("A1" = [2]SalmonProps!$B$2:$B$10001)*($AP86 = [2]SalmonProps!$F$2:$F$10001) *($AR86 = [2]SalmonProps!$G$2:$G$10001),0), 15))</f>
        <v>0.51339999999999997</v>
      </c>
      <c r="AC86" s="165" cm="1">
        <f t="array" ref="AC86">IF(ISBLANK($AQ86), "", INDEX([2]SalmonProps!$A$2:$AA$10001,MATCH(1,($A86=[2]SalmonProps!$A$2:$A$10001)*(2=[2]SalmonProps!$C$2:$C$10001)*(3=[2]SalmonProps!$D$2:$D$10001)*("A1" = [2]SalmonProps!$B$2:$B$10001)*($AP86 = [2]SalmonProps!$F$2:$F$10001) *($AR86 = [2]SalmonProps!$G$2:$G$10001),0), 15))</f>
        <v>0.76449999999999996</v>
      </c>
      <c r="AD86" s="181" cm="1">
        <f t="array" ref="AD86">IF(ISBLANK($AQ86), "", INDEX([2]SalmonProps!$A$2:$AA$10001,MATCH(1,($A86=[2]SalmonProps!$A$2:$A$10001)*(3=[2]SalmonProps!$C$2:$C$10001)*(3=[2]SalmonProps!$D$2:$D$10001)*("A1" = [2]SalmonProps!$B$2:$B$10001)*($AP86 = [2]SalmonProps!$F$2:$F$10001) *($AR86 = [2]SalmonProps!$G$2:$G$10001),0), 15))</f>
        <v>0.95669999999999999</v>
      </c>
      <c r="AE86" s="166" cm="1">
        <f t="array" ref="AE86">IF(ISBLANK($AQ86), "", INDEX([2]SalmonProps!$A$2:$AA$10001,MATCH(1,($A86=[2]SalmonProps!$A$2:$A$10001)*(1=[2]SalmonProps!$C$2:$C$10001)*(1=[2]SalmonProps!$D$2:$D$10001)*("A2" = [2]SalmonProps!$B$2:$B$10001)*($AP86 = [2]SalmonProps!$F$2:$F$10001) *($AR86 = [2]SalmonProps!$G$2:$G$10001),0), 15))</f>
        <v>0.76959999999999995</v>
      </c>
      <c r="AF86" s="166" cm="1">
        <f t="array" ref="AF86">IF(ISBLANK($AQ86), "", INDEX([2]SalmonProps!$A$2:$AA$10001,MATCH(1,($A86=[2]SalmonProps!$A$2:$A$10001)*(2=[2]SalmonProps!$C$2:$C$10001)*(1=[2]SalmonProps!$D$2:$D$10001)*("A2" = [2]SalmonProps!$B$2:$B$10001)*($AP86 = [2]SalmonProps!$F$2:$F$10001) *($AR86 = [2]SalmonProps!$G$2:$G$10001),0), 15))</f>
        <v>0.77749999999999997</v>
      </c>
      <c r="AG86" s="167" cm="1">
        <f t="array" ref="AG86">IF(ISBLANK($AQ86), "", INDEX([2]SalmonProps!$A$2:$AA$10001,MATCH(1,($A86=[2]SalmonProps!$A$2:$A$10001)*(3=[2]SalmonProps!$C$2:$C$10001)*(1=[2]SalmonProps!$D$2:$D$10001)*("A2" = [2]SalmonProps!$B$2:$B$10001)*($AP86 = [2]SalmonProps!$F$2:$F$10001) *($AR86 = [2]SalmonProps!$G$2:$G$10001),0), 15))</f>
        <v>0.88749999999999996</v>
      </c>
      <c r="AH86" s="173" cm="1">
        <f t="array" ref="AH86">IF(ISBLANK($AQ86), "", INDEX([2]SalmonProps!$A$2:$AA$10001,MATCH(1,($A86=[2]SalmonProps!$A$2:$A$10001)*($AP86 = [2]SalmonProps!$F$2:$F$10001) *($AR86 = [2]SalmonProps!$G$2:$G$10001),0), 24))</f>
        <v>52.3</v>
      </c>
      <c r="AI86" s="183" cm="1">
        <f t="array" ref="AI86">IF(ISBLANK($AQ86), "", INDEX([2]SalmonProps!$A$2:$AA$10001,MATCH(1,($A86=[2]SalmonProps!$A$2:$A$10001)*($AP86 = [2]SalmonProps!$F$2:$F$10001) *($AR86 = [2]SalmonProps!$G$2:$G$10001),0), 25))</f>
        <v>6.8</v>
      </c>
      <c r="AJ86" s="174" cm="1">
        <f t="array" ref="AJ86">IF(ISBLANK($AQ86), "", INDEX([2]SalmonProps!$A$2:$AA$10001,MATCH(1,($A86=[2]SalmonProps!$A$2:$A$10001)*($AP86 = [2]SalmonProps!$F$2:$F$10001) *($AR86 = [2]SalmonProps!$G$2:$G$10001),0), 20))</f>
        <v>60.6</v>
      </c>
      <c r="AK86" s="183" cm="1">
        <f t="array" ref="AK86">IF(ISBLANK($AQ86), "", INDEX([2]SalmonProps!$A$2:$AA$10001,MATCH(1,($A86=[2]SalmonProps!$A$2:$A$10001)*($AP86 = [2]SalmonProps!$F$2:$F$10001) *($AR86 = [2]SalmonProps!$G$2:$G$10001),0), 21))</f>
        <v>4.9000000000000004</v>
      </c>
      <c r="AL86" s="174" cm="1">
        <f t="array" ref="AL86">IF(ISBLANK($AQ86), "", INDEX([2]SalmonProps!$A$2:$AA$10001,MATCH(1,($A86=[2]SalmonProps!$A$2:$A$10001)*($AP86 = [2]SalmonProps!$F$2:$F$10001) *($AR86 = [2]SalmonProps!$G$2:$G$10001),0), 22))</f>
        <v>75.7</v>
      </c>
      <c r="AM86" s="183" cm="1">
        <f t="array" ref="AM86">IF(ISBLANK($AQ86), "", INDEX([2]SalmonProps!$A$2:$AA$10001,MATCH(1,($A86=[2]SalmonProps!$A$2:$A$10001)*($AP86 = [2]SalmonProps!$F$2:$F$10001) *($AR86 = [2]SalmonProps!$G$2:$G$10001),0), 23))</f>
        <v>7.6</v>
      </c>
      <c r="AN86" s="174" t="str" cm="1">
        <f t="array" ref="AN86">IF(ISBLANK($AQ86), "", INDEX([2]SalmonProps!$A$2:$AA$10001,MATCH(1,($A86=[2]SalmonProps!$A$2:$A$10001)*($AP86 = [2]SalmonProps!$F$2:$F$10001) *($AR86 = [2]SalmonProps!$G$2:$G$10001),0), 26))</f>
        <v>NA</v>
      </c>
      <c r="AO86" s="175" t="str" cm="1">
        <f t="array" ref="AO86">IF(ISBLANK($AQ86), "", INDEX([2]SalmonProps!$A$2:$AA$10001,MATCH(1,($A86=[2]SalmonProps!$A$2:$A$10001)*($AP86 = [2]SalmonProps!$F$2:$F$10001) *($AR86 = [2]SalmonProps!$G$2:$G$10001),0), 27))</f>
        <v>NA</v>
      </c>
      <c r="AP86" s="112">
        <v>4</v>
      </c>
      <c r="AQ86" s="112" t="s">
        <v>133</v>
      </c>
      <c r="AR86" s="112" t="str">
        <f t="shared" si="2"/>
        <v>Unweighted</v>
      </c>
    </row>
    <row r="87" spans="1:44" x14ac:dyDescent="0.3">
      <c r="A87" s="20">
        <f>'[1]Passage Estimates'!$A87</f>
        <v>45189</v>
      </c>
      <c r="B87" s="164" cm="1">
        <f t="array" ref="B87">IF(ISBLANK($AQ87), "", INDEX([2]SalmonProps!$A$2:$AA$10001,MATCH(1,($A87=[2]SalmonProps!$A$2:$A$10001)*(1=[2]SalmonProps!$C$2:$C$10001)*(1=[2]SalmonProps!$D$2:$D$10001)*("A1" = [2]SalmonProps!$B$2:$B$10001)*($AP87 = [2]SalmonProps!$F$2:$F$10001) *($AR87 = [2]SalmonProps!$G$2:$G$10001),0), 17))</f>
        <v>8.8999999999999999E-3</v>
      </c>
      <c r="C87" s="165" cm="1">
        <f t="array" ref="C87">IF(ISBLANK($AQ87), "", INDEX([2]SalmonProps!$A$2:$AA$10001,MATCH(1,($A87=[2]SalmonProps!$A$2:$A$10001)*(1=[2]SalmonProps!$C$2:$C$10001)*(2=[2]SalmonProps!$D$2:$D$10001)*("A1" = [2]SalmonProps!$B$2:$B$10001)*($AP87 = [2]SalmonProps!$F$2:$F$10001) *($AR87 = [2]SalmonProps!$G$2:$G$10001),0), 17))</f>
        <v>8.3000000000000001E-3</v>
      </c>
      <c r="D87" s="165" cm="1">
        <f t="array" ref="D87">IF(ISBLANK($AQ87), "", INDEX([2]SalmonProps!$A$2:$AA$10001,MATCH(1,($A87=[2]SalmonProps!$A$2:$A$10001)*(1=[2]SalmonProps!$C$2:$C$10001)*("1&amp;2"=[2]SalmonProps!$D$2:$D$10001)*("A1" = [2]SalmonProps!$B$2:$B$10001)*($AP87 = [2]SalmonProps!$F$2:$F$10001) *($AR87 = [2]SalmonProps!$G$2:$G$10001),0), 17))</f>
        <v>1.29E-2</v>
      </c>
      <c r="E87" s="181" cm="1">
        <f t="array" ref="E87">IF(ISBLANK($AQ87), "", INDEX([2]SalmonProps!$A$2:$AA$10001,MATCH(1,($A87=[2]SalmonProps!$A$2:$A$10001)*(2=[2]SalmonProps!$C$2:$C$10001)*(3=[2]SalmonProps!$D$2:$D$10001)*("A1" = [2]SalmonProps!$B$2:$B$10001)*($AP87 = [2]SalmonProps!$F$2:$F$10001) *($AR87 = [2]SalmonProps!$G$2:$G$10001),0), 17))</f>
        <v>3.49E-2</v>
      </c>
      <c r="F87" s="165" cm="1">
        <f t="array" ref="F87">IF(ISBLANK($AQ87), "", INDEX([2]SalmonProps!$A$2:$AA$10001,MATCH(1,($A87=[2]SalmonProps!$A$2:$A$10001)*(3=[2]SalmonProps!$C$2:$C$10001)*(3=[2]SalmonProps!$D$2:$D$10001)*("A1" = [2]SalmonProps!$B$2:$B$10001)*($AP87 = [2]SalmonProps!$F$2:$F$10001) *($AR87 = [2]SalmonProps!$G$2:$G$10001),0), 17))</f>
        <v>0.21560000000000001</v>
      </c>
      <c r="G87" s="165" cm="1">
        <f t="array" ref="G87">IF(ISBLANK($AQ87), "", INDEX([2]SalmonProps!$A$2:$AA$10001,MATCH(1,($A87=[2]SalmonProps!$A$2:$A$10001)*(1=[2]SalmonProps!$C$2:$C$10001)*(1=[2]SalmonProps!$D$2:$D$10001)*("A2" = [2]SalmonProps!$B$2:$B$10001)*($AP87 = [2]SalmonProps!$F$2:$F$10001) *($AR87 = [2]SalmonProps!$G$2:$G$10001),0), 17))</f>
        <v>2.5999999999999999E-2</v>
      </c>
      <c r="H87" s="166" cm="1">
        <f t="array" ref="H87">IF(ISBLANK($AQ87), "", INDEX([2]SalmonProps!$A$2:$AA$10001,MATCH(1,($A87=[2]SalmonProps!$A$2:$A$10001)*(2=[2]SalmonProps!$C$2:$C$10001)*(1=[2]SalmonProps!$D$2:$D$10001)*("A2" = [2]SalmonProps!$B$2:$B$10001)*($AP87 = [2]SalmonProps!$F$2:$F$10001) *($AR87 = [2]SalmonProps!$G$2:$G$10001),0), 17))</f>
        <v>0.15759999999999999</v>
      </c>
      <c r="I87" s="167" cm="1">
        <f t="array" ref="I87">IF(ISBLANK($AQ87), "", INDEX([2]SalmonProps!$A$2:$AA$10001,MATCH(1,($A87=[2]SalmonProps!$A$2:$A$10001)*(3=[2]SalmonProps!$C$2:$C$10001)*(1=[2]SalmonProps!$D$2:$D$10001)*("A2" = [2]SalmonProps!$B$2:$B$10001)*($AP87 = [2]SalmonProps!$F$2:$F$10001) *($AR87 = [2]SalmonProps!$G$2:$G$10001),0), 17))</f>
        <v>0.43540000000000001</v>
      </c>
      <c r="J87" s="164" t="str" cm="1">
        <f t="array" ref="J87">IF(ISBLANK($AQ87), "", INDEX([2]SalmonProps!$A$2:$AA$10001,MATCH(1,($A87=[2]SalmonProps!$A$2:$A$10001)*(1=[2]SalmonProps!$C$2:$C$10001)*(1=[2]SalmonProps!$D$2:$D$10001)*("A1" = [2]SalmonProps!$B$2:$B$10001)*($AP87 = [2]SalmonProps!$F$2:$F$10001) *($AR87 = [2]SalmonProps!$G$2:$G$10001),0), 19))</f>
        <v>NA</v>
      </c>
      <c r="K87" s="165" t="str" cm="1">
        <f t="array" ref="K87">IF(ISBLANK($AQ87), "", INDEX([2]SalmonProps!$A$2:$AA$10001,MATCH(1,($A87=[2]SalmonProps!$A$2:$A$10001)*(1=[2]SalmonProps!$C$2:$C$10001)*(2=[2]SalmonProps!$D$2:$D$10001)*("A1" = [2]SalmonProps!$B$2:$B$10001)*($AP87 = [2]SalmonProps!$F$2:$F$10001) *($AR87 = [2]SalmonProps!$G$2:$G$10001),0), 19))</f>
        <v>NA</v>
      </c>
      <c r="L87" s="165" t="str" cm="1">
        <f t="array" ref="L87">IF(ISBLANK($AQ87), "", INDEX([2]SalmonProps!$A$2:$AA$10001,MATCH(1,($A87=[2]SalmonProps!$A$2:$A$10001)*(1=[2]SalmonProps!$C$2:$C$10001)*("1&amp;2"=[2]SalmonProps!$D$2:$D$10001)*("A1" = [2]SalmonProps!$B$2:$B$10001)*($AP87 = [2]SalmonProps!$F$2:$F$10001) *($AR87 = [2]SalmonProps!$G$2:$G$10001),0), 19))</f>
        <v>NA</v>
      </c>
      <c r="M87" s="165" t="str" cm="1">
        <f t="array" ref="M87">IF(ISBLANK($AQ87), "", INDEX([2]SalmonProps!$A$2:$AA$10001,MATCH(1,($A87=[2]SalmonProps!$A$2:$A$10001)*(2=[2]SalmonProps!$C$2:$C$10001)*(3=[2]SalmonProps!$D$2:$D$10001)*("A1" = [2]SalmonProps!$B$2:$B$10001)*($AP87 = [2]SalmonProps!$F$2:$F$10001) *($AR87 = [2]SalmonProps!$G$2:$G$10001),0), 19))</f>
        <v>NA</v>
      </c>
      <c r="N87" s="181" t="str" cm="1">
        <f t="array" ref="N87">IF(ISBLANK($AQ87), "", INDEX([2]SalmonProps!$A$2:$AA$10001,MATCH(1,($A87=[2]SalmonProps!$A$2:$A$10001)*(3=[2]SalmonProps!$C$2:$C$10001)*(3=[2]SalmonProps!$D$2:$D$10001)*("A1" = [2]SalmonProps!$B$2:$B$10001)*($AP87 = [2]SalmonProps!$F$2:$F$10001) *($AR87 = [2]SalmonProps!$G$2:$G$10001),0), 19))</f>
        <v>NA</v>
      </c>
      <c r="O87" s="165" t="str" cm="1">
        <f t="array" ref="O87">IF(ISBLANK($AQ87), "", INDEX([2]SalmonProps!$A$2:$AA$10001,MATCH(1,($A87=[2]SalmonProps!$A$2:$A$10001)*(1=[2]SalmonProps!$C$2:$C$10001)*(1=[2]SalmonProps!$D$2:$D$10001)*("A2" = [2]SalmonProps!$B$2:$B$10001)*($AP87 = [2]SalmonProps!$F$2:$F$10001) *($AR87 = [2]SalmonProps!$G$2:$G$10001),0), 19))</f>
        <v>NA</v>
      </c>
      <c r="P87" s="165" t="str" cm="1">
        <f t="array" ref="P87">IF(ISBLANK($AQ87), "", INDEX([2]SalmonProps!$A$2:$AA$10001,MATCH(1,($A87=[2]SalmonProps!$A$2:$A$10001)*(2=[2]SalmonProps!$C$2:$C$10001)*(1=[2]SalmonProps!$D$2:$D$10001)*("A2" = [2]SalmonProps!$B$2:$B$10001)*($AP87 = [2]SalmonProps!$F$2:$F$10001) *($AR87 = [2]SalmonProps!$G$2:$G$10001),0), 19))</f>
        <v>NA</v>
      </c>
      <c r="Q87" s="168" t="str" cm="1">
        <f t="array" ref="Q87">IF(ISBLANK($AQ87), "", INDEX([2]SalmonProps!$A$2:$AA$10001,MATCH(1,($A87=[2]SalmonProps!$A$2:$A$10001)*(3=[2]SalmonProps!$C$2:$C$10001)*(1=[2]SalmonProps!$D$2:$D$10001)*("A2" = [2]SalmonProps!$B$2:$B$10001)*($AP87 = [2]SalmonProps!$F$2:$F$10001) *($AR87 = [2]SalmonProps!$G$2:$G$10001),0), 19))</f>
        <v>NA</v>
      </c>
      <c r="R87" s="164" cm="1">
        <f t="array" ref="R87">IF(ISBLANK($AQ87), "", INDEX([2]SalmonProps!$A$2:$AA$10001,MATCH(1,($A87=[2]SalmonProps!$A$2:$A$10001)*(1=[2]SalmonProps!$C$2:$C$10001)*(1=[2]SalmonProps!$D$2:$D$10001)*("A1" = [2]SalmonProps!$B$2:$B$10001)*($AP87 = [2]SalmonProps!$F$2:$F$10001) *($AR87 = [2]SalmonProps!$G$2:$G$10001),0), 18))</f>
        <v>0.34389999999999998</v>
      </c>
      <c r="S87" s="165" cm="1">
        <f t="array" ref="S87">IF(ISBLANK($AQ87), "", INDEX([2]SalmonProps!$A$2:$AA$10001,MATCH(1,($A87=[2]SalmonProps!$A$2:$A$10001)*(1=[2]SalmonProps!$C$2:$C$10001)*(2=[2]SalmonProps!$D$2:$D$10001)*("A1" = [2]SalmonProps!$B$2:$B$10001)*($AP87 = [2]SalmonProps!$F$2:$F$10001) *($AR87 = [2]SalmonProps!$G$2:$G$10001),0), 18))</f>
        <v>0.28129999999999999</v>
      </c>
      <c r="T87" s="165" cm="1">
        <f t="array" ref="T87">IF(ISBLANK($AQ87), "", INDEX([2]SalmonProps!$A$2:$AA$10001,MATCH(1,($A87=[2]SalmonProps!$A$2:$A$10001)*(1=[2]SalmonProps!$C$2:$C$10001)*("1&amp;2"=[2]SalmonProps!$D$2:$D$10001)*("A1" = [2]SalmonProps!$B$2:$B$10001)*($AP87 = [2]SalmonProps!$F$2:$F$10001) *($AR87 = [2]SalmonProps!$G$2:$G$10001),0), 18))</f>
        <v>0.30520000000000003</v>
      </c>
      <c r="U87" s="165" cm="1">
        <f t="array" ref="U87">IF(ISBLANK($AQ87), "", INDEX([2]SalmonProps!$A$2:$AA$10001,MATCH(1,($A87=[2]SalmonProps!$A$2:$A$10001)*(2=[2]SalmonProps!$C$2:$C$10001)*(3=[2]SalmonProps!$D$2:$D$10001)*("A1" = [2]SalmonProps!$B$2:$B$10001)*($AP87 = [2]SalmonProps!$F$2:$F$10001) *($AR87 = [2]SalmonProps!$G$2:$G$10001),0), 18))</f>
        <v>0.59109999999999996</v>
      </c>
      <c r="V87" s="181" cm="1">
        <f t="array" ref="V87">IF(ISBLANK($AQ87), "", INDEX([2]SalmonProps!$A$2:$AA$10001,MATCH(1,($A87=[2]SalmonProps!$A$2:$A$10001)*(3=[2]SalmonProps!$C$2:$C$10001)*(3=[2]SalmonProps!$D$2:$D$10001)*("A1" = [2]SalmonProps!$B$2:$B$10001)*($AP87 = [2]SalmonProps!$F$2:$F$10001) *($AR87 = [2]SalmonProps!$G$2:$G$10001),0), 18))</f>
        <v>0.53069999999999995</v>
      </c>
      <c r="W87" s="180" cm="1">
        <f t="array" ref="W87">IF(ISBLANK($AQ87), "", INDEX([2]SalmonProps!$A$2:$AA$10001,MATCH(1,($A87=[2]SalmonProps!$A$2:$A$10001)*(1=[2]SalmonProps!$C$2:$C$10001)*(1=[2]SalmonProps!$D$2:$D$10001)*("A2" = [2]SalmonProps!$B$2:$B$10001)*($AP87 = [2]SalmonProps!$F$2:$F$10001) *($AR87 = [2]SalmonProps!$G$2:$G$10001),0), 18))</f>
        <v>0.62419999999999998</v>
      </c>
      <c r="X87" s="165" cm="1">
        <f t="array" ref="X87">IF(ISBLANK($AQ87), "", INDEX([2]SalmonProps!$A$2:$AA$10001,MATCH(1,($A87=[2]SalmonProps!$A$2:$A$10001)*(2=[2]SalmonProps!$C$2:$C$10001)*(1=[2]SalmonProps!$D$2:$D$10001)*("A2" = [2]SalmonProps!$B$2:$B$10001)*($AP87 = [2]SalmonProps!$F$2:$F$10001) *($AR87 = [2]SalmonProps!$G$2:$G$10001),0), 18))</f>
        <v>0.49919999999999998</v>
      </c>
      <c r="Y87" s="168" cm="1">
        <f t="array" ref="Y87">IF(ISBLANK($AQ87), "", INDEX([2]SalmonProps!$A$2:$AA$10001,MATCH(1,($A87=[2]SalmonProps!$A$2:$A$10001)*(3=[2]SalmonProps!$C$2:$C$10001)*(1=[2]SalmonProps!$D$2:$D$10001)*("A2" = [2]SalmonProps!$B$2:$B$10001)*($AP87 = [2]SalmonProps!$F$2:$F$10001) *($AR87 = [2]SalmonProps!$G$2:$G$10001),0), 18))</f>
        <v>0.41360000000000002</v>
      </c>
      <c r="Z87" s="164" cm="1">
        <f t="array" ref="Z87">IF(ISBLANK($AQ87), "", INDEX([2]SalmonProps!$A$2:$AA$10001,MATCH(1,($A87=[2]SalmonProps!$A$2:$A$10001)*(1=[2]SalmonProps!$C$2:$C$10001)*(1=[2]SalmonProps!$D$2:$D$10001)*("A1" = [2]SalmonProps!$B$2:$B$10001)*($AP87 = [2]SalmonProps!$F$2:$F$10001) *($AR87 = [2]SalmonProps!$G$2:$G$10001),0), 15))</f>
        <v>0.3528</v>
      </c>
      <c r="AA87" s="165" cm="1">
        <f t="array" ref="AA87">IF(ISBLANK($AQ87), "", INDEX([2]SalmonProps!$A$2:$AA$10001,MATCH(1,($A87=[2]SalmonProps!$A$2:$A$10001)*(1=[2]SalmonProps!$C$2:$C$10001)*(2=[2]SalmonProps!$D$2:$D$10001)*("A1" = [2]SalmonProps!$B$2:$B$10001)*($AP87 = [2]SalmonProps!$F$2:$F$10001) *($AR87 = [2]SalmonProps!$G$2:$G$10001),0), 15))</f>
        <v>0.2979</v>
      </c>
      <c r="AB87" s="165" cm="1">
        <f t="array" ref="AB87">IF(ISBLANK($AQ87), "", INDEX([2]SalmonProps!$A$2:$AA$10001,MATCH(1,($A87=[2]SalmonProps!$A$2:$A$10001)*(1=[2]SalmonProps!$C$2:$C$10001)*("1&amp;2"=[2]SalmonProps!$D$2:$D$10001)*("A1" = [2]SalmonProps!$B$2:$B$10001)*($AP87 = [2]SalmonProps!$F$2:$F$10001) *($AR87 = [2]SalmonProps!$G$2:$G$10001),0), 15))</f>
        <v>0.31809999999999999</v>
      </c>
      <c r="AC87" s="165" cm="1">
        <f t="array" ref="AC87">IF(ISBLANK($AQ87), "", INDEX([2]SalmonProps!$A$2:$AA$10001,MATCH(1,($A87=[2]SalmonProps!$A$2:$A$10001)*(2=[2]SalmonProps!$C$2:$C$10001)*(3=[2]SalmonProps!$D$2:$D$10001)*("A1" = [2]SalmonProps!$B$2:$B$10001)*($AP87 = [2]SalmonProps!$F$2:$F$10001) *($AR87 = [2]SalmonProps!$G$2:$G$10001),0), 15))</f>
        <v>0.78590000000000004</v>
      </c>
      <c r="AD87" s="181" cm="1">
        <f t="array" ref="AD87">IF(ISBLANK($AQ87), "", INDEX([2]SalmonProps!$A$2:$AA$10001,MATCH(1,($A87=[2]SalmonProps!$A$2:$A$10001)*(3=[2]SalmonProps!$C$2:$C$10001)*(3=[2]SalmonProps!$D$2:$D$10001)*("A1" = [2]SalmonProps!$B$2:$B$10001)*($AP87 = [2]SalmonProps!$F$2:$F$10001) *($AR87 = [2]SalmonProps!$G$2:$G$10001),0), 15))</f>
        <v>0.94640000000000002</v>
      </c>
      <c r="AE87" s="166" cm="1">
        <f t="array" ref="AE87">IF(ISBLANK($AQ87), "", INDEX([2]SalmonProps!$A$2:$AA$10001,MATCH(1,($A87=[2]SalmonProps!$A$2:$A$10001)*(1=[2]SalmonProps!$C$2:$C$10001)*(1=[2]SalmonProps!$D$2:$D$10001)*("A2" = [2]SalmonProps!$B$2:$B$10001)*($AP87 = [2]SalmonProps!$F$2:$F$10001) *($AR87 = [2]SalmonProps!$G$2:$G$10001),0), 15))</f>
        <v>0.76959999999999995</v>
      </c>
      <c r="AF87" s="166" cm="1">
        <f t="array" ref="AF87">IF(ISBLANK($AQ87), "", INDEX([2]SalmonProps!$A$2:$AA$10001,MATCH(1,($A87=[2]SalmonProps!$A$2:$A$10001)*(2=[2]SalmonProps!$C$2:$C$10001)*(1=[2]SalmonProps!$D$2:$D$10001)*("A2" = [2]SalmonProps!$B$2:$B$10001)*($AP87 = [2]SalmonProps!$F$2:$F$10001) *($AR87 = [2]SalmonProps!$G$2:$G$10001),0), 15))</f>
        <v>0.77749999999999997</v>
      </c>
      <c r="AG87" s="167" cm="1">
        <f t="array" ref="AG87">IF(ISBLANK($AQ87), "", INDEX([2]SalmonProps!$A$2:$AA$10001,MATCH(1,($A87=[2]SalmonProps!$A$2:$A$10001)*(3=[2]SalmonProps!$C$2:$C$10001)*(1=[2]SalmonProps!$D$2:$D$10001)*("A2" = [2]SalmonProps!$B$2:$B$10001)*($AP87 = [2]SalmonProps!$F$2:$F$10001) *($AR87 = [2]SalmonProps!$G$2:$G$10001),0), 15))</f>
        <v>0.88749999999999996</v>
      </c>
      <c r="AH87" s="173" cm="1">
        <f t="array" ref="AH87">IF(ISBLANK($AQ87), "", INDEX([2]SalmonProps!$A$2:$AA$10001,MATCH(1,($A87=[2]SalmonProps!$A$2:$A$10001)*($AP87 = [2]SalmonProps!$F$2:$F$10001) *($AR87 = [2]SalmonProps!$G$2:$G$10001),0), 24))</f>
        <v>52.8</v>
      </c>
      <c r="AI87" s="183" cm="1">
        <f t="array" ref="AI87">IF(ISBLANK($AQ87), "", INDEX([2]SalmonProps!$A$2:$AA$10001,MATCH(1,($A87=[2]SalmonProps!$A$2:$A$10001)*($AP87 = [2]SalmonProps!$F$2:$F$10001) *($AR87 = [2]SalmonProps!$G$2:$G$10001),0), 25))</f>
        <v>6.9</v>
      </c>
      <c r="AJ87" s="174" cm="1">
        <f t="array" ref="AJ87">IF(ISBLANK($AQ87), "", INDEX([2]SalmonProps!$A$2:$AA$10001,MATCH(1,($A87=[2]SalmonProps!$A$2:$A$10001)*($AP87 = [2]SalmonProps!$F$2:$F$10001) *($AR87 = [2]SalmonProps!$G$2:$G$10001),0), 20))</f>
        <v>60.6</v>
      </c>
      <c r="AK87" s="183" cm="1">
        <f t="array" ref="AK87">IF(ISBLANK($AQ87), "", INDEX([2]SalmonProps!$A$2:$AA$10001,MATCH(1,($A87=[2]SalmonProps!$A$2:$A$10001)*($AP87 = [2]SalmonProps!$F$2:$F$10001) *($AR87 = [2]SalmonProps!$G$2:$G$10001),0), 21))</f>
        <v>4.9000000000000004</v>
      </c>
      <c r="AL87" s="174" cm="1">
        <f t="array" ref="AL87">IF(ISBLANK($AQ87), "", INDEX([2]SalmonProps!$A$2:$AA$10001,MATCH(1,($A87=[2]SalmonProps!$A$2:$A$10001)*($AP87 = [2]SalmonProps!$F$2:$F$10001) *($AR87 = [2]SalmonProps!$G$2:$G$10001),0), 22))</f>
        <v>75.7</v>
      </c>
      <c r="AM87" s="183" cm="1">
        <f t="array" ref="AM87">IF(ISBLANK($AQ87), "", INDEX([2]SalmonProps!$A$2:$AA$10001,MATCH(1,($A87=[2]SalmonProps!$A$2:$A$10001)*($AP87 = [2]SalmonProps!$F$2:$F$10001) *($AR87 = [2]SalmonProps!$G$2:$G$10001),0), 23))</f>
        <v>7.6</v>
      </c>
      <c r="AN87" s="174" t="str" cm="1">
        <f t="array" ref="AN87">IF(ISBLANK($AQ87), "", INDEX([2]SalmonProps!$A$2:$AA$10001,MATCH(1,($A87=[2]SalmonProps!$A$2:$A$10001)*($AP87 = [2]SalmonProps!$F$2:$F$10001) *($AR87 = [2]SalmonProps!$G$2:$G$10001),0), 26))</f>
        <v>NA</v>
      </c>
      <c r="AO87" s="175" t="str" cm="1">
        <f t="array" ref="AO87">IF(ISBLANK($AQ87), "", INDEX([2]SalmonProps!$A$2:$AA$10001,MATCH(1,($A87=[2]SalmonProps!$A$2:$A$10001)*($AP87 = [2]SalmonProps!$F$2:$F$10001) *($AR87 = [2]SalmonProps!$G$2:$G$10001),0), 27))</f>
        <v>NA</v>
      </c>
      <c r="AP87" s="112">
        <v>4</v>
      </c>
      <c r="AQ87" s="112" t="s">
        <v>133</v>
      </c>
      <c r="AR87" s="112" t="str">
        <f t="shared" si="2"/>
        <v>Unweighted</v>
      </c>
    </row>
    <row r="88" spans="1:44" x14ac:dyDescent="0.3">
      <c r="A88" s="20">
        <f>'[1]Passage Estimates'!$A88</f>
        <v>45190</v>
      </c>
      <c r="B88" s="164" cm="1">
        <f t="array" ref="B88">IF(ISBLANK($AQ88), "", INDEX([2]SalmonProps!$A$2:$AA$10001,MATCH(1,($A88=[2]SalmonProps!$A$2:$A$10001)*(1=[2]SalmonProps!$C$2:$C$10001)*(1=[2]SalmonProps!$D$2:$D$10001)*("A1" = [2]SalmonProps!$B$2:$B$10001)*($AP88 = [2]SalmonProps!$F$2:$F$10001) *($AR88 = [2]SalmonProps!$G$2:$G$10001),0), 17))</f>
        <v>1.5E-3</v>
      </c>
      <c r="C88" s="165" cm="1">
        <f t="array" ref="C88">IF(ISBLANK($AQ88), "", INDEX([2]SalmonProps!$A$2:$AA$10001,MATCH(1,($A88=[2]SalmonProps!$A$2:$A$10001)*(1=[2]SalmonProps!$C$2:$C$10001)*(2=[2]SalmonProps!$D$2:$D$10001)*("A1" = [2]SalmonProps!$B$2:$B$10001)*($AP88 = [2]SalmonProps!$F$2:$F$10001) *($AR88 = [2]SalmonProps!$G$2:$G$10001),0), 17))</f>
        <v>6.3E-3</v>
      </c>
      <c r="D88" s="165" cm="1">
        <f t="array" ref="D88">IF(ISBLANK($AQ88), "", INDEX([2]SalmonProps!$A$2:$AA$10001,MATCH(1,($A88=[2]SalmonProps!$A$2:$A$10001)*(1=[2]SalmonProps!$C$2:$C$10001)*("1&amp;2"=[2]SalmonProps!$D$2:$D$10001)*("A1" = [2]SalmonProps!$B$2:$B$10001)*($AP88 = [2]SalmonProps!$F$2:$F$10001) *($AR88 = [2]SalmonProps!$G$2:$G$10001),0), 17))</f>
        <v>2.8E-3</v>
      </c>
      <c r="E88" s="181" cm="1">
        <f t="array" ref="E88">IF(ISBLANK($AQ88), "", INDEX([2]SalmonProps!$A$2:$AA$10001,MATCH(1,($A88=[2]SalmonProps!$A$2:$A$10001)*(2=[2]SalmonProps!$C$2:$C$10001)*(3=[2]SalmonProps!$D$2:$D$10001)*("A1" = [2]SalmonProps!$B$2:$B$10001)*($AP88 = [2]SalmonProps!$F$2:$F$10001) *($AR88 = [2]SalmonProps!$G$2:$G$10001),0), 17))</f>
        <v>9.1399999999999995E-2</v>
      </c>
      <c r="F88" s="165" cm="1">
        <f t="array" ref="F88">IF(ISBLANK($AQ88), "", INDEX([2]SalmonProps!$A$2:$AA$10001,MATCH(1,($A88=[2]SalmonProps!$A$2:$A$10001)*(3=[2]SalmonProps!$C$2:$C$10001)*(3=[2]SalmonProps!$D$2:$D$10001)*("A1" = [2]SalmonProps!$B$2:$B$10001)*($AP88 = [2]SalmonProps!$F$2:$F$10001) *($AR88 = [2]SalmonProps!$G$2:$G$10001),0), 17))</f>
        <v>0.30980000000000002</v>
      </c>
      <c r="G88" s="165" cm="1">
        <f t="array" ref="G88">IF(ISBLANK($AQ88), "", INDEX([2]SalmonProps!$A$2:$AA$10001,MATCH(1,($A88=[2]SalmonProps!$A$2:$A$10001)*(1=[2]SalmonProps!$C$2:$C$10001)*(1=[2]SalmonProps!$D$2:$D$10001)*("A2" = [2]SalmonProps!$B$2:$B$10001)*($AP88 = [2]SalmonProps!$F$2:$F$10001) *($AR88 = [2]SalmonProps!$G$2:$G$10001),0), 17))</f>
        <v>3.7100000000000001E-2</v>
      </c>
      <c r="H88" s="166" cm="1">
        <f t="array" ref="H88">IF(ISBLANK($AQ88), "", INDEX([2]SalmonProps!$A$2:$AA$10001,MATCH(1,($A88=[2]SalmonProps!$A$2:$A$10001)*(2=[2]SalmonProps!$C$2:$C$10001)*(1=[2]SalmonProps!$D$2:$D$10001)*("A2" = [2]SalmonProps!$B$2:$B$10001)*($AP88 = [2]SalmonProps!$F$2:$F$10001) *($AR88 = [2]SalmonProps!$G$2:$G$10001),0), 17))</f>
        <v>0.14219999999999999</v>
      </c>
      <c r="I88" s="167" cm="1">
        <f t="array" ref="I88">IF(ISBLANK($AQ88), "", INDEX([2]SalmonProps!$A$2:$AA$10001,MATCH(1,($A88=[2]SalmonProps!$A$2:$A$10001)*(3=[2]SalmonProps!$C$2:$C$10001)*(1=[2]SalmonProps!$D$2:$D$10001)*("A2" = [2]SalmonProps!$B$2:$B$10001)*($AP88 = [2]SalmonProps!$F$2:$F$10001) *($AR88 = [2]SalmonProps!$G$2:$G$10001),0), 17))</f>
        <v>0.3735</v>
      </c>
      <c r="J88" s="164" t="str" cm="1">
        <f t="array" ref="J88">IF(ISBLANK($AQ88), "", INDEX([2]SalmonProps!$A$2:$AA$10001,MATCH(1,($A88=[2]SalmonProps!$A$2:$A$10001)*(1=[2]SalmonProps!$C$2:$C$10001)*(1=[2]SalmonProps!$D$2:$D$10001)*("A1" = [2]SalmonProps!$B$2:$B$10001)*($AP88 = [2]SalmonProps!$F$2:$F$10001) *($AR88 = [2]SalmonProps!$G$2:$G$10001),0), 19))</f>
        <v>NA</v>
      </c>
      <c r="K88" s="165" t="str" cm="1">
        <f t="array" ref="K88">IF(ISBLANK($AQ88), "", INDEX([2]SalmonProps!$A$2:$AA$10001,MATCH(1,($A88=[2]SalmonProps!$A$2:$A$10001)*(1=[2]SalmonProps!$C$2:$C$10001)*(2=[2]SalmonProps!$D$2:$D$10001)*("A1" = [2]SalmonProps!$B$2:$B$10001)*($AP88 = [2]SalmonProps!$F$2:$F$10001) *($AR88 = [2]SalmonProps!$G$2:$G$10001),0), 19))</f>
        <v>NA</v>
      </c>
      <c r="L88" s="165" t="str" cm="1">
        <f t="array" ref="L88">IF(ISBLANK($AQ88), "", INDEX([2]SalmonProps!$A$2:$AA$10001,MATCH(1,($A88=[2]SalmonProps!$A$2:$A$10001)*(1=[2]SalmonProps!$C$2:$C$10001)*("1&amp;2"=[2]SalmonProps!$D$2:$D$10001)*("A1" = [2]SalmonProps!$B$2:$B$10001)*($AP88 = [2]SalmonProps!$F$2:$F$10001) *($AR88 = [2]SalmonProps!$G$2:$G$10001),0), 19))</f>
        <v>NA</v>
      </c>
      <c r="M88" s="165" t="str" cm="1">
        <f t="array" ref="M88">IF(ISBLANK($AQ88), "", INDEX([2]SalmonProps!$A$2:$AA$10001,MATCH(1,($A88=[2]SalmonProps!$A$2:$A$10001)*(2=[2]SalmonProps!$C$2:$C$10001)*(3=[2]SalmonProps!$D$2:$D$10001)*("A1" = [2]SalmonProps!$B$2:$B$10001)*($AP88 = [2]SalmonProps!$F$2:$F$10001) *($AR88 = [2]SalmonProps!$G$2:$G$10001),0), 19))</f>
        <v>NA</v>
      </c>
      <c r="N88" s="181" t="str" cm="1">
        <f t="array" ref="N88">IF(ISBLANK($AQ88), "", INDEX([2]SalmonProps!$A$2:$AA$10001,MATCH(1,($A88=[2]SalmonProps!$A$2:$A$10001)*(3=[2]SalmonProps!$C$2:$C$10001)*(3=[2]SalmonProps!$D$2:$D$10001)*("A1" = [2]SalmonProps!$B$2:$B$10001)*($AP88 = [2]SalmonProps!$F$2:$F$10001) *($AR88 = [2]SalmonProps!$G$2:$G$10001),0), 19))</f>
        <v>NA</v>
      </c>
      <c r="O88" s="165" t="str" cm="1">
        <f t="array" ref="O88">IF(ISBLANK($AQ88), "", INDEX([2]SalmonProps!$A$2:$AA$10001,MATCH(1,($A88=[2]SalmonProps!$A$2:$A$10001)*(1=[2]SalmonProps!$C$2:$C$10001)*(1=[2]SalmonProps!$D$2:$D$10001)*("A2" = [2]SalmonProps!$B$2:$B$10001)*($AP88 = [2]SalmonProps!$F$2:$F$10001) *($AR88 = [2]SalmonProps!$G$2:$G$10001),0), 19))</f>
        <v>NA</v>
      </c>
      <c r="P88" s="165" t="str" cm="1">
        <f t="array" ref="P88">IF(ISBLANK($AQ88), "", INDEX([2]SalmonProps!$A$2:$AA$10001,MATCH(1,($A88=[2]SalmonProps!$A$2:$A$10001)*(2=[2]SalmonProps!$C$2:$C$10001)*(1=[2]SalmonProps!$D$2:$D$10001)*("A2" = [2]SalmonProps!$B$2:$B$10001)*($AP88 = [2]SalmonProps!$F$2:$F$10001) *($AR88 = [2]SalmonProps!$G$2:$G$10001),0), 19))</f>
        <v>NA</v>
      </c>
      <c r="Q88" s="168" t="str" cm="1">
        <f t="array" ref="Q88">IF(ISBLANK($AQ88), "", INDEX([2]SalmonProps!$A$2:$AA$10001,MATCH(1,($A88=[2]SalmonProps!$A$2:$A$10001)*(3=[2]SalmonProps!$C$2:$C$10001)*(1=[2]SalmonProps!$D$2:$D$10001)*("A2" = [2]SalmonProps!$B$2:$B$10001)*($AP88 = [2]SalmonProps!$F$2:$F$10001) *($AR88 = [2]SalmonProps!$G$2:$G$10001),0), 19))</f>
        <v>NA</v>
      </c>
      <c r="R88" s="164" cm="1">
        <f t="array" ref="R88">IF(ISBLANK($AQ88), "", INDEX([2]SalmonProps!$A$2:$AA$10001,MATCH(1,($A88=[2]SalmonProps!$A$2:$A$10001)*(1=[2]SalmonProps!$C$2:$C$10001)*(1=[2]SalmonProps!$D$2:$D$10001)*("A1" = [2]SalmonProps!$B$2:$B$10001)*($AP88 = [2]SalmonProps!$F$2:$F$10001) *($AR88 = [2]SalmonProps!$G$2:$G$10001),0), 18))</f>
        <v>0.33710000000000001</v>
      </c>
      <c r="S88" s="165" cm="1">
        <f t="array" ref="S88">IF(ISBLANK($AQ88), "", INDEX([2]SalmonProps!$A$2:$AA$10001,MATCH(1,($A88=[2]SalmonProps!$A$2:$A$10001)*(1=[2]SalmonProps!$C$2:$C$10001)*(2=[2]SalmonProps!$D$2:$D$10001)*("A1" = [2]SalmonProps!$B$2:$B$10001)*($AP88 = [2]SalmonProps!$F$2:$F$10001) *($AR88 = [2]SalmonProps!$G$2:$G$10001),0), 18))</f>
        <v>0.4304</v>
      </c>
      <c r="T88" s="165" cm="1">
        <f t="array" ref="T88">IF(ISBLANK($AQ88), "", INDEX([2]SalmonProps!$A$2:$AA$10001,MATCH(1,($A88=[2]SalmonProps!$A$2:$A$10001)*(1=[2]SalmonProps!$C$2:$C$10001)*("1&amp;2"=[2]SalmonProps!$D$2:$D$10001)*("A1" = [2]SalmonProps!$B$2:$B$10001)*($AP88 = [2]SalmonProps!$F$2:$F$10001) *($AR88 = [2]SalmonProps!$G$2:$G$10001),0), 18))</f>
        <v>0.36919999999999997</v>
      </c>
      <c r="U88" s="165" cm="1">
        <f t="array" ref="U88">IF(ISBLANK($AQ88), "", INDEX([2]SalmonProps!$A$2:$AA$10001,MATCH(1,($A88=[2]SalmonProps!$A$2:$A$10001)*(2=[2]SalmonProps!$C$2:$C$10001)*(3=[2]SalmonProps!$D$2:$D$10001)*("A1" = [2]SalmonProps!$B$2:$B$10001)*($AP88 = [2]SalmonProps!$F$2:$F$10001) *($AR88 = [2]SalmonProps!$G$2:$G$10001),0), 18))</f>
        <v>0.43640000000000001</v>
      </c>
      <c r="V88" s="181" cm="1">
        <f t="array" ref="V88">IF(ISBLANK($AQ88), "", INDEX([2]SalmonProps!$A$2:$AA$10001,MATCH(1,($A88=[2]SalmonProps!$A$2:$A$10001)*(3=[2]SalmonProps!$C$2:$C$10001)*(3=[2]SalmonProps!$D$2:$D$10001)*("A1" = [2]SalmonProps!$B$2:$B$10001)*($AP88 = [2]SalmonProps!$F$2:$F$10001) *($AR88 = [2]SalmonProps!$G$2:$G$10001),0), 18))</f>
        <v>0.56469999999999998</v>
      </c>
      <c r="W88" s="180" cm="1">
        <f t="array" ref="W88">IF(ISBLANK($AQ88), "", INDEX([2]SalmonProps!$A$2:$AA$10001,MATCH(1,($A88=[2]SalmonProps!$A$2:$A$10001)*(1=[2]SalmonProps!$C$2:$C$10001)*(1=[2]SalmonProps!$D$2:$D$10001)*("A2" = [2]SalmonProps!$B$2:$B$10001)*($AP88 = [2]SalmonProps!$F$2:$F$10001) *($AR88 = [2]SalmonProps!$G$2:$G$10001),0), 18))</f>
        <v>0.66039999999999999</v>
      </c>
      <c r="X88" s="165" cm="1">
        <f t="array" ref="X88">IF(ISBLANK($AQ88), "", INDEX([2]SalmonProps!$A$2:$AA$10001,MATCH(1,($A88=[2]SalmonProps!$A$2:$A$10001)*(2=[2]SalmonProps!$C$2:$C$10001)*(1=[2]SalmonProps!$D$2:$D$10001)*("A2" = [2]SalmonProps!$B$2:$B$10001)*($AP88 = [2]SalmonProps!$F$2:$F$10001) *($AR88 = [2]SalmonProps!$G$2:$G$10001),0), 18))</f>
        <v>0.45789999999999997</v>
      </c>
      <c r="Y88" s="168" cm="1">
        <f t="array" ref="Y88">IF(ISBLANK($AQ88), "", INDEX([2]SalmonProps!$A$2:$AA$10001,MATCH(1,($A88=[2]SalmonProps!$A$2:$A$10001)*(3=[2]SalmonProps!$C$2:$C$10001)*(1=[2]SalmonProps!$D$2:$D$10001)*("A2" = [2]SalmonProps!$B$2:$B$10001)*($AP88 = [2]SalmonProps!$F$2:$F$10001) *($AR88 = [2]SalmonProps!$G$2:$G$10001),0), 18))</f>
        <v>0.51790000000000003</v>
      </c>
      <c r="Z88" s="164" cm="1">
        <f t="array" ref="Z88">IF(ISBLANK($AQ88), "", INDEX([2]SalmonProps!$A$2:$AA$10001,MATCH(1,($A88=[2]SalmonProps!$A$2:$A$10001)*(1=[2]SalmonProps!$C$2:$C$10001)*(1=[2]SalmonProps!$D$2:$D$10001)*("A1" = [2]SalmonProps!$B$2:$B$10001)*($AP88 = [2]SalmonProps!$F$2:$F$10001) *($AR88 = [2]SalmonProps!$G$2:$G$10001),0), 15))</f>
        <v>0.33860000000000001</v>
      </c>
      <c r="AA88" s="165" cm="1">
        <f t="array" ref="AA88">IF(ISBLANK($AQ88), "", INDEX([2]SalmonProps!$A$2:$AA$10001,MATCH(1,($A88=[2]SalmonProps!$A$2:$A$10001)*(1=[2]SalmonProps!$C$2:$C$10001)*(2=[2]SalmonProps!$D$2:$D$10001)*("A1" = [2]SalmonProps!$B$2:$B$10001)*($AP88 = [2]SalmonProps!$F$2:$F$10001) *($AR88 = [2]SalmonProps!$G$2:$G$10001),0), 15))</f>
        <v>0.43669999999999998</v>
      </c>
      <c r="AB88" s="165" cm="1">
        <f t="array" ref="AB88">IF(ISBLANK($AQ88), "", INDEX([2]SalmonProps!$A$2:$AA$10001,MATCH(1,($A88=[2]SalmonProps!$A$2:$A$10001)*(1=[2]SalmonProps!$C$2:$C$10001)*("1&amp;2"=[2]SalmonProps!$D$2:$D$10001)*("A1" = [2]SalmonProps!$B$2:$B$10001)*($AP88 = [2]SalmonProps!$F$2:$F$10001) *($AR88 = [2]SalmonProps!$G$2:$G$10001),0), 15))</f>
        <v>0.372</v>
      </c>
      <c r="AC88" s="165" cm="1">
        <f t="array" ref="AC88">IF(ISBLANK($AQ88), "", INDEX([2]SalmonProps!$A$2:$AA$10001,MATCH(1,($A88=[2]SalmonProps!$A$2:$A$10001)*(2=[2]SalmonProps!$C$2:$C$10001)*(3=[2]SalmonProps!$D$2:$D$10001)*("A1" = [2]SalmonProps!$B$2:$B$10001)*($AP88 = [2]SalmonProps!$F$2:$F$10001) *($AR88 = [2]SalmonProps!$G$2:$G$10001),0), 15))</f>
        <v>0.6482</v>
      </c>
      <c r="AD88" s="181" cm="1">
        <f t="array" ref="AD88">IF(ISBLANK($AQ88), "", INDEX([2]SalmonProps!$A$2:$AA$10001,MATCH(1,($A88=[2]SalmonProps!$A$2:$A$10001)*(3=[2]SalmonProps!$C$2:$C$10001)*(3=[2]SalmonProps!$D$2:$D$10001)*("A1" = [2]SalmonProps!$B$2:$B$10001)*($AP88 = [2]SalmonProps!$F$2:$F$10001) *($AR88 = [2]SalmonProps!$G$2:$G$10001),0), 15))</f>
        <v>0.90090000000000003</v>
      </c>
      <c r="AE88" s="166" cm="1">
        <f t="array" ref="AE88">IF(ISBLANK($AQ88), "", INDEX([2]SalmonProps!$A$2:$AA$10001,MATCH(1,($A88=[2]SalmonProps!$A$2:$A$10001)*(1=[2]SalmonProps!$C$2:$C$10001)*(1=[2]SalmonProps!$D$2:$D$10001)*("A2" = [2]SalmonProps!$B$2:$B$10001)*($AP88 = [2]SalmonProps!$F$2:$F$10001) *($AR88 = [2]SalmonProps!$G$2:$G$10001),0), 15))</f>
        <v>0.69750000000000001</v>
      </c>
      <c r="AF88" s="166" cm="1">
        <f t="array" ref="AF88">IF(ISBLANK($AQ88), "", INDEX([2]SalmonProps!$A$2:$AA$10001,MATCH(1,($A88=[2]SalmonProps!$A$2:$A$10001)*(2=[2]SalmonProps!$C$2:$C$10001)*(1=[2]SalmonProps!$D$2:$D$10001)*("A2" = [2]SalmonProps!$B$2:$B$10001)*($AP88 = [2]SalmonProps!$F$2:$F$10001) *($AR88 = [2]SalmonProps!$G$2:$G$10001),0), 15))</f>
        <v>0.82240000000000002</v>
      </c>
      <c r="AG88" s="167" cm="1">
        <f t="array" ref="AG88">IF(ISBLANK($AQ88), "", INDEX([2]SalmonProps!$A$2:$AA$10001,MATCH(1,($A88=[2]SalmonProps!$A$2:$A$10001)*(3=[2]SalmonProps!$C$2:$C$10001)*(1=[2]SalmonProps!$D$2:$D$10001)*("A2" = [2]SalmonProps!$B$2:$B$10001)*($AP88 = [2]SalmonProps!$F$2:$F$10001) *($AR88 = [2]SalmonProps!$G$2:$G$10001),0), 15))</f>
        <v>0.89139999999999997</v>
      </c>
      <c r="AH88" s="173" cm="1">
        <f t="array" ref="AH88">IF(ISBLANK($AQ88), "", INDEX([2]SalmonProps!$A$2:$AA$10001,MATCH(1,($A88=[2]SalmonProps!$A$2:$A$10001)*($AP88 = [2]SalmonProps!$F$2:$F$10001) *($AR88 = [2]SalmonProps!$G$2:$G$10001),0), 24))</f>
        <v>52.8</v>
      </c>
      <c r="AI88" s="183" cm="1">
        <f t="array" ref="AI88">IF(ISBLANK($AQ88), "", INDEX([2]SalmonProps!$A$2:$AA$10001,MATCH(1,($A88=[2]SalmonProps!$A$2:$A$10001)*($AP88 = [2]SalmonProps!$F$2:$F$10001) *($AR88 = [2]SalmonProps!$G$2:$G$10001),0), 25))</f>
        <v>6.9</v>
      </c>
      <c r="AJ88" s="174" cm="1">
        <f t="array" ref="AJ88">IF(ISBLANK($AQ88), "", INDEX([2]SalmonProps!$A$2:$AA$10001,MATCH(1,($A88=[2]SalmonProps!$A$2:$A$10001)*($AP88 = [2]SalmonProps!$F$2:$F$10001) *($AR88 = [2]SalmonProps!$G$2:$G$10001),0), 20))</f>
        <v>60.6</v>
      </c>
      <c r="AK88" s="183" cm="1">
        <f t="array" ref="AK88">IF(ISBLANK($AQ88), "", INDEX([2]SalmonProps!$A$2:$AA$10001,MATCH(1,($A88=[2]SalmonProps!$A$2:$A$10001)*($AP88 = [2]SalmonProps!$F$2:$F$10001) *($AR88 = [2]SalmonProps!$G$2:$G$10001),0), 21))</f>
        <v>4.9000000000000004</v>
      </c>
      <c r="AL88" s="174" cm="1">
        <f t="array" ref="AL88">IF(ISBLANK($AQ88), "", INDEX([2]SalmonProps!$A$2:$AA$10001,MATCH(1,($A88=[2]SalmonProps!$A$2:$A$10001)*($AP88 = [2]SalmonProps!$F$2:$F$10001) *($AR88 = [2]SalmonProps!$G$2:$G$10001),0), 22))</f>
        <v>75.7</v>
      </c>
      <c r="AM88" s="183" cm="1">
        <f t="array" ref="AM88">IF(ISBLANK($AQ88), "", INDEX([2]SalmonProps!$A$2:$AA$10001,MATCH(1,($A88=[2]SalmonProps!$A$2:$A$10001)*($AP88 = [2]SalmonProps!$F$2:$F$10001) *($AR88 = [2]SalmonProps!$G$2:$G$10001),0), 23))</f>
        <v>7.6</v>
      </c>
      <c r="AN88" s="174" t="str" cm="1">
        <f t="array" ref="AN88">IF(ISBLANK($AQ88), "", INDEX([2]SalmonProps!$A$2:$AA$10001,MATCH(1,($A88=[2]SalmonProps!$A$2:$A$10001)*($AP88 = [2]SalmonProps!$F$2:$F$10001) *($AR88 = [2]SalmonProps!$G$2:$G$10001),0), 26))</f>
        <v>NA</v>
      </c>
      <c r="AO88" s="175" t="str" cm="1">
        <f t="array" ref="AO88">IF(ISBLANK($AQ88), "", INDEX([2]SalmonProps!$A$2:$AA$10001,MATCH(1,($A88=[2]SalmonProps!$A$2:$A$10001)*($AP88 = [2]SalmonProps!$F$2:$F$10001) *($AR88 = [2]SalmonProps!$G$2:$G$10001),0), 27))</f>
        <v>NA</v>
      </c>
      <c r="AP88" s="112">
        <v>4</v>
      </c>
      <c r="AQ88" s="112" t="s">
        <v>133</v>
      </c>
      <c r="AR88" s="112" t="str">
        <f t="shared" si="2"/>
        <v>Unweighted</v>
      </c>
    </row>
    <row r="89" spans="1:44" x14ac:dyDescent="0.3">
      <c r="A89" s="20">
        <f>'[1]Passage Estimates'!$A89</f>
        <v>45191</v>
      </c>
      <c r="B89" s="164" cm="1">
        <f t="array" ref="B89">IF(ISBLANK($AQ89), "", INDEX([2]SalmonProps!$A$2:$AA$10001,MATCH(1,($A89=[2]SalmonProps!$A$2:$A$10001)*(1=[2]SalmonProps!$C$2:$C$10001)*(1=[2]SalmonProps!$D$2:$D$10001)*("A1" = [2]SalmonProps!$B$2:$B$10001)*($AP89 = [2]SalmonProps!$F$2:$F$10001) *($AR89 = [2]SalmonProps!$G$2:$G$10001),0), 17))</f>
        <v>0</v>
      </c>
      <c r="C89" s="165" cm="1">
        <f t="array" ref="C89">IF(ISBLANK($AQ89), "", INDEX([2]SalmonProps!$A$2:$AA$10001,MATCH(1,($A89=[2]SalmonProps!$A$2:$A$10001)*(1=[2]SalmonProps!$C$2:$C$10001)*(2=[2]SalmonProps!$D$2:$D$10001)*("A1" = [2]SalmonProps!$B$2:$B$10001)*($AP89 = [2]SalmonProps!$F$2:$F$10001) *($AR89 = [2]SalmonProps!$G$2:$G$10001),0), 17))</f>
        <v>1E-3</v>
      </c>
      <c r="D89" s="165" cm="1">
        <f t="array" ref="D89">IF(ISBLANK($AQ89), "", INDEX([2]SalmonProps!$A$2:$AA$10001,MATCH(1,($A89=[2]SalmonProps!$A$2:$A$10001)*(1=[2]SalmonProps!$C$2:$C$10001)*("1&amp;2"=[2]SalmonProps!$D$2:$D$10001)*("A1" = [2]SalmonProps!$B$2:$B$10001)*($AP89 = [2]SalmonProps!$F$2:$F$10001) *($AR89 = [2]SalmonProps!$G$2:$G$10001),0), 17))</f>
        <v>0</v>
      </c>
      <c r="E89" s="181" cm="1">
        <f t="array" ref="E89">IF(ISBLANK($AQ89), "", INDEX([2]SalmonProps!$A$2:$AA$10001,MATCH(1,($A89=[2]SalmonProps!$A$2:$A$10001)*(2=[2]SalmonProps!$C$2:$C$10001)*(3=[2]SalmonProps!$D$2:$D$10001)*("A1" = [2]SalmonProps!$B$2:$B$10001)*($AP89 = [2]SalmonProps!$F$2:$F$10001) *($AR89 = [2]SalmonProps!$G$2:$G$10001),0), 17))</f>
        <v>0.1181</v>
      </c>
      <c r="F89" s="165" cm="1">
        <f t="array" ref="F89">IF(ISBLANK($AQ89), "", INDEX([2]SalmonProps!$A$2:$AA$10001,MATCH(1,($A89=[2]SalmonProps!$A$2:$A$10001)*(3=[2]SalmonProps!$C$2:$C$10001)*(3=[2]SalmonProps!$D$2:$D$10001)*("A1" = [2]SalmonProps!$B$2:$B$10001)*($AP89 = [2]SalmonProps!$F$2:$F$10001) *($AR89 = [2]SalmonProps!$G$2:$G$10001),0), 17))</f>
        <v>0.217</v>
      </c>
      <c r="G89" s="165" cm="1">
        <f t="array" ref="G89">IF(ISBLANK($AQ89), "", INDEX([2]SalmonProps!$A$2:$AA$10001,MATCH(1,($A89=[2]SalmonProps!$A$2:$A$10001)*(1=[2]SalmonProps!$C$2:$C$10001)*(1=[2]SalmonProps!$D$2:$D$10001)*("A2" = [2]SalmonProps!$B$2:$B$10001)*($AP89 = [2]SalmonProps!$F$2:$F$10001) *($AR89 = [2]SalmonProps!$G$2:$G$10001),0), 17))</f>
        <v>3.2199999999999999E-2</v>
      </c>
      <c r="H89" s="166" cm="1">
        <f t="array" ref="H89">IF(ISBLANK($AQ89), "", INDEX([2]SalmonProps!$A$2:$AA$10001,MATCH(1,($A89=[2]SalmonProps!$A$2:$A$10001)*(2=[2]SalmonProps!$C$2:$C$10001)*(1=[2]SalmonProps!$D$2:$D$10001)*("A2" = [2]SalmonProps!$B$2:$B$10001)*($AP89 = [2]SalmonProps!$F$2:$F$10001) *($AR89 = [2]SalmonProps!$G$2:$G$10001),0), 17))</f>
        <v>0.19120000000000001</v>
      </c>
      <c r="I89" s="167" cm="1">
        <f t="array" ref="I89">IF(ISBLANK($AQ89), "", INDEX([2]SalmonProps!$A$2:$AA$10001,MATCH(1,($A89=[2]SalmonProps!$A$2:$A$10001)*(3=[2]SalmonProps!$C$2:$C$10001)*(1=[2]SalmonProps!$D$2:$D$10001)*("A2" = [2]SalmonProps!$B$2:$B$10001)*($AP89 = [2]SalmonProps!$F$2:$F$10001) *($AR89 = [2]SalmonProps!$G$2:$G$10001),0), 17))</f>
        <v>0.3039</v>
      </c>
      <c r="J89" s="164" t="str" cm="1">
        <f t="array" ref="J89">IF(ISBLANK($AQ89), "", INDEX([2]SalmonProps!$A$2:$AA$10001,MATCH(1,($A89=[2]SalmonProps!$A$2:$A$10001)*(1=[2]SalmonProps!$C$2:$C$10001)*(1=[2]SalmonProps!$D$2:$D$10001)*("A1" = [2]SalmonProps!$B$2:$B$10001)*($AP89 = [2]SalmonProps!$F$2:$F$10001) *($AR89 = [2]SalmonProps!$G$2:$G$10001),0), 19))</f>
        <v>NA</v>
      </c>
      <c r="K89" s="165" t="str" cm="1">
        <f t="array" ref="K89">IF(ISBLANK($AQ89), "", INDEX([2]SalmonProps!$A$2:$AA$10001,MATCH(1,($A89=[2]SalmonProps!$A$2:$A$10001)*(1=[2]SalmonProps!$C$2:$C$10001)*(2=[2]SalmonProps!$D$2:$D$10001)*("A1" = [2]SalmonProps!$B$2:$B$10001)*($AP89 = [2]SalmonProps!$F$2:$F$10001) *($AR89 = [2]SalmonProps!$G$2:$G$10001),0), 19))</f>
        <v>NA</v>
      </c>
      <c r="L89" s="165" t="str" cm="1">
        <f t="array" ref="L89">IF(ISBLANK($AQ89), "", INDEX([2]SalmonProps!$A$2:$AA$10001,MATCH(1,($A89=[2]SalmonProps!$A$2:$A$10001)*(1=[2]SalmonProps!$C$2:$C$10001)*("1&amp;2"=[2]SalmonProps!$D$2:$D$10001)*("A1" = [2]SalmonProps!$B$2:$B$10001)*($AP89 = [2]SalmonProps!$F$2:$F$10001) *($AR89 = [2]SalmonProps!$G$2:$G$10001),0), 19))</f>
        <v>NA</v>
      </c>
      <c r="M89" s="165" t="str" cm="1">
        <f t="array" ref="M89">IF(ISBLANK($AQ89), "", INDEX([2]SalmonProps!$A$2:$AA$10001,MATCH(1,($A89=[2]SalmonProps!$A$2:$A$10001)*(2=[2]SalmonProps!$C$2:$C$10001)*(3=[2]SalmonProps!$D$2:$D$10001)*("A1" = [2]SalmonProps!$B$2:$B$10001)*($AP89 = [2]SalmonProps!$F$2:$F$10001) *($AR89 = [2]SalmonProps!$G$2:$G$10001),0), 19))</f>
        <v>NA</v>
      </c>
      <c r="N89" s="181" t="str" cm="1">
        <f t="array" ref="N89">IF(ISBLANK($AQ89), "", INDEX([2]SalmonProps!$A$2:$AA$10001,MATCH(1,($A89=[2]SalmonProps!$A$2:$A$10001)*(3=[2]SalmonProps!$C$2:$C$10001)*(3=[2]SalmonProps!$D$2:$D$10001)*("A1" = [2]SalmonProps!$B$2:$B$10001)*($AP89 = [2]SalmonProps!$F$2:$F$10001) *($AR89 = [2]SalmonProps!$G$2:$G$10001),0), 19))</f>
        <v>NA</v>
      </c>
      <c r="O89" s="165" t="str" cm="1">
        <f t="array" ref="O89">IF(ISBLANK($AQ89), "", INDEX([2]SalmonProps!$A$2:$AA$10001,MATCH(1,($A89=[2]SalmonProps!$A$2:$A$10001)*(1=[2]SalmonProps!$C$2:$C$10001)*(1=[2]SalmonProps!$D$2:$D$10001)*("A2" = [2]SalmonProps!$B$2:$B$10001)*($AP89 = [2]SalmonProps!$F$2:$F$10001) *($AR89 = [2]SalmonProps!$G$2:$G$10001),0), 19))</f>
        <v>NA</v>
      </c>
      <c r="P89" s="165" t="str" cm="1">
        <f t="array" ref="P89">IF(ISBLANK($AQ89), "", INDEX([2]SalmonProps!$A$2:$AA$10001,MATCH(1,($A89=[2]SalmonProps!$A$2:$A$10001)*(2=[2]SalmonProps!$C$2:$C$10001)*(1=[2]SalmonProps!$D$2:$D$10001)*("A2" = [2]SalmonProps!$B$2:$B$10001)*($AP89 = [2]SalmonProps!$F$2:$F$10001) *($AR89 = [2]SalmonProps!$G$2:$G$10001),0), 19))</f>
        <v>NA</v>
      </c>
      <c r="Q89" s="168" t="str" cm="1">
        <f t="array" ref="Q89">IF(ISBLANK($AQ89), "", INDEX([2]SalmonProps!$A$2:$AA$10001,MATCH(1,($A89=[2]SalmonProps!$A$2:$A$10001)*(3=[2]SalmonProps!$C$2:$C$10001)*(1=[2]SalmonProps!$D$2:$D$10001)*("A2" = [2]SalmonProps!$B$2:$B$10001)*($AP89 = [2]SalmonProps!$F$2:$F$10001) *($AR89 = [2]SalmonProps!$G$2:$G$10001),0), 19))</f>
        <v>NA</v>
      </c>
      <c r="R89" s="164" cm="1">
        <f t="array" ref="R89">IF(ISBLANK($AQ89), "", INDEX([2]SalmonProps!$A$2:$AA$10001,MATCH(1,($A89=[2]SalmonProps!$A$2:$A$10001)*(1=[2]SalmonProps!$C$2:$C$10001)*(1=[2]SalmonProps!$D$2:$D$10001)*("A1" = [2]SalmonProps!$B$2:$B$10001)*($AP89 = [2]SalmonProps!$F$2:$F$10001) *($AR89 = [2]SalmonProps!$G$2:$G$10001),0), 18))</f>
        <v>0.2419</v>
      </c>
      <c r="S89" s="165" cm="1">
        <f t="array" ref="S89">IF(ISBLANK($AQ89), "", INDEX([2]SalmonProps!$A$2:$AA$10001,MATCH(1,($A89=[2]SalmonProps!$A$2:$A$10001)*(1=[2]SalmonProps!$C$2:$C$10001)*(2=[2]SalmonProps!$D$2:$D$10001)*("A1" = [2]SalmonProps!$B$2:$B$10001)*($AP89 = [2]SalmonProps!$F$2:$F$10001) *($AR89 = [2]SalmonProps!$G$2:$G$10001),0), 18))</f>
        <v>0.34100000000000003</v>
      </c>
      <c r="T89" s="165" cm="1">
        <f t="array" ref="T89">IF(ISBLANK($AQ89), "", INDEX([2]SalmonProps!$A$2:$AA$10001,MATCH(1,($A89=[2]SalmonProps!$A$2:$A$10001)*(1=[2]SalmonProps!$C$2:$C$10001)*("1&amp;2"=[2]SalmonProps!$D$2:$D$10001)*("A1" = [2]SalmonProps!$B$2:$B$10001)*($AP89 = [2]SalmonProps!$F$2:$F$10001) *($AR89 = [2]SalmonProps!$G$2:$G$10001),0), 18))</f>
        <v>0.27060000000000001</v>
      </c>
      <c r="U89" s="165" cm="1">
        <f t="array" ref="U89">IF(ISBLANK($AQ89), "", INDEX([2]SalmonProps!$A$2:$AA$10001,MATCH(1,($A89=[2]SalmonProps!$A$2:$A$10001)*(2=[2]SalmonProps!$C$2:$C$10001)*(3=[2]SalmonProps!$D$2:$D$10001)*("A1" = [2]SalmonProps!$B$2:$B$10001)*($AP89 = [2]SalmonProps!$F$2:$F$10001) *($AR89 = [2]SalmonProps!$G$2:$G$10001),0), 18))</f>
        <v>0.1171</v>
      </c>
      <c r="V89" s="181" cm="1">
        <f t="array" ref="V89">IF(ISBLANK($AQ89), "", INDEX([2]SalmonProps!$A$2:$AA$10001,MATCH(1,($A89=[2]SalmonProps!$A$2:$A$10001)*(3=[2]SalmonProps!$C$2:$C$10001)*(3=[2]SalmonProps!$D$2:$D$10001)*("A1" = [2]SalmonProps!$B$2:$B$10001)*($AP89 = [2]SalmonProps!$F$2:$F$10001) *($AR89 = [2]SalmonProps!$G$2:$G$10001),0), 18))</f>
        <v>0.64970000000000006</v>
      </c>
      <c r="W89" s="180" cm="1">
        <f t="array" ref="W89">IF(ISBLANK($AQ89), "", INDEX([2]SalmonProps!$A$2:$AA$10001,MATCH(1,($A89=[2]SalmonProps!$A$2:$A$10001)*(1=[2]SalmonProps!$C$2:$C$10001)*(1=[2]SalmonProps!$D$2:$D$10001)*("A2" = [2]SalmonProps!$B$2:$B$10001)*($AP89 = [2]SalmonProps!$F$2:$F$10001) *($AR89 = [2]SalmonProps!$G$2:$G$10001),0), 18))</f>
        <v>0.61460000000000004</v>
      </c>
      <c r="X89" s="165" cm="1">
        <f t="array" ref="X89">IF(ISBLANK($AQ89), "", INDEX([2]SalmonProps!$A$2:$AA$10001,MATCH(1,($A89=[2]SalmonProps!$A$2:$A$10001)*(2=[2]SalmonProps!$C$2:$C$10001)*(1=[2]SalmonProps!$D$2:$D$10001)*("A2" = [2]SalmonProps!$B$2:$B$10001)*($AP89 = [2]SalmonProps!$F$2:$F$10001) *($AR89 = [2]SalmonProps!$G$2:$G$10001),0), 18))</f>
        <v>0.33789999999999998</v>
      </c>
      <c r="Y89" s="168" cm="1">
        <f t="array" ref="Y89">IF(ISBLANK($AQ89), "", INDEX([2]SalmonProps!$A$2:$AA$10001,MATCH(1,($A89=[2]SalmonProps!$A$2:$A$10001)*(3=[2]SalmonProps!$C$2:$C$10001)*(1=[2]SalmonProps!$D$2:$D$10001)*("A2" = [2]SalmonProps!$B$2:$B$10001)*($AP89 = [2]SalmonProps!$F$2:$F$10001) *($AR89 = [2]SalmonProps!$G$2:$G$10001),0), 18))</f>
        <v>0.47399999999999998</v>
      </c>
      <c r="Z89" s="164" cm="1">
        <f t="array" ref="Z89">IF(ISBLANK($AQ89), "", INDEX([2]SalmonProps!$A$2:$AA$10001,MATCH(1,($A89=[2]SalmonProps!$A$2:$A$10001)*(1=[2]SalmonProps!$C$2:$C$10001)*(1=[2]SalmonProps!$D$2:$D$10001)*("A1" = [2]SalmonProps!$B$2:$B$10001)*($AP89 = [2]SalmonProps!$F$2:$F$10001) *($AR89 = [2]SalmonProps!$G$2:$G$10001),0), 15))</f>
        <v>0.27800000000000002</v>
      </c>
      <c r="AA89" s="165" cm="1">
        <f t="array" ref="AA89">IF(ISBLANK($AQ89), "", INDEX([2]SalmonProps!$A$2:$AA$10001,MATCH(1,($A89=[2]SalmonProps!$A$2:$A$10001)*(1=[2]SalmonProps!$C$2:$C$10001)*(2=[2]SalmonProps!$D$2:$D$10001)*("A1" = [2]SalmonProps!$B$2:$B$10001)*($AP89 = [2]SalmonProps!$F$2:$F$10001) *($AR89 = [2]SalmonProps!$G$2:$G$10001),0), 15))</f>
        <v>0.34200000000000003</v>
      </c>
      <c r="AB89" s="165" cm="1">
        <f t="array" ref="AB89">IF(ISBLANK($AQ89), "", INDEX([2]SalmonProps!$A$2:$AA$10001,MATCH(1,($A89=[2]SalmonProps!$A$2:$A$10001)*(1=[2]SalmonProps!$C$2:$C$10001)*("1&amp;2"=[2]SalmonProps!$D$2:$D$10001)*("A1" = [2]SalmonProps!$B$2:$B$10001)*($AP89 = [2]SalmonProps!$F$2:$F$10001) *($AR89 = [2]SalmonProps!$G$2:$G$10001),0), 15))</f>
        <v>0.32219999999999999</v>
      </c>
      <c r="AC89" s="165" cm="1">
        <f t="array" ref="AC89">IF(ISBLANK($AQ89), "", INDEX([2]SalmonProps!$A$2:$AA$10001,MATCH(1,($A89=[2]SalmonProps!$A$2:$A$10001)*(2=[2]SalmonProps!$C$2:$C$10001)*(3=[2]SalmonProps!$D$2:$D$10001)*("A1" = [2]SalmonProps!$B$2:$B$10001)*($AP89 = [2]SalmonProps!$F$2:$F$10001) *($AR89 = [2]SalmonProps!$G$2:$G$10001),0), 15))</f>
        <v>0.50960000000000005</v>
      </c>
      <c r="AD89" s="181" cm="1">
        <f t="array" ref="AD89">IF(ISBLANK($AQ89), "", INDEX([2]SalmonProps!$A$2:$AA$10001,MATCH(1,($A89=[2]SalmonProps!$A$2:$A$10001)*(3=[2]SalmonProps!$C$2:$C$10001)*(3=[2]SalmonProps!$D$2:$D$10001)*("A1" = [2]SalmonProps!$B$2:$B$10001)*($AP89 = [2]SalmonProps!$F$2:$F$10001) *($AR89 = [2]SalmonProps!$G$2:$G$10001),0), 15))</f>
        <v>0.94110000000000005</v>
      </c>
      <c r="AE89" s="166" cm="1">
        <f t="array" ref="AE89">IF(ISBLANK($AQ89), "", INDEX([2]SalmonProps!$A$2:$AA$10001,MATCH(1,($A89=[2]SalmonProps!$A$2:$A$10001)*(1=[2]SalmonProps!$C$2:$C$10001)*(1=[2]SalmonProps!$D$2:$D$10001)*("A2" = [2]SalmonProps!$B$2:$B$10001)*($AP89 = [2]SalmonProps!$F$2:$F$10001) *($AR89 = [2]SalmonProps!$G$2:$G$10001),0), 15))</f>
        <v>0.81889999999999996</v>
      </c>
      <c r="AF89" s="166" cm="1">
        <f t="array" ref="AF89">IF(ISBLANK($AQ89), "", INDEX([2]SalmonProps!$A$2:$AA$10001,MATCH(1,($A89=[2]SalmonProps!$A$2:$A$10001)*(2=[2]SalmonProps!$C$2:$C$10001)*(1=[2]SalmonProps!$D$2:$D$10001)*("A2" = [2]SalmonProps!$B$2:$B$10001)*($AP89 = [2]SalmonProps!$F$2:$F$10001) *($AR89 = [2]SalmonProps!$G$2:$G$10001),0), 15))</f>
        <v>0.91439999999999999</v>
      </c>
      <c r="AG89" s="167" cm="1">
        <f t="array" ref="AG89">IF(ISBLANK($AQ89), "", INDEX([2]SalmonProps!$A$2:$AA$10001,MATCH(1,($A89=[2]SalmonProps!$A$2:$A$10001)*(3=[2]SalmonProps!$C$2:$C$10001)*(1=[2]SalmonProps!$D$2:$D$10001)*("A2" = [2]SalmonProps!$B$2:$B$10001)*($AP89 = [2]SalmonProps!$F$2:$F$10001) *($AR89 = [2]SalmonProps!$G$2:$G$10001),0), 15))</f>
        <v>0.96550000000000002</v>
      </c>
      <c r="AH89" s="173" cm="1">
        <f t="array" ref="AH89">IF(ISBLANK($AQ89), "", INDEX([2]SalmonProps!$A$2:$AA$10001,MATCH(1,($A89=[2]SalmonProps!$A$2:$A$10001)*($AP89 = [2]SalmonProps!$F$2:$F$10001) *($AR89 = [2]SalmonProps!$G$2:$G$10001),0), 24))</f>
        <v>52.8</v>
      </c>
      <c r="AI89" s="183" cm="1">
        <f t="array" ref="AI89">IF(ISBLANK($AQ89), "", INDEX([2]SalmonProps!$A$2:$AA$10001,MATCH(1,($A89=[2]SalmonProps!$A$2:$A$10001)*($AP89 = [2]SalmonProps!$F$2:$F$10001) *($AR89 = [2]SalmonProps!$G$2:$G$10001),0), 25))</f>
        <v>6.9</v>
      </c>
      <c r="AJ89" s="174" cm="1">
        <f t="array" ref="AJ89">IF(ISBLANK($AQ89), "", INDEX([2]SalmonProps!$A$2:$AA$10001,MATCH(1,($A89=[2]SalmonProps!$A$2:$A$10001)*($AP89 = [2]SalmonProps!$F$2:$F$10001) *($AR89 = [2]SalmonProps!$G$2:$G$10001),0), 20))</f>
        <v>60.6</v>
      </c>
      <c r="AK89" s="183" cm="1">
        <f t="array" ref="AK89">IF(ISBLANK($AQ89), "", INDEX([2]SalmonProps!$A$2:$AA$10001,MATCH(1,($A89=[2]SalmonProps!$A$2:$A$10001)*($AP89 = [2]SalmonProps!$F$2:$F$10001) *($AR89 = [2]SalmonProps!$G$2:$G$10001),0), 21))</f>
        <v>4.9000000000000004</v>
      </c>
      <c r="AL89" s="174" cm="1">
        <f t="array" ref="AL89">IF(ISBLANK($AQ89), "", INDEX([2]SalmonProps!$A$2:$AA$10001,MATCH(1,($A89=[2]SalmonProps!$A$2:$A$10001)*($AP89 = [2]SalmonProps!$F$2:$F$10001) *($AR89 = [2]SalmonProps!$G$2:$G$10001),0), 22))</f>
        <v>75.7</v>
      </c>
      <c r="AM89" s="183" cm="1">
        <f t="array" ref="AM89">IF(ISBLANK($AQ89), "", INDEX([2]SalmonProps!$A$2:$AA$10001,MATCH(1,($A89=[2]SalmonProps!$A$2:$A$10001)*($AP89 = [2]SalmonProps!$F$2:$F$10001) *($AR89 = [2]SalmonProps!$G$2:$G$10001),0), 23))</f>
        <v>7.6</v>
      </c>
      <c r="AN89" s="174" t="str" cm="1">
        <f t="array" ref="AN89">IF(ISBLANK($AQ89), "", INDEX([2]SalmonProps!$A$2:$AA$10001,MATCH(1,($A89=[2]SalmonProps!$A$2:$A$10001)*($AP89 = [2]SalmonProps!$F$2:$F$10001) *($AR89 = [2]SalmonProps!$G$2:$G$10001),0), 26))</f>
        <v>NA</v>
      </c>
      <c r="AO89" s="175" t="str" cm="1">
        <f t="array" ref="AO89">IF(ISBLANK($AQ89), "", INDEX([2]SalmonProps!$A$2:$AA$10001,MATCH(1,($A89=[2]SalmonProps!$A$2:$A$10001)*($AP89 = [2]SalmonProps!$F$2:$F$10001) *($AR89 = [2]SalmonProps!$G$2:$G$10001),0), 27))</f>
        <v>NA</v>
      </c>
      <c r="AP89" s="112">
        <v>4</v>
      </c>
      <c r="AQ89" s="112" t="s">
        <v>133</v>
      </c>
      <c r="AR89" s="112" t="str">
        <f t="shared" si="2"/>
        <v>Unweighted</v>
      </c>
    </row>
    <row r="90" spans="1:44" x14ac:dyDescent="0.3">
      <c r="A90" s="20">
        <f>'[1]Passage Estimates'!$A90</f>
        <v>45192</v>
      </c>
      <c r="B90" s="164" cm="1">
        <f t="array" ref="B90">IF(ISBLANK($AQ90), "", INDEX([2]SalmonProps!$A$2:$AA$10001,MATCH(1,($A90=[2]SalmonProps!$A$2:$A$10001)*(1=[2]SalmonProps!$C$2:$C$10001)*(1=[2]SalmonProps!$D$2:$D$10001)*("A1" = [2]SalmonProps!$B$2:$B$10001)*($AP90 = [2]SalmonProps!$F$2:$F$10001) *($AR90 = [2]SalmonProps!$G$2:$G$10001),0), 17))</f>
        <v>8.0000000000000002E-3</v>
      </c>
      <c r="C90" s="165" cm="1">
        <f t="array" ref="C90">IF(ISBLANK($AQ90), "", INDEX([2]SalmonProps!$A$2:$AA$10001,MATCH(1,($A90=[2]SalmonProps!$A$2:$A$10001)*(1=[2]SalmonProps!$C$2:$C$10001)*(2=[2]SalmonProps!$D$2:$D$10001)*("A1" = [2]SalmonProps!$B$2:$B$10001)*($AP90 = [2]SalmonProps!$F$2:$F$10001) *($AR90 = [2]SalmonProps!$G$2:$G$10001),0), 17))</f>
        <v>6.4000000000000003E-3</v>
      </c>
      <c r="D90" s="165" cm="1">
        <f t="array" ref="D90">IF(ISBLANK($AQ90), "", INDEX([2]SalmonProps!$A$2:$AA$10001,MATCH(1,($A90=[2]SalmonProps!$A$2:$A$10001)*(1=[2]SalmonProps!$C$2:$C$10001)*("1&amp;2"=[2]SalmonProps!$D$2:$D$10001)*("A1" = [2]SalmonProps!$B$2:$B$10001)*($AP90 = [2]SalmonProps!$F$2:$F$10001) *($AR90 = [2]SalmonProps!$G$2:$G$10001),0), 17))</f>
        <v>8.6E-3</v>
      </c>
      <c r="E90" s="181" cm="1">
        <f t="array" ref="E90">IF(ISBLANK($AQ90), "", INDEX([2]SalmonProps!$A$2:$AA$10001,MATCH(1,($A90=[2]SalmonProps!$A$2:$A$10001)*(2=[2]SalmonProps!$C$2:$C$10001)*(3=[2]SalmonProps!$D$2:$D$10001)*("A1" = [2]SalmonProps!$B$2:$B$10001)*($AP90 = [2]SalmonProps!$F$2:$F$10001) *($AR90 = [2]SalmonProps!$G$2:$G$10001),0), 17))</f>
        <v>0.15459999999999999</v>
      </c>
      <c r="F90" s="165" cm="1">
        <f t="array" ref="F90">IF(ISBLANK($AQ90), "", INDEX([2]SalmonProps!$A$2:$AA$10001,MATCH(1,($A90=[2]SalmonProps!$A$2:$A$10001)*(3=[2]SalmonProps!$C$2:$C$10001)*(3=[2]SalmonProps!$D$2:$D$10001)*("A1" = [2]SalmonProps!$B$2:$B$10001)*($AP90 = [2]SalmonProps!$F$2:$F$10001) *($AR90 = [2]SalmonProps!$G$2:$G$10001),0), 17))</f>
        <v>0.28799999999999998</v>
      </c>
      <c r="G90" s="165" cm="1">
        <f t="array" ref="G90">IF(ISBLANK($AQ90), "", INDEX([2]SalmonProps!$A$2:$AA$10001,MATCH(1,($A90=[2]SalmonProps!$A$2:$A$10001)*(1=[2]SalmonProps!$C$2:$C$10001)*(1=[2]SalmonProps!$D$2:$D$10001)*("A2" = [2]SalmonProps!$B$2:$B$10001)*($AP90 = [2]SalmonProps!$F$2:$F$10001) *($AR90 = [2]SalmonProps!$G$2:$G$10001),0), 17))</f>
        <v>2.4400000000000002E-2</v>
      </c>
      <c r="H90" s="166" cm="1">
        <f t="array" ref="H90">IF(ISBLANK($AQ90), "", INDEX([2]SalmonProps!$A$2:$AA$10001,MATCH(1,($A90=[2]SalmonProps!$A$2:$A$10001)*(2=[2]SalmonProps!$C$2:$C$10001)*(1=[2]SalmonProps!$D$2:$D$10001)*("A2" = [2]SalmonProps!$B$2:$B$10001)*($AP90 = [2]SalmonProps!$F$2:$F$10001) *($AR90 = [2]SalmonProps!$G$2:$G$10001),0), 17))</f>
        <v>0.1605</v>
      </c>
      <c r="I90" s="167" cm="1">
        <f t="array" ref="I90">IF(ISBLANK($AQ90), "", INDEX([2]SalmonProps!$A$2:$AA$10001,MATCH(1,($A90=[2]SalmonProps!$A$2:$A$10001)*(3=[2]SalmonProps!$C$2:$C$10001)*(1=[2]SalmonProps!$D$2:$D$10001)*("A2" = [2]SalmonProps!$B$2:$B$10001)*($AP90 = [2]SalmonProps!$F$2:$F$10001) *($AR90 = [2]SalmonProps!$G$2:$G$10001),0), 17))</f>
        <v>0.3054</v>
      </c>
      <c r="J90" s="164" t="str" cm="1">
        <f t="array" ref="J90">IF(ISBLANK($AQ90), "", INDEX([2]SalmonProps!$A$2:$AA$10001,MATCH(1,($A90=[2]SalmonProps!$A$2:$A$10001)*(1=[2]SalmonProps!$C$2:$C$10001)*(1=[2]SalmonProps!$D$2:$D$10001)*("A1" = [2]SalmonProps!$B$2:$B$10001)*($AP90 = [2]SalmonProps!$F$2:$F$10001) *($AR90 = [2]SalmonProps!$G$2:$G$10001),0), 19))</f>
        <v>NA</v>
      </c>
      <c r="K90" s="165" t="str" cm="1">
        <f t="array" ref="K90">IF(ISBLANK($AQ90), "", INDEX([2]SalmonProps!$A$2:$AA$10001,MATCH(1,($A90=[2]SalmonProps!$A$2:$A$10001)*(1=[2]SalmonProps!$C$2:$C$10001)*(2=[2]SalmonProps!$D$2:$D$10001)*("A1" = [2]SalmonProps!$B$2:$B$10001)*($AP90 = [2]SalmonProps!$F$2:$F$10001) *($AR90 = [2]SalmonProps!$G$2:$G$10001),0), 19))</f>
        <v>NA</v>
      </c>
      <c r="L90" s="165" t="str" cm="1">
        <f t="array" ref="L90">IF(ISBLANK($AQ90), "", INDEX([2]SalmonProps!$A$2:$AA$10001,MATCH(1,($A90=[2]SalmonProps!$A$2:$A$10001)*(1=[2]SalmonProps!$C$2:$C$10001)*("1&amp;2"=[2]SalmonProps!$D$2:$D$10001)*("A1" = [2]SalmonProps!$B$2:$B$10001)*($AP90 = [2]SalmonProps!$F$2:$F$10001) *($AR90 = [2]SalmonProps!$G$2:$G$10001),0), 19))</f>
        <v>NA</v>
      </c>
      <c r="M90" s="165" t="str" cm="1">
        <f t="array" ref="M90">IF(ISBLANK($AQ90), "", INDEX([2]SalmonProps!$A$2:$AA$10001,MATCH(1,($A90=[2]SalmonProps!$A$2:$A$10001)*(2=[2]SalmonProps!$C$2:$C$10001)*(3=[2]SalmonProps!$D$2:$D$10001)*("A1" = [2]SalmonProps!$B$2:$B$10001)*($AP90 = [2]SalmonProps!$F$2:$F$10001) *($AR90 = [2]SalmonProps!$G$2:$G$10001),0), 19))</f>
        <v>NA</v>
      </c>
      <c r="N90" s="181" t="str" cm="1">
        <f t="array" ref="N90">IF(ISBLANK($AQ90), "", INDEX([2]SalmonProps!$A$2:$AA$10001,MATCH(1,($A90=[2]SalmonProps!$A$2:$A$10001)*(3=[2]SalmonProps!$C$2:$C$10001)*(3=[2]SalmonProps!$D$2:$D$10001)*("A1" = [2]SalmonProps!$B$2:$B$10001)*($AP90 = [2]SalmonProps!$F$2:$F$10001) *($AR90 = [2]SalmonProps!$G$2:$G$10001),0), 19))</f>
        <v>NA</v>
      </c>
      <c r="O90" s="165" t="str" cm="1">
        <f t="array" ref="O90">IF(ISBLANK($AQ90), "", INDEX([2]SalmonProps!$A$2:$AA$10001,MATCH(1,($A90=[2]SalmonProps!$A$2:$A$10001)*(1=[2]SalmonProps!$C$2:$C$10001)*(1=[2]SalmonProps!$D$2:$D$10001)*("A2" = [2]SalmonProps!$B$2:$B$10001)*($AP90 = [2]SalmonProps!$F$2:$F$10001) *($AR90 = [2]SalmonProps!$G$2:$G$10001),0), 19))</f>
        <v>NA</v>
      </c>
      <c r="P90" s="165" t="str" cm="1">
        <f t="array" ref="P90">IF(ISBLANK($AQ90), "", INDEX([2]SalmonProps!$A$2:$AA$10001,MATCH(1,($A90=[2]SalmonProps!$A$2:$A$10001)*(2=[2]SalmonProps!$C$2:$C$10001)*(1=[2]SalmonProps!$D$2:$D$10001)*("A2" = [2]SalmonProps!$B$2:$B$10001)*($AP90 = [2]SalmonProps!$F$2:$F$10001) *($AR90 = [2]SalmonProps!$G$2:$G$10001),0), 19))</f>
        <v>NA</v>
      </c>
      <c r="Q90" s="168" t="str" cm="1">
        <f t="array" ref="Q90">IF(ISBLANK($AQ90), "", INDEX([2]SalmonProps!$A$2:$AA$10001,MATCH(1,($A90=[2]SalmonProps!$A$2:$A$10001)*(3=[2]SalmonProps!$C$2:$C$10001)*(1=[2]SalmonProps!$D$2:$D$10001)*("A2" = [2]SalmonProps!$B$2:$B$10001)*($AP90 = [2]SalmonProps!$F$2:$F$10001) *($AR90 = [2]SalmonProps!$G$2:$G$10001),0), 19))</f>
        <v>NA</v>
      </c>
      <c r="R90" s="164" cm="1">
        <f t="array" ref="R90">IF(ISBLANK($AQ90), "", INDEX([2]SalmonProps!$A$2:$AA$10001,MATCH(1,($A90=[2]SalmonProps!$A$2:$A$10001)*(1=[2]SalmonProps!$C$2:$C$10001)*(1=[2]SalmonProps!$D$2:$D$10001)*("A1" = [2]SalmonProps!$B$2:$B$10001)*($AP90 = [2]SalmonProps!$F$2:$F$10001) *($AR90 = [2]SalmonProps!$G$2:$G$10001),0), 18))</f>
        <v>0.28570000000000001</v>
      </c>
      <c r="S90" s="165" cm="1">
        <f t="array" ref="S90">IF(ISBLANK($AQ90), "", INDEX([2]SalmonProps!$A$2:$AA$10001,MATCH(1,($A90=[2]SalmonProps!$A$2:$A$10001)*(1=[2]SalmonProps!$C$2:$C$10001)*(2=[2]SalmonProps!$D$2:$D$10001)*("A1" = [2]SalmonProps!$B$2:$B$10001)*($AP90 = [2]SalmonProps!$F$2:$F$10001) *($AR90 = [2]SalmonProps!$G$2:$G$10001),0), 18))</f>
        <v>0.51349999999999996</v>
      </c>
      <c r="T90" s="165" cm="1">
        <f t="array" ref="T90">IF(ISBLANK($AQ90), "", INDEX([2]SalmonProps!$A$2:$AA$10001,MATCH(1,($A90=[2]SalmonProps!$A$2:$A$10001)*(1=[2]SalmonProps!$C$2:$C$10001)*("1&amp;2"=[2]SalmonProps!$D$2:$D$10001)*("A1" = [2]SalmonProps!$B$2:$B$10001)*($AP90 = [2]SalmonProps!$F$2:$F$10001) *($AR90 = [2]SalmonProps!$G$2:$G$10001),0), 18))</f>
        <v>0.37990000000000002</v>
      </c>
      <c r="U90" s="165" cm="1">
        <f t="array" ref="U90">IF(ISBLANK($AQ90), "", INDEX([2]SalmonProps!$A$2:$AA$10001,MATCH(1,($A90=[2]SalmonProps!$A$2:$A$10001)*(2=[2]SalmonProps!$C$2:$C$10001)*(3=[2]SalmonProps!$D$2:$D$10001)*("A1" = [2]SalmonProps!$B$2:$B$10001)*($AP90 = [2]SalmonProps!$F$2:$F$10001) *($AR90 = [2]SalmonProps!$G$2:$G$10001),0), 18))</f>
        <v>0.53169999999999995</v>
      </c>
      <c r="V90" s="181" cm="1">
        <f t="array" ref="V90">IF(ISBLANK($AQ90), "", INDEX([2]SalmonProps!$A$2:$AA$10001,MATCH(1,($A90=[2]SalmonProps!$A$2:$A$10001)*(3=[2]SalmonProps!$C$2:$C$10001)*(3=[2]SalmonProps!$D$2:$D$10001)*("A1" = [2]SalmonProps!$B$2:$B$10001)*($AP90 = [2]SalmonProps!$F$2:$F$10001) *($AR90 = [2]SalmonProps!$G$2:$G$10001),0), 18))</f>
        <v>0.42549999999999999</v>
      </c>
      <c r="W90" s="180" cm="1">
        <f t="array" ref="W90">IF(ISBLANK($AQ90), "", INDEX([2]SalmonProps!$A$2:$AA$10001,MATCH(1,($A90=[2]SalmonProps!$A$2:$A$10001)*(1=[2]SalmonProps!$C$2:$C$10001)*(1=[2]SalmonProps!$D$2:$D$10001)*("A2" = [2]SalmonProps!$B$2:$B$10001)*($AP90 = [2]SalmonProps!$F$2:$F$10001) *($AR90 = [2]SalmonProps!$G$2:$G$10001),0), 18))</f>
        <v>0.48570000000000002</v>
      </c>
      <c r="X90" s="165" cm="1">
        <f t="array" ref="X90">IF(ISBLANK($AQ90), "", INDEX([2]SalmonProps!$A$2:$AA$10001,MATCH(1,($A90=[2]SalmonProps!$A$2:$A$10001)*(2=[2]SalmonProps!$C$2:$C$10001)*(1=[2]SalmonProps!$D$2:$D$10001)*("A2" = [2]SalmonProps!$B$2:$B$10001)*($AP90 = [2]SalmonProps!$F$2:$F$10001) *($AR90 = [2]SalmonProps!$G$2:$G$10001),0), 18))</f>
        <v>0.30880000000000002</v>
      </c>
      <c r="Y90" s="168" cm="1">
        <f t="array" ref="Y90">IF(ISBLANK($AQ90), "", INDEX([2]SalmonProps!$A$2:$AA$10001,MATCH(1,($A90=[2]SalmonProps!$A$2:$A$10001)*(3=[2]SalmonProps!$C$2:$C$10001)*(1=[2]SalmonProps!$D$2:$D$10001)*("A2" = [2]SalmonProps!$B$2:$B$10001)*($AP90 = [2]SalmonProps!$F$2:$F$10001) *($AR90 = [2]SalmonProps!$G$2:$G$10001),0), 18))</f>
        <v>0.40739999999999998</v>
      </c>
      <c r="Z90" s="164" cm="1">
        <f t="array" ref="Z90">IF(ISBLANK($AQ90), "", INDEX([2]SalmonProps!$A$2:$AA$10001,MATCH(1,($A90=[2]SalmonProps!$A$2:$A$10001)*(1=[2]SalmonProps!$C$2:$C$10001)*(1=[2]SalmonProps!$D$2:$D$10001)*("A1" = [2]SalmonProps!$B$2:$B$10001)*($AP90 = [2]SalmonProps!$F$2:$F$10001) *($AR90 = [2]SalmonProps!$G$2:$G$10001),0), 15))</f>
        <v>0.29370000000000002</v>
      </c>
      <c r="AA90" s="165" cm="1">
        <f t="array" ref="AA90">IF(ISBLANK($AQ90), "", INDEX([2]SalmonProps!$A$2:$AA$10001,MATCH(1,($A90=[2]SalmonProps!$A$2:$A$10001)*(1=[2]SalmonProps!$C$2:$C$10001)*(2=[2]SalmonProps!$D$2:$D$10001)*("A1" = [2]SalmonProps!$B$2:$B$10001)*($AP90 = [2]SalmonProps!$F$2:$F$10001) *($AR90 = [2]SalmonProps!$G$2:$G$10001),0), 15))</f>
        <v>0.51990000000000003</v>
      </c>
      <c r="AB90" s="165" cm="1">
        <f t="array" ref="AB90">IF(ISBLANK($AQ90), "", INDEX([2]SalmonProps!$A$2:$AA$10001,MATCH(1,($A90=[2]SalmonProps!$A$2:$A$10001)*(1=[2]SalmonProps!$C$2:$C$10001)*("1&amp;2"=[2]SalmonProps!$D$2:$D$10001)*("A1" = [2]SalmonProps!$B$2:$B$10001)*($AP90 = [2]SalmonProps!$F$2:$F$10001) *($AR90 = [2]SalmonProps!$G$2:$G$10001),0), 15))</f>
        <v>0.38850000000000001</v>
      </c>
      <c r="AC90" s="165" cm="1">
        <f t="array" ref="AC90">IF(ISBLANK($AQ90), "", INDEX([2]SalmonProps!$A$2:$AA$10001,MATCH(1,($A90=[2]SalmonProps!$A$2:$A$10001)*(2=[2]SalmonProps!$C$2:$C$10001)*(3=[2]SalmonProps!$D$2:$D$10001)*("A1" = [2]SalmonProps!$B$2:$B$10001)*($AP90 = [2]SalmonProps!$F$2:$F$10001) *($AR90 = [2]SalmonProps!$G$2:$G$10001),0), 15))</f>
        <v>0.90229999999999999</v>
      </c>
      <c r="AD90" s="181" cm="1">
        <f t="array" ref="AD90">IF(ISBLANK($AQ90), "", INDEX([2]SalmonProps!$A$2:$AA$10001,MATCH(1,($A90=[2]SalmonProps!$A$2:$A$10001)*(3=[2]SalmonProps!$C$2:$C$10001)*(3=[2]SalmonProps!$D$2:$D$10001)*("A1" = [2]SalmonProps!$B$2:$B$10001)*($AP90 = [2]SalmonProps!$F$2:$F$10001) *($AR90 = [2]SalmonProps!$G$2:$G$10001),0), 15))</f>
        <v>0.91849999999999998</v>
      </c>
      <c r="AE90" s="166" cm="1">
        <f t="array" ref="AE90">IF(ISBLANK($AQ90), "", INDEX([2]SalmonProps!$A$2:$AA$10001,MATCH(1,($A90=[2]SalmonProps!$A$2:$A$10001)*(1=[2]SalmonProps!$C$2:$C$10001)*(1=[2]SalmonProps!$D$2:$D$10001)*("A2" = [2]SalmonProps!$B$2:$B$10001)*($AP90 = [2]SalmonProps!$F$2:$F$10001) *($AR90 = [2]SalmonProps!$G$2:$G$10001),0), 15))</f>
        <v>0.5101</v>
      </c>
      <c r="AF90" s="166" cm="1">
        <f t="array" ref="AF90">IF(ISBLANK($AQ90), "", INDEX([2]SalmonProps!$A$2:$AA$10001,MATCH(1,($A90=[2]SalmonProps!$A$2:$A$10001)*(2=[2]SalmonProps!$C$2:$C$10001)*(1=[2]SalmonProps!$D$2:$D$10001)*("A2" = [2]SalmonProps!$B$2:$B$10001)*($AP90 = [2]SalmonProps!$F$2:$F$10001) *($AR90 = [2]SalmonProps!$G$2:$G$10001),0), 15))</f>
        <v>0.72719999999999996</v>
      </c>
      <c r="AG90" s="167" cm="1">
        <f t="array" ref="AG90">IF(ISBLANK($AQ90), "", INDEX([2]SalmonProps!$A$2:$AA$10001,MATCH(1,($A90=[2]SalmonProps!$A$2:$A$10001)*(3=[2]SalmonProps!$C$2:$C$10001)*(1=[2]SalmonProps!$D$2:$D$10001)*("A2" = [2]SalmonProps!$B$2:$B$10001)*($AP90 = [2]SalmonProps!$F$2:$F$10001) *($AR90 = [2]SalmonProps!$G$2:$G$10001),0), 15))</f>
        <v>0.89770000000000005</v>
      </c>
      <c r="AH90" s="173" cm="1">
        <f t="array" ref="AH90">IF(ISBLANK($AQ90), "", INDEX([2]SalmonProps!$A$2:$AA$10001,MATCH(1,($A90=[2]SalmonProps!$A$2:$A$10001)*($AP90 = [2]SalmonProps!$F$2:$F$10001) *($AR90 = [2]SalmonProps!$G$2:$G$10001),0), 24))</f>
        <v>52.8</v>
      </c>
      <c r="AI90" s="183" cm="1">
        <f t="array" ref="AI90">IF(ISBLANK($AQ90), "", INDEX([2]SalmonProps!$A$2:$AA$10001,MATCH(1,($A90=[2]SalmonProps!$A$2:$A$10001)*($AP90 = [2]SalmonProps!$F$2:$F$10001) *($AR90 = [2]SalmonProps!$G$2:$G$10001),0), 25))</f>
        <v>6.9</v>
      </c>
      <c r="AJ90" s="174" cm="1">
        <f t="array" ref="AJ90">IF(ISBLANK($AQ90), "", INDEX([2]SalmonProps!$A$2:$AA$10001,MATCH(1,($A90=[2]SalmonProps!$A$2:$A$10001)*($AP90 = [2]SalmonProps!$F$2:$F$10001) *($AR90 = [2]SalmonProps!$G$2:$G$10001),0), 20))</f>
        <v>60.6</v>
      </c>
      <c r="AK90" s="183" cm="1">
        <f t="array" ref="AK90">IF(ISBLANK($AQ90), "", INDEX([2]SalmonProps!$A$2:$AA$10001,MATCH(1,($A90=[2]SalmonProps!$A$2:$A$10001)*($AP90 = [2]SalmonProps!$F$2:$F$10001) *($AR90 = [2]SalmonProps!$G$2:$G$10001),0), 21))</f>
        <v>4.9000000000000004</v>
      </c>
      <c r="AL90" s="174" cm="1">
        <f t="array" ref="AL90">IF(ISBLANK($AQ90), "", INDEX([2]SalmonProps!$A$2:$AA$10001,MATCH(1,($A90=[2]SalmonProps!$A$2:$A$10001)*($AP90 = [2]SalmonProps!$F$2:$F$10001) *($AR90 = [2]SalmonProps!$G$2:$G$10001),0), 22))</f>
        <v>75.7</v>
      </c>
      <c r="AM90" s="183" cm="1">
        <f t="array" ref="AM90">IF(ISBLANK($AQ90), "", INDEX([2]SalmonProps!$A$2:$AA$10001,MATCH(1,($A90=[2]SalmonProps!$A$2:$A$10001)*($AP90 = [2]SalmonProps!$F$2:$F$10001) *($AR90 = [2]SalmonProps!$G$2:$G$10001),0), 23))</f>
        <v>7.6</v>
      </c>
      <c r="AN90" s="174" t="str" cm="1">
        <f t="array" ref="AN90">IF(ISBLANK($AQ90), "", INDEX([2]SalmonProps!$A$2:$AA$10001,MATCH(1,($A90=[2]SalmonProps!$A$2:$A$10001)*($AP90 = [2]SalmonProps!$F$2:$F$10001) *($AR90 = [2]SalmonProps!$G$2:$G$10001),0), 26))</f>
        <v>NA</v>
      </c>
      <c r="AO90" s="175" t="str" cm="1">
        <f t="array" ref="AO90">IF(ISBLANK($AQ90), "", INDEX([2]SalmonProps!$A$2:$AA$10001,MATCH(1,($A90=[2]SalmonProps!$A$2:$A$10001)*($AP90 = [2]SalmonProps!$F$2:$F$10001) *($AR90 = [2]SalmonProps!$G$2:$G$10001),0), 27))</f>
        <v>NA</v>
      </c>
      <c r="AP90" s="112">
        <v>4</v>
      </c>
      <c r="AQ90" s="112" t="s">
        <v>133</v>
      </c>
      <c r="AR90" s="112" t="str">
        <f t="shared" si="2"/>
        <v>Unweighted</v>
      </c>
    </row>
    <row r="91" spans="1:44" x14ac:dyDescent="0.3">
      <c r="A91" s="20">
        <f>'[1]Passage Estimates'!$A91</f>
        <v>45193</v>
      </c>
      <c r="B91" s="164" cm="1">
        <f t="array" ref="B91">IF(ISBLANK($AQ91), "", INDEX([2]SalmonProps!$A$2:$AA$10001,MATCH(1,($A91=[2]SalmonProps!$A$2:$A$10001)*(1=[2]SalmonProps!$C$2:$C$10001)*(1=[2]SalmonProps!$D$2:$D$10001)*("A1" = [2]SalmonProps!$B$2:$B$10001)*($AP91 = [2]SalmonProps!$F$2:$F$10001) *($AR91 = [2]SalmonProps!$G$2:$G$10001),0), 17))</f>
        <v>3.1E-2</v>
      </c>
      <c r="C91" s="165" cm="1">
        <f t="array" ref="C91">IF(ISBLANK($AQ91), "", INDEX([2]SalmonProps!$A$2:$AA$10001,MATCH(1,($A91=[2]SalmonProps!$A$2:$A$10001)*(1=[2]SalmonProps!$C$2:$C$10001)*(2=[2]SalmonProps!$D$2:$D$10001)*("A1" = [2]SalmonProps!$B$2:$B$10001)*($AP91 = [2]SalmonProps!$F$2:$F$10001) *($AR91 = [2]SalmonProps!$G$2:$G$10001),0), 17))</f>
        <v>2.06E-2</v>
      </c>
      <c r="D91" s="165" cm="1">
        <f t="array" ref="D91">IF(ISBLANK($AQ91), "", INDEX([2]SalmonProps!$A$2:$AA$10001,MATCH(1,($A91=[2]SalmonProps!$A$2:$A$10001)*(1=[2]SalmonProps!$C$2:$C$10001)*("1&amp;2"=[2]SalmonProps!$D$2:$D$10001)*("A1" = [2]SalmonProps!$B$2:$B$10001)*($AP91 = [2]SalmonProps!$F$2:$F$10001) *($AR91 = [2]SalmonProps!$G$2:$G$10001),0), 17))</f>
        <v>1.8700000000000001E-2</v>
      </c>
      <c r="E91" s="181" cm="1">
        <f t="array" ref="E91">IF(ISBLANK($AQ91), "", INDEX([2]SalmonProps!$A$2:$AA$10001,MATCH(1,($A91=[2]SalmonProps!$A$2:$A$10001)*(2=[2]SalmonProps!$C$2:$C$10001)*(3=[2]SalmonProps!$D$2:$D$10001)*("A1" = [2]SalmonProps!$B$2:$B$10001)*($AP91 = [2]SalmonProps!$F$2:$F$10001) *($AR91 = [2]SalmonProps!$G$2:$G$10001),0), 17))</f>
        <v>9.1399999999999995E-2</v>
      </c>
      <c r="F91" s="165" cm="1">
        <f t="array" ref="F91">IF(ISBLANK($AQ91), "", INDEX([2]SalmonProps!$A$2:$AA$10001,MATCH(1,($A91=[2]SalmonProps!$A$2:$A$10001)*(3=[2]SalmonProps!$C$2:$C$10001)*(3=[2]SalmonProps!$D$2:$D$10001)*("A1" = [2]SalmonProps!$B$2:$B$10001)*($AP91 = [2]SalmonProps!$F$2:$F$10001) *($AR91 = [2]SalmonProps!$G$2:$G$10001),0), 17))</f>
        <v>0.23250000000000001</v>
      </c>
      <c r="G91" s="165" cm="1">
        <f t="array" ref="G91">IF(ISBLANK($AQ91), "", INDEX([2]SalmonProps!$A$2:$AA$10001,MATCH(1,($A91=[2]SalmonProps!$A$2:$A$10001)*(1=[2]SalmonProps!$C$2:$C$10001)*(1=[2]SalmonProps!$D$2:$D$10001)*("A2" = [2]SalmonProps!$B$2:$B$10001)*($AP91 = [2]SalmonProps!$F$2:$F$10001) *($AR91 = [2]SalmonProps!$G$2:$G$10001),0), 17))</f>
        <v>2.4400000000000002E-2</v>
      </c>
      <c r="H91" s="166" cm="1">
        <f t="array" ref="H91">IF(ISBLANK($AQ91), "", INDEX([2]SalmonProps!$A$2:$AA$10001,MATCH(1,($A91=[2]SalmonProps!$A$2:$A$10001)*(2=[2]SalmonProps!$C$2:$C$10001)*(1=[2]SalmonProps!$D$2:$D$10001)*("A2" = [2]SalmonProps!$B$2:$B$10001)*($AP91 = [2]SalmonProps!$F$2:$F$10001) *($AR91 = [2]SalmonProps!$G$2:$G$10001),0), 17))</f>
        <v>0.1605</v>
      </c>
      <c r="I91" s="167" cm="1">
        <f t="array" ref="I91">IF(ISBLANK($AQ91), "", INDEX([2]SalmonProps!$A$2:$AA$10001,MATCH(1,($A91=[2]SalmonProps!$A$2:$A$10001)*(3=[2]SalmonProps!$C$2:$C$10001)*(1=[2]SalmonProps!$D$2:$D$10001)*("A2" = [2]SalmonProps!$B$2:$B$10001)*($AP91 = [2]SalmonProps!$F$2:$F$10001) *($AR91 = [2]SalmonProps!$G$2:$G$10001),0), 17))</f>
        <v>0.3054</v>
      </c>
      <c r="J91" s="164" t="str" cm="1">
        <f t="array" ref="J91">IF(ISBLANK($AQ91), "", INDEX([2]SalmonProps!$A$2:$AA$10001,MATCH(1,($A91=[2]SalmonProps!$A$2:$A$10001)*(1=[2]SalmonProps!$C$2:$C$10001)*(1=[2]SalmonProps!$D$2:$D$10001)*("A1" = [2]SalmonProps!$B$2:$B$10001)*($AP91 = [2]SalmonProps!$F$2:$F$10001) *($AR91 = [2]SalmonProps!$G$2:$G$10001),0), 19))</f>
        <v>NA</v>
      </c>
      <c r="K91" s="165" t="str" cm="1">
        <f t="array" ref="K91">IF(ISBLANK($AQ91), "", INDEX([2]SalmonProps!$A$2:$AA$10001,MATCH(1,($A91=[2]SalmonProps!$A$2:$A$10001)*(1=[2]SalmonProps!$C$2:$C$10001)*(2=[2]SalmonProps!$D$2:$D$10001)*("A1" = [2]SalmonProps!$B$2:$B$10001)*($AP91 = [2]SalmonProps!$F$2:$F$10001) *($AR91 = [2]SalmonProps!$G$2:$G$10001),0), 19))</f>
        <v>NA</v>
      </c>
      <c r="L91" s="165" t="str" cm="1">
        <f t="array" ref="L91">IF(ISBLANK($AQ91), "", INDEX([2]SalmonProps!$A$2:$AA$10001,MATCH(1,($A91=[2]SalmonProps!$A$2:$A$10001)*(1=[2]SalmonProps!$C$2:$C$10001)*("1&amp;2"=[2]SalmonProps!$D$2:$D$10001)*("A1" = [2]SalmonProps!$B$2:$B$10001)*($AP91 = [2]SalmonProps!$F$2:$F$10001) *($AR91 = [2]SalmonProps!$G$2:$G$10001),0), 19))</f>
        <v>NA</v>
      </c>
      <c r="M91" s="165" t="str" cm="1">
        <f t="array" ref="M91">IF(ISBLANK($AQ91), "", INDEX([2]SalmonProps!$A$2:$AA$10001,MATCH(1,($A91=[2]SalmonProps!$A$2:$A$10001)*(2=[2]SalmonProps!$C$2:$C$10001)*(3=[2]SalmonProps!$D$2:$D$10001)*("A1" = [2]SalmonProps!$B$2:$B$10001)*($AP91 = [2]SalmonProps!$F$2:$F$10001) *($AR91 = [2]SalmonProps!$G$2:$G$10001),0), 19))</f>
        <v>NA</v>
      </c>
      <c r="N91" s="181" t="str" cm="1">
        <f t="array" ref="N91">IF(ISBLANK($AQ91), "", INDEX([2]SalmonProps!$A$2:$AA$10001,MATCH(1,($A91=[2]SalmonProps!$A$2:$A$10001)*(3=[2]SalmonProps!$C$2:$C$10001)*(3=[2]SalmonProps!$D$2:$D$10001)*("A1" = [2]SalmonProps!$B$2:$B$10001)*($AP91 = [2]SalmonProps!$F$2:$F$10001) *($AR91 = [2]SalmonProps!$G$2:$G$10001),0), 19))</f>
        <v>NA</v>
      </c>
      <c r="O91" s="165" t="str" cm="1">
        <f t="array" ref="O91">IF(ISBLANK($AQ91), "", INDEX([2]SalmonProps!$A$2:$AA$10001,MATCH(1,($A91=[2]SalmonProps!$A$2:$A$10001)*(1=[2]SalmonProps!$C$2:$C$10001)*(1=[2]SalmonProps!$D$2:$D$10001)*("A2" = [2]SalmonProps!$B$2:$B$10001)*($AP91 = [2]SalmonProps!$F$2:$F$10001) *($AR91 = [2]SalmonProps!$G$2:$G$10001),0), 19))</f>
        <v>NA</v>
      </c>
      <c r="P91" s="165" t="str" cm="1">
        <f t="array" ref="P91">IF(ISBLANK($AQ91), "", INDEX([2]SalmonProps!$A$2:$AA$10001,MATCH(1,($A91=[2]SalmonProps!$A$2:$A$10001)*(2=[2]SalmonProps!$C$2:$C$10001)*(1=[2]SalmonProps!$D$2:$D$10001)*("A2" = [2]SalmonProps!$B$2:$B$10001)*($AP91 = [2]SalmonProps!$F$2:$F$10001) *($AR91 = [2]SalmonProps!$G$2:$G$10001),0), 19))</f>
        <v>NA</v>
      </c>
      <c r="Q91" s="168" t="str" cm="1">
        <f t="array" ref="Q91">IF(ISBLANK($AQ91), "", INDEX([2]SalmonProps!$A$2:$AA$10001,MATCH(1,($A91=[2]SalmonProps!$A$2:$A$10001)*(3=[2]SalmonProps!$C$2:$C$10001)*(1=[2]SalmonProps!$D$2:$D$10001)*("A2" = [2]SalmonProps!$B$2:$B$10001)*($AP91 = [2]SalmonProps!$F$2:$F$10001) *($AR91 = [2]SalmonProps!$G$2:$G$10001),0), 19))</f>
        <v>NA</v>
      </c>
      <c r="R91" s="164" cm="1">
        <f t="array" ref="R91">IF(ISBLANK($AQ91), "", INDEX([2]SalmonProps!$A$2:$AA$10001,MATCH(1,($A91=[2]SalmonProps!$A$2:$A$10001)*(1=[2]SalmonProps!$C$2:$C$10001)*(1=[2]SalmonProps!$D$2:$D$10001)*("A1" = [2]SalmonProps!$B$2:$B$10001)*($AP91 = [2]SalmonProps!$F$2:$F$10001) *($AR91 = [2]SalmonProps!$G$2:$G$10001),0), 18))</f>
        <v>0.28010000000000002</v>
      </c>
      <c r="S91" s="165" cm="1">
        <f t="array" ref="S91">IF(ISBLANK($AQ91), "", INDEX([2]SalmonProps!$A$2:$AA$10001,MATCH(1,($A91=[2]SalmonProps!$A$2:$A$10001)*(1=[2]SalmonProps!$C$2:$C$10001)*(2=[2]SalmonProps!$D$2:$D$10001)*("A1" = [2]SalmonProps!$B$2:$B$10001)*($AP91 = [2]SalmonProps!$F$2:$F$10001) *($AR91 = [2]SalmonProps!$G$2:$G$10001),0), 18))</f>
        <v>0.30609999999999998</v>
      </c>
      <c r="T91" s="165" cm="1">
        <f t="array" ref="T91">IF(ISBLANK($AQ91), "", INDEX([2]SalmonProps!$A$2:$AA$10001,MATCH(1,($A91=[2]SalmonProps!$A$2:$A$10001)*(1=[2]SalmonProps!$C$2:$C$10001)*("1&amp;2"=[2]SalmonProps!$D$2:$D$10001)*("A1" = [2]SalmonProps!$B$2:$B$10001)*($AP91 = [2]SalmonProps!$F$2:$F$10001) *($AR91 = [2]SalmonProps!$G$2:$G$10001),0), 18))</f>
        <v>0.29420000000000002</v>
      </c>
      <c r="U91" s="165" cm="1">
        <f t="array" ref="U91">IF(ISBLANK($AQ91), "", INDEX([2]SalmonProps!$A$2:$AA$10001,MATCH(1,($A91=[2]SalmonProps!$A$2:$A$10001)*(2=[2]SalmonProps!$C$2:$C$10001)*(3=[2]SalmonProps!$D$2:$D$10001)*("A1" = [2]SalmonProps!$B$2:$B$10001)*($AP91 = [2]SalmonProps!$F$2:$F$10001) *($AR91 = [2]SalmonProps!$G$2:$G$10001),0), 18))</f>
        <v>0.75719999999999998</v>
      </c>
      <c r="V91" s="181" cm="1">
        <f t="array" ref="V91">IF(ISBLANK($AQ91), "", INDEX([2]SalmonProps!$A$2:$AA$10001,MATCH(1,($A91=[2]SalmonProps!$A$2:$A$10001)*(3=[2]SalmonProps!$C$2:$C$10001)*(3=[2]SalmonProps!$D$2:$D$10001)*("A1" = [2]SalmonProps!$B$2:$B$10001)*($AP91 = [2]SalmonProps!$F$2:$F$10001) *($AR91 = [2]SalmonProps!$G$2:$G$10001),0), 18))</f>
        <v>0.6381</v>
      </c>
      <c r="W91" s="180" cm="1">
        <f t="array" ref="W91">IF(ISBLANK($AQ91), "", INDEX([2]SalmonProps!$A$2:$AA$10001,MATCH(1,($A91=[2]SalmonProps!$A$2:$A$10001)*(1=[2]SalmonProps!$C$2:$C$10001)*(1=[2]SalmonProps!$D$2:$D$10001)*("A2" = [2]SalmonProps!$B$2:$B$10001)*($AP91 = [2]SalmonProps!$F$2:$F$10001) *($AR91 = [2]SalmonProps!$G$2:$G$10001),0), 18))</f>
        <v>0.48570000000000002</v>
      </c>
      <c r="X91" s="165" cm="1">
        <f t="array" ref="X91">IF(ISBLANK($AQ91), "", INDEX([2]SalmonProps!$A$2:$AA$10001,MATCH(1,($A91=[2]SalmonProps!$A$2:$A$10001)*(2=[2]SalmonProps!$C$2:$C$10001)*(1=[2]SalmonProps!$D$2:$D$10001)*("A2" = [2]SalmonProps!$B$2:$B$10001)*($AP91 = [2]SalmonProps!$F$2:$F$10001) *($AR91 = [2]SalmonProps!$G$2:$G$10001),0), 18))</f>
        <v>0.30880000000000002</v>
      </c>
      <c r="Y91" s="168" cm="1">
        <f t="array" ref="Y91">IF(ISBLANK($AQ91), "", INDEX([2]SalmonProps!$A$2:$AA$10001,MATCH(1,($A91=[2]SalmonProps!$A$2:$A$10001)*(3=[2]SalmonProps!$C$2:$C$10001)*(1=[2]SalmonProps!$D$2:$D$10001)*("A2" = [2]SalmonProps!$B$2:$B$10001)*($AP91 = [2]SalmonProps!$F$2:$F$10001) *($AR91 = [2]SalmonProps!$G$2:$G$10001),0), 18))</f>
        <v>0.40739999999999998</v>
      </c>
      <c r="Z91" s="164" cm="1">
        <f t="array" ref="Z91">IF(ISBLANK($AQ91), "", INDEX([2]SalmonProps!$A$2:$AA$10001,MATCH(1,($A91=[2]SalmonProps!$A$2:$A$10001)*(1=[2]SalmonProps!$C$2:$C$10001)*(1=[2]SalmonProps!$D$2:$D$10001)*("A1" = [2]SalmonProps!$B$2:$B$10001)*($AP91 = [2]SalmonProps!$F$2:$F$10001) *($AR91 = [2]SalmonProps!$G$2:$G$10001),0), 15))</f>
        <v>0.31109999999999999</v>
      </c>
      <c r="AA91" s="165" cm="1">
        <f t="array" ref="AA91">IF(ISBLANK($AQ91), "", INDEX([2]SalmonProps!$A$2:$AA$10001,MATCH(1,($A91=[2]SalmonProps!$A$2:$A$10001)*(1=[2]SalmonProps!$C$2:$C$10001)*(2=[2]SalmonProps!$D$2:$D$10001)*("A1" = [2]SalmonProps!$B$2:$B$10001)*($AP91 = [2]SalmonProps!$F$2:$F$10001) *($AR91 = [2]SalmonProps!$G$2:$G$10001),0), 15))</f>
        <v>0.35920000000000002</v>
      </c>
      <c r="AB91" s="165" cm="1">
        <f t="array" ref="AB91">IF(ISBLANK($AQ91), "", INDEX([2]SalmonProps!$A$2:$AA$10001,MATCH(1,($A91=[2]SalmonProps!$A$2:$A$10001)*(1=[2]SalmonProps!$C$2:$C$10001)*("1&amp;2"=[2]SalmonProps!$D$2:$D$10001)*("A1" = [2]SalmonProps!$B$2:$B$10001)*($AP91 = [2]SalmonProps!$F$2:$F$10001) *($AR91 = [2]SalmonProps!$G$2:$G$10001),0), 15))</f>
        <v>0.31290000000000001</v>
      </c>
      <c r="AC91" s="165" cm="1">
        <f t="array" ref="AC91">IF(ISBLANK($AQ91), "", INDEX([2]SalmonProps!$A$2:$AA$10001,MATCH(1,($A91=[2]SalmonProps!$A$2:$A$10001)*(2=[2]SalmonProps!$C$2:$C$10001)*(3=[2]SalmonProps!$D$2:$D$10001)*("A1" = [2]SalmonProps!$B$2:$B$10001)*($AP91 = [2]SalmonProps!$F$2:$F$10001) *($AR91 = [2]SalmonProps!$G$2:$G$10001),0), 15))</f>
        <v>0.87080000000000002</v>
      </c>
      <c r="AD91" s="181" cm="1">
        <f t="array" ref="AD91">IF(ISBLANK($AQ91), "", INDEX([2]SalmonProps!$A$2:$AA$10001,MATCH(1,($A91=[2]SalmonProps!$A$2:$A$10001)*(3=[2]SalmonProps!$C$2:$C$10001)*(3=[2]SalmonProps!$D$2:$D$10001)*("A1" = [2]SalmonProps!$B$2:$B$10001)*($AP91 = [2]SalmonProps!$F$2:$F$10001) *($AR91 = [2]SalmonProps!$G$2:$G$10001),0), 15))</f>
        <v>0.90649999999999997</v>
      </c>
      <c r="AE91" s="166" cm="1">
        <f t="array" ref="AE91">IF(ISBLANK($AQ91), "", INDEX([2]SalmonProps!$A$2:$AA$10001,MATCH(1,($A91=[2]SalmonProps!$A$2:$A$10001)*(1=[2]SalmonProps!$C$2:$C$10001)*(1=[2]SalmonProps!$D$2:$D$10001)*("A2" = [2]SalmonProps!$B$2:$B$10001)*($AP91 = [2]SalmonProps!$F$2:$F$10001) *($AR91 = [2]SalmonProps!$G$2:$G$10001),0), 15))</f>
        <v>0.5101</v>
      </c>
      <c r="AF91" s="166" cm="1">
        <f t="array" ref="AF91">IF(ISBLANK($AQ91), "", INDEX([2]SalmonProps!$A$2:$AA$10001,MATCH(1,($A91=[2]SalmonProps!$A$2:$A$10001)*(2=[2]SalmonProps!$C$2:$C$10001)*(1=[2]SalmonProps!$D$2:$D$10001)*("A2" = [2]SalmonProps!$B$2:$B$10001)*($AP91 = [2]SalmonProps!$F$2:$F$10001) *($AR91 = [2]SalmonProps!$G$2:$G$10001),0), 15))</f>
        <v>0.72719999999999996</v>
      </c>
      <c r="AG91" s="167" cm="1">
        <f t="array" ref="AG91">IF(ISBLANK($AQ91), "", INDEX([2]SalmonProps!$A$2:$AA$10001,MATCH(1,($A91=[2]SalmonProps!$A$2:$A$10001)*(3=[2]SalmonProps!$C$2:$C$10001)*(1=[2]SalmonProps!$D$2:$D$10001)*("A2" = [2]SalmonProps!$B$2:$B$10001)*($AP91 = [2]SalmonProps!$F$2:$F$10001) *($AR91 = [2]SalmonProps!$G$2:$G$10001),0), 15))</f>
        <v>0.89770000000000005</v>
      </c>
      <c r="AH91" s="173" cm="1">
        <f t="array" ref="AH91">IF(ISBLANK($AQ91), "", INDEX([2]SalmonProps!$A$2:$AA$10001,MATCH(1,($A91=[2]SalmonProps!$A$2:$A$10001)*($AP91 = [2]SalmonProps!$F$2:$F$10001) *($AR91 = [2]SalmonProps!$G$2:$G$10001),0), 24))</f>
        <v>52.8</v>
      </c>
      <c r="AI91" s="183" cm="1">
        <f t="array" ref="AI91">IF(ISBLANK($AQ91), "", INDEX([2]SalmonProps!$A$2:$AA$10001,MATCH(1,($A91=[2]SalmonProps!$A$2:$A$10001)*($AP91 = [2]SalmonProps!$F$2:$F$10001) *($AR91 = [2]SalmonProps!$G$2:$G$10001),0), 25))</f>
        <v>6.9</v>
      </c>
      <c r="AJ91" s="174" cm="1">
        <f t="array" ref="AJ91">IF(ISBLANK($AQ91), "", INDEX([2]SalmonProps!$A$2:$AA$10001,MATCH(1,($A91=[2]SalmonProps!$A$2:$A$10001)*($AP91 = [2]SalmonProps!$F$2:$F$10001) *($AR91 = [2]SalmonProps!$G$2:$G$10001),0), 20))</f>
        <v>60.6</v>
      </c>
      <c r="AK91" s="183" cm="1">
        <f t="array" ref="AK91">IF(ISBLANK($AQ91), "", INDEX([2]SalmonProps!$A$2:$AA$10001,MATCH(1,($A91=[2]SalmonProps!$A$2:$A$10001)*($AP91 = [2]SalmonProps!$F$2:$F$10001) *($AR91 = [2]SalmonProps!$G$2:$G$10001),0), 21))</f>
        <v>4.9000000000000004</v>
      </c>
      <c r="AL91" s="174" cm="1">
        <f t="array" ref="AL91">IF(ISBLANK($AQ91), "", INDEX([2]SalmonProps!$A$2:$AA$10001,MATCH(1,($A91=[2]SalmonProps!$A$2:$A$10001)*($AP91 = [2]SalmonProps!$F$2:$F$10001) *($AR91 = [2]SalmonProps!$G$2:$G$10001),0), 22))</f>
        <v>75.7</v>
      </c>
      <c r="AM91" s="183" cm="1">
        <f t="array" ref="AM91">IF(ISBLANK($AQ91), "", INDEX([2]SalmonProps!$A$2:$AA$10001,MATCH(1,($A91=[2]SalmonProps!$A$2:$A$10001)*($AP91 = [2]SalmonProps!$F$2:$F$10001) *($AR91 = [2]SalmonProps!$G$2:$G$10001),0), 23))</f>
        <v>7.6</v>
      </c>
      <c r="AN91" s="174" t="str" cm="1">
        <f t="array" ref="AN91">IF(ISBLANK($AQ91), "", INDEX([2]SalmonProps!$A$2:$AA$10001,MATCH(1,($A91=[2]SalmonProps!$A$2:$A$10001)*($AP91 = [2]SalmonProps!$F$2:$F$10001) *($AR91 = [2]SalmonProps!$G$2:$G$10001),0), 26))</f>
        <v>NA</v>
      </c>
      <c r="AO91" s="175" t="str" cm="1">
        <f t="array" ref="AO91">IF(ISBLANK($AQ91), "", INDEX([2]SalmonProps!$A$2:$AA$10001,MATCH(1,($A91=[2]SalmonProps!$A$2:$A$10001)*($AP91 = [2]SalmonProps!$F$2:$F$10001) *($AR91 = [2]SalmonProps!$G$2:$G$10001),0), 27))</f>
        <v>NA</v>
      </c>
      <c r="AP91" s="112">
        <v>4</v>
      </c>
      <c r="AQ91" s="112" t="s">
        <v>133</v>
      </c>
      <c r="AR91" s="112" t="str">
        <f t="shared" si="2"/>
        <v>Unweighted</v>
      </c>
    </row>
    <row r="92" spans="1:44" x14ac:dyDescent="0.3">
      <c r="A92" s="20">
        <f>'[1]Passage Estimates'!$A92</f>
        <v>45194</v>
      </c>
      <c r="B92" s="164" cm="1">
        <f t="array" ref="B92">IF(ISBLANK($AQ92), "", INDEX([2]SalmonProps!$A$2:$AA$10001,MATCH(1,($A92=[2]SalmonProps!$A$2:$A$10001)*(1=[2]SalmonProps!$C$2:$C$10001)*(1=[2]SalmonProps!$D$2:$D$10001)*("A1" = [2]SalmonProps!$B$2:$B$10001)*($AP92 = [2]SalmonProps!$F$2:$F$10001) *($AR92 = [2]SalmonProps!$G$2:$G$10001),0), 17))</f>
        <v>1.4800000000000001E-2</v>
      </c>
      <c r="C92" s="165" cm="1">
        <f t="array" ref="C92">IF(ISBLANK($AQ92), "", INDEX([2]SalmonProps!$A$2:$AA$10001,MATCH(1,($A92=[2]SalmonProps!$A$2:$A$10001)*(1=[2]SalmonProps!$C$2:$C$10001)*(2=[2]SalmonProps!$D$2:$D$10001)*("A1" = [2]SalmonProps!$B$2:$B$10001)*($AP92 = [2]SalmonProps!$F$2:$F$10001) *($AR92 = [2]SalmonProps!$G$2:$G$10001),0), 17))</f>
        <v>0</v>
      </c>
      <c r="D92" s="165" cm="1">
        <f t="array" ref="D92">IF(ISBLANK($AQ92), "", INDEX([2]SalmonProps!$A$2:$AA$10001,MATCH(1,($A92=[2]SalmonProps!$A$2:$A$10001)*(1=[2]SalmonProps!$C$2:$C$10001)*("1&amp;2"=[2]SalmonProps!$D$2:$D$10001)*("A1" = [2]SalmonProps!$B$2:$B$10001)*($AP92 = [2]SalmonProps!$F$2:$F$10001) *($AR92 = [2]SalmonProps!$G$2:$G$10001),0), 17))</f>
        <v>7.6E-3</v>
      </c>
      <c r="E92" s="181" cm="1">
        <f t="array" ref="E92">IF(ISBLANK($AQ92), "", INDEX([2]SalmonProps!$A$2:$AA$10001,MATCH(1,($A92=[2]SalmonProps!$A$2:$A$10001)*(2=[2]SalmonProps!$C$2:$C$10001)*(3=[2]SalmonProps!$D$2:$D$10001)*("A1" = [2]SalmonProps!$B$2:$B$10001)*($AP92 = [2]SalmonProps!$F$2:$F$10001) *($AR92 = [2]SalmonProps!$G$2:$G$10001),0), 17))</f>
        <v>4.8500000000000001E-2</v>
      </c>
      <c r="F92" s="165" cm="1">
        <f t="array" ref="F92">IF(ISBLANK($AQ92), "", INDEX([2]SalmonProps!$A$2:$AA$10001,MATCH(1,($A92=[2]SalmonProps!$A$2:$A$10001)*(3=[2]SalmonProps!$C$2:$C$10001)*(3=[2]SalmonProps!$D$2:$D$10001)*("A1" = [2]SalmonProps!$B$2:$B$10001)*($AP92 = [2]SalmonProps!$F$2:$F$10001) *($AR92 = [2]SalmonProps!$G$2:$G$10001),0), 17))</f>
        <v>0.19209999999999999</v>
      </c>
      <c r="G92" s="165" cm="1">
        <f t="array" ref="G92">IF(ISBLANK($AQ92), "", INDEX([2]SalmonProps!$A$2:$AA$10001,MATCH(1,($A92=[2]SalmonProps!$A$2:$A$10001)*(1=[2]SalmonProps!$C$2:$C$10001)*(1=[2]SalmonProps!$D$2:$D$10001)*("A2" = [2]SalmonProps!$B$2:$B$10001)*($AP92 = [2]SalmonProps!$F$2:$F$10001) *($AR92 = [2]SalmonProps!$G$2:$G$10001),0), 17))</f>
        <v>6.3E-3</v>
      </c>
      <c r="H92" s="166" cm="1">
        <f t="array" ref="H92">IF(ISBLANK($AQ92), "", INDEX([2]SalmonProps!$A$2:$AA$10001,MATCH(1,($A92=[2]SalmonProps!$A$2:$A$10001)*(2=[2]SalmonProps!$C$2:$C$10001)*(1=[2]SalmonProps!$D$2:$D$10001)*("A2" = [2]SalmonProps!$B$2:$B$10001)*($AP92 = [2]SalmonProps!$F$2:$F$10001) *($AR92 = [2]SalmonProps!$G$2:$G$10001),0), 17))</f>
        <v>0.1009</v>
      </c>
      <c r="I92" s="167" cm="1">
        <f t="array" ref="I92">IF(ISBLANK($AQ92), "", INDEX([2]SalmonProps!$A$2:$AA$10001,MATCH(1,($A92=[2]SalmonProps!$A$2:$A$10001)*(3=[2]SalmonProps!$C$2:$C$10001)*(1=[2]SalmonProps!$D$2:$D$10001)*("A2" = [2]SalmonProps!$B$2:$B$10001)*($AP92 = [2]SalmonProps!$F$2:$F$10001) *($AR92 = [2]SalmonProps!$G$2:$G$10001),0), 17))</f>
        <v>0.35949999999999999</v>
      </c>
      <c r="J92" s="164" t="str" cm="1">
        <f t="array" ref="J92">IF(ISBLANK($AQ92), "", INDEX([2]SalmonProps!$A$2:$AA$10001,MATCH(1,($A92=[2]SalmonProps!$A$2:$A$10001)*(1=[2]SalmonProps!$C$2:$C$10001)*(1=[2]SalmonProps!$D$2:$D$10001)*("A1" = [2]SalmonProps!$B$2:$B$10001)*($AP92 = [2]SalmonProps!$F$2:$F$10001) *($AR92 = [2]SalmonProps!$G$2:$G$10001),0), 19))</f>
        <v>NA</v>
      </c>
      <c r="K92" s="165" t="str" cm="1">
        <f t="array" ref="K92">IF(ISBLANK($AQ92), "", INDEX([2]SalmonProps!$A$2:$AA$10001,MATCH(1,($A92=[2]SalmonProps!$A$2:$A$10001)*(1=[2]SalmonProps!$C$2:$C$10001)*(2=[2]SalmonProps!$D$2:$D$10001)*("A1" = [2]SalmonProps!$B$2:$B$10001)*($AP92 = [2]SalmonProps!$F$2:$F$10001) *($AR92 = [2]SalmonProps!$G$2:$G$10001),0), 19))</f>
        <v>NA</v>
      </c>
      <c r="L92" s="165" t="str" cm="1">
        <f t="array" ref="L92">IF(ISBLANK($AQ92), "", INDEX([2]SalmonProps!$A$2:$AA$10001,MATCH(1,($A92=[2]SalmonProps!$A$2:$A$10001)*(1=[2]SalmonProps!$C$2:$C$10001)*("1&amp;2"=[2]SalmonProps!$D$2:$D$10001)*("A1" = [2]SalmonProps!$B$2:$B$10001)*($AP92 = [2]SalmonProps!$F$2:$F$10001) *($AR92 = [2]SalmonProps!$G$2:$G$10001),0), 19))</f>
        <v>NA</v>
      </c>
      <c r="M92" s="165" t="str" cm="1">
        <f t="array" ref="M92">IF(ISBLANK($AQ92), "", INDEX([2]SalmonProps!$A$2:$AA$10001,MATCH(1,($A92=[2]SalmonProps!$A$2:$A$10001)*(2=[2]SalmonProps!$C$2:$C$10001)*(3=[2]SalmonProps!$D$2:$D$10001)*("A1" = [2]SalmonProps!$B$2:$B$10001)*($AP92 = [2]SalmonProps!$F$2:$F$10001) *($AR92 = [2]SalmonProps!$G$2:$G$10001),0), 19))</f>
        <v>NA</v>
      </c>
      <c r="N92" s="181" t="str" cm="1">
        <f t="array" ref="N92">IF(ISBLANK($AQ92), "", INDEX([2]SalmonProps!$A$2:$AA$10001,MATCH(1,($A92=[2]SalmonProps!$A$2:$A$10001)*(3=[2]SalmonProps!$C$2:$C$10001)*(3=[2]SalmonProps!$D$2:$D$10001)*("A1" = [2]SalmonProps!$B$2:$B$10001)*($AP92 = [2]SalmonProps!$F$2:$F$10001) *($AR92 = [2]SalmonProps!$G$2:$G$10001),0), 19))</f>
        <v>NA</v>
      </c>
      <c r="O92" s="165" t="str" cm="1">
        <f t="array" ref="O92">IF(ISBLANK($AQ92), "", INDEX([2]SalmonProps!$A$2:$AA$10001,MATCH(1,($A92=[2]SalmonProps!$A$2:$A$10001)*(1=[2]SalmonProps!$C$2:$C$10001)*(1=[2]SalmonProps!$D$2:$D$10001)*("A2" = [2]SalmonProps!$B$2:$B$10001)*($AP92 = [2]SalmonProps!$F$2:$F$10001) *($AR92 = [2]SalmonProps!$G$2:$G$10001),0), 19))</f>
        <v>NA</v>
      </c>
      <c r="P92" s="165" t="str" cm="1">
        <f t="array" ref="P92">IF(ISBLANK($AQ92), "", INDEX([2]SalmonProps!$A$2:$AA$10001,MATCH(1,($A92=[2]SalmonProps!$A$2:$A$10001)*(2=[2]SalmonProps!$C$2:$C$10001)*(1=[2]SalmonProps!$D$2:$D$10001)*("A2" = [2]SalmonProps!$B$2:$B$10001)*($AP92 = [2]SalmonProps!$F$2:$F$10001) *($AR92 = [2]SalmonProps!$G$2:$G$10001),0), 19))</f>
        <v>NA</v>
      </c>
      <c r="Q92" s="168" t="str" cm="1">
        <f t="array" ref="Q92">IF(ISBLANK($AQ92), "", INDEX([2]SalmonProps!$A$2:$AA$10001,MATCH(1,($A92=[2]SalmonProps!$A$2:$A$10001)*(3=[2]SalmonProps!$C$2:$C$10001)*(1=[2]SalmonProps!$D$2:$D$10001)*("A2" = [2]SalmonProps!$B$2:$B$10001)*($AP92 = [2]SalmonProps!$F$2:$F$10001) *($AR92 = [2]SalmonProps!$G$2:$G$10001),0), 19))</f>
        <v>NA</v>
      </c>
      <c r="R92" s="164" cm="1">
        <f t="array" ref="R92">IF(ISBLANK($AQ92), "", INDEX([2]SalmonProps!$A$2:$AA$10001,MATCH(1,($A92=[2]SalmonProps!$A$2:$A$10001)*(1=[2]SalmonProps!$C$2:$C$10001)*(1=[2]SalmonProps!$D$2:$D$10001)*("A1" = [2]SalmonProps!$B$2:$B$10001)*($AP92 = [2]SalmonProps!$F$2:$F$10001) *($AR92 = [2]SalmonProps!$G$2:$G$10001),0), 18))</f>
        <v>0.32350000000000001</v>
      </c>
      <c r="S92" s="165" cm="1">
        <f t="array" ref="S92">IF(ISBLANK($AQ92), "", INDEX([2]SalmonProps!$A$2:$AA$10001,MATCH(1,($A92=[2]SalmonProps!$A$2:$A$10001)*(1=[2]SalmonProps!$C$2:$C$10001)*(2=[2]SalmonProps!$D$2:$D$10001)*("A1" = [2]SalmonProps!$B$2:$B$10001)*($AP92 = [2]SalmonProps!$F$2:$F$10001) *($AR92 = [2]SalmonProps!$G$2:$G$10001),0), 18))</f>
        <v>0.31</v>
      </c>
      <c r="T92" s="165" cm="1">
        <f t="array" ref="T92">IF(ISBLANK($AQ92), "", INDEX([2]SalmonProps!$A$2:$AA$10001,MATCH(1,($A92=[2]SalmonProps!$A$2:$A$10001)*(1=[2]SalmonProps!$C$2:$C$10001)*("1&amp;2"=[2]SalmonProps!$D$2:$D$10001)*("A1" = [2]SalmonProps!$B$2:$B$10001)*($AP92 = [2]SalmonProps!$F$2:$F$10001) *($AR92 = [2]SalmonProps!$G$2:$G$10001),0), 18))</f>
        <v>0.36420000000000002</v>
      </c>
      <c r="U92" s="165" cm="1">
        <f t="array" ref="U92">IF(ISBLANK($AQ92), "", INDEX([2]SalmonProps!$A$2:$AA$10001,MATCH(1,($A92=[2]SalmonProps!$A$2:$A$10001)*(2=[2]SalmonProps!$C$2:$C$10001)*(3=[2]SalmonProps!$D$2:$D$10001)*("A1" = [2]SalmonProps!$B$2:$B$10001)*($AP92 = [2]SalmonProps!$F$2:$F$10001) *($AR92 = [2]SalmonProps!$G$2:$G$10001),0), 18))</f>
        <v>0.30370000000000003</v>
      </c>
      <c r="V92" s="181" cm="1">
        <f t="array" ref="V92">IF(ISBLANK($AQ92), "", INDEX([2]SalmonProps!$A$2:$AA$10001,MATCH(1,($A92=[2]SalmonProps!$A$2:$A$10001)*(3=[2]SalmonProps!$C$2:$C$10001)*(3=[2]SalmonProps!$D$2:$D$10001)*("A1" = [2]SalmonProps!$B$2:$B$10001)*($AP92 = [2]SalmonProps!$F$2:$F$10001) *($AR92 = [2]SalmonProps!$G$2:$G$10001),0), 18))</f>
        <v>0.32290000000000002</v>
      </c>
      <c r="W92" s="180" cm="1">
        <f t="array" ref="W92">IF(ISBLANK($AQ92), "", INDEX([2]SalmonProps!$A$2:$AA$10001,MATCH(1,($A92=[2]SalmonProps!$A$2:$A$10001)*(1=[2]SalmonProps!$C$2:$C$10001)*(1=[2]SalmonProps!$D$2:$D$10001)*("A2" = [2]SalmonProps!$B$2:$B$10001)*($AP92 = [2]SalmonProps!$F$2:$F$10001) *($AR92 = [2]SalmonProps!$G$2:$G$10001),0), 18))</f>
        <v>0.32619999999999999</v>
      </c>
      <c r="X92" s="165" cm="1">
        <f t="array" ref="X92">IF(ISBLANK($AQ92), "", INDEX([2]SalmonProps!$A$2:$AA$10001,MATCH(1,($A92=[2]SalmonProps!$A$2:$A$10001)*(2=[2]SalmonProps!$C$2:$C$10001)*(1=[2]SalmonProps!$D$2:$D$10001)*("A2" = [2]SalmonProps!$B$2:$B$10001)*($AP92 = [2]SalmonProps!$F$2:$F$10001) *($AR92 = [2]SalmonProps!$G$2:$G$10001),0), 18))</f>
        <v>0.32169999999999999</v>
      </c>
      <c r="Y92" s="168" cm="1">
        <f t="array" ref="Y92">IF(ISBLANK($AQ92), "", INDEX([2]SalmonProps!$A$2:$AA$10001,MATCH(1,($A92=[2]SalmonProps!$A$2:$A$10001)*(3=[2]SalmonProps!$C$2:$C$10001)*(1=[2]SalmonProps!$D$2:$D$10001)*("A2" = [2]SalmonProps!$B$2:$B$10001)*($AP92 = [2]SalmonProps!$F$2:$F$10001) *($AR92 = [2]SalmonProps!$G$2:$G$10001),0), 18))</f>
        <v>0.2195</v>
      </c>
      <c r="Z92" s="164" cm="1">
        <f t="array" ref="Z92">IF(ISBLANK($AQ92), "", INDEX([2]SalmonProps!$A$2:$AA$10001,MATCH(1,($A92=[2]SalmonProps!$A$2:$A$10001)*(1=[2]SalmonProps!$C$2:$C$10001)*(1=[2]SalmonProps!$D$2:$D$10001)*("A1" = [2]SalmonProps!$B$2:$B$10001)*($AP92 = [2]SalmonProps!$F$2:$F$10001) *($AR92 = [2]SalmonProps!$G$2:$G$10001),0), 15))</f>
        <v>0.33829999999999999</v>
      </c>
      <c r="AA92" s="165" cm="1">
        <f t="array" ref="AA92">IF(ISBLANK($AQ92), "", INDEX([2]SalmonProps!$A$2:$AA$10001,MATCH(1,($A92=[2]SalmonProps!$A$2:$A$10001)*(1=[2]SalmonProps!$C$2:$C$10001)*(2=[2]SalmonProps!$D$2:$D$10001)*("A1" = [2]SalmonProps!$B$2:$B$10001)*($AP92 = [2]SalmonProps!$F$2:$F$10001) *($AR92 = [2]SalmonProps!$G$2:$G$10001),0), 15))</f>
        <v>0.45250000000000001</v>
      </c>
      <c r="AB92" s="165" cm="1">
        <f t="array" ref="AB92">IF(ISBLANK($AQ92), "", INDEX([2]SalmonProps!$A$2:$AA$10001,MATCH(1,($A92=[2]SalmonProps!$A$2:$A$10001)*(1=[2]SalmonProps!$C$2:$C$10001)*("1&amp;2"=[2]SalmonProps!$D$2:$D$10001)*("A1" = [2]SalmonProps!$B$2:$B$10001)*($AP92 = [2]SalmonProps!$F$2:$F$10001) *($AR92 = [2]SalmonProps!$G$2:$G$10001),0), 15))</f>
        <v>0.37959999999999999</v>
      </c>
      <c r="AC92" s="165" cm="1">
        <f t="array" ref="AC92">IF(ISBLANK($AQ92), "", INDEX([2]SalmonProps!$A$2:$AA$10001,MATCH(1,($A92=[2]SalmonProps!$A$2:$A$10001)*(2=[2]SalmonProps!$C$2:$C$10001)*(3=[2]SalmonProps!$D$2:$D$10001)*("A1" = [2]SalmonProps!$B$2:$B$10001)*($AP92 = [2]SalmonProps!$F$2:$F$10001) *($AR92 = [2]SalmonProps!$G$2:$G$10001),0), 15))</f>
        <v>0.63360000000000005</v>
      </c>
      <c r="AD92" s="181" cm="1">
        <f t="array" ref="AD92">IF(ISBLANK($AQ92), "", INDEX([2]SalmonProps!$A$2:$AA$10001,MATCH(1,($A92=[2]SalmonProps!$A$2:$A$10001)*(3=[2]SalmonProps!$C$2:$C$10001)*(3=[2]SalmonProps!$D$2:$D$10001)*("A1" = [2]SalmonProps!$B$2:$B$10001)*($AP92 = [2]SalmonProps!$F$2:$F$10001) *($AR92 = [2]SalmonProps!$G$2:$G$10001),0), 15))</f>
        <v>0.871</v>
      </c>
      <c r="AE92" s="166" cm="1">
        <f t="array" ref="AE92">IF(ISBLANK($AQ92), "", INDEX([2]SalmonProps!$A$2:$AA$10001,MATCH(1,($A92=[2]SalmonProps!$A$2:$A$10001)*(1=[2]SalmonProps!$C$2:$C$10001)*(1=[2]SalmonProps!$D$2:$D$10001)*("A2" = [2]SalmonProps!$B$2:$B$10001)*($AP92 = [2]SalmonProps!$F$2:$F$10001) *($AR92 = [2]SalmonProps!$G$2:$G$10001),0), 15))</f>
        <v>0.54120000000000001</v>
      </c>
      <c r="AF92" s="166" cm="1">
        <f t="array" ref="AF92">IF(ISBLANK($AQ92), "", INDEX([2]SalmonProps!$A$2:$AA$10001,MATCH(1,($A92=[2]SalmonProps!$A$2:$A$10001)*(2=[2]SalmonProps!$C$2:$C$10001)*(1=[2]SalmonProps!$D$2:$D$10001)*("A2" = [2]SalmonProps!$B$2:$B$10001)*($AP92 = [2]SalmonProps!$F$2:$F$10001) *($AR92 = [2]SalmonProps!$G$2:$G$10001),0), 15))</f>
        <v>0.68340000000000001</v>
      </c>
      <c r="AG92" s="167" cm="1">
        <f t="array" ref="AG92">IF(ISBLANK($AQ92), "", INDEX([2]SalmonProps!$A$2:$AA$10001,MATCH(1,($A92=[2]SalmonProps!$A$2:$A$10001)*(3=[2]SalmonProps!$C$2:$C$10001)*(1=[2]SalmonProps!$D$2:$D$10001)*("A2" = [2]SalmonProps!$B$2:$B$10001)*($AP92 = [2]SalmonProps!$F$2:$F$10001) *($AR92 = [2]SalmonProps!$G$2:$G$10001),0), 15))</f>
        <v>0.86</v>
      </c>
      <c r="AH92" s="173" cm="1">
        <f t="array" ref="AH92">IF(ISBLANK($AQ92), "", INDEX([2]SalmonProps!$A$2:$AA$10001,MATCH(1,($A92=[2]SalmonProps!$A$2:$A$10001)*($AP92 = [2]SalmonProps!$F$2:$F$10001) *($AR92 = [2]SalmonProps!$G$2:$G$10001),0), 24))</f>
        <v>52.5</v>
      </c>
      <c r="AI92" s="183" cm="1">
        <f t="array" ref="AI92">IF(ISBLANK($AQ92), "", INDEX([2]SalmonProps!$A$2:$AA$10001,MATCH(1,($A92=[2]SalmonProps!$A$2:$A$10001)*($AP92 = [2]SalmonProps!$F$2:$F$10001) *($AR92 = [2]SalmonProps!$G$2:$G$10001),0), 25))</f>
        <v>6.8</v>
      </c>
      <c r="AJ92" s="174" cm="1">
        <f t="array" ref="AJ92">IF(ISBLANK($AQ92), "", INDEX([2]SalmonProps!$A$2:$AA$10001,MATCH(1,($A92=[2]SalmonProps!$A$2:$A$10001)*($AP92 = [2]SalmonProps!$F$2:$F$10001) *($AR92 = [2]SalmonProps!$G$2:$G$10001),0), 20))</f>
        <v>61.6</v>
      </c>
      <c r="AK92" s="183" cm="1">
        <f t="array" ref="AK92">IF(ISBLANK($AQ92), "", INDEX([2]SalmonProps!$A$2:$AA$10001,MATCH(1,($A92=[2]SalmonProps!$A$2:$A$10001)*($AP92 = [2]SalmonProps!$F$2:$F$10001) *($AR92 = [2]SalmonProps!$G$2:$G$10001),0), 21))</f>
        <v>5</v>
      </c>
      <c r="AL92" s="174" cm="1">
        <f t="array" ref="AL92">IF(ISBLANK($AQ92), "", INDEX([2]SalmonProps!$A$2:$AA$10001,MATCH(1,($A92=[2]SalmonProps!$A$2:$A$10001)*($AP92 = [2]SalmonProps!$F$2:$F$10001) *($AR92 = [2]SalmonProps!$G$2:$G$10001),0), 22))</f>
        <v>82.6</v>
      </c>
      <c r="AM92" s="183" cm="1">
        <f t="array" ref="AM92">IF(ISBLANK($AQ92), "", INDEX([2]SalmonProps!$A$2:$AA$10001,MATCH(1,($A92=[2]SalmonProps!$A$2:$A$10001)*($AP92 = [2]SalmonProps!$F$2:$F$10001) *($AR92 = [2]SalmonProps!$G$2:$G$10001),0), 23))</f>
        <v>8.3000000000000007</v>
      </c>
      <c r="AN92" s="174" t="str" cm="1">
        <f t="array" ref="AN92">IF(ISBLANK($AQ92), "", INDEX([2]SalmonProps!$A$2:$AA$10001,MATCH(1,($A92=[2]SalmonProps!$A$2:$A$10001)*($AP92 = [2]SalmonProps!$F$2:$F$10001) *($AR92 = [2]SalmonProps!$G$2:$G$10001),0), 26))</f>
        <v>NA</v>
      </c>
      <c r="AO92" s="175" t="str" cm="1">
        <f t="array" ref="AO92">IF(ISBLANK($AQ92), "", INDEX([2]SalmonProps!$A$2:$AA$10001,MATCH(1,($A92=[2]SalmonProps!$A$2:$A$10001)*($AP92 = [2]SalmonProps!$F$2:$F$10001) *($AR92 = [2]SalmonProps!$G$2:$G$10001),0), 27))</f>
        <v>NA</v>
      </c>
      <c r="AP92" s="112">
        <v>4</v>
      </c>
      <c r="AQ92" s="112" t="s">
        <v>133</v>
      </c>
      <c r="AR92" s="112" t="str">
        <f t="shared" si="2"/>
        <v>Unweighted</v>
      </c>
    </row>
    <row r="93" spans="1:44" x14ac:dyDescent="0.3">
      <c r="A93" s="20">
        <f>'[1]Passage Estimates'!$A93</f>
        <v>45195</v>
      </c>
      <c r="B93" s="164" cm="1">
        <f t="array" ref="B93">IF(ISBLANK($AQ93), "", INDEX([2]SalmonProps!$A$2:$AA$10001,MATCH(1,($A93=[2]SalmonProps!$A$2:$A$10001)*(1=[2]SalmonProps!$C$2:$C$10001)*(1=[2]SalmonProps!$D$2:$D$10001)*("A1" = [2]SalmonProps!$B$2:$B$10001)*($AP93 = [2]SalmonProps!$F$2:$F$10001) *($AR93 = [2]SalmonProps!$G$2:$G$10001),0), 17))</f>
        <v>0</v>
      </c>
      <c r="C93" s="165" cm="1">
        <f t="array" ref="C93">IF(ISBLANK($AQ93), "", INDEX([2]SalmonProps!$A$2:$AA$10001,MATCH(1,($A93=[2]SalmonProps!$A$2:$A$10001)*(1=[2]SalmonProps!$C$2:$C$10001)*(2=[2]SalmonProps!$D$2:$D$10001)*("A1" = [2]SalmonProps!$B$2:$B$10001)*($AP93 = [2]SalmonProps!$F$2:$F$10001) *($AR93 = [2]SalmonProps!$G$2:$G$10001),0), 17))</f>
        <v>2.1499999999999998E-2</v>
      </c>
      <c r="D93" s="165" cm="1">
        <f t="array" ref="D93">IF(ISBLANK($AQ93), "", INDEX([2]SalmonProps!$A$2:$AA$10001,MATCH(1,($A93=[2]SalmonProps!$A$2:$A$10001)*(1=[2]SalmonProps!$C$2:$C$10001)*("1&amp;2"=[2]SalmonProps!$D$2:$D$10001)*("A1" = [2]SalmonProps!$B$2:$B$10001)*($AP93 = [2]SalmonProps!$F$2:$F$10001) *($AR93 = [2]SalmonProps!$G$2:$G$10001),0), 17))</f>
        <v>1.1900000000000001E-2</v>
      </c>
      <c r="E93" s="181" cm="1">
        <f t="array" ref="E93">IF(ISBLANK($AQ93), "", INDEX([2]SalmonProps!$A$2:$AA$10001,MATCH(1,($A93=[2]SalmonProps!$A$2:$A$10001)*(2=[2]SalmonProps!$C$2:$C$10001)*(3=[2]SalmonProps!$D$2:$D$10001)*("A1" = [2]SalmonProps!$B$2:$B$10001)*($AP93 = [2]SalmonProps!$F$2:$F$10001) *($AR93 = [2]SalmonProps!$G$2:$G$10001),0), 17))</f>
        <v>8.5000000000000006E-2</v>
      </c>
      <c r="F93" s="165" cm="1">
        <f t="array" ref="F93">IF(ISBLANK($AQ93), "", INDEX([2]SalmonProps!$A$2:$AA$10001,MATCH(1,($A93=[2]SalmonProps!$A$2:$A$10001)*(3=[2]SalmonProps!$C$2:$C$10001)*(3=[2]SalmonProps!$D$2:$D$10001)*("A1" = [2]SalmonProps!$B$2:$B$10001)*($AP93 = [2]SalmonProps!$F$2:$F$10001) *($AR93 = [2]SalmonProps!$G$2:$G$10001),0), 17))</f>
        <v>7.4700000000000003E-2</v>
      </c>
      <c r="G93" s="165" cm="1">
        <f t="array" ref="G93">IF(ISBLANK($AQ93), "", INDEX([2]SalmonProps!$A$2:$AA$10001,MATCH(1,($A93=[2]SalmonProps!$A$2:$A$10001)*(1=[2]SalmonProps!$C$2:$C$10001)*(1=[2]SalmonProps!$D$2:$D$10001)*("A2" = [2]SalmonProps!$B$2:$B$10001)*($AP93 = [2]SalmonProps!$F$2:$F$10001) *($AR93 = [2]SalmonProps!$G$2:$G$10001),0), 17))</f>
        <v>6.3E-3</v>
      </c>
      <c r="H93" s="166" cm="1">
        <f t="array" ref="H93">IF(ISBLANK($AQ93), "", INDEX([2]SalmonProps!$A$2:$AA$10001,MATCH(1,($A93=[2]SalmonProps!$A$2:$A$10001)*(2=[2]SalmonProps!$C$2:$C$10001)*(1=[2]SalmonProps!$D$2:$D$10001)*("A2" = [2]SalmonProps!$B$2:$B$10001)*($AP93 = [2]SalmonProps!$F$2:$F$10001) *($AR93 = [2]SalmonProps!$G$2:$G$10001),0), 17))</f>
        <v>0.1009</v>
      </c>
      <c r="I93" s="167" cm="1">
        <f t="array" ref="I93">IF(ISBLANK($AQ93), "", INDEX([2]SalmonProps!$A$2:$AA$10001,MATCH(1,($A93=[2]SalmonProps!$A$2:$A$10001)*(3=[2]SalmonProps!$C$2:$C$10001)*(1=[2]SalmonProps!$D$2:$D$10001)*("A2" = [2]SalmonProps!$B$2:$B$10001)*($AP93 = [2]SalmonProps!$F$2:$F$10001) *($AR93 = [2]SalmonProps!$G$2:$G$10001),0), 17))</f>
        <v>0.35949999999999999</v>
      </c>
      <c r="J93" s="164" t="str" cm="1">
        <f t="array" ref="J93">IF(ISBLANK($AQ93), "", INDEX([2]SalmonProps!$A$2:$AA$10001,MATCH(1,($A93=[2]SalmonProps!$A$2:$A$10001)*(1=[2]SalmonProps!$C$2:$C$10001)*(1=[2]SalmonProps!$D$2:$D$10001)*("A1" = [2]SalmonProps!$B$2:$B$10001)*($AP93 = [2]SalmonProps!$F$2:$F$10001) *($AR93 = [2]SalmonProps!$G$2:$G$10001),0), 19))</f>
        <v>NA</v>
      </c>
      <c r="K93" s="165" t="str" cm="1">
        <f t="array" ref="K93">IF(ISBLANK($AQ93), "", INDEX([2]SalmonProps!$A$2:$AA$10001,MATCH(1,($A93=[2]SalmonProps!$A$2:$A$10001)*(1=[2]SalmonProps!$C$2:$C$10001)*(2=[2]SalmonProps!$D$2:$D$10001)*("A1" = [2]SalmonProps!$B$2:$B$10001)*($AP93 = [2]SalmonProps!$F$2:$F$10001) *($AR93 = [2]SalmonProps!$G$2:$G$10001),0), 19))</f>
        <v>NA</v>
      </c>
      <c r="L93" s="165" t="str" cm="1">
        <f t="array" ref="L93">IF(ISBLANK($AQ93), "", INDEX([2]SalmonProps!$A$2:$AA$10001,MATCH(1,($A93=[2]SalmonProps!$A$2:$A$10001)*(1=[2]SalmonProps!$C$2:$C$10001)*("1&amp;2"=[2]SalmonProps!$D$2:$D$10001)*("A1" = [2]SalmonProps!$B$2:$B$10001)*($AP93 = [2]SalmonProps!$F$2:$F$10001) *($AR93 = [2]SalmonProps!$G$2:$G$10001),0), 19))</f>
        <v>NA</v>
      </c>
      <c r="M93" s="165" t="str" cm="1">
        <f t="array" ref="M93">IF(ISBLANK($AQ93), "", INDEX([2]SalmonProps!$A$2:$AA$10001,MATCH(1,($A93=[2]SalmonProps!$A$2:$A$10001)*(2=[2]SalmonProps!$C$2:$C$10001)*(3=[2]SalmonProps!$D$2:$D$10001)*("A1" = [2]SalmonProps!$B$2:$B$10001)*($AP93 = [2]SalmonProps!$F$2:$F$10001) *($AR93 = [2]SalmonProps!$G$2:$G$10001),0), 19))</f>
        <v>NA</v>
      </c>
      <c r="N93" s="181" t="str" cm="1">
        <f t="array" ref="N93">IF(ISBLANK($AQ93), "", INDEX([2]SalmonProps!$A$2:$AA$10001,MATCH(1,($A93=[2]SalmonProps!$A$2:$A$10001)*(3=[2]SalmonProps!$C$2:$C$10001)*(3=[2]SalmonProps!$D$2:$D$10001)*("A1" = [2]SalmonProps!$B$2:$B$10001)*($AP93 = [2]SalmonProps!$F$2:$F$10001) *($AR93 = [2]SalmonProps!$G$2:$G$10001),0), 19))</f>
        <v>NA</v>
      </c>
      <c r="O93" s="165" t="str" cm="1">
        <f t="array" ref="O93">IF(ISBLANK($AQ93), "", INDEX([2]SalmonProps!$A$2:$AA$10001,MATCH(1,($A93=[2]SalmonProps!$A$2:$A$10001)*(1=[2]SalmonProps!$C$2:$C$10001)*(1=[2]SalmonProps!$D$2:$D$10001)*("A2" = [2]SalmonProps!$B$2:$B$10001)*($AP93 = [2]SalmonProps!$F$2:$F$10001) *($AR93 = [2]SalmonProps!$G$2:$G$10001),0), 19))</f>
        <v>NA</v>
      </c>
      <c r="P93" s="165" t="str" cm="1">
        <f t="array" ref="P93">IF(ISBLANK($AQ93), "", INDEX([2]SalmonProps!$A$2:$AA$10001,MATCH(1,($A93=[2]SalmonProps!$A$2:$A$10001)*(2=[2]SalmonProps!$C$2:$C$10001)*(1=[2]SalmonProps!$D$2:$D$10001)*("A2" = [2]SalmonProps!$B$2:$B$10001)*($AP93 = [2]SalmonProps!$F$2:$F$10001) *($AR93 = [2]SalmonProps!$G$2:$G$10001),0), 19))</f>
        <v>NA</v>
      </c>
      <c r="Q93" s="168" t="str" cm="1">
        <f t="array" ref="Q93">IF(ISBLANK($AQ93), "", INDEX([2]SalmonProps!$A$2:$AA$10001,MATCH(1,($A93=[2]SalmonProps!$A$2:$A$10001)*(3=[2]SalmonProps!$C$2:$C$10001)*(1=[2]SalmonProps!$D$2:$D$10001)*("A2" = [2]SalmonProps!$B$2:$B$10001)*($AP93 = [2]SalmonProps!$F$2:$F$10001) *($AR93 = [2]SalmonProps!$G$2:$G$10001),0), 19))</f>
        <v>NA</v>
      </c>
      <c r="R93" s="164" cm="1">
        <f t="array" ref="R93">IF(ISBLANK($AQ93), "", INDEX([2]SalmonProps!$A$2:$AA$10001,MATCH(1,($A93=[2]SalmonProps!$A$2:$A$10001)*(1=[2]SalmonProps!$C$2:$C$10001)*(1=[2]SalmonProps!$D$2:$D$10001)*("A1" = [2]SalmonProps!$B$2:$B$10001)*($AP93 = [2]SalmonProps!$F$2:$F$10001) *($AR93 = [2]SalmonProps!$G$2:$G$10001),0), 18))</f>
        <v>0.32540000000000002</v>
      </c>
      <c r="S93" s="165" cm="1">
        <f t="array" ref="S93">IF(ISBLANK($AQ93), "", INDEX([2]SalmonProps!$A$2:$AA$10001,MATCH(1,($A93=[2]SalmonProps!$A$2:$A$10001)*(1=[2]SalmonProps!$C$2:$C$10001)*(2=[2]SalmonProps!$D$2:$D$10001)*("A1" = [2]SalmonProps!$B$2:$B$10001)*($AP93 = [2]SalmonProps!$F$2:$F$10001) *($AR93 = [2]SalmonProps!$G$2:$G$10001),0), 18))</f>
        <v>0.29559999999999997</v>
      </c>
      <c r="T93" s="165" cm="1">
        <f t="array" ref="T93">IF(ISBLANK($AQ93), "", INDEX([2]SalmonProps!$A$2:$AA$10001,MATCH(1,($A93=[2]SalmonProps!$A$2:$A$10001)*(1=[2]SalmonProps!$C$2:$C$10001)*("1&amp;2"=[2]SalmonProps!$D$2:$D$10001)*("A1" = [2]SalmonProps!$B$2:$B$10001)*($AP93 = [2]SalmonProps!$F$2:$F$10001) *($AR93 = [2]SalmonProps!$G$2:$G$10001),0), 18))</f>
        <v>0.27979999999999999</v>
      </c>
      <c r="U93" s="165" cm="1">
        <f t="array" ref="U93">IF(ISBLANK($AQ93), "", INDEX([2]SalmonProps!$A$2:$AA$10001,MATCH(1,($A93=[2]SalmonProps!$A$2:$A$10001)*(2=[2]SalmonProps!$C$2:$C$10001)*(3=[2]SalmonProps!$D$2:$D$10001)*("A1" = [2]SalmonProps!$B$2:$B$10001)*($AP93 = [2]SalmonProps!$F$2:$F$10001) *($AR93 = [2]SalmonProps!$G$2:$G$10001),0), 18))</f>
        <v>0.30840000000000001</v>
      </c>
      <c r="V93" s="181" cm="1">
        <f t="array" ref="V93">IF(ISBLANK($AQ93), "", INDEX([2]SalmonProps!$A$2:$AA$10001,MATCH(1,($A93=[2]SalmonProps!$A$2:$A$10001)*(3=[2]SalmonProps!$C$2:$C$10001)*(3=[2]SalmonProps!$D$2:$D$10001)*("A1" = [2]SalmonProps!$B$2:$B$10001)*($AP93 = [2]SalmonProps!$F$2:$F$10001) *($AR93 = [2]SalmonProps!$G$2:$G$10001),0), 18))</f>
        <v>0.51629999999999998</v>
      </c>
      <c r="W93" s="180" cm="1">
        <f t="array" ref="W93">IF(ISBLANK($AQ93), "", INDEX([2]SalmonProps!$A$2:$AA$10001,MATCH(1,($A93=[2]SalmonProps!$A$2:$A$10001)*(1=[2]SalmonProps!$C$2:$C$10001)*(1=[2]SalmonProps!$D$2:$D$10001)*("A2" = [2]SalmonProps!$B$2:$B$10001)*($AP93 = [2]SalmonProps!$F$2:$F$10001) *($AR93 = [2]SalmonProps!$G$2:$G$10001),0), 18))</f>
        <v>0.32619999999999999</v>
      </c>
      <c r="X93" s="165" cm="1">
        <f t="array" ref="X93">IF(ISBLANK($AQ93), "", INDEX([2]SalmonProps!$A$2:$AA$10001,MATCH(1,($A93=[2]SalmonProps!$A$2:$A$10001)*(2=[2]SalmonProps!$C$2:$C$10001)*(1=[2]SalmonProps!$D$2:$D$10001)*("A2" = [2]SalmonProps!$B$2:$B$10001)*($AP93 = [2]SalmonProps!$F$2:$F$10001) *($AR93 = [2]SalmonProps!$G$2:$G$10001),0), 18))</f>
        <v>0.32169999999999999</v>
      </c>
      <c r="Y93" s="168" cm="1">
        <f t="array" ref="Y93">IF(ISBLANK($AQ93), "", INDEX([2]SalmonProps!$A$2:$AA$10001,MATCH(1,($A93=[2]SalmonProps!$A$2:$A$10001)*(3=[2]SalmonProps!$C$2:$C$10001)*(1=[2]SalmonProps!$D$2:$D$10001)*("A2" = [2]SalmonProps!$B$2:$B$10001)*($AP93 = [2]SalmonProps!$F$2:$F$10001) *($AR93 = [2]SalmonProps!$G$2:$G$10001),0), 18))</f>
        <v>0.2195</v>
      </c>
      <c r="Z93" s="164" cm="1">
        <f t="array" ref="Z93">IF(ISBLANK($AQ93), "", INDEX([2]SalmonProps!$A$2:$AA$10001,MATCH(1,($A93=[2]SalmonProps!$A$2:$A$10001)*(1=[2]SalmonProps!$C$2:$C$10001)*(1=[2]SalmonProps!$D$2:$D$10001)*("A1" = [2]SalmonProps!$B$2:$B$10001)*($AP93 = [2]SalmonProps!$F$2:$F$10001) *($AR93 = [2]SalmonProps!$G$2:$G$10001),0), 15))</f>
        <v>0.39179999999999998</v>
      </c>
      <c r="AA93" s="165" cm="1">
        <f t="array" ref="AA93">IF(ISBLANK($AQ93), "", INDEX([2]SalmonProps!$A$2:$AA$10001,MATCH(1,($A93=[2]SalmonProps!$A$2:$A$10001)*(1=[2]SalmonProps!$C$2:$C$10001)*(2=[2]SalmonProps!$D$2:$D$10001)*("A1" = [2]SalmonProps!$B$2:$B$10001)*($AP93 = [2]SalmonProps!$F$2:$F$10001) *($AR93 = [2]SalmonProps!$G$2:$G$10001),0), 15))</f>
        <v>0.4274</v>
      </c>
      <c r="AB93" s="165" cm="1">
        <f t="array" ref="AB93">IF(ISBLANK($AQ93), "", INDEX([2]SalmonProps!$A$2:$AA$10001,MATCH(1,($A93=[2]SalmonProps!$A$2:$A$10001)*(1=[2]SalmonProps!$C$2:$C$10001)*("1&amp;2"=[2]SalmonProps!$D$2:$D$10001)*("A1" = [2]SalmonProps!$B$2:$B$10001)*($AP93 = [2]SalmonProps!$F$2:$F$10001) *($AR93 = [2]SalmonProps!$G$2:$G$10001),0), 15))</f>
        <v>0.34139999999999998</v>
      </c>
      <c r="AC93" s="165" cm="1">
        <f t="array" ref="AC93">IF(ISBLANK($AQ93), "", INDEX([2]SalmonProps!$A$2:$AA$10001,MATCH(1,($A93=[2]SalmonProps!$A$2:$A$10001)*(2=[2]SalmonProps!$C$2:$C$10001)*(3=[2]SalmonProps!$D$2:$D$10001)*("A1" = [2]SalmonProps!$B$2:$B$10001)*($AP93 = [2]SalmonProps!$F$2:$F$10001) *($AR93 = [2]SalmonProps!$G$2:$G$10001),0), 15))</f>
        <v>0.61450000000000005</v>
      </c>
      <c r="AD93" s="181" cm="1">
        <f t="array" ref="AD93">IF(ISBLANK($AQ93), "", INDEX([2]SalmonProps!$A$2:$AA$10001,MATCH(1,($A93=[2]SalmonProps!$A$2:$A$10001)*(3=[2]SalmonProps!$C$2:$C$10001)*(3=[2]SalmonProps!$D$2:$D$10001)*("A1" = [2]SalmonProps!$B$2:$B$10001)*($AP93 = [2]SalmonProps!$F$2:$F$10001) *($AR93 = [2]SalmonProps!$G$2:$G$10001),0), 15))</f>
        <v>0.88719999999999999</v>
      </c>
      <c r="AE93" s="166" cm="1">
        <f t="array" ref="AE93">IF(ISBLANK($AQ93), "", INDEX([2]SalmonProps!$A$2:$AA$10001,MATCH(1,($A93=[2]SalmonProps!$A$2:$A$10001)*(1=[2]SalmonProps!$C$2:$C$10001)*(1=[2]SalmonProps!$D$2:$D$10001)*("A2" = [2]SalmonProps!$B$2:$B$10001)*($AP93 = [2]SalmonProps!$F$2:$F$10001) *($AR93 = [2]SalmonProps!$G$2:$G$10001),0), 15))</f>
        <v>0.54120000000000001</v>
      </c>
      <c r="AF93" s="166" cm="1">
        <f t="array" ref="AF93">IF(ISBLANK($AQ93), "", INDEX([2]SalmonProps!$A$2:$AA$10001,MATCH(1,($A93=[2]SalmonProps!$A$2:$A$10001)*(2=[2]SalmonProps!$C$2:$C$10001)*(1=[2]SalmonProps!$D$2:$D$10001)*("A2" = [2]SalmonProps!$B$2:$B$10001)*($AP93 = [2]SalmonProps!$F$2:$F$10001) *($AR93 = [2]SalmonProps!$G$2:$G$10001),0), 15))</f>
        <v>0.68340000000000001</v>
      </c>
      <c r="AG93" s="167" cm="1">
        <f t="array" ref="AG93">IF(ISBLANK($AQ93), "", INDEX([2]SalmonProps!$A$2:$AA$10001,MATCH(1,($A93=[2]SalmonProps!$A$2:$A$10001)*(3=[2]SalmonProps!$C$2:$C$10001)*(1=[2]SalmonProps!$D$2:$D$10001)*("A2" = [2]SalmonProps!$B$2:$B$10001)*($AP93 = [2]SalmonProps!$F$2:$F$10001) *($AR93 = [2]SalmonProps!$G$2:$G$10001),0), 15))</f>
        <v>0.86</v>
      </c>
      <c r="AH93" s="173" cm="1">
        <f t="array" ref="AH93">IF(ISBLANK($AQ93), "", INDEX([2]SalmonProps!$A$2:$AA$10001,MATCH(1,($A93=[2]SalmonProps!$A$2:$A$10001)*($AP93 = [2]SalmonProps!$F$2:$F$10001) *($AR93 = [2]SalmonProps!$G$2:$G$10001),0), 24))</f>
        <v>52.5</v>
      </c>
      <c r="AI93" s="183" cm="1">
        <f t="array" ref="AI93">IF(ISBLANK($AQ93), "", INDEX([2]SalmonProps!$A$2:$AA$10001,MATCH(1,($A93=[2]SalmonProps!$A$2:$A$10001)*($AP93 = [2]SalmonProps!$F$2:$F$10001) *($AR93 = [2]SalmonProps!$G$2:$G$10001),0), 25))</f>
        <v>6.8</v>
      </c>
      <c r="AJ93" s="174" cm="1">
        <f t="array" ref="AJ93">IF(ISBLANK($AQ93), "", INDEX([2]SalmonProps!$A$2:$AA$10001,MATCH(1,($A93=[2]SalmonProps!$A$2:$A$10001)*($AP93 = [2]SalmonProps!$F$2:$F$10001) *($AR93 = [2]SalmonProps!$G$2:$G$10001),0), 20))</f>
        <v>61.6</v>
      </c>
      <c r="AK93" s="183" cm="1">
        <f t="array" ref="AK93">IF(ISBLANK($AQ93), "", INDEX([2]SalmonProps!$A$2:$AA$10001,MATCH(1,($A93=[2]SalmonProps!$A$2:$A$10001)*($AP93 = [2]SalmonProps!$F$2:$F$10001) *($AR93 = [2]SalmonProps!$G$2:$G$10001),0), 21))</f>
        <v>5</v>
      </c>
      <c r="AL93" s="174" cm="1">
        <f t="array" ref="AL93">IF(ISBLANK($AQ93), "", INDEX([2]SalmonProps!$A$2:$AA$10001,MATCH(1,($A93=[2]SalmonProps!$A$2:$A$10001)*($AP93 = [2]SalmonProps!$F$2:$F$10001) *($AR93 = [2]SalmonProps!$G$2:$G$10001),0), 22))</f>
        <v>82.6</v>
      </c>
      <c r="AM93" s="183" cm="1">
        <f t="array" ref="AM93">IF(ISBLANK($AQ93), "", INDEX([2]SalmonProps!$A$2:$AA$10001,MATCH(1,($A93=[2]SalmonProps!$A$2:$A$10001)*($AP93 = [2]SalmonProps!$F$2:$F$10001) *($AR93 = [2]SalmonProps!$G$2:$G$10001),0), 23))</f>
        <v>8.3000000000000007</v>
      </c>
      <c r="AN93" s="174" t="str" cm="1">
        <f t="array" ref="AN93">IF(ISBLANK($AQ93), "", INDEX([2]SalmonProps!$A$2:$AA$10001,MATCH(1,($A93=[2]SalmonProps!$A$2:$A$10001)*($AP93 = [2]SalmonProps!$F$2:$F$10001) *($AR93 = [2]SalmonProps!$G$2:$G$10001),0), 26))</f>
        <v>NA</v>
      </c>
      <c r="AO93" s="175" t="str" cm="1">
        <f t="array" ref="AO93">IF(ISBLANK($AQ93), "", INDEX([2]SalmonProps!$A$2:$AA$10001,MATCH(1,($A93=[2]SalmonProps!$A$2:$A$10001)*($AP93 = [2]SalmonProps!$F$2:$F$10001) *($AR93 = [2]SalmonProps!$G$2:$G$10001),0), 27))</f>
        <v>NA</v>
      </c>
      <c r="AP93" s="112">
        <v>4</v>
      </c>
      <c r="AQ93" s="112" t="s">
        <v>133</v>
      </c>
      <c r="AR93" s="112" t="str">
        <f t="shared" si="2"/>
        <v>Unweighted</v>
      </c>
    </row>
    <row r="94" spans="1:44" x14ac:dyDescent="0.3">
      <c r="A94" s="20">
        <f>'[1]Passage Estimates'!$A94</f>
        <v>45196</v>
      </c>
      <c r="B94" s="164" cm="1">
        <f t="array" ref="B94">IF(ISBLANK($AQ94), "", INDEX([2]SalmonProps!$A$2:$AA$10001,MATCH(1,($A94=[2]SalmonProps!$A$2:$A$10001)*(1=[2]SalmonProps!$C$2:$C$10001)*(1=[2]SalmonProps!$D$2:$D$10001)*("A1" = [2]SalmonProps!$B$2:$B$10001)*($AP94 = [2]SalmonProps!$F$2:$F$10001) *($AR94 = [2]SalmonProps!$G$2:$G$10001),0), 17))</f>
        <v>2.23E-2</v>
      </c>
      <c r="C94" s="165" cm="1">
        <f t="array" ref="C94">IF(ISBLANK($AQ94), "", INDEX([2]SalmonProps!$A$2:$AA$10001,MATCH(1,($A94=[2]SalmonProps!$A$2:$A$10001)*(1=[2]SalmonProps!$C$2:$C$10001)*(2=[2]SalmonProps!$D$2:$D$10001)*("A1" = [2]SalmonProps!$B$2:$B$10001)*($AP94 = [2]SalmonProps!$F$2:$F$10001) *($AR94 = [2]SalmonProps!$G$2:$G$10001),0), 17))</f>
        <v>0</v>
      </c>
      <c r="D94" s="165" cm="1">
        <f t="array" ref="D94">IF(ISBLANK($AQ94), "", INDEX([2]SalmonProps!$A$2:$AA$10001,MATCH(1,($A94=[2]SalmonProps!$A$2:$A$10001)*(1=[2]SalmonProps!$C$2:$C$10001)*("1&amp;2"=[2]SalmonProps!$D$2:$D$10001)*("A1" = [2]SalmonProps!$B$2:$B$10001)*($AP94 = [2]SalmonProps!$F$2:$F$10001) *($AR94 = [2]SalmonProps!$G$2:$G$10001),0), 17))</f>
        <v>1.03E-2</v>
      </c>
      <c r="E94" s="181" cm="1">
        <f t="array" ref="E94">IF(ISBLANK($AQ94), "", INDEX([2]SalmonProps!$A$2:$AA$10001,MATCH(1,($A94=[2]SalmonProps!$A$2:$A$10001)*(2=[2]SalmonProps!$C$2:$C$10001)*(3=[2]SalmonProps!$D$2:$D$10001)*("A1" = [2]SalmonProps!$B$2:$B$10001)*($AP94 = [2]SalmonProps!$F$2:$F$10001) *($AR94 = [2]SalmonProps!$G$2:$G$10001),0), 17))</f>
        <v>5.4699999999999999E-2</v>
      </c>
      <c r="F94" s="165" cm="1">
        <f t="array" ref="F94">IF(ISBLANK($AQ94), "", INDEX([2]SalmonProps!$A$2:$AA$10001,MATCH(1,($A94=[2]SalmonProps!$A$2:$A$10001)*(3=[2]SalmonProps!$C$2:$C$10001)*(3=[2]SalmonProps!$D$2:$D$10001)*("A1" = [2]SalmonProps!$B$2:$B$10001)*($AP94 = [2]SalmonProps!$F$2:$F$10001) *($AR94 = [2]SalmonProps!$G$2:$G$10001),0), 17))</f>
        <v>0.21909999999999999</v>
      </c>
      <c r="G94" s="165" cm="1">
        <f t="array" ref="G94">IF(ISBLANK($AQ94), "", INDEX([2]SalmonProps!$A$2:$AA$10001,MATCH(1,($A94=[2]SalmonProps!$A$2:$A$10001)*(1=[2]SalmonProps!$C$2:$C$10001)*(1=[2]SalmonProps!$D$2:$D$10001)*("A2" = [2]SalmonProps!$B$2:$B$10001)*($AP94 = [2]SalmonProps!$F$2:$F$10001) *($AR94 = [2]SalmonProps!$G$2:$G$10001),0), 17))</f>
        <v>5.21E-2</v>
      </c>
      <c r="H94" s="166" cm="1">
        <f t="array" ref="H94">IF(ISBLANK($AQ94), "", INDEX([2]SalmonProps!$A$2:$AA$10001,MATCH(1,($A94=[2]SalmonProps!$A$2:$A$10001)*(2=[2]SalmonProps!$C$2:$C$10001)*(1=[2]SalmonProps!$D$2:$D$10001)*("A2" = [2]SalmonProps!$B$2:$B$10001)*($AP94 = [2]SalmonProps!$F$2:$F$10001) *($AR94 = [2]SalmonProps!$G$2:$G$10001),0), 17))</f>
        <v>7.7700000000000005E-2</v>
      </c>
      <c r="I94" s="167" cm="1">
        <f t="array" ref="I94">IF(ISBLANK($AQ94), "", INDEX([2]SalmonProps!$A$2:$AA$10001,MATCH(1,($A94=[2]SalmonProps!$A$2:$A$10001)*(3=[2]SalmonProps!$C$2:$C$10001)*(1=[2]SalmonProps!$D$2:$D$10001)*("A2" = [2]SalmonProps!$B$2:$B$10001)*($AP94 = [2]SalmonProps!$F$2:$F$10001) *($AR94 = [2]SalmonProps!$G$2:$G$10001),0), 17))</f>
        <v>0.23719999999999999</v>
      </c>
      <c r="J94" s="164" t="str" cm="1">
        <f t="array" ref="J94">IF(ISBLANK($AQ94), "", INDEX([2]SalmonProps!$A$2:$AA$10001,MATCH(1,($A94=[2]SalmonProps!$A$2:$A$10001)*(1=[2]SalmonProps!$C$2:$C$10001)*(1=[2]SalmonProps!$D$2:$D$10001)*("A1" = [2]SalmonProps!$B$2:$B$10001)*($AP94 = [2]SalmonProps!$F$2:$F$10001) *($AR94 = [2]SalmonProps!$G$2:$G$10001),0), 19))</f>
        <v>NA</v>
      </c>
      <c r="K94" s="165" t="str" cm="1">
        <f t="array" ref="K94">IF(ISBLANK($AQ94), "", INDEX([2]SalmonProps!$A$2:$AA$10001,MATCH(1,($A94=[2]SalmonProps!$A$2:$A$10001)*(1=[2]SalmonProps!$C$2:$C$10001)*(2=[2]SalmonProps!$D$2:$D$10001)*("A1" = [2]SalmonProps!$B$2:$B$10001)*($AP94 = [2]SalmonProps!$F$2:$F$10001) *($AR94 = [2]SalmonProps!$G$2:$G$10001),0), 19))</f>
        <v>NA</v>
      </c>
      <c r="L94" s="165" t="str" cm="1">
        <f t="array" ref="L94">IF(ISBLANK($AQ94), "", INDEX([2]SalmonProps!$A$2:$AA$10001,MATCH(1,($A94=[2]SalmonProps!$A$2:$A$10001)*(1=[2]SalmonProps!$C$2:$C$10001)*("1&amp;2"=[2]SalmonProps!$D$2:$D$10001)*("A1" = [2]SalmonProps!$B$2:$B$10001)*($AP94 = [2]SalmonProps!$F$2:$F$10001) *($AR94 = [2]SalmonProps!$G$2:$G$10001),0), 19))</f>
        <v>NA</v>
      </c>
      <c r="M94" s="165" t="str" cm="1">
        <f t="array" ref="M94">IF(ISBLANK($AQ94), "", INDEX([2]SalmonProps!$A$2:$AA$10001,MATCH(1,($A94=[2]SalmonProps!$A$2:$A$10001)*(2=[2]SalmonProps!$C$2:$C$10001)*(3=[2]SalmonProps!$D$2:$D$10001)*("A1" = [2]SalmonProps!$B$2:$B$10001)*($AP94 = [2]SalmonProps!$F$2:$F$10001) *($AR94 = [2]SalmonProps!$G$2:$G$10001),0), 19))</f>
        <v>NA</v>
      </c>
      <c r="N94" s="181" t="str" cm="1">
        <f t="array" ref="N94">IF(ISBLANK($AQ94), "", INDEX([2]SalmonProps!$A$2:$AA$10001,MATCH(1,($A94=[2]SalmonProps!$A$2:$A$10001)*(3=[2]SalmonProps!$C$2:$C$10001)*(3=[2]SalmonProps!$D$2:$D$10001)*("A1" = [2]SalmonProps!$B$2:$B$10001)*($AP94 = [2]SalmonProps!$F$2:$F$10001) *($AR94 = [2]SalmonProps!$G$2:$G$10001),0), 19))</f>
        <v>NA</v>
      </c>
      <c r="O94" s="165" t="str" cm="1">
        <f t="array" ref="O94">IF(ISBLANK($AQ94), "", INDEX([2]SalmonProps!$A$2:$AA$10001,MATCH(1,($A94=[2]SalmonProps!$A$2:$A$10001)*(1=[2]SalmonProps!$C$2:$C$10001)*(1=[2]SalmonProps!$D$2:$D$10001)*("A2" = [2]SalmonProps!$B$2:$B$10001)*($AP94 = [2]SalmonProps!$F$2:$F$10001) *($AR94 = [2]SalmonProps!$G$2:$G$10001),0), 19))</f>
        <v>NA</v>
      </c>
      <c r="P94" s="165" t="str" cm="1">
        <f t="array" ref="P94">IF(ISBLANK($AQ94), "", INDEX([2]SalmonProps!$A$2:$AA$10001,MATCH(1,($A94=[2]SalmonProps!$A$2:$A$10001)*(2=[2]SalmonProps!$C$2:$C$10001)*(1=[2]SalmonProps!$D$2:$D$10001)*("A2" = [2]SalmonProps!$B$2:$B$10001)*($AP94 = [2]SalmonProps!$F$2:$F$10001) *($AR94 = [2]SalmonProps!$G$2:$G$10001),0), 19))</f>
        <v>NA</v>
      </c>
      <c r="Q94" s="168" t="str" cm="1">
        <f t="array" ref="Q94">IF(ISBLANK($AQ94), "", INDEX([2]SalmonProps!$A$2:$AA$10001,MATCH(1,($A94=[2]SalmonProps!$A$2:$A$10001)*(3=[2]SalmonProps!$C$2:$C$10001)*(1=[2]SalmonProps!$D$2:$D$10001)*("A2" = [2]SalmonProps!$B$2:$B$10001)*($AP94 = [2]SalmonProps!$F$2:$F$10001) *($AR94 = [2]SalmonProps!$G$2:$G$10001),0), 19))</f>
        <v>NA</v>
      </c>
      <c r="R94" s="164" cm="1">
        <f t="array" ref="R94">IF(ISBLANK($AQ94), "", INDEX([2]SalmonProps!$A$2:$AA$10001,MATCH(1,($A94=[2]SalmonProps!$A$2:$A$10001)*(1=[2]SalmonProps!$C$2:$C$10001)*(1=[2]SalmonProps!$D$2:$D$10001)*("A1" = [2]SalmonProps!$B$2:$B$10001)*($AP94 = [2]SalmonProps!$F$2:$F$10001) *($AR94 = [2]SalmonProps!$G$2:$G$10001),0), 18))</f>
        <v>0.1988</v>
      </c>
      <c r="S94" s="165" cm="1">
        <f t="array" ref="S94">IF(ISBLANK($AQ94), "", INDEX([2]SalmonProps!$A$2:$AA$10001,MATCH(1,($A94=[2]SalmonProps!$A$2:$A$10001)*(1=[2]SalmonProps!$C$2:$C$10001)*(2=[2]SalmonProps!$D$2:$D$10001)*("A1" = [2]SalmonProps!$B$2:$B$10001)*($AP94 = [2]SalmonProps!$F$2:$F$10001) *($AR94 = [2]SalmonProps!$G$2:$G$10001),0), 18))</f>
        <v>0.41010000000000002</v>
      </c>
      <c r="T94" s="165" cm="1">
        <f t="array" ref="T94">IF(ISBLANK($AQ94), "", INDEX([2]SalmonProps!$A$2:$AA$10001,MATCH(1,($A94=[2]SalmonProps!$A$2:$A$10001)*(1=[2]SalmonProps!$C$2:$C$10001)*("1&amp;2"=[2]SalmonProps!$D$2:$D$10001)*("A1" = [2]SalmonProps!$B$2:$B$10001)*($AP94 = [2]SalmonProps!$F$2:$F$10001) *($AR94 = [2]SalmonProps!$G$2:$G$10001),0), 18))</f>
        <v>0.34329999999999999</v>
      </c>
      <c r="U94" s="165" cm="1">
        <f t="array" ref="U94">IF(ISBLANK($AQ94), "", INDEX([2]SalmonProps!$A$2:$AA$10001,MATCH(1,($A94=[2]SalmonProps!$A$2:$A$10001)*(2=[2]SalmonProps!$C$2:$C$10001)*(3=[2]SalmonProps!$D$2:$D$10001)*("A1" = [2]SalmonProps!$B$2:$B$10001)*($AP94 = [2]SalmonProps!$F$2:$F$10001) *($AR94 = [2]SalmonProps!$G$2:$G$10001),0), 18))</f>
        <v>0.49120000000000003</v>
      </c>
      <c r="V94" s="181" cm="1">
        <f t="array" ref="V94">IF(ISBLANK($AQ94), "", INDEX([2]SalmonProps!$A$2:$AA$10001,MATCH(1,($A94=[2]SalmonProps!$A$2:$A$10001)*(3=[2]SalmonProps!$C$2:$C$10001)*(3=[2]SalmonProps!$D$2:$D$10001)*("A1" = [2]SalmonProps!$B$2:$B$10001)*($AP94 = [2]SalmonProps!$F$2:$F$10001) *($AR94 = [2]SalmonProps!$G$2:$G$10001),0), 18))</f>
        <v>0.48449999999999999</v>
      </c>
      <c r="W94" s="180" cm="1">
        <f t="array" ref="W94">IF(ISBLANK($AQ94), "", INDEX([2]SalmonProps!$A$2:$AA$10001,MATCH(1,($A94=[2]SalmonProps!$A$2:$A$10001)*(1=[2]SalmonProps!$C$2:$C$10001)*(1=[2]SalmonProps!$D$2:$D$10001)*("A2" = [2]SalmonProps!$B$2:$B$10001)*($AP94 = [2]SalmonProps!$F$2:$F$10001) *($AR94 = [2]SalmonProps!$G$2:$G$10001),0), 18))</f>
        <v>0.36309999999999998</v>
      </c>
      <c r="X94" s="165" cm="1">
        <f t="array" ref="X94">IF(ISBLANK($AQ94), "", INDEX([2]SalmonProps!$A$2:$AA$10001,MATCH(1,($A94=[2]SalmonProps!$A$2:$A$10001)*(2=[2]SalmonProps!$C$2:$C$10001)*(1=[2]SalmonProps!$D$2:$D$10001)*("A2" = [2]SalmonProps!$B$2:$B$10001)*($AP94 = [2]SalmonProps!$F$2:$F$10001) *($AR94 = [2]SalmonProps!$G$2:$G$10001),0), 18))</f>
        <v>0.37990000000000002</v>
      </c>
      <c r="Y94" s="168" cm="1">
        <f t="array" ref="Y94">IF(ISBLANK($AQ94), "", INDEX([2]SalmonProps!$A$2:$AA$10001,MATCH(1,($A94=[2]SalmonProps!$A$2:$A$10001)*(3=[2]SalmonProps!$C$2:$C$10001)*(1=[2]SalmonProps!$D$2:$D$10001)*("A2" = [2]SalmonProps!$B$2:$B$10001)*($AP94 = [2]SalmonProps!$F$2:$F$10001) *($AR94 = [2]SalmonProps!$G$2:$G$10001),0), 18))</f>
        <v>0.37409999999999999</v>
      </c>
      <c r="Z94" s="164" cm="1">
        <f t="array" ref="Z94">IF(ISBLANK($AQ94), "", INDEX([2]SalmonProps!$A$2:$AA$10001,MATCH(1,($A94=[2]SalmonProps!$A$2:$A$10001)*(1=[2]SalmonProps!$C$2:$C$10001)*(1=[2]SalmonProps!$D$2:$D$10001)*("A1" = [2]SalmonProps!$B$2:$B$10001)*($AP94 = [2]SalmonProps!$F$2:$F$10001) *($AR94 = [2]SalmonProps!$G$2:$G$10001),0), 15))</f>
        <v>0.2414</v>
      </c>
      <c r="AA94" s="165" cm="1">
        <f t="array" ref="AA94">IF(ISBLANK($AQ94), "", INDEX([2]SalmonProps!$A$2:$AA$10001,MATCH(1,($A94=[2]SalmonProps!$A$2:$A$10001)*(1=[2]SalmonProps!$C$2:$C$10001)*(2=[2]SalmonProps!$D$2:$D$10001)*("A1" = [2]SalmonProps!$B$2:$B$10001)*($AP94 = [2]SalmonProps!$F$2:$F$10001) *($AR94 = [2]SalmonProps!$G$2:$G$10001),0), 15))</f>
        <v>0.60540000000000005</v>
      </c>
      <c r="AB94" s="165" cm="1">
        <f t="array" ref="AB94">IF(ISBLANK($AQ94), "", INDEX([2]SalmonProps!$A$2:$AA$10001,MATCH(1,($A94=[2]SalmonProps!$A$2:$A$10001)*(1=[2]SalmonProps!$C$2:$C$10001)*("1&amp;2"=[2]SalmonProps!$D$2:$D$10001)*("A1" = [2]SalmonProps!$B$2:$B$10001)*($AP94 = [2]SalmonProps!$F$2:$F$10001) *($AR94 = [2]SalmonProps!$G$2:$G$10001),0), 15))</f>
        <v>0.4002</v>
      </c>
      <c r="AC94" s="165" cm="1">
        <f t="array" ref="AC94">IF(ISBLANK($AQ94), "", INDEX([2]SalmonProps!$A$2:$AA$10001,MATCH(1,($A94=[2]SalmonProps!$A$2:$A$10001)*(2=[2]SalmonProps!$C$2:$C$10001)*(3=[2]SalmonProps!$D$2:$D$10001)*("A1" = [2]SalmonProps!$B$2:$B$10001)*($AP94 = [2]SalmonProps!$F$2:$F$10001) *($AR94 = [2]SalmonProps!$G$2:$G$10001),0), 15))</f>
        <v>0.65469999999999995</v>
      </c>
      <c r="AD94" s="181" cm="1">
        <f t="array" ref="AD94">IF(ISBLANK($AQ94), "", INDEX([2]SalmonProps!$A$2:$AA$10001,MATCH(1,($A94=[2]SalmonProps!$A$2:$A$10001)*(3=[2]SalmonProps!$C$2:$C$10001)*(3=[2]SalmonProps!$D$2:$D$10001)*("A1" = [2]SalmonProps!$B$2:$B$10001)*($AP94 = [2]SalmonProps!$F$2:$F$10001) *($AR94 = [2]SalmonProps!$G$2:$G$10001),0), 15))</f>
        <v>0.80769999999999997</v>
      </c>
      <c r="AE94" s="166" cm="1">
        <f t="array" ref="AE94">IF(ISBLANK($AQ94), "", INDEX([2]SalmonProps!$A$2:$AA$10001,MATCH(1,($A94=[2]SalmonProps!$A$2:$A$10001)*(1=[2]SalmonProps!$C$2:$C$10001)*(1=[2]SalmonProps!$D$2:$D$10001)*("A2" = [2]SalmonProps!$B$2:$B$10001)*($AP94 = [2]SalmonProps!$F$2:$F$10001) *($AR94 = [2]SalmonProps!$G$2:$G$10001),0), 15))</f>
        <v>0.54830000000000001</v>
      </c>
      <c r="AF94" s="166" cm="1">
        <f t="array" ref="AF94">IF(ISBLANK($AQ94), "", INDEX([2]SalmonProps!$A$2:$AA$10001,MATCH(1,($A94=[2]SalmonProps!$A$2:$A$10001)*(2=[2]SalmonProps!$C$2:$C$10001)*(1=[2]SalmonProps!$D$2:$D$10001)*("A2" = [2]SalmonProps!$B$2:$B$10001)*($AP94 = [2]SalmonProps!$F$2:$F$10001) *($AR94 = [2]SalmonProps!$G$2:$G$10001),0), 15))</f>
        <v>0.66649999999999998</v>
      </c>
      <c r="AG94" s="167" cm="1">
        <f t="array" ref="AG94">IF(ISBLANK($AQ94), "", INDEX([2]SalmonProps!$A$2:$AA$10001,MATCH(1,($A94=[2]SalmonProps!$A$2:$A$10001)*(3=[2]SalmonProps!$C$2:$C$10001)*(1=[2]SalmonProps!$D$2:$D$10001)*("A2" = [2]SalmonProps!$B$2:$B$10001)*($AP94 = [2]SalmonProps!$F$2:$F$10001) *($AR94 = [2]SalmonProps!$G$2:$G$10001),0), 15))</f>
        <v>0.72489999999999999</v>
      </c>
      <c r="AH94" s="173" cm="1">
        <f t="array" ref="AH94">IF(ISBLANK($AQ94), "", INDEX([2]SalmonProps!$A$2:$AA$10001,MATCH(1,($A94=[2]SalmonProps!$A$2:$A$10001)*($AP94 = [2]SalmonProps!$F$2:$F$10001) *($AR94 = [2]SalmonProps!$G$2:$G$10001),0), 24))</f>
        <v>52.5</v>
      </c>
      <c r="AI94" s="183" cm="1">
        <f t="array" ref="AI94">IF(ISBLANK($AQ94), "", INDEX([2]SalmonProps!$A$2:$AA$10001,MATCH(1,($A94=[2]SalmonProps!$A$2:$A$10001)*($AP94 = [2]SalmonProps!$F$2:$F$10001) *($AR94 = [2]SalmonProps!$G$2:$G$10001),0), 25))</f>
        <v>6.8</v>
      </c>
      <c r="AJ94" s="174" cm="1">
        <f t="array" ref="AJ94">IF(ISBLANK($AQ94), "", INDEX([2]SalmonProps!$A$2:$AA$10001,MATCH(1,($A94=[2]SalmonProps!$A$2:$A$10001)*($AP94 = [2]SalmonProps!$F$2:$F$10001) *($AR94 = [2]SalmonProps!$G$2:$G$10001),0), 20))</f>
        <v>61.6</v>
      </c>
      <c r="AK94" s="183" cm="1">
        <f t="array" ref="AK94">IF(ISBLANK($AQ94), "", INDEX([2]SalmonProps!$A$2:$AA$10001,MATCH(1,($A94=[2]SalmonProps!$A$2:$A$10001)*($AP94 = [2]SalmonProps!$F$2:$F$10001) *($AR94 = [2]SalmonProps!$G$2:$G$10001),0), 21))</f>
        <v>5</v>
      </c>
      <c r="AL94" s="174" cm="1">
        <f t="array" ref="AL94">IF(ISBLANK($AQ94), "", INDEX([2]SalmonProps!$A$2:$AA$10001,MATCH(1,($A94=[2]SalmonProps!$A$2:$A$10001)*($AP94 = [2]SalmonProps!$F$2:$F$10001) *($AR94 = [2]SalmonProps!$G$2:$G$10001),0), 22))</f>
        <v>82.6</v>
      </c>
      <c r="AM94" s="183" cm="1">
        <f t="array" ref="AM94">IF(ISBLANK($AQ94), "", INDEX([2]SalmonProps!$A$2:$AA$10001,MATCH(1,($A94=[2]SalmonProps!$A$2:$A$10001)*($AP94 = [2]SalmonProps!$F$2:$F$10001) *($AR94 = [2]SalmonProps!$G$2:$G$10001),0), 23))</f>
        <v>8.3000000000000007</v>
      </c>
      <c r="AN94" s="174" t="str" cm="1">
        <f t="array" ref="AN94">IF(ISBLANK($AQ94), "", INDEX([2]SalmonProps!$A$2:$AA$10001,MATCH(1,($A94=[2]SalmonProps!$A$2:$A$10001)*($AP94 = [2]SalmonProps!$F$2:$F$10001) *($AR94 = [2]SalmonProps!$G$2:$G$10001),0), 26))</f>
        <v>NA</v>
      </c>
      <c r="AO94" s="175" t="str" cm="1">
        <f t="array" ref="AO94">IF(ISBLANK($AQ94), "", INDEX([2]SalmonProps!$A$2:$AA$10001,MATCH(1,($A94=[2]SalmonProps!$A$2:$A$10001)*($AP94 = [2]SalmonProps!$F$2:$F$10001) *($AR94 = [2]SalmonProps!$G$2:$G$10001),0), 27))</f>
        <v>NA</v>
      </c>
      <c r="AP94" s="112">
        <v>4</v>
      </c>
      <c r="AQ94" s="112" t="s">
        <v>133</v>
      </c>
      <c r="AR94" s="112" t="str">
        <f t="shared" si="2"/>
        <v>Unweighted</v>
      </c>
    </row>
    <row r="95" spans="1:44" x14ac:dyDescent="0.3">
      <c r="A95" s="20">
        <f>'[1]Passage Estimates'!$A95</f>
        <v>45197</v>
      </c>
      <c r="B95" s="164" cm="1">
        <f t="array" ref="B95">IF(ISBLANK($AQ95), "", INDEX([2]SalmonProps!$A$2:$AA$10001,MATCH(1,($A95=[2]SalmonProps!$A$2:$A$10001)*(1=[2]SalmonProps!$C$2:$C$10001)*(1=[2]SalmonProps!$D$2:$D$10001)*("A1" = [2]SalmonProps!$B$2:$B$10001)*($AP95 = [2]SalmonProps!$F$2:$F$10001) *($AR95 = [2]SalmonProps!$G$2:$G$10001),0), 17))</f>
        <v>1.04E-2</v>
      </c>
      <c r="C95" s="165" cm="1">
        <f t="array" ref="C95">IF(ISBLANK($AQ95), "", INDEX([2]SalmonProps!$A$2:$AA$10001,MATCH(1,($A95=[2]SalmonProps!$A$2:$A$10001)*(1=[2]SalmonProps!$C$2:$C$10001)*(2=[2]SalmonProps!$D$2:$D$10001)*("A1" = [2]SalmonProps!$B$2:$B$10001)*($AP95 = [2]SalmonProps!$F$2:$F$10001) *($AR95 = [2]SalmonProps!$G$2:$G$10001),0), 17))</f>
        <v>1.0999999999999999E-2</v>
      </c>
      <c r="D95" s="165" cm="1">
        <f t="array" ref="D95">IF(ISBLANK($AQ95), "", INDEX([2]SalmonProps!$A$2:$AA$10001,MATCH(1,($A95=[2]SalmonProps!$A$2:$A$10001)*(1=[2]SalmonProps!$C$2:$C$10001)*("1&amp;2"=[2]SalmonProps!$D$2:$D$10001)*("A1" = [2]SalmonProps!$B$2:$B$10001)*($AP95 = [2]SalmonProps!$F$2:$F$10001) *($AR95 = [2]SalmonProps!$G$2:$G$10001),0), 17))</f>
        <v>1.06E-2</v>
      </c>
      <c r="E95" s="181" cm="1">
        <f t="array" ref="E95">IF(ISBLANK($AQ95), "", INDEX([2]SalmonProps!$A$2:$AA$10001,MATCH(1,($A95=[2]SalmonProps!$A$2:$A$10001)*(2=[2]SalmonProps!$C$2:$C$10001)*(3=[2]SalmonProps!$D$2:$D$10001)*("A1" = [2]SalmonProps!$B$2:$B$10001)*($AP95 = [2]SalmonProps!$F$2:$F$10001) *($AR95 = [2]SalmonProps!$G$2:$G$10001),0), 17))</f>
        <v>0.17180000000000001</v>
      </c>
      <c r="F95" s="165" cm="1">
        <f t="array" ref="F95">IF(ISBLANK($AQ95), "", INDEX([2]SalmonProps!$A$2:$AA$10001,MATCH(1,($A95=[2]SalmonProps!$A$2:$A$10001)*(3=[2]SalmonProps!$C$2:$C$10001)*(3=[2]SalmonProps!$D$2:$D$10001)*("A1" = [2]SalmonProps!$B$2:$B$10001)*($AP95 = [2]SalmonProps!$F$2:$F$10001) *($AR95 = [2]SalmonProps!$G$2:$G$10001),0), 17))</f>
        <v>0.22720000000000001</v>
      </c>
      <c r="G95" s="165" cm="1">
        <f t="array" ref="G95">IF(ISBLANK($AQ95), "", INDEX([2]SalmonProps!$A$2:$AA$10001,MATCH(1,($A95=[2]SalmonProps!$A$2:$A$10001)*(1=[2]SalmonProps!$C$2:$C$10001)*(1=[2]SalmonProps!$D$2:$D$10001)*("A2" = [2]SalmonProps!$B$2:$B$10001)*($AP95 = [2]SalmonProps!$F$2:$F$10001) *($AR95 = [2]SalmonProps!$G$2:$G$10001),0), 17))</f>
        <v>5.21E-2</v>
      </c>
      <c r="H95" s="166" cm="1">
        <f t="array" ref="H95">IF(ISBLANK($AQ95), "", INDEX([2]SalmonProps!$A$2:$AA$10001,MATCH(1,($A95=[2]SalmonProps!$A$2:$A$10001)*(2=[2]SalmonProps!$C$2:$C$10001)*(1=[2]SalmonProps!$D$2:$D$10001)*("A2" = [2]SalmonProps!$B$2:$B$10001)*($AP95 = [2]SalmonProps!$F$2:$F$10001) *($AR95 = [2]SalmonProps!$G$2:$G$10001),0), 17))</f>
        <v>7.7700000000000005E-2</v>
      </c>
      <c r="I95" s="167" cm="1">
        <f t="array" ref="I95">IF(ISBLANK($AQ95), "", INDEX([2]SalmonProps!$A$2:$AA$10001,MATCH(1,($A95=[2]SalmonProps!$A$2:$A$10001)*(3=[2]SalmonProps!$C$2:$C$10001)*(1=[2]SalmonProps!$D$2:$D$10001)*("A2" = [2]SalmonProps!$B$2:$B$10001)*($AP95 = [2]SalmonProps!$F$2:$F$10001) *($AR95 = [2]SalmonProps!$G$2:$G$10001),0), 17))</f>
        <v>0.23719999999999999</v>
      </c>
      <c r="J95" s="164" t="str" cm="1">
        <f t="array" ref="J95">IF(ISBLANK($AQ95), "", INDEX([2]SalmonProps!$A$2:$AA$10001,MATCH(1,($A95=[2]SalmonProps!$A$2:$A$10001)*(1=[2]SalmonProps!$C$2:$C$10001)*(1=[2]SalmonProps!$D$2:$D$10001)*("A1" = [2]SalmonProps!$B$2:$B$10001)*($AP95 = [2]SalmonProps!$F$2:$F$10001) *($AR95 = [2]SalmonProps!$G$2:$G$10001),0), 19))</f>
        <v>NA</v>
      </c>
      <c r="K95" s="165" t="str" cm="1">
        <f t="array" ref="K95">IF(ISBLANK($AQ95), "", INDEX([2]SalmonProps!$A$2:$AA$10001,MATCH(1,($A95=[2]SalmonProps!$A$2:$A$10001)*(1=[2]SalmonProps!$C$2:$C$10001)*(2=[2]SalmonProps!$D$2:$D$10001)*("A1" = [2]SalmonProps!$B$2:$B$10001)*($AP95 = [2]SalmonProps!$F$2:$F$10001) *($AR95 = [2]SalmonProps!$G$2:$G$10001),0), 19))</f>
        <v>NA</v>
      </c>
      <c r="L95" s="165" t="str" cm="1">
        <f t="array" ref="L95">IF(ISBLANK($AQ95), "", INDEX([2]SalmonProps!$A$2:$AA$10001,MATCH(1,($A95=[2]SalmonProps!$A$2:$A$10001)*(1=[2]SalmonProps!$C$2:$C$10001)*("1&amp;2"=[2]SalmonProps!$D$2:$D$10001)*("A1" = [2]SalmonProps!$B$2:$B$10001)*($AP95 = [2]SalmonProps!$F$2:$F$10001) *($AR95 = [2]SalmonProps!$G$2:$G$10001),0), 19))</f>
        <v>NA</v>
      </c>
      <c r="M95" s="165" t="str" cm="1">
        <f t="array" ref="M95">IF(ISBLANK($AQ95), "", INDEX([2]SalmonProps!$A$2:$AA$10001,MATCH(1,($A95=[2]SalmonProps!$A$2:$A$10001)*(2=[2]SalmonProps!$C$2:$C$10001)*(3=[2]SalmonProps!$D$2:$D$10001)*("A1" = [2]SalmonProps!$B$2:$B$10001)*($AP95 = [2]SalmonProps!$F$2:$F$10001) *($AR95 = [2]SalmonProps!$G$2:$G$10001),0), 19))</f>
        <v>NA</v>
      </c>
      <c r="N95" s="181" t="str" cm="1">
        <f t="array" ref="N95">IF(ISBLANK($AQ95), "", INDEX([2]SalmonProps!$A$2:$AA$10001,MATCH(1,($A95=[2]SalmonProps!$A$2:$A$10001)*(3=[2]SalmonProps!$C$2:$C$10001)*(3=[2]SalmonProps!$D$2:$D$10001)*("A1" = [2]SalmonProps!$B$2:$B$10001)*($AP95 = [2]SalmonProps!$F$2:$F$10001) *($AR95 = [2]SalmonProps!$G$2:$G$10001),0), 19))</f>
        <v>NA</v>
      </c>
      <c r="O95" s="165" t="str" cm="1">
        <f t="array" ref="O95">IF(ISBLANK($AQ95), "", INDEX([2]SalmonProps!$A$2:$AA$10001,MATCH(1,($A95=[2]SalmonProps!$A$2:$A$10001)*(1=[2]SalmonProps!$C$2:$C$10001)*(1=[2]SalmonProps!$D$2:$D$10001)*("A2" = [2]SalmonProps!$B$2:$B$10001)*($AP95 = [2]SalmonProps!$F$2:$F$10001) *($AR95 = [2]SalmonProps!$G$2:$G$10001),0), 19))</f>
        <v>NA</v>
      </c>
      <c r="P95" s="165" t="str" cm="1">
        <f t="array" ref="P95">IF(ISBLANK($AQ95), "", INDEX([2]SalmonProps!$A$2:$AA$10001,MATCH(1,($A95=[2]SalmonProps!$A$2:$A$10001)*(2=[2]SalmonProps!$C$2:$C$10001)*(1=[2]SalmonProps!$D$2:$D$10001)*("A2" = [2]SalmonProps!$B$2:$B$10001)*($AP95 = [2]SalmonProps!$F$2:$F$10001) *($AR95 = [2]SalmonProps!$G$2:$G$10001),0), 19))</f>
        <v>NA</v>
      </c>
      <c r="Q95" s="168" t="str" cm="1">
        <f t="array" ref="Q95">IF(ISBLANK($AQ95), "", INDEX([2]SalmonProps!$A$2:$AA$10001,MATCH(1,($A95=[2]SalmonProps!$A$2:$A$10001)*(3=[2]SalmonProps!$C$2:$C$10001)*(1=[2]SalmonProps!$D$2:$D$10001)*("A2" = [2]SalmonProps!$B$2:$B$10001)*($AP95 = [2]SalmonProps!$F$2:$F$10001) *($AR95 = [2]SalmonProps!$G$2:$G$10001),0), 19))</f>
        <v>NA</v>
      </c>
      <c r="R95" s="164" cm="1">
        <f t="array" ref="R95">IF(ISBLANK($AQ95), "", INDEX([2]SalmonProps!$A$2:$AA$10001,MATCH(1,($A95=[2]SalmonProps!$A$2:$A$10001)*(1=[2]SalmonProps!$C$2:$C$10001)*(1=[2]SalmonProps!$D$2:$D$10001)*("A1" = [2]SalmonProps!$B$2:$B$10001)*($AP95 = [2]SalmonProps!$F$2:$F$10001) *($AR95 = [2]SalmonProps!$G$2:$G$10001),0), 18))</f>
        <v>0.2384</v>
      </c>
      <c r="S95" s="165" cm="1">
        <f t="array" ref="S95">IF(ISBLANK($AQ95), "", INDEX([2]SalmonProps!$A$2:$AA$10001,MATCH(1,($A95=[2]SalmonProps!$A$2:$A$10001)*(1=[2]SalmonProps!$C$2:$C$10001)*(2=[2]SalmonProps!$D$2:$D$10001)*("A1" = [2]SalmonProps!$B$2:$B$10001)*($AP95 = [2]SalmonProps!$F$2:$F$10001) *($AR95 = [2]SalmonProps!$G$2:$G$10001),0), 18))</f>
        <v>0.45660000000000001</v>
      </c>
      <c r="T95" s="165" cm="1">
        <f t="array" ref="T95">IF(ISBLANK($AQ95), "", INDEX([2]SalmonProps!$A$2:$AA$10001,MATCH(1,($A95=[2]SalmonProps!$A$2:$A$10001)*(1=[2]SalmonProps!$C$2:$C$10001)*("1&amp;2"=[2]SalmonProps!$D$2:$D$10001)*("A1" = [2]SalmonProps!$B$2:$B$10001)*($AP95 = [2]SalmonProps!$F$2:$F$10001) *($AR95 = [2]SalmonProps!$G$2:$G$10001),0), 18))</f>
        <v>0.31940000000000002</v>
      </c>
      <c r="U95" s="165" cm="1">
        <f t="array" ref="U95">IF(ISBLANK($AQ95), "", INDEX([2]SalmonProps!$A$2:$AA$10001,MATCH(1,($A95=[2]SalmonProps!$A$2:$A$10001)*(2=[2]SalmonProps!$C$2:$C$10001)*(3=[2]SalmonProps!$D$2:$D$10001)*("A1" = [2]SalmonProps!$B$2:$B$10001)*($AP95 = [2]SalmonProps!$F$2:$F$10001) *($AR95 = [2]SalmonProps!$G$2:$G$10001),0), 18))</f>
        <v>0.21099999999999999</v>
      </c>
      <c r="V95" s="181" cm="1">
        <f t="array" ref="V95">IF(ISBLANK($AQ95), "", INDEX([2]SalmonProps!$A$2:$AA$10001,MATCH(1,($A95=[2]SalmonProps!$A$2:$A$10001)*(3=[2]SalmonProps!$C$2:$C$10001)*(3=[2]SalmonProps!$D$2:$D$10001)*("A1" = [2]SalmonProps!$B$2:$B$10001)*($AP95 = [2]SalmonProps!$F$2:$F$10001) *($AR95 = [2]SalmonProps!$G$2:$G$10001),0), 18))</f>
        <v>0.43809999999999999</v>
      </c>
      <c r="W95" s="180" cm="1">
        <f t="array" ref="W95">IF(ISBLANK($AQ95), "", INDEX([2]SalmonProps!$A$2:$AA$10001,MATCH(1,($A95=[2]SalmonProps!$A$2:$A$10001)*(1=[2]SalmonProps!$C$2:$C$10001)*(1=[2]SalmonProps!$D$2:$D$10001)*("A2" = [2]SalmonProps!$B$2:$B$10001)*($AP95 = [2]SalmonProps!$F$2:$F$10001) *($AR95 = [2]SalmonProps!$G$2:$G$10001),0), 18))</f>
        <v>0.36309999999999998</v>
      </c>
      <c r="X95" s="165" cm="1">
        <f t="array" ref="X95">IF(ISBLANK($AQ95), "", INDEX([2]SalmonProps!$A$2:$AA$10001,MATCH(1,($A95=[2]SalmonProps!$A$2:$A$10001)*(2=[2]SalmonProps!$C$2:$C$10001)*(1=[2]SalmonProps!$D$2:$D$10001)*("A2" = [2]SalmonProps!$B$2:$B$10001)*($AP95 = [2]SalmonProps!$F$2:$F$10001) *($AR95 = [2]SalmonProps!$G$2:$G$10001),0), 18))</f>
        <v>0.37990000000000002</v>
      </c>
      <c r="Y95" s="168" cm="1">
        <f t="array" ref="Y95">IF(ISBLANK($AQ95), "", INDEX([2]SalmonProps!$A$2:$AA$10001,MATCH(1,($A95=[2]SalmonProps!$A$2:$A$10001)*(3=[2]SalmonProps!$C$2:$C$10001)*(1=[2]SalmonProps!$D$2:$D$10001)*("A2" = [2]SalmonProps!$B$2:$B$10001)*($AP95 = [2]SalmonProps!$F$2:$F$10001) *($AR95 = [2]SalmonProps!$G$2:$G$10001),0), 18))</f>
        <v>0.37409999999999999</v>
      </c>
      <c r="Z95" s="164" cm="1">
        <f t="array" ref="Z95">IF(ISBLANK($AQ95), "", INDEX([2]SalmonProps!$A$2:$AA$10001,MATCH(1,($A95=[2]SalmonProps!$A$2:$A$10001)*(1=[2]SalmonProps!$C$2:$C$10001)*(1=[2]SalmonProps!$D$2:$D$10001)*("A1" = [2]SalmonProps!$B$2:$B$10001)*($AP95 = [2]SalmonProps!$F$2:$F$10001) *($AR95 = [2]SalmonProps!$G$2:$G$10001),0), 15))</f>
        <v>0.35830000000000001</v>
      </c>
      <c r="AA95" s="165" cm="1">
        <f t="array" ref="AA95">IF(ISBLANK($AQ95), "", INDEX([2]SalmonProps!$A$2:$AA$10001,MATCH(1,($A95=[2]SalmonProps!$A$2:$A$10001)*(1=[2]SalmonProps!$C$2:$C$10001)*(2=[2]SalmonProps!$D$2:$D$10001)*("A1" = [2]SalmonProps!$B$2:$B$10001)*($AP95 = [2]SalmonProps!$F$2:$F$10001) *($AR95 = [2]SalmonProps!$G$2:$G$10001),0), 15))</f>
        <v>0.52129999999999999</v>
      </c>
      <c r="AB95" s="165" cm="1">
        <f t="array" ref="AB95">IF(ISBLANK($AQ95), "", INDEX([2]SalmonProps!$A$2:$AA$10001,MATCH(1,($A95=[2]SalmonProps!$A$2:$A$10001)*(1=[2]SalmonProps!$C$2:$C$10001)*("1&amp;2"=[2]SalmonProps!$D$2:$D$10001)*("A1" = [2]SalmonProps!$B$2:$B$10001)*($AP95 = [2]SalmonProps!$F$2:$F$10001) *($AR95 = [2]SalmonProps!$G$2:$G$10001),0), 15))</f>
        <v>0.41870000000000002</v>
      </c>
      <c r="AC95" s="165" cm="1">
        <f t="array" ref="AC95">IF(ISBLANK($AQ95), "", INDEX([2]SalmonProps!$A$2:$AA$10001,MATCH(1,($A95=[2]SalmonProps!$A$2:$A$10001)*(2=[2]SalmonProps!$C$2:$C$10001)*(3=[2]SalmonProps!$D$2:$D$10001)*("A1" = [2]SalmonProps!$B$2:$B$10001)*($AP95 = [2]SalmonProps!$F$2:$F$10001) *($AR95 = [2]SalmonProps!$G$2:$G$10001),0), 15))</f>
        <v>0.6159</v>
      </c>
      <c r="AD95" s="181" cm="1">
        <f t="array" ref="AD95">IF(ISBLANK($AQ95), "", INDEX([2]SalmonProps!$A$2:$AA$10001,MATCH(1,($A95=[2]SalmonProps!$A$2:$A$10001)*(3=[2]SalmonProps!$C$2:$C$10001)*(3=[2]SalmonProps!$D$2:$D$10001)*("A1" = [2]SalmonProps!$B$2:$B$10001)*($AP95 = [2]SalmonProps!$F$2:$F$10001) *($AR95 = [2]SalmonProps!$G$2:$G$10001),0), 15))</f>
        <v>0.86180000000000001</v>
      </c>
      <c r="AE95" s="166" cm="1">
        <f t="array" ref="AE95">IF(ISBLANK($AQ95), "", INDEX([2]SalmonProps!$A$2:$AA$10001,MATCH(1,($A95=[2]SalmonProps!$A$2:$A$10001)*(1=[2]SalmonProps!$C$2:$C$10001)*(1=[2]SalmonProps!$D$2:$D$10001)*("A2" = [2]SalmonProps!$B$2:$B$10001)*($AP95 = [2]SalmonProps!$F$2:$F$10001) *($AR95 = [2]SalmonProps!$G$2:$G$10001),0), 15))</f>
        <v>0.54830000000000001</v>
      </c>
      <c r="AF95" s="166" cm="1">
        <f t="array" ref="AF95">IF(ISBLANK($AQ95), "", INDEX([2]SalmonProps!$A$2:$AA$10001,MATCH(1,($A95=[2]SalmonProps!$A$2:$A$10001)*(2=[2]SalmonProps!$C$2:$C$10001)*(1=[2]SalmonProps!$D$2:$D$10001)*("A2" = [2]SalmonProps!$B$2:$B$10001)*($AP95 = [2]SalmonProps!$F$2:$F$10001) *($AR95 = [2]SalmonProps!$G$2:$G$10001),0), 15))</f>
        <v>0.66649999999999998</v>
      </c>
      <c r="AG95" s="167" cm="1">
        <f t="array" ref="AG95">IF(ISBLANK($AQ95), "", INDEX([2]SalmonProps!$A$2:$AA$10001,MATCH(1,($A95=[2]SalmonProps!$A$2:$A$10001)*(3=[2]SalmonProps!$C$2:$C$10001)*(1=[2]SalmonProps!$D$2:$D$10001)*("A2" = [2]SalmonProps!$B$2:$B$10001)*($AP95 = [2]SalmonProps!$F$2:$F$10001) *($AR95 = [2]SalmonProps!$G$2:$G$10001),0), 15))</f>
        <v>0.72489999999999999</v>
      </c>
      <c r="AH95" s="173" cm="1">
        <f t="array" ref="AH95">IF(ISBLANK($AQ95), "", INDEX([2]SalmonProps!$A$2:$AA$10001,MATCH(1,($A95=[2]SalmonProps!$A$2:$A$10001)*($AP95 = [2]SalmonProps!$F$2:$F$10001) *($AR95 = [2]SalmonProps!$G$2:$G$10001),0), 24))</f>
        <v>52.5</v>
      </c>
      <c r="AI95" s="183" cm="1">
        <f t="array" ref="AI95">IF(ISBLANK($AQ95), "", INDEX([2]SalmonProps!$A$2:$AA$10001,MATCH(1,($A95=[2]SalmonProps!$A$2:$A$10001)*($AP95 = [2]SalmonProps!$F$2:$F$10001) *($AR95 = [2]SalmonProps!$G$2:$G$10001),0), 25))</f>
        <v>6.8</v>
      </c>
      <c r="AJ95" s="174" cm="1">
        <f t="array" ref="AJ95">IF(ISBLANK($AQ95), "", INDEX([2]SalmonProps!$A$2:$AA$10001,MATCH(1,($A95=[2]SalmonProps!$A$2:$A$10001)*($AP95 = [2]SalmonProps!$F$2:$F$10001) *($AR95 = [2]SalmonProps!$G$2:$G$10001),0), 20))</f>
        <v>61.6</v>
      </c>
      <c r="AK95" s="183" cm="1">
        <f t="array" ref="AK95">IF(ISBLANK($AQ95), "", INDEX([2]SalmonProps!$A$2:$AA$10001,MATCH(1,($A95=[2]SalmonProps!$A$2:$A$10001)*($AP95 = [2]SalmonProps!$F$2:$F$10001) *($AR95 = [2]SalmonProps!$G$2:$G$10001),0), 21))</f>
        <v>5</v>
      </c>
      <c r="AL95" s="174" cm="1">
        <f t="array" ref="AL95">IF(ISBLANK($AQ95), "", INDEX([2]SalmonProps!$A$2:$AA$10001,MATCH(1,($A95=[2]SalmonProps!$A$2:$A$10001)*($AP95 = [2]SalmonProps!$F$2:$F$10001) *($AR95 = [2]SalmonProps!$G$2:$G$10001),0), 22))</f>
        <v>82.6</v>
      </c>
      <c r="AM95" s="183" cm="1">
        <f t="array" ref="AM95">IF(ISBLANK($AQ95), "", INDEX([2]SalmonProps!$A$2:$AA$10001,MATCH(1,($A95=[2]SalmonProps!$A$2:$A$10001)*($AP95 = [2]SalmonProps!$F$2:$F$10001) *($AR95 = [2]SalmonProps!$G$2:$G$10001),0), 23))</f>
        <v>8.3000000000000007</v>
      </c>
      <c r="AN95" s="174" t="str" cm="1">
        <f t="array" ref="AN95">IF(ISBLANK($AQ95), "", INDEX([2]SalmonProps!$A$2:$AA$10001,MATCH(1,($A95=[2]SalmonProps!$A$2:$A$10001)*($AP95 = [2]SalmonProps!$F$2:$F$10001) *($AR95 = [2]SalmonProps!$G$2:$G$10001),0), 26))</f>
        <v>NA</v>
      </c>
      <c r="AO95" s="175" t="str" cm="1">
        <f t="array" ref="AO95">IF(ISBLANK($AQ95), "", INDEX([2]SalmonProps!$A$2:$AA$10001,MATCH(1,($A95=[2]SalmonProps!$A$2:$A$10001)*($AP95 = [2]SalmonProps!$F$2:$F$10001) *($AR95 = [2]SalmonProps!$G$2:$G$10001),0), 27))</f>
        <v>NA</v>
      </c>
      <c r="AP95" s="112">
        <v>4</v>
      </c>
      <c r="AQ95" s="112" t="s">
        <v>133</v>
      </c>
      <c r="AR95" s="112" t="str">
        <f t="shared" si="2"/>
        <v>Unweighted</v>
      </c>
    </row>
    <row r="96" spans="1:44" x14ac:dyDescent="0.3">
      <c r="A96" s="20">
        <f>'[1]Passage Estimates'!$A96</f>
        <v>45198</v>
      </c>
      <c r="B96" s="164" cm="1">
        <f t="array" ref="B96">IF(ISBLANK($AQ96), "", INDEX([2]SalmonProps!$A$2:$AA$10001,MATCH(1,($A96=[2]SalmonProps!$A$2:$A$10001)*(1=[2]SalmonProps!$C$2:$C$10001)*(1=[2]SalmonProps!$D$2:$D$10001)*("A1" = [2]SalmonProps!$B$2:$B$10001)*($AP96 = [2]SalmonProps!$F$2:$F$10001) *($AR96 = [2]SalmonProps!$G$2:$G$10001),0), 17))</f>
        <v>5.1999999999999998E-3</v>
      </c>
      <c r="C96" s="165" cm="1">
        <f t="array" ref="C96">IF(ISBLANK($AQ96), "", INDEX([2]SalmonProps!$A$2:$AA$10001,MATCH(1,($A96=[2]SalmonProps!$A$2:$A$10001)*(1=[2]SalmonProps!$C$2:$C$10001)*(2=[2]SalmonProps!$D$2:$D$10001)*("A1" = [2]SalmonProps!$B$2:$B$10001)*($AP96 = [2]SalmonProps!$F$2:$F$10001) *($AR96 = [2]SalmonProps!$G$2:$G$10001),0), 17))</f>
        <v>3.2300000000000002E-2</v>
      </c>
      <c r="D96" s="165" cm="1">
        <f t="array" ref="D96">IF(ISBLANK($AQ96), "", INDEX([2]SalmonProps!$A$2:$AA$10001,MATCH(1,($A96=[2]SalmonProps!$A$2:$A$10001)*(1=[2]SalmonProps!$C$2:$C$10001)*("1&amp;2"=[2]SalmonProps!$D$2:$D$10001)*("A1" = [2]SalmonProps!$B$2:$B$10001)*($AP96 = [2]SalmonProps!$F$2:$F$10001) *($AR96 = [2]SalmonProps!$G$2:$G$10001),0), 17))</f>
        <v>1.2200000000000001E-2</v>
      </c>
      <c r="E96" s="181" cm="1">
        <f t="array" ref="E96">IF(ISBLANK($AQ96), "", INDEX([2]SalmonProps!$A$2:$AA$10001,MATCH(1,($A96=[2]SalmonProps!$A$2:$A$10001)*(2=[2]SalmonProps!$C$2:$C$10001)*(3=[2]SalmonProps!$D$2:$D$10001)*("A1" = [2]SalmonProps!$B$2:$B$10001)*($AP96 = [2]SalmonProps!$F$2:$F$10001) *($AR96 = [2]SalmonProps!$G$2:$G$10001),0), 17))</f>
        <v>0.1017</v>
      </c>
      <c r="F96" s="165" cm="1">
        <f t="array" ref="F96">IF(ISBLANK($AQ96), "", INDEX([2]SalmonProps!$A$2:$AA$10001,MATCH(1,($A96=[2]SalmonProps!$A$2:$A$10001)*(3=[2]SalmonProps!$C$2:$C$10001)*(3=[2]SalmonProps!$D$2:$D$10001)*("A1" = [2]SalmonProps!$B$2:$B$10001)*($AP96 = [2]SalmonProps!$F$2:$F$10001) *($AR96 = [2]SalmonProps!$G$2:$G$10001),0), 17))</f>
        <v>0.2001</v>
      </c>
      <c r="G96" s="165" t="e" cm="1">
        <f t="array" ref="G96">IF(ISBLANK($AQ96), "", INDEX([2]SalmonProps!$A$2:$AA$10001,MATCH(1,($A96=[2]SalmonProps!$A$2:$A$10001)*(1=[2]SalmonProps!$C$2:$C$10001)*(1=[2]SalmonProps!$D$2:$D$10001)*("A2" = [2]SalmonProps!$B$2:$B$10001)*($AP96 = [2]SalmonProps!$F$2:$F$10001) *($AR96 = [2]SalmonProps!$G$2:$G$10001),0), 17))</f>
        <v>#N/A</v>
      </c>
      <c r="H96" s="166" t="e" cm="1">
        <f t="array" ref="H96">IF(ISBLANK($AQ96), "", INDEX([2]SalmonProps!$A$2:$AA$10001,MATCH(1,($A96=[2]SalmonProps!$A$2:$A$10001)*(2=[2]SalmonProps!$C$2:$C$10001)*(1=[2]SalmonProps!$D$2:$D$10001)*("A2" = [2]SalmonProps!$B$2:$B$10001)*($AP96 = [2]SalmonProps!$F$2:$F$10001) *($AR96 = [2]SalmonProps!$G$2:$G$10001),0), 17))</f>
        <v>#N/A</v>
      </c>
      <c r="I96" s="167" t="e" cm="1">
        <f t="array" ref="I96">IF(ISBLANK($AQ96), "", INDEX([2]SalmonProps!$A$2:$AA$10001,MATCH(1,($A96=[2]SalmonProps!$A$2:$A$10001)*(3=[2]SalmonProps!$C$2:$C$10001)*(1=[2]SalmonProps!$D$2:$D$10001)*("A2" = [2]SalmonProps!$B$2:$B$10001)*($AP96 = [2]SalmonProps!$F$2:$F$10001) *($AR96 = [2]SalmonProps!$G$2:$G$10001),0), 17))</f>
        <v>#N/A</v>
      </c>
      <c r="J96" s="164" t="str" cm="1">
        <f t="array" ref="J96">IF(ISBLANK($AQ96), "", INDEX([2]SalmonProps!$A$2:$AA$10001,MATCH(1,($A96=[2]SalmonProps!$A$2:$A$10001)*(1=[2]SalmonProps!$C$2:$C$10001)*(1=[2]SalmonProps!$D$2:$D$10001)*("A1" = [2]SalmonProps!$B$2:$B$10001)*($AP96 = [2]SalmonProps!$F$2:$F$10001) *($AR96 = [2]SalmonProps!$G$2:$G$10001),0), 19))</f>
        <v>NA</v>
      </c>
      <c r="K96" s="165" t="str" cm="1">
        <f t="array" ref="K96">IF(ISBLANK($AQ96), "", INDEX([2]SalmonProps!$A$2:$AA$10001,MATCH(1,($A96=[2]SalmonProps!$A$2:$A$10001)*(1=[2]SalmonProps!$C$2:$C$10001)*(2=[2]SalmonProps!$D$2:$D$10001)*("A1" = [2]SalmonProps!$B$2:$B$10001)*($AP96 = [2]SalmonProps!$F$2:$F$10001) *($AR96 = [2]SalmonProps!$G$2:$G$10001),0), 19))</f>
        <v>NA</v>
      </c>
      <c r="L96" s="165" t="str" cm="1">
        <f t="array" ref="L96">IF(ISBLANK($AQ96), "", INDEX([2]SalmonProps!$A$2:$AA$10001,MATCH(1,($A96=[2]SalmonProps!$A$2:$A$10001)*(1=[2]SalmonProps!$C$2:$C$10001)*("1&amp;2"=[2]SalmonProps!$D$2:$D$10001)*("A1" = [2]SalmonProps!$B$2:$B$10001)*($AP96 = [2]SalmonProps!$F$2:$F$10001) *($AR96 = [2]SalmonProps!$G$2:$G$10001),0), 19))</f>
        <v>NA</v>
      </c>
      <c r="M96" s="165" t="str" cm="1">
        <f t="array" ref="M96">IF(ISBLANK($AQ96), "", INDEX([2]SalmonProps!$A$2:$AA$10001,MATCH(1,($A96=[2]SalmonProps!$A$2:$A$10001)*(2=[2]SalmonProps!$C$2:$C$10001)*(3=[2]SalmonProps!$D$2:$D$10001)*("A1" = [2]SalmonProps!$B$2:$B$10001)*($AP96 = [2]SalmonProps!$F$2:$F$10001) *($AR96 = [2]SalmonProps!$G$2:$G$10001),0), 19))</f>
        <v>NA</v>
      </c>
      <c r="N96" s="181" t="str" cm="1">
        <f t="array" ref="N96">IF(ISBLANK($AQ96), "", INDEX([2]SalmonProps!$A$2:$AA$10001,MATCH(1,($A96=[2]SalmonProps!$A$2:$A$10001)*(3=[2]SalmonProps!$C$2:$C$10001)*(3=[2]SalmonProps!$D$2:$D$10001)*("A1" = [2]SalmonProps!$B$2:$B$10001)*($AP96 = [2]SalmonProps!$F$2:$F$10001) *($AR96 = [2]SalmonProps!$G$2:$G$10001),0), 19))</f>
        <v>NA</v>
      </c>
      <c r="O96" s="165" t="e" cm="1">
        <f t="array" ref="O96">IF(ISBLANK($AQ96), "", INDEX([2]SalmonProps!$A$2:$AA$10001,MATCH(1,($A96=[2]SalmonProps!$A$2:$A$10001)*(1=[2]SalmonProps!$C$2:$C$10001)*(1=[2]SalmonProps!$D$2:$D$10001)*("A2" = [2]SalmonProps!$B$2:$B$10001)*($AP96 = [2]SalmonProps!$F$2:$F$10001) *($AR96 = [2]SalmonProps!$G$2:$G$10001),0), 19))</f>
        <v>#N/A</v>
      </c>
      <c r="P96" s="165" t="e" cm="1">
        <f t="array" ref="P96">IF(ISBLANK($AQ96), "", INDEX([2]SalmonProps!$A$2:$AA$10001,MATCH(1,($A96=[2]SalmonProps!$A$2:$A$10001)*(2=[2]SalmonProps!$C$2:$C$10001)*(1=[2]SalmonProps!$D$2:$D$10001)*("A2" = [2]SalmonProps!$B$2:$B$10001)*($AP96 = [2]SalmonProps!$F$2:$F$10001) *($AR96 = [2]SalmonProps!$G$2:$G$10001),0), 19))</f>
        <v>#N/A</v>
      </c>
      <c r="Q96" s="168" t="e" cm="1">
        <f t="array" ref="Q96">IF(ISBLANK($AQ96), "", INDEX([2]SalmonProps!$A$2:$AA$10001,MATCH(1,($A96=[2]SalmonProps!$A$2:$A$10001)*(3=[2]SalmonProps!$C$2:$C$10001)*(1=[2]SalmonProps!$D$2:$D$10001)*("A2" = [2]SalmonProps!$B$2:$B$10001)*($AP96 = [2]SalmonProps!$F$2:$F$10001) *($AR96 = [2]SalmonProps!$G$2:$G$10001),0), 19))</f>
        <v>#N/A</v>
      </c>
      <c r="R96" s="164" cm="1">
        <f t="array" ref="R96">IF(ISBLANK($AQ96), "", INDEX([2]SalmonProps!$A$2:$AA$10001,MATCH(1,($A96=[2]SalmonProps!$A$2:$A$10001)*(1=[2]SalmonProps!$C$2:$C$10001)*(1=[2]SalmonProps!$D$2:$D$10001)*("A1" = [2]SalmonProps!$B$2:$B$10001)*($AP96 = [2]SalmonProps!$F$2:$F$10001) *($AR96 = [2]SalmonProps!$G$2:$G$10001),0), 18))</f>
        <v>0.26779999999999998</v>
      </c>
      <c r="S96" s="165" cm="1">
        <f t="array" ref="S96">IF(ISBLANK($AQ96), "", INDEX([2]SalmonProps!$A$2:$AA$10001,MATCH(1,($A96=[2]SalmonProps!$A$2:$A$10001)*(1=[2]SalmonProps!$C$2:$C$10001)*(2=[2]SalmonProps!$D$2:$D$10001)*("A1" = [2]SalmonProps!$B$2:$B$10001)*($AP96 = [2]SalmonProps!$F$2:$F$10001) *($AR96 = [2]SalmonProps!$G$2:$G$10001),0), 18))</f>
        <v>0.23330000000000001</v>
      </c>
      <c r="T96" s="165" cm="1">
        <f t="array" ref="T96">IF(ISBLANK($AQ96), "", INDEX([2]SalmonProps!$A$2:$AA$10001,MATCH(1,($A96=[2]SalmonProps!$A$2:$A$10001)*(1=[2]SalmonProps!$C$2:$C$10001)*("1&amp;2"=[2]SalmonProps!$D$2:$D$10001)*("A1" = [2]SalmonProps!$B$2:$B$10001)*($AP96 = [2]SalmonProps!$F$2:$F$10001) *($AR96 = [2]SalmonProps!$G$2:$G$10001),0), 18))</f>
        <v>0.25650000000000001</v>
      </c>
      <c r="U96" s="165" cm="1">
        <f t="array" ref="U96">IF(ISBLANK($AQ96), "", INDEX([2]SalmonProps!$A$2:$AA$10001,MATCH(1,($A96=[2]SalmonProps!$A$2:$A$10001)*(2=[2]SalmonProps!$C$2:$C$10001)*(3=[2]SalmonProps!$D$2:$D$10001)*("A1" = [2]SalmonProps!$B$2:$B$10001)*($AP96 = [2]SalmonProps!$F$2:$F$10001) *($AR96 = [2]SalmonProps!$G$2:$G$10001),0), 18))</f>
        <v>0.2273</v>
      </c>
      <c r="V96" s="181" cm="1">
        <f t="array" ref="V96">IF(ISBLANK($AQ96), "", INDEX([2]SalmonProps!$A$2:$AA$10001,MATCH(1,($A96=[2]SalmonProps!$A$2:$A$10001)*(3=[2]SalmonProps!$C$2:$C$10001)*(3=[2]SalmonProps!$D$2:$D$10001)*("A1" = [2]SalmonProps!$B$2:$B$10001)*($AP96 = [2]SalmonProps!$F$2:$F$10001) *($AR96 = [2]SalmonProps!$G$2:$G$10001),0), 18))</f>
        <v>0.50380000000000003</v>
      </c>
      <c r="W96" s="180" t="e" cm="1">
        <f t="array" ref="W96">IF(ISBLANK($AQ96), "", INDEX([2]SalmonProps!$A$2:$AA$10001,MATCH(1,($A96=[2]SalmonProps!$A$2:$A$10001)*(1=[2]SalmonProps!$C$2:$C$10001)*(1=[2]SalmonProps!$D$2:$D$10001)*("A2" = [2]SalmonProps!$B$2:$B$10001)*($AP96 = [2]SalmonProps!$F$2:$F$10001) *($AR96 = [2]SalmonProps!$G$2:$G$10001),0), 18))</f>
        <v>#N/A</v>
      </c>
      <c r="X96" s="165" t="e" cm="1">
        <f t="array" ref="X96">IF(ISBLANK($AQ96), "", INDEX([2]SalmonProps!$A$2:$AA$10001,MATCH(1,($A96=[2]SalmonProps!$A$2:$A$10001)*(2=[2]SalmonProps!$C$2:$C$10001)*(1=[2]SalmonProps!$D$2:$D$10001)*("A2" = [2]SalmonProps!$B$2:$B$10001)*($AP96 = [2]SalmonProps!$F$2:$F$10001) *($AR96 = [2]SalmonProps!$G$2:$G$10001),0), 18))</f>
        <v>#N/A</v>
      </c>
      <c r="Y96" s="168" t="e" cm="1">
        <f t="array" ref="Y96">IF(ISBLANK($AQ96), "", INDEX([2]SalmonProps!$A$2:$AA$10001,MATCH(1,($A96=[2]SalmonProps!$A$2:$A$10001)*(3=[2]SalmonProps!$C$2:$C$10001)*(1=[2]SalmonProps!$D$2:$D$10001)*("A2" = [2]SalmonProps!$B$2:$B$10001)*($AP96 = [2]SalmonProps!$F$2:$F$10001) *($AR96 = [2]SalmonProps!$G$2:$G$10001),0), 18))</f>
        <v>#N/A</v>
      </c>
      <c r="Z96" s="164" cm="1">
        <f t="array" ref="Z96">IF(ISBLANK($AQ96), "", INDEX([2]SalmonProps!$A$2:$AA$10001,MATCH(1,($A96=[2]SalmonProps!$A$2:$A$10001)*(1=[2]SalmonProps!$C$2:$C$10001)*(1=[2]SalmonProps!$D$2:$D$10001)*("A1" = [2]SalmonProps!$B$2:$B$10001)*($AP96 = [2]SalmonProps!$F$2:$F$10001) *($AR96 = [2]SalmonProps!$G$2:$G$10001),0), 15))</f>
        <v>0.37290000000000001</v>
      </c>
      <c r="AA96" s="165" cm="1">
        <f t="array" ref="AA96">IF(ISBLANK($AQ96), "", INDEX([2]SalmonProps!$A$2:$AA$10001,MATCH(1,($A96=[2]SalmonProps!$A$2:$A$10001)*(1=[2]SalmonProps!$C$2:$C$10001)*(2=[2]SalmonProps!$D$2:$D$10001)*("A1" = [2]SalmonProps!$B$2:$B$10001)*($AP96 = [2]SalmonProps!$F$2:$F$10001) *($AR96 = [2]SalmonProps!$G$2:$G$10001),0), 15))</f>
        <v>0.3211</v>
      </c>
      <c r="AB96" s="165" cm="1">
        <f t="array" ref="AB96">IF(ISBLANK($AQ96), "", INDEX([2]SalmonProps!$A$2:$AA$10001,MATCH(1,($A96=[2]SalmonProps!$A$2:$A$10001)*(1=[2]SalmonProps!$C$2:$C$10001)*("1&amp;2"=[2]SalmonProps!$D$2:$D$10001)*("A1" = [2]SalmonProps!$B$2:$B$10001)*($AP96 = [2]SalmonProps!$F$2:$F$10001) *($AR96 = [2]SalmonProps!$G$2:$G$10001),0), 15))</f>
        <v>0.35620000000000002</v>
      </c>
      <c r="AC96" s="165" cm="1">
        <f t="array" ref="AC96">IF(ISBLANK($AQ96), "", INDEX([2]SalmonProps!$A$2:$AA$10001,MATCH(1,($A96=[2]SalmonProps!$A$2:$A$10001)*(2=[2]SalmonProps!$C$2:$C$10001)*(3=[2]SalmonProps!$D$2:$D$10001)*("A1" = [2]SalmonProps!$B$2:$B$10001)*($AP96 = [2]SalmonProps!$F$2:$F$10001) *($AR96 = [2]SalmonProps!$G$2:$G$10001),0), 15))</f>
        <v>0.53459999999999996</v>
      </c>
      <c r="AD96" s="181" cm="1">
        <f t="array" ref="AD96">IF(ISBLANK($AQ96), "", INDEX([2]SalmonProps!$A$2:$AA$10001,MATCH(1,($A96=[2]SalmonProps!$A$2:$A$10001)*(3=[2]SalmonProps!$C$2:$C$10001)*(3=[2]SalmonProps!$D$2:$D$10001)*("A1" = [2]SalmonProps!$B$2:$B$10001)*($AP96 = [2]SalmonProps!$F$2:$F$10001) *($AR96 = [2]SalmonProps!$G$2:$G$10001),0), 15))</f>
        <v>0.93840000000000001</v>
      </c>
      <c r="AE96" s="166" t="e" cm="1">
        <f t="array" ref="AE96">IF(ISBLANK($AQ96), "", INDEX([2]SalmonProps!$A$2:$AA$10001,MATCH(1,($A96=[2]SalmonProps!$A$2:$A$10001)*(1=[2]SalmonProps!$C$2:$C$10001)*(1=[2]SalmonProps!$D$2:$D$10001)*("A2" = [2]SalmonProps!$B$2:$B$10001)*($AP96 = [2]SalmonProps!$F$2:$F$10001) *($AR96 = [2]SalmonProps!$G$2:$G$10001),0), 15))</f>
        <v>#N/A</v>
      </c>
      <c r="AF96" s="166" t="e" cm="1">
        <f t="array" ref="AF96">IF(ISBLANK($AQ96), "", INDEX([2]SalmonProps!$A$2:$AA$10001,MATCH(1,($A96=[2]SalmonProps!$A$2:$A$10001)*(2=[2]SalmonProps!$C$2:$C$10001)*(1=[2]SalmonProps!$D$2:$D$10001)*("A2" = [2]SalmonProps!$B$2:$B$10001)*($AP96 = [2]SalmonProps!$F$2:$F$10001) *($AR96 = [2]SalmonProps!$G$2:$G$10001),0), 15))</f>
        <v>#N/A</v>
      </c>
      <c r="AG96" s="167" t="e" cm="1">
        <f t="array" ref="AG96">IF(ISBLANK($AQ96), "", INDEX([2]SalmonProps!$A$2:$AA$10001,MATCH(1,($A96=[2]SalmonProps!$A$2:$A$10001)*(3=[2]SalmonProps!$C$2:$C$10001)*(1=[2]SalmonProps!$D$2:$D$10001)*("A2" = [2]SalmonProps!$B$2:$B$10001)*($AP96 = [2]SalmonProps!$F$2:$F$10001) *($AR96 = [2]SalmonProps!$G$2:$G$10001),0), 15))</f>
        <v>#N/A</v>
      </c>
      <c r="AH96" s="173" cm="1">
        <f t="array" ref="AH96">IF(ISBLANK($AQ96), "", INDEX([2]SalmonProps!$A$2:$AA$10001,MATCH(1,($A96=[2]SalmonProps!$A$2:$A$10001)*($AP96 = [2]SalmonProps!$F$2:$F$10001) *($AR96 = [2]SalmonProps!$G$2:$G$10001),0), 24))</f>
        <v>52.5</v>
      </c>
      <c r="AI96" s="183" cm="1">
        <f t="array" ref="AI96">IF(ISBLANK($AQ96), "", INDEX([2]SalmonProps!$A$2:$AA$10001,MATCH(1,($A96=[2]SalmonProps!$A$2:$A$10001)*($AP96 = [2]SalmonProps!$F$2:$F$10001) *($AR96 = [2]SalmonProps!$G$2:$G$10001),0), 25))</f>
        <v>6.8</v>
      </c>
      <c r="AJ96" s="174" cm="1">
        <f t="array" ref="AJ96">IF(ISBLANK($AQ96), "", INDEX([2]SalmonProps!$A$2:$AA$10001,MATCH(1,($A96=[2]SalmonProps!$A$2:$A$10001)*($AP96 = [2]SalmonProps!$F$2:$F$10001) *($AR96 = [2]SalmonProps!$G$2:$G$10001),0), 20))</f>
        <v>61.6</v>
      </c>
      <c r="AK96" s="183" cm="1">
        <f t="array" ref="AK96">IF(ISBLANK($AQ96), "", INDEX([2]SalmonProps!$A$2:$AA$10001,MATCH(1,($A96=[2]SalmonProps!$A$2:$A$10001)*($AP96 = [2]SalmonProps!$F$2:$F$10001) *($AR96 = [2]SalmonProps!$G$2:$G$10001),0), 21))</f>
        <v>5</v>
      </c>
      <c r="AL96" s="174" cm="1">
        <f t="array" ref="AL96">IF(ISBLANK($AQ96), "", INDEX([2]SalmonProps!$A$2:$AA$10001,MATCH(1,($A96=[2]SalmonProps!$A$2:$A$10001)*($AP96 = [2]SalmonProps!$F$2:$F$10001) *($AR96 = [2]SalmonProps!$G$2:$G$10001),0), 22))</f>
        <v>82.6</v>
      </c>
      <c r="AM96" s="183" cm="1">
        <f t="array" ref="AM96">IF(ISBLANK($AQ96), "", INDEX([2]SalmonProps!$A$2:$AA$10001,MATCH(1,($A96=[2]SalmonProps!$A$2:$A$10001)*($AP96 = [2]SalmonProps!$F$2:$F$10001) *($AR96 = [2]SalmonProps!$G$2:$G$10001),0), 23))</f>
        <v>8.3000000000000007</v>
      </c>
      <c r="AN96" s="174" t="str" cm="1">
        <f t="array" ref="AN96">IF(ISBLANK($AQ96), "", INDEX([2]SalmonProps!$A$2:$AA$10001,MATCH(1,($A96=[2]SalmonProps!$A$2:$A$10001)*($AP96 = [2]SalmonProps!$F$2:$F$10001) *($AR96 = [2]SalmonProps!$G$2:$G$10001),0), 26))</f>
        <v>NA</v>
      </c>
      <c r="AO96" s="175" t="str" cm="1">
        <f t="array" ref="AO96">IF(ISBLANK($AQ96), "", INDEX([2]SalmonProps!$A$2:$AA$10001,MATCH(1,($A96=[2]SalmonProps!$A$2:$A$10001)*($AP96 = [2]SalmonProps!$F$2:$F$10001) *($AR96 = [2]SalmonProps!$G$2:$G$10001),0), 27))</f>
        <v>NA</v>
      </c>
      <c r="AP96" s="112">
        <v>4</v>
      </c>
      <c r="AQ96" s="112" t="s">
        <v>133</v>
      </c>
      <c r="AR96" s="112" t="str">
        <f t="shared" si="2"/>
        <v>Unweighted</v>
      </c>
    </row>
    <row r="97" spans="1:44" x14ac:dyDescent="0.3">
      <c r="A97" s="20">
        <f>'[1]Passage Estimates'!$A97</f>
        <v>45199</v>
      </c>
      <c r="B97" s="164" cm="1">
        <f t="array" ref="B97">IF(ISBLANK($AQ97), "", INDEX([2]SalmonProps!$A$2:$AA$10001,MATCH(1,($A97=[2]SalmonProps!$A$2:$A$10001)*(1=[2]SalmonProps!$C$2:$C$10001)*(1=[2]SalmonProps!$D$2:$D$10001)*("A1" = [2]SalmonProps!$B$2:$B$10001)*($AP97 = [2]SalmonProps!$F$2:$F$10001) *($AR97 = [2]SalmonProps!$G$2:$G$10001),0), 17))</f>
        <v>3.39E-2</v>
      </c>
      <c r="C97" s="165" cm="1">
        <f t="array" ref="C97">IF(ISBLANK($AQ97), "", INDEX([2]SalmonProps!$A$2:$AA$10001,MATCH(1,($A97=[2]SalmonProps!$A$2:$A$10001)*(1=[2]SalmonProps!$C$2:$C$10001)*(2=[2]SalmonProps!$D$2:$D$10001)*("A1" = [2]SalmonProps!$B$2:$B$10001)*($AP97 = [2]SalmonProps!$F$2:$F$10001) *($AR97 = [2]SalmonProps!$G$2:$G$10001),0), 17))</f>
        <v>2.7400000000000001E-2</v>
      </c>
      <c r="D97" s="165" cm="1">
        <f t="array" ref="D97">IF(ISBLANK($AQ97), "", INDEX([2]SalmonProps!$A$2:$AA$10001,MATCH(1,($A97=[2]SalmonProps!$A$2:$A$10001)*(1=[2]SalmonProps!$C$2:$C$10001)*("1&amp;2"=[2]SalmonProps!$D$2:$D$10001)*("A1" = [2]SalmonProps!$B$2:$B$10001)*($AP97 = [2]SalmonProps!$F$2:$F$10001) *($AR97 = [2]SalmonProps!$G$2:$G$10001),0), 17))</f>
        <v>3.1E-2</v>
      </c>
      <c r="E97" s="181" cm="1">
        <f t="array" ref="E97">IF(ISBLANK($AQ97), "", INDEX([2]SalmonProps!$A$2:$AA$10001,MATCH(1,($A97=[2]SalmonProps!$A$2:$A$10001)*(2=[2]SalmonProps!$C$2:$C$10001)*(3=[2]SalmonProps!$D$2:$D$10001)*("A1" = [2]SalmonProps!$B$2:$B$10001)*($AP97 = [2]SalmonProps!$F$2:$F$10001) *($AR97 = [2]SalmonProps!$G$2:$G$10001),0), 17))</f>
        <v>0.1027</v>
      </c>
      <c r="F97" s="165" cm="1">
        <f t="array" ref="F97">IF(ISBLANK($AQ97), "", INDEX([2]SalmonProps!$A$2:$AA$10001,MATCH(1,($A97=[2]SalmonProps!$A$2:$A$10001)*(3=[2]SalmonProps!$C$2:$C$10001)*(3=[2]SalmonProps!$D$2:$D$10001)*("A1" = [2]SalmonProps!$B$2:$B$10001)*($AP97 = [2]SalmonProps!$F$2:$F$10001) *($AR97 = [2]SalmonProps!$G$2:$G$10001),0), 17))</f>
        <v>0.24079999999999999</v>
      </c>
      <c r="G97" s="165" t="e" cm="1">
        <f t="array" ref="G97">IF(ISBLANK($AQ97), "", INDEX([2]SalmonProps!$A$2:$AA$10001,MATCH(1,($A97=[2]SalmonProps!$A$2:$A$10001)*(1=[2]SalmonProps!$C$2:$C$10001)*(1=[2]SalmonProps!$D$2:$D$10001)*("A2" = [2]SalmonProps!$B$2:$B$10001)*($AP97 = [2]SalmonProps!$F$2:$F$10001) *($AR97 = [2]SalmonProps!$G$2:$G$10001),0), 17))</f>
        <v>#N/A</v>
      </c>
      <c r="H97" s="166" t="e" cm="1">
        <f t="array" ref="H97">IF(ISBLANK($AQ97), "", INDEX([2]SalmonProps!$A$2:$AA$10001,MATCH(1,($A97=[2]SalmonProps!$A$2:$A$10001)*(2=[2]SalmonProps!$C$2:$C$10001)*(1=[2]SalmonProps!$D$2:$D$10001)*("A2" = [2]SalmonProps!$B$2:$B$10001)*($AP97 = [2]SalmonProps!$F$2:$F$10001) *($AR97 = [2]SalmonProps!$G$2:$G$10001),0), 17))</f>
        <v>#N/A</v>
      </c>
      <c r="I97" s="167" t="e" cm="1">
        <f t="array" ref="I97">IF(ISBLANK($AQ97), "", INDEX([2]SalmonProps!$A$2:$AA$10001,MATCH(1,($A97=[2]SalmonProps!$A$2:$A$10001)*(3=[2]SalmonProps!$C$2:$C$10001)*(1=[2]SalmonProps!$D$2:$D$10001)*("A2" = [2]SalmonProps!$B$2:$B$10001)*($AP97 = [2]SalmonProps!$F$2:$F$10001) *($AR97 = [2]SalmonProps!$G$2:$G$10001),0), 17))</f>
        <v>#N/A</v>
      </c>
      <c r="J97" s="164" t="str" cm="1">
        <f t="array" ref="J97">IF(ISBLANK($AQ97), "", INDEX([2]SalmonProps!$A$2:$AA$10001,MATCH(1,($A97=[2]SalmonProps!$A$2:$A$10001)*(1=[2]SalmonProps!$C$2:$C$10001)*(1=[2]SalmonProps!$D$2:$D$10001)*("A1" = [2]SalmonProps!$B$2:$B$10001)*($AP97 = [2]SalmonProps!$F$2:$F$10001) *($AR97 = [2]SalmonProps!$G$2:$G$10001),0), 19))</f>
        <v>NA</v>
      </c>
      <c r="K97" s="165" t="str" cm="1">
        <f t="array" ref="K97">IF(ISBLANK($AQ97), "", INDEX([2]SalmonProps!$A$2:$AA$10001,MATCH(1,($A97=[2]SalmonProps!$A$2:$A$10001)*(1=[2]SalmonProps!$C$2:$C$10001)*(2=[2]SalmonProps!$D$2:$D$10001)*("A1" = [2]SalmonProps!$B$2:$B$10001)*($AP97 = [2]SalmonProps!$F$2:$F$10001) *($AR97 = [2]SalmonProps!$G$2:$G$10001),0), 19))</f>
        <v>NA</v>
      </c>
      <c r="L97" s="165" t="str" cm="1">
        <f t="array" ref="L97">IF(ISBLANK($AQ97), "", INDEX([2]SalmonProps!$A$2:$AA$10001,MATCH(1,($A97=[2]SalmonProps!$A$2:$A$10001)*(1=[2]SalmonProps!$C$2:$C$10001)*("1&amp;2"=[2]SalmonProps!$D$2:$D$10001)*("A1" = [2]SalmonProps!$B$2:$B$10001)*($AP97 = [2]SalmonProps!$F$2:$F$10001) *($AR97 = [2]SalmonProps!$G$2:$G$10001),0), 19))</f>
        <v>NA</v>
      </c>
      <c r="M97" s="165" t="str" cm="1">
        <f t="array" ref="M97">IF(ISBLANK($AQ97), "", INDEX([2]SalmonProps!$A$2:$AA$10001,MATCH(1,($A97=[2]SalmonProps!$A$2:$A$10001)*(2=[2]SalmonProps!$C$2:$C$10001)*(3=[2]SalmonProps!$D$2:$D$10001)*("A1" = [2]SalmonProps!$B$2:$B$10001)*($AP97 = [2]SalmonProps!$F$2:$F$10001) *($AR97 = [2]SalmonProps!$G$2:$G$10001),0), 19))</f>
        <v>NA</v>
      </c>
      <c r="N97" s="181" t="str" cm="1">
        <f t="array" ref="N97">IF(ISBLANK($AQ97), "", INDEX([2]SalmonProps!$A$2:$AA$10001,MATCH(1,($A97=[2]SalmonProps!$A$2:$A$10001)*(3=[2]SalmonProps!$C$2:$C$10001)*(3=[2]SalmonProps!$D$2:$D$10001)*("A1" = [2]SalmonProps!$B$2:$B$10001)*($AP97 = [2]SalmonProps!$F$2:$F$10001) *($AR97 = [2]SalmonProps!$G$2:$G$10001),0), 19))</f>
        <v>NA</v>
      </c>
      <c r="O97" s="165" t="e" cm="1">
        <f t="array" ref="O97">IF(ISBLANK($AQ97), "", INDEX([2]SalmonProps!$A$2:$AA$10001,MATCH(1,($A97=[2]SalmonProps!$A$2:$A$10001)*(1=[2]SalmonProps!$C$2:$C$10001)*(1=[2]SalmonProps!$D$2:$D$10001)*("A2" = [2]SalmonProps!$B$2:$B$10001)*($AP97 = [2]SalmonProps!$F$2:$F$10001) *($AR97 = [2]SalmonProps!$G$2:$G$10001),0), 19))</f>
        <v>#N/A</v>
      </c>
      <c r="P97" s="165" t="e" cm="1">
        <f t="array" ref="P97">IF(ISBLANK($AQ97), "", INDEX([2]SalmonProps!$A$2:$AA$10001,MATCH(1,($A97=[2]SalmonProps!$A$2:$A$10001)*(2=[2]SalmonProps!$C$2:$C$10001)*(1=[2]SalmonProps!$D$2:$D$10001)*("A2" = [2]SalmonProps!$B$2:$B$10001)*($AP97 = [2]SalmonProps!$F$2:$F$10001) *($AR97 = [2]SalmonProps!$G$2:$G$10001),0), 19))</f>
        <v>#N/A</v>
      </c>
      <c r="Q97" s="168" t="e" cm="1">
        <f t="array" ref="Q97">IF(ISBLANK($AQ97), "", INDEX([2]SalmonProps!$A$2:$AA$10001,MATCH(1,($A97=[2]SalmonProps!$A$2:$A$10001)*(3=[2]SalmonProps!$C$2:$C$10001)*(1=[2]SalmonProps!$D$2:$D$10001)*("A2" = [2]SalmonProps!$B$2:$B$10001)*($AP97 = [2]SalmonProps!$F$2:$F$10001) *($AR97 = [2]SalmonProps!$G$2:$G$10001),0), 19))</f>
        <v>#N/A</v>
      </c>
      <c r="R97" s="164" cm="1">
        <f t="array" ref="R97">IF(ISBLANK($AQ97), "", INDEX([2]SalmonProps!$A$2:$AA$10001,MATCH(1,($A97=[2]SalmonProps!$A$2:$A$10001)*(1=[2]SalmonProps!$C$2:$C$10001)*(1=[2]SalmonProps!$D$2:$D$10001)*("A1" = [2]SalmonProps!$B$2:$B$10001)*($AP97 = [2]SalmonProps!$F$2:$F$10001) *($AR97 = [2]SalmonProps!$G$2:$G$10001),0), 18))</f>
        <v>0.4002</v>
      </c>
      <c r="S97" s="165" cm="1">
        <f t="array" ref="S97">IF(ISBLANK($AQ97), "", INDEX([2]SalmonProps!$A$2:$AA$10001,MATCH(1,($A97=[2]SalmonProps!$A$2:$A$10001)*(1=[2]SalmonProps!$C$2:$C$10001)*(2=[2]SalmonProps!$D$2:$D$10001)*("A1" = [2]SalmonProps!$B$2:$B$10001)*($AP97 = [2]SalmonProps!$F$2:$F$10001) *($AR97 = [2]SalmonProps!$G$2:$G$10001),0), 18))</f>
        <v>0.36199999999999999</v>
      </c>
      <c r="T97" s="165" cm="1">
        <f t="array" ref="T97">IF(ISBLANK($AQ97), "", INDEX([2]SalmonProps!$A$2:$AA$10001,MATCH(1,($A97=[2]SalmonProps!$A$2:$A$10001)*(1=[2]SalmonProps!$C$2:$C$10001)*("1&amp;2"=[2]SalmonProps!$D$2:$D$10001)*("A1" = [2]SalmonProps!$B$2:$B$10001)*($AP97 = [2]SalmonProps!$F$2:$F$10001) *($AR97 = [2]SalmonProps!$G$2:$G$10001),0), 18))</f>
        <v>0.3851</v>
      </c>
      <c r="U97" s="165" cm="1">
        <f t="array" ref="U97">IF(ISBLANK($AQ97), "", INDEX([2]SalmonProps!$A$2:$AA$10001,MATCH(1,($A97=[2]SalmonProps!$A$2:$A$10001)*(2=[2]SalmonProps!$C$2:$C$10001)*(3=[2]SalmonProps!$D$2:$D$10001)*("A1" = [2]SalmonProps!$B$2:$B$10001)*($AP97 = [2]SalmonProps!$F$2:$F$10001) *($AR97 = [2]SalmonProps!$G$2:$G$10001),0), 18))</f>
        <v>0.39019999999999999</v>
      </c>
      <c r="V97" s="181" cm="1">
        <f t="array" ref="V97">IF(ISBLANK($AQ97), "", INDEX([2]SalmonProps!$A$2:$AA$10001,MATCH(1,($A97=[2]SalmonProps!$A$2:$A$10001)*(3=[2]SalmonProps!$C$2:$C$10001)*(3=[2]SalmonProps!$D$2:$D$10001)*("A1" = [2]SalmonProps!$B$2:$B$10001)*($AP97 = [2]SalmonProps!$F$2:$F$10001) *($AR97 = [2]SalmonProps!$G$2:$G$10001),0), 18))</f>
        <v>0.46060000000000001</v>
      </c>
      <c r="W97" s="180" t="e" cm="1">
        <f t="array" ref="W97">IF(ISBLANK($AQ97), "", INDEX([2]SalmonProps!$A$2:$AA$10001,MATCH(1,($A97=[2]SalmonProps!$A$2:$A$10001)*(1=[2]SalmonProps!$C$2:$C$10001)*(1=[2]SalmonProps!$D$2:$D$10001)*("A2" = [2]SalmonProps!$B$2:$B$10001)*($AP97 = [2]SalmonProps!$F$2:$F$10001) *($AR97 = [2]SalmonProps!$G$2:$G$10001),0), 18))</f>
        <v>#N/A</v>
      </c>
      <c r="X97" s="165" t="e" cm="1">
        <f t="array" ref="X97">IF(ISBLANK($AQ97), "", INDEX([2]SalmonProps!$A$2:$AA$10001,MATCH(1,($A97=[2]SalmonProps!$A$2:$A$10001)*(2=[2]SalmonProps!$C$2:$C$10001)*(1=[2]SalmonProps!$D$2:$D$10001)*("A2" = [2]SalmonProps!$B$2:$B$10001)*($AP97 = [2]SalmonProps!$F$2:$F$10001) *($AR97 = [2]SalmonProps!$G$2:$G$10001),0), 18))</f>
        <v>#N/A</v>
      </c>
      <c r="Y97" s="168" t="e" cm="1">
        <f t="array" ref="Y97">IF(ISBLANK($AQ97), "", INDEX([2]SalmonProps!$A$2:$AA$10001,MATCH(1,($A97=[2]SalmonProps!$A$2:$A$10001)*(3=[2]SalmonProps!$C$2:$C$10001)*(1=[2]SalmonProps!$D$2:$D$10001)*("A2" = [2]SalmonProps!$B$2:$B$10001)*($AP97 = [2]SalmonProps!$F$2:$F$10001) *($AR97 = [2]SalmonProps!$G$2:$G$10001),0), 18))</f>
        <v>#N/A</v>
      </c>
      <c r="Z97" s="164" cm="1">
        <f t="array" ref="Z97">IF(ISBLANK($AQ97), "", INDEX([2]SalmonProps!$A$2:$AA$10001,MATCH(1,($A97=[2]SalmonProps!$A$2:$A$10001)*(1=[2]SalmonProps!$C$2:$C$10001)*(1=[2]SalmonProps!$D$2:$D$10001)*("A1" = [2]SalmonProps!$B$2:$B$10001)*($AP97 = [2]SalmonProps!$F$2:$F$10001) *($AR97 = [2]SalmonProps!$G$2:$G$10001),0), 15))</f>
        <v>0.49969999999999998</v>
      </c>
      <c r="AA97" s="165" cm="1">
        <f t="array" ref="AA97">IF(ISBLANK($AQ97), "", INDEX([2]SalmonProps!$A$2:$AA$10001,MATCH(1,($A97=[2]SalmonProps!$A$2:$A$10001)*(1=[2]SalmonProps!$C$2:$C$10001)*(2=[2]SalmonProps!$D$2:$D$10001)*("A1" = [2]SalmonProps!$B$2:$B$10001)*($AP97 = [2]SalmonProps!$F$2:$F$10001) *($AR97 = [2]SalmonProps!$G$2:$G$10001),0), 15))</f>
        <v>0.4461</v>
      </c>
      <c r="AB97" s="165" cm="1">
        <f t="array" ref="AB97">IF(ISBLANK($AQ97), "", INDEX([2]SalmonProps!$A$2:$AA$10001,MATCH(1,($A97=[2]SalmonProps!$A$2:$A$10001)*(1=[2]SalmonProps!$C$2:$C$10001)*("1&amp;2"=[2]SalmonProps!$D$2:$D$10001)*("A1" = [2]SalmonProps!$B$2:$B$10001)*($AP97 = [2]SalmonProps!$F$2:$F$10001) *($AR97 = [2]SalmonProps!$G$2:$G$10001),0), 15))</f>
        <v>0.47749999999999998</v>
      </c>
      <c r="AC97" s="165" cm="1">
        <f t="array" ref="AC97">IF(ISBLANK($AQ97), "", INDEX([2]SalmonProps!$A$2:$AA$10001,MATCH(1,($A97=[2]SalmonProps!$A$2:$A$10001)*(2=[2]SalmonProps!$C$2:$C$10001)*(3=[2]SalmonProps!$D$2:$D$10001)*("A1" = [2]SalmonProps!$B$2:$B$10001)*($AP97 = [2]SalmonProps!$F$2:$F$10001) *($AR97 = [2]SalmonProps!$G$2:$G$10001),0), 15))</f>
        <v>0.63619999999999999</v>
      </c>
      <c r="AD97" s="181" cm="1">
        <f t="array" ref="AD97">IF(ISBLANK($AQ97), "", INDEX([2]SalmonProps!$A$2:$AA$10001,MATCH(1,($A97=[2]SalmonProps!$A$2:$A$10001)*(3=[2]SalmonProps!$C$2:$C$10001)*(3=[2]SalmonProps!$D$2:$D$10001)*("A1" = [2]SalmonProps!$B$2:$B$10001)*($AP97 = [2]SalmonProps!$F$2:$F$10001) *($AR97 = [2]SalmonProps!$G$2:$G$10001),0), 15))</f>
        <v>0.85089999999999999</v>
      </c>
      <c r="AE97" s="166" t="e" cm="1">
        <f t="array" ref="AE97">IF(ISBLANK($AQ97), "", INDEX([2]SalmonProps!$A$2:$AA$10001,MATCH(1,($A97=[2]SalmonProps!$A$2:$A$10001)*(1=[2]SalmonProps!$C$2:$C$10001)*(1=[2]SalmonProps!$D$2:$D$10001)*("A2" = [2]SalmonProps!$B$2:$B$10001)*($AP97 = [2]SalmonProps!$F$2:$F$10001) *($AR97 = [2]SalmonProps!$G$2:$G$10001),0), 15))</f>
        <v>#N/A</v>
      </c>
      <c r="AF97" s="166" t="e" cm="1">
        <f t="array" ref="AF97">IF(ISBLANK($AQ97), "", INDEX([2]SalmonProps!$A$2:$AA$10001,MATCH(1,($A97=[2]SalmonProps!$A$2:$A$10001)*(2=[2]SalmonProps!$C$2:$C$10001)*(1=[2]SalmonProps!$D$2:$D$10001)*("A2" = [2]SalmonProps!$B$2:$B$10001)*($AP97 = [2]SalmonProps!$F$2:$F$10001) *($AR97 = [2]SalmonProps!$G$2:$G$10001),0), 15))</f>
        <v>#N/A</v>
      </c>
      <c r="AG97" s="167" t="e" cm="1">
        <f t="array" ref="AG97">IF(ISBLANK($AQ97), "", INDEX([2]SalmonProps!$A$2:$AA$10001,MATCH(1,($A97=[2]SalmonProps!$A$2:$A$10001)*(3=[2]SalmonProps!$C$2:$C$10001)*(1=[2]SalmonProps!$D$2:$D$10001)*("A2" = [2]SalmonProps!$B$2:$B$10001)*($AP97 = [2]SalmonProps!$F$2:$F$10001) *($AR97 = [2]SalmonProps!$G$2:$G$10001),0), 15))</f>
        <v>#N/A</v>
      </c>
      <c r="AH97" s="173" cm="1">
        <f t="array" ref="AH97">IF(ISBLANK($AQ97), "", INDEX([2]SalmonProps!$A$2:$AA$10001,MATCH(1,($A97=[2]SalmonProps!$A$2:$A$10001)*($AP97 = [2]SalmonProps!$F$2:$F$10001) *($AR97 = [2]SalmonProps!$G$2:$G$10001),0), 24))</f>
        <v>52.5</v>
      </c>
      <c r="AI97" s="183" cm="1">
        <f t="array" ref="AI97">IF(ISBLANK($AQ97), "", INDEX([2]SalmonProps!$A$2:$AA$10001,MATCH(1,($A97=[2]SalmonProps!$A$2:$A$10001)*($AP97 = [2]SalmonProps!$F$2:$F$10001) *($AR97 = [2]SalmonProps!$G$2:$G$10001),0), 25))</f>
        <v>6.8</v>
      </c>
      <c r="AJ97" s="174" cm="1">
        <f t="array" ref="AJ97">IF(ISBLANK($AQ97), "", INDEX([2]SalmonProps!$A$2:$AA$10001,MATCH(1,($A97=[2]SalmonProps!$A$2:$A$10001)*($AP97 = [2]SalmonProps!$F$2:$F$10001) *($AR97 = [2]SalmonProps!$G$2:$G$10001),0), 20))</f>
        <v>61.6</v>
      </c>
      <c r="AK97" s="183" cm="1">
        <f t="array" ref="AK97">IF(ISBLANK($AQ97), "", INDEX([2]SalmonProps!$A$2:$AA$10001,MATCH(1,($A97=[2]SalmonProps!$A$2:$A$10001)*($AP97 = [2]SalmonProps!$F$2:$F$10001) *($AR97 = [2]SalmonProps!$G$2:$G$10001),0), 21))</f>
        <v>5</v>
      </c>
      <c r="AL97" s="174" cm="1">
        <f t="array" ref="AL97">IF(ISBLANK($AQ97), "", INDEX([2]SalmonProps!$A$2:$AA$10001,MATCH(1,($A97=[2]SalmonProps!$A$2:$A$10001)*($AP97 = [2]SalmonProps!$F$2:$F$10001) *($AR97 = [2]SalmonProps!$G$2:$G$10001),0), 22))</f>
        <v>82.6</v>
      </c>
      <c r="AM97" s="183" cm="1">
        <f t="array" ref="AM97">IF(ISBLANK($AQ97), "", INDEX([2]SalmonProps!$A$2:$AA$10001,MATCH(1,($A97=[2]SalmonProps!$A$2:$A$10001)*($AP97 = [2]SalmonProps!$F$2:$F$10001) *($AR97 = [2]SalmonProps!$G$2:$G$10001),0), 23))</f>
        <v>8.3000000000000007</v>
      </c>
      <c r="AN97" s="174" t="str" cm="1">
        <f t="array" ref="AN97">IF(ISBLANK($AQ97), "", INDEX([2]SalmonProps!$A$2:$AA$10001,MATCH(1,($A97=[2]SalmonProps!$A$2:$A$10001)*($AP97 = [2]SalmonProps!$F$2:$F$10001) *($AR97 = [2]SalmonProps!$G$2:$G$10001),0), 26))</f>
        <v>NA</v>
      </c>
      <c r="AO97" s="175" t="str" cm="1">
        <f t="array" ref="AO97">IF(ISBLANK($AQ97), "", INDEX([2]SalmonProps!$A$2:$AA$10001,MATCH(1,($A97=[2]SalmonProps!$A$2:$A$10001)*($AP97 = [2]SalmonProps!$F$2:$F$10001) *($AR97 = [2]SalmonProps!$G$2:$G$10001),0), 27))</f>
        <v>NA</v>
      </c>
      <c r="AP97" s="112">
        <v>4</v>
      </c>
      <c r="AQ97" s="112" t="s">
        <v>133</v>
      </c>
      <c r="AR97" s="112" t="str">
        <f t="shared" si="2"/>
        <v>Unweighted</v>
      </c>
    </row>
    <row r="98" spans="1:44" x14ac:dyDescent="0.3">
      <c r="A98" s="20">
        <f>'[1]Passage Estimates'!$A98</f>
        <v>45200</v>
      </c>
      <c r="B98" s="164" cm="1">
        <f t="array" ref="B98">IF(ISBLANK($AQ98), "", INDEX([2]SalmonProps!$A$2:$AA$10001,MATCH(1,($A98=[2]SalmonProps!$A$2:$A$10001)*(1=[2]SalmonProps!$C$2:$C$10001)*(1=[2]SalmonProps!$D$2:$D$10001)*("A1" = [2]SalmonProps!$B$2:$B$10001)*($AP98 = [2]SalmonProps!$F$2:$F$10001) *($AR98 = [2]SalmonProps!$G$2:$G$10001),0), 17))</f>
        <v>9.7999999999999997E-3</v>
      </c>
      <c r="C98" s="165" cm="1">
        <f t="array" ref="C98">IF(ISBLANK($AQ98), "", INDEX([2]SalmonProps!$A$2:$AA$10001,MATCH(1,($A98=[2]SalmonProps!$A$2:$A$10001)*(1=[2]SalmonProps!$C$2:$C$10001)*(2=[2]SalmonProps!$D$2:$D$10001)*("A1" = [2]SalmonProps!$B$2:$B$10001)*($AP98 = [2]SalmonProps!$F$2:$F$10001) *($AR98 = [2]SalmonProps!$G$2:$G$10001),0), 17))</f>
        <v>5.2999999999999999E-2</v>
      </c>
      <c r="D98" s="165" cm="1">
        <f t="array" ref="D98">IF(ISBLANK($AQ98), "", INDEX([2]SalmonProps!$A$2:$AA$10001,MATCH(1,($A98=[2]SalmonProps!$A$2:$A$10001)*(1=[2]SalmonProps!$C$2:$C$10001)*("1&amp;2"=[2]SalmonProps!$D$2:$D$10001)*("A1" = [2]SalmonProps!$B$2:$B$10001)*($AP98 = [2]SalmonProps!$F$2:$F$10001) *($AR98 = [2]SalmonProps!$G$2:$G$10001),0), 17))</f>
        <v>2.7E-2</v>
      </c>
      <c r="E98" s="181" cm="1">
        <f t="array" ref="E98">IF(ISBLANK($AQ98), "", INDEX([2]SalmonProps!$A$2:$AA$10001,MATCH(1,($A98=[2]SalmonProps!$A$2:$A$10001)*(2=[2]SalmonProps!$C$2:$C$10001)*(3=[2]SalmonProps!$D$2:$D$10001)*("A1" = [2]SalmonProps!$B$2:$B$10001)*($AP98 = [2]SalmonProps!$F$2:$F$10001) *($AR98 = [2]SalmonProps!$G$2:$G$10001),0), 17))</f>
        <v>0.1031</v>
      </c>
      <c r="F98" s="165" cm="1">
        <f t="array" ref="F98">IF(ISBLANK($AQ98), "", INDEX([2]SalmonProps!$A$2:$AA$10001,MATCH(1,($A98=[2]SalmonProps!$A$2:$A$10001)*(3=[2]SalmonProps!$C$2:$C$10001)*(3=[2]SalmonProps!$D$2:$D$10001)*("A1" = [2]SalmonProps!$B$2:$B$10001)*($AP98 = [2]SalmonProps!$F$2:$F$10001) *($AR98 = [2]SalmonProps!$G$2:$G$10001),0), 17))</f>
        <v>0.2288</v>
      </c>
      <c r="G98" s="165" t="e" cm="1">
        <f t="array" ref="G98">IF(ISBLANK($AQ98), "", INDEX([2]SalmonProps!$A$2:$AA$10001,MATCH(1,($A98=[2]SalmonProps!$A$2:$A$10001)*(1=[2]SalmonProps!$C$2:$C$10001)*(1=[2]SalmonProps!$D$2:$D$10001)*("A2" = [2]SalmonProps!$B$2:$B$10001)*($AP98 = [2]SalmonProps!$F$2:$F$10001) *($AR98 = [2]SalmonProps!$G$2:$G$10001),0), 17))</f>
        <v>#N/A</v>
      </c>
      <c r="H98" s="166" t="e" cm="1">
        <f t="array" ref="H98">IF(ISBLANK($AQ98), "", INDEX([2]SalmonProps!$A$2:$AA$10001,MATCH(1,($A98=[2]SalmonProps!$A$2:$A$10001)*(2=[2]SalmonProps!$C$2:$C$10001)*(1=[2]SalmonProps!$D$2:$D$10001)*("A2" = [2]SalmonProps!$B$2:$B$10001)*($AP98 = [2]SalmonProps!$F$2:$F$10001) *($AR98 = [2]SalmonProps!$G$2:$G$10001),0), 17))</f>
        <v>#N/A</v>
      </c>
      <c r="I98" s="167" t="e" cm="1">
        <f t="array" ref="I98">IF(ISBLANK($AQ98), "", INDEX([2]SalmonProps!$A$2:$AA$10001,MATCH(1,($A98=[2]SalmonProps!$A$2:$A$10001)*(3=[2]SalmonProps!$C$2:$C$10001)*(1=[2]SalmonProps!$D$2:$D$10001)*("A2" = [2]SalmonProps!$B$2:$B$10001)*($AP98 = [2]SalmonProps!$F$2:$F$10001) *($AR98 = [2]SalmonProps!$G$2:$G$10001),0), 17))</f>
        <v>#N/A</v>
      </c>
      <c r="J98" s="164" t="str" cm="1">
        <f t="array" ref="J98">IF(ISBLANK($AQ98), "", INDEX([2]SalmonProps!$A$2:$AA$10001,MATCH(1,($A98=[2]SalmonProps!$A$2:$A$10001)*(1=[2]SalmonProps!$C$2:$C$10001)*(1=[2]SalmonProps!$D$2:$D$10001)*("A1" = [2]SalmonProps!$B$2:$B$10001)*($AP98 = [2]SalmonProps!$F$2:$F$10001) *($AR98 = [2]SalmonProps!$G$2:$G$10001),0), 19))</f>
        <v>NA</v>
      </c>
      <c r="K98" s="165" t="str" cm="1">
        <f t="array" ref="K98">IF(ISBLANK($AQ98), "", INDEX([2]SalmonProps!$A$2:$AA$10001,MATCH(1,($A98=[2]SalmonProps!$A$2:$A$10001)*(1=[2]SalmonProps!$C$2:$C$10001)*(2=[2]SalmonProps!$D$2:$D$10001)*("A1" = [2]SalmonProps!$B$2:$B$10001)*($AP98 = [2]SalmonProps!$F$2:$F$10001) *($AR98 = [2]SalmonProps!$G$2:$G$10001),0), 19))</f>
        <v>NA</v>
      </c>
      <c r="L98" s="165" t="str" cm="1">
        <f t="array" ref="L98">IF(ISBLANK($AQ98), "", INDEX([2]SalmonProps!$A$2:$AA$10001,MATCH(1,($A98=[2]SalmonProps!$A$2:$A$10001)*(1=[2]SalmonProps!$C$2:$C$10001)*("1&amp;2"=[2]SalmonProps!$D$2:$D$10001)*("A1" = [2]SalmonProps!$B$2:$B$10001)*($AP98 = [2]SalmonProps!$F$2:$F$10001) *($AR98 = [2]SalmonProps!$G$2:$G$10001),0), 19))</f>
        <v>NA</v>
      </c>
      <c r="M98" s="165" t="str" cm="1">
        <f t="array" ref="M98">IF(ISBLANK($AQ98), "", INDEX([2]SalmonProps!$A$2:$AA$10001,MATCH(1,($A98=[2]SalmonProps!$A$2:$A$10001)*(2=[2]SalmonProps!$C$2:$C$10001)*(3=[2]SalmonProps!$D$2:$D$10001)*("A1" = [2]SalmonProps!$B$2:$B$10001)*($AP98 = [2]SalmonProps!$F$2:$F$10001) *($AR98 = [2]SalmonProps!$G$2:$G$10001),0), 19))</f>
        <v>NA</v>
      </c>
      <c r="N98" s="181" t="str" cm="1">
        <f t="array" ref="N98">IF(ISBLANK($AQ98), "", INDEX([2]SalmonProps!$A$2:$AA$10001,MATCH(1,($A98=[2]SalmonProps!$A$2:$A$10001)*(3=[2]SalmonProps!$C$2:$C$10001)*(3=[2]SalmonProps!$D$2:$D$10001)*("A1" = [2]SalmonProps!$B$2:$B$10001)*($AP98 = [2]SalmonProps!$F$2:$F$10001) *($AR98 = [2]SalmonProps!$G$2:$G$10001),0), 19))</f>
        <v>NA</v>
      </c>
      <c r="O98" s="165" t="e" cm="1">
        <f t="array" ref="O98">IF(ISBLANK($AQ98), "", INDEX([2]SalmonProps!$A$2:$AA$10001,MATCH(1,($A98=[2]SalmonProps!$A$2:$A$10001)*(1=[2]SalmonProps!$C$2:$C$10001)*(1=[2]SalmonProps!$D$2:$D$10001)*("A2" = [2]SalmonProps!$B$2:$B$10001)*($AP98 = [2]SalmonProps!$F$2:$F$10001) *($AR98 = [2]SalmonProps!$G$2:$G$10001),0), 19))</f>
        <v>#N/A</v>
      </c>
      <c r="P98" s="165" t="e" cm="1">
        <f t="array" ref="P98">IF(ISBLANK($AQ98), "", INDEX([2]SalmonProps!$A$2:$AA$10001,MATCH(1,($A98=[2]SalmonProps!$A$2:$A$10001)*(2=[2]SalmonProps!$C$2:$C$10001)*(1=[2]SalmonProps!$D$2:$D$10001)*("A2" = [2]SalmonProps!$B$2:$B$10001)*($AP98 = [2]SalmonProps!$F$2:$F$10001) *($AR98 = [2]SalmonProps!$G$2:$G$10001),0), 19))</f>
        <v>#N/A</v>
      </c>
      <c r="Q98" s="168" t="e" cm="1">
        <f t="array" ref="Q98">IF(ISBLANK($AQ98), "", INDEX([2]SalmonProps!$A$2:$AA$10001,MATCH(1,($A98=[2]SalmonProps!$A$2:$A$10001)*(3=[2]SalmonProps!$C$2:$C$10001)*(1=[2]SalmonProps!$D$2:$D$10001)*("A2" = [2]SalmonProps!$B$2:$B$10001)*($AP98 = [2]SalmonProps!$F$2:$F$10001) *($AR98 = [2]SalmonProps!$G$2:$G$10001),0), 19))</f>
        <v>#N/A</v>
      </c>
      <c r="R98" s="164" cm="1">
        <f t="array" ref="R98">IF(ISBLANK($AQ98), "", INDEX([2]SalmonProps!$A$2:$AA$10001,MATCH(1,($A98=[2]SalmonProps!$A$2:$A$10001)*(1=[2]SalmonProps!$C$2:$C$10001)*(1=[2]SalmonProps!$D$2:$D$10001)*("A1" = [2]SalmonProps!$B$2:$B$10001)*($AP98 = [2]SalmonProps!$F$2:$F$10001) *($AR98 = [2]SalmonProps!$G$2:$G$10001),0), 18))</f>
        <v>0.47849999999999998</v>
      </c>
      <c r="S98" s="165" cm="1">
        <f t="array" ref="S98">IF(ISBLANK($AQ98), "", INDEX([2]SalmonProps!$A$2:$AA$10001,MATCH(1,($A98=[2]SalmonProps!$A$2:$A$10001)*(1=[2]SalmonProps!$C$2:$C$10001)*(2=[2]SalmonProps!$D$2:$D$10001)*("A1" = [2]SalmonProps!$B$2:$B$10001)*($AP98 = [2]SalmonProps!$F$2:$F$10001) *($AR98 = [2]SalmonProps!$G$2:$G$10001),0), 18))</f>
        <v>0.40679999999999999</v>
      </c>
      <c r="T98" s="165" cm="1">
        <f t="array" ref="T98">IF(ISBLANK($AQ98), "", INDEX([2]SalmonProps!$A$2:$AA$10001,MATCH(1,($A98=[2]SalmonProps!$A$2:$A$10001)*(1=[2]SalmonProps!$C$2:$C$10001)*("1&amp;2"=[2]SalmonProps!$D$2:$D$10001)*("A1" = [2]SalmonProps!$B$2:$B$10001)*($AP98 = [2]SalmonProps!$F$2:$F$10001) *($AR98 = [2]SalmonProps!$G$2:$G$10001),0), 18))</f>
        <v>0.45479999999999998</v>
      </c>
      <c r="U98" s="165" cm="1">
        <f t="array" ref="U98">IF(ISBLANK($AQ98), "", INDEX([2]SalmonProps!$A$2:$AA$10001,MATCH(1,($A98=[2]SalmonProps!$A$2:$A$10001)*(2=[2]SalmonProps!$C$2:$C$10001)*(3=[2]SalmonProps!$D$2:$D$10001)*("A1" = [2]SalmonProps!$B$2:$B$10001)*($AP98 = [2]SalmonProps!$F$2:$F$10001) *($AR98 = [2]SalmonProps!$G$2:$G$10001),0), 18))</f>
        <v>0.36630000000000001</v>
      </c>
      <c r="V98" s="181" cm="1">
        <f t="array" ref="V98">IF(ISBLANK($AQ98), "", INDEX([2]SalmonProps!$A$2:$AA$10001,MATCH(1,($A98=[2]SalmonProps!$A$2:$A$10001)*(3=[2]SalmonProps!$C$2:$C$10001)*(3=[2]SalmonProps!$D$2:$D$10001)*("A1" = [2]SalmonProps!$B$2:$B$10001)*($AP98 = [2]SalmonProps!$F$2:$F$10001) *($AR98 = [2]SalmonProps!$G$2:$G$10001),0), 18))</f>
        <v>0.46889999999999998</v>
      </c>
      <c r="W98" s="180" t="e" cm="1">
        <f t="array" ref="W98">IF(ISBLANK($AQ98), "", INDEX([2]SalmonProps!$A$2:$AA$10001,MATCH(1,($A98=[2]SalmonProps!$A$2:$A$10001)*(1=[2]SalmonProps!$C$2:$C$10001)*(1=[2]SalmonProps!$D$2:$D$10001)*("A2" = [2]SalmonProps!$B$2:$B$10001)*($AP98 = [2]SalmonProps!$F$2:$F$10001) *($AR98 = [2]SalmonProps!$G$2:$G$10001),0), 18))</f>
        <v>#N/A</v>
      </c>
      <c r="X98" s="165" t="e" cm="1">
        <f t="array" ref="X98">IF(ISBLANK($AQ98), "", INDEX([2]SalmonProps!$A$2:$AA$10001,MATCH(1,($A98=[2]SalmonProps!$A$2:$A$10001)*(2=[2]SalmonProps!$C$2:$C$10001)*(1=[2]SalmonProps!$D$2:$D$10001)*("A2" = [2]SalmonProps!$B$2:$B$10001)*($AP98 = [2]SalmonProps!$F$2:$F$10001) *($AR98 = [2]SalmonProps!$G$2:$G$10001),0), 18))</f>
        <v>#N/A</v>
      </c>
      <c r="Y98" s="168" t="e" cm="1">
        <f t="array" ref="Y98">IF(ISBLANK($AQ98), "", INDEX([2]SalmonProps!$A$2:$AA$10001,MATCH(1,($A98=[2]SalmonProps!$A$2:$A$10001)*(3=[2]SalmonProps!$C$2:$C$10001)*(1=[2]SalmonProps!$D$2:$D$10001)*("A2" = [2]SalmonProps!$B$2:$B$10001)*($AP98 = [2]SalmonProps!$F$2:$F$10001) *($AR98 = [2]SalmonProps!$G$2:$G$10001),0), 18))</f>
        <v>#N/A</v>
      </c>
      <c r="Z98" s="164" cm="1">
        <f t="array" ref="Z98">IF(ISBLANK($AQ98), "", INDEX([2]SalmonProps!$A$2:$AA$10001,MATCH(1,($A98=[2]SalmonProps!$A$2:$A$10001)*(1=[2]SalmonProps!$C$2:$C$10001)*(1=[2]SalmonProps!$D$2:$D$10001)*("A1" = [2]SalmonProps!$B$2:$B$10001)*($AP98 = [2]SalmonProps!$F$2:$F$10001) *($AR98 = [2]SalmonProps!$G$2:$G$10001),0), 15))</f>
        <v>0.60909999999999997</v>
      </c>
      <c r="AA98" s="165" cm="1">
        <f t="array" ref="AA98">IF(ISBLANK($AQ98), "", INDEX([2]SalmonProps!$A$2:$AA$10001,MATCH(1,($A98=[2]SalmonProps!$A$2:$A$10001)*(1=[2]SalmonProps!$C$2:$C$10001)*(2=[2]SalmonProps!$D$2:$D$10001)*("A1" = [2]SalmonProps!$B$2:$B$10001)*($AP98 = [2]SalmonProps!$F$2:$F$10001) *($AR98 = [2]SalmonProps!$G$2:$G$10001),0), 15))</f>
        <v>0.65139999999999998</v>
      </c>
      <c r="AB98" s="165" cm="1">
        <f t="array" ref="AB98">IF(ISBLANK($AQ98), "", INDEX([2]SalmonProps!$A$2:$AA$10001,MATCH(1,($A98=[2]SalmonProps!$A$2:$A$10001)*(1=[2]SalmonProps!$C$2:$C$10001)*("1&amp;2"=[2]SalmonProps!$D$2:$D$10001)*("A1" = [2]SalmonProps!$B$2:$B$10001)*($AP98 = [2]SalmonProps!$F$2:$F$10001) *($AR98 = [2]SalmonProps!$G$2:$G$10001),0), 15))</f>
        <v>0.63170000000000004</v>
      </c>
      <c r="AC98" s="165" cm="1">
        <f t="array" ref="AC98">IF(ISBLANK($AQ98), "", INDEX([2]SalmonProps!$A$2:$AA$10001,MATCH(1,($A98=[2]SalmonProps!$A$2:$A$10001)*(2=[2]SalmonProps!$C$2:$C$10001)*(3=[2]SalmonProps!$D$2:$D$10001)*("A1" = [2]SalmonProps!$B$2:$B$10001)*($AP98 = [2]SalmonProps!$F$2:$F$10001) *($AR98 = [2]SalmonProps!$G$2:$G$10001),0), 15))</f>
        <v>0.65990000000000004</v>
      </c>
      <c r="AD98" s="181" cm="1">
        <f t="array" ref="AD98">IF(ISBLANK($AQ98), "", INDEX([2]SalmonProps!$A$2:$AA$10001,MATCH(1,($A98=[2]SalmonProps!$A$2:$A$10001)*(3=[2]SalmonProps!$C$2:$C$10001)*(3=[2]SalmonProps!$D$2:$D$10001)*("A1" = [2]SalmonProps!$B$2:$B$10001)*($AP98 = [2]SalmonProps!$F$2:$F$10001) *($AR98 = [2]SalmonProps!$G$2:$G$10001),0), 15))</f>
        <v>0.86439999999999995</v>
      </c>
      <c r="AE98" s="166" t="e" cm="1">
        <f t="array" ref="AE98">IF(ISBLANK($AQ98), "", INDEX([2]SalmonProps!$A$2:$AA$10001,MATCH(1,($A98=[2]SalmonProps!$A$2:$A$10001)*(1=[2]SalmonProps!$C$2:$C$10001)*(1=[2]SalmonProps!$D$2:$D$10001)*("A2" = [2]SalmonProps!$B$2:$B$10001)*($AP98 = [2]SalmonProps!$F$2:$F$10001) *($AR98 = [2]SalmonProps!$G$2:$G$10001),0), 15))</f>
        <v>#N/A</v>
      </c>
      <c r="AF98" s="166" t="e" cm="1">
        <f t="array" ref="AF98">IF(ISBLANK($AQ98), "", INDEX([2]SalmonProps!$A$2:$AA$10001,MATCH(1,($A98=[2]SalmonProps!$A$2:$A$10001)*(2=[2]SalmonProps!$C$2:$C$10001)*(1=[2]SalmonProps!$D$2:$D$10001)*("A2" = [2]SalmonProps!$B$2:$B$10001)*($AP98 = [2]SalmonProps!$F$2:$F$10001) *($AR98 = [2]SalmonProps!$G$2:$G$10001),0), 15))</f>
        <v>#N/A</v>
      </c>
      <c r="AG98" s="167" t="e" cm="1">
        <f t="array" ref="AG98">IF(ISBLANK($AQ98), "", INDEX([2]SalmonProps!$A$2:$AA$10001,MATCH(1,($A98=[2]SalmonProps!$A$2:$A$10001)*(3=[2]SalmonProps!$C$2:$C$10001)*(1=[2]SalmonProps!$D$2:$D$10001)*("A2" = [2]SalmonProps!$B$2:$B$10001)*($AP98 = [2]SalmonProps!$F$2:$F$10001) *($AR98 = [2]SalmonProps!$G$2:$G$10001),0), 15))</f>
        <v>#N/A</v>
      </c>
      <c r="AH98" s="173" cm="1">
        <f t="array" ref="AH98">IF(ISBLANK($AQ98), "", INDEX([2]SalmonProps!$A$2:$AA$10001,MATCH(1,($A98=[2]SalmonProps!$A$2:$A$10001)*($AP98 = [2]SalmonProps!$F$2:$F$10001) *($AR98 = [2]SalmonProps!$G$2:$G$10001),0), 24))</f>
        <v>52.5</v>
      </c>
      <c r="AI98" s="183" cm="1">
        <f t="array" ref="AI98">IF(ISBLANK($AQ98), "", INDEX([2]SalmonProps!$A$2:$AA$10001,MATCH(1,($A98=[2]SalmonProps!$A$2:$A$10001)*($AP98 = [2]SalmonProps!$F$2:$F$10001) *($AR98 = [2]SalmonProps!$G$2:$G$10001),0), 25))</f>
        <v>6.8</v>
      </c>
      <c r="AJ98" s="174" cm="1">
        <f t="array" ref="AJ98">IF(ISBLANK($AQ98), "", INDEX([2]SalmonProps!$A$2:$AA$10001,MATCH(1,($A98=[2]SalmonProps!$A$2:$A$10001)*($AP98 = [2]SalmonProps!$F$2:$F$10001) *($AR98 = [2]SalmonProps!$G$2:$G$10001),0), 20))</f>
        <v>61.6</v>
      </c>
      <c r="AK98" s="183" cm="1">
        <f t="array" ref="AK98">IF(ISBLANK($AQ98), "", INDEX([2]SalmonProps!$A$2:$AA$10001,MATCH(1,($A98=[2]SalmonProps!$A$2:$A$10001)*($AP98 = [2]SalmonProps!$F$2:$F$10001) *($AR98 = [2]SalmonProps!$G$2:$G$10001),0), 21))</f>
        <v>5</v>
      </c>
      <c r="AL98" s="174" cm="1">
        <f t="array" ref="AL98">IF(ISBLANK($AQ98), "", INDEX([2]SalmonProps!$A$2:$AA$10001,MATCH(1,($A98=[2]SalmonProps!$A$2:$A$10001)*($AP98 = [2]SalmonProps!$F$2:$F$10001) *($AR98 = [2]SalmonProps!$G$2:$G$10001),0), 22))</f>
        <v>82.6</v>
      </c>
      <c r="AM98" s="183" cm="1">
        <f t="array" ref="AM98">IF(ISBLANK($AQ98), "", INDEX([2]SalmonProps!$A$2:$AA$10001,MATCH(1,($A98=[2]SalmonProps!$A$2:$A$10001)*($AP98 = [2]SalmonProps!$F$2:$F$10001) *($AR98 = [2]SalmonProps!$G$2:$G$10001),0), 23))</f>
        <v>8.3000000000000007</v>
      </c>
      <c r="AN98" s="174" t="str" cm="1">
        <f t="array" ref="AN98">IF(ISBLANK($AQ98), "", INDEX([2]SalmonProps!$A$2:$AA$10001,MATCH(1,($A98=[2]SalmonProps!$A$2:$A$10001)*($AP98 = [2]SalmonProps!$F$2:$F$10001) *($AR98 = [2]SalmonProps!$G$2:$G$10001),0), 26))</f>
        <v>NA</v>
      </c>
      <c r="AO98" s="175" t="str" cm="1">
        <f t="array" ref="AO98">IF(ISBLANK($AQ98), "", INDEX([2]SalmonProps!$A$2:$AA$10001,MATCH(1,($A98=[2]SalmonProps!$A$2:$A$10001)*($AP98 = [2]SalmonProps!$F$2:$F$10001) *($AR98 = [2]SalmonProps!$G$2:$G$10001),0), 27))</f>
        <v>NA</v>
      </c>
      <c r="AP98" s="112">
        <v>4</v>
      </c>
      <c r="AQ98" s="112" t="s">
        <v>133</v>
      </c>
      <c r="AR98" s="112" t="str">
        <f t="shared" si="2"/>
        <v>Unweighted</v>
      </c>
    </row>
    <row r="99" spans="1:44" x14ac:dyDescent="0.3">
      <c r="A99" s="20">
        <f>'[1]Passage Estimates'!$A99</f>
        <v>45201</v>
      </c>
      <c r="B99" s="164" cm="1">
        <f t="array" ref="B99">IF(ISBLANK($AQ99), "", INDEX([2]SalmonProps!$A$2:$AA$10001,MATCH(1,($A99=[2]SalmonProps!$A$2:$A$10001)*(1=[2]SalmonProps!$C$2:$C$10001)*(1=[2]SalmonProps!$D$2:$D$10001)*("A1" = [2]SalmonProps!$B$2:$B$10001)*($AP99 = [2]SalmonProps!$F$2:$F$10001) *($AR99 = [2]SalmonProps!$G$2:$G$10001),0), 17))</f>
        <v>6.1000000000000004E-3</v>
      </c>
      <c r="C99" s="165" cm="1">
        <f t="array" ref="C99">IF(ISBLANK($AQ99), "", INDEX([2]SalmonProps!$A$2:$AA$10001,MATCH(1,($A99=[2]SalmonProps!$A$2:$A$10001)*(1=[2]SalmonProps!$C$2:$C$10001)*(2=[2]SalmonProps!$D$2:$D$10001)*("A1" = [2]SalmonProps!$B$2:$B$10001)*($AP99 = [2]SalmonProps!$F$2:$F$10001) *($AR99 = [2]SalmonProps!$G$2:$G$10001),0), 17))</f>
        <v>7.8700000000000006E-2</v>
      </c>
      <c r="D99" s="165" cm="1">
        <f t="array" ref="D99">IF(ISBLANK($AQ99), "", INDEX([2]SalmonProps!$A$2:$AA$10001,MATCH(1,($A99=[2]SalmonProps!$A$2:$A$10001)*(1=[2]SalmonProps!$C$2:$C$10001)*("1&amp;2"=[2]SalmonProps!$D$2:$D$10001)*("A1" = [2]SalmonProps!$B$2:$B$10001)*($AP99 = [2]SalmonProps!$F$2:$F$10001) *($AR99 = [2]SalmonProps!$G$2:$G$10001),0), 17))</f>
        <v>3.6700000000000003E-2</v>
      </c>
      <c r="E99" s="181" cm="1">
        <f t="array" ref="E99">IF(ISBLANK($AQ99), "", INDEX([2]SalmonProps!$A$2:$AA$10001,MATCH(1,($A99=[2]SalmonProps!$A$2:$A$10001)*(2=[2]SalmonProps!$C$2:$C$10001)*(3=[2]SalmonProps!$D$2:$D$10001)*("A1" = [2]SalmonProps!$B$2:$B$10001)*($AP99 = [2]SalmonProps!$F$2:$F$10001) *($AR99 = [2]SalmonProps!$G$2:$G$10001),0), 17))</f>
        <v>0.1305</v>
      </c>
      <c r="F99" s="165" cm="1">
        <f t="array" ref="F99">IF(ISBLANK($AQ99), "", INDEX([2]SalmonProps!$A$2:$AA$10001,MATCH(1,($A99=[2]SalmonProps!$A$2:$A$10001)*(3=[2]SalmonProps!$C$2:$C$10001)*(3=[2]SalmonProps!$D$2:$D$10001)*("A1" = [2]SalmonProps!$B$2:$B$10001)*($AP99 = [2]SalmonProps!$F$2:$F$10001) *($AR99 = [2]SalmonProps!$G$2:$G$10001),0), 17))</f>
        <v>0.29289999999999999</v>
      </c>
      <c r="G99" s="165" t="e" cm="1">
        <f t="array" ref="G99">IF(ISBLANK($AQ99), "", INDEX([2]SalmonProps!$A$2:$AA$10001,MATCH(1,($A99=[2]SalmonProps!$A$2:$A$10001)*(1=[2]SalmonProps!$C$2:$C$10001)*(1=[2]SalmonProps!$D$2:$D$10001)*("A2" = [2]SalmonProps!$B$2:$B$10001)*($AP99 = [2]SalmonProps!$F$2:$F$10001) *($AR99 = [2]SalmonProps!$G$2:$G$10001),0), 17))</f>
        <v>#N/A</v>
      </c>
      <c r="H99" s="166" t="e" cm="1">
        <f t="array" ref="H99">IF(ISBLANK($AQ99), "", INDEX([2]SalmonProps!$A$2:$AA$10001,MATCH(1,($A99=[2]SalmonProps!$A$2:$A$10001)*(2=[2]SalmonProps!$C$2:$C$10001)*(1=[2]SalmonProps!$D$2:$D$10001)*("A2" = [2]SalmonProps!$B$2:$B$10001)*($AP99 = [2]SalmonProps!$F$2:$F$10001) *($AR99 = [2]SalmonProps!$G$2:$G$10001),0), 17))</f>
        <v>#N/A</v>
      </c>
      <c r="I99" s="167" t="e" cm="1">
        <f t="array" ref="I99">IF(ISBLANK($AQ99), "", INDEX([2]SalmonProps!$A$2:$AA$10001,MATCH(1,($A99=[2]SalmonProps!$A$2:$A$10001)*(3=[2]SalmonProps!$C$2:$C$10001)*(1=[2]SalmonProps!$D$2:$D$10001)*("A2" = [2]SalmonProps!$B$2:$B$10001)*($AP99 = [2]SalmonProps!$F$2:$F$10001) *($AR99 = [2]SalmonProps!$G$2:$G$10001),0), 17))</f>
        <v>#N/A</v>
      </c>
      <c r="J99" s="164" t="str" cm="1">
        <f t="array" ref="J99">IF(ISBLANK($AQ99), "", INDEX([2]SalmonProps!$A$2:$AA$10001,MATCH(1,($A99=[2]SalmonProps!$A$2:$A$10001)*(1=[2]SalmonProps!$C$2:$C$10001)*(1=[2]SalmonProps!$D$2:$D$10001)*("A1" = [2]SalmonProps!$B$2:$B$10001)*($AP99 = [2]SalmonProps!$F$2:$F$10001) *($AR99 = [2]SalmonProps!$G$2:$G$10001),0), 19))</f>
        <v>NA</v>
      </c>
      <c r="K99" s="165" t="str" cm="1">
        <f t="array" ref="K99">IF(ISBLANK($AQ99), "", INDEX([2]SalmonProps!$A$2:$AA$10001,MATCH(1,($A99=[2]SalmonProps!$A$2:$A$10001)*(1=[2]SalmonProps!$C$2:$C$10001)*(2=[2]SalmonProps!$D$2:$D$10001)*("A1" = [2]SalmonProps!$B$2:$B$10001)*($AP99 = [2]SalmonProps!$F$2:$F$10001) *($AR99 = [2]SalmonProps!$G$2:$G$10001),0), 19))</f>
        <v>NA</v>
      </c>
      <c r="L99" s="165" t="str" cm="1">
        <f t="array" ref="L99">IF(ISBLANK($AQ99), "", INDEX([2]SalmonProps!$A$2:$AA$10001,MATCH(1,($A99=[2]SalmonProps!$A$2:$A$10001)*(1=[2]SalmonProps!$C$2:$C$10001)*("1&amp;2"=[2]SalmonProps!$D$2:$D$10001)*("A1" = [2]SalmonProps!$B$2:$B$10001)*($AP99 = [2]SalmonProps!$F$2:$F$10001) *($AR99 = [2]SalmonProps!$G$2:$G$10001),0), 19))</f>
        <v>NA</v>
      </c>
      <c r="M99" s="165" t="str" cm="1">
        <f t="array" ref="M99">IF(ISBLANK($AQ99), "", INDEX([2]SalmonProps!$A$2:$AA$10001,MATCH(1,($A99=[2]SalmonProps!$A$2:$A$10001)*(2=[2]SalmonProps!$C$2:$C$10001)*(3=[2]SalmonProps!$D$2:$D$10001)*("A1" = [2]SalmonProps!$B$2:$B$10001)*($AP99 = [2]SalmonProps!$F$2:$F$10001) *($AR99 = [2]SalmonProps!$G$2:$G$10001),0), 19))</f>
        <v>NA</v>
      </c>
      <c r="N99" s="181" t="str" cm="1">
        <f t="array" ref="N99">IF(ISBLANK($AQ99), "", INDEX([2]SalmonProps!$A$2:$AA$10001,MATCH(1,($A99=[2]SalmonProps!$A$2:$A$10001)*(3=[2]SalmonProps!$C$2:$C$10001)*(3=[2]SalmonProps!$D$2:$D$10001)*("A1" = [2]SalmonProps!$B$2:$B$10001)*($AP99 = [2]SalmonProps!$F$2:$F$10001) *($AR99 = [2]SalmonProps!$G$2:$G$10001),0), 19))</f>
        <v>NA</v>
      </c>
      <c r="O99" s="165" t="e" cm="1">
        <f t="array" ref="O99">IF(ISBLANK($AQ99), "", INDEX([2]SalmonProps!$A$2:$AA$10001,MATCH(1,($A99=[2]SalmonProps!$A$2:$A$10001)*(1=[2]SalmonProps!$C$2:$C$10001)*(1=[2]SalmonProps!$D$2:$D$10001)*("A2" = [2]SalmonProps!$B$2:$B$10001)*($AP99 = [2]SalmonProps!$F$2:$F$10001) *($AR99 = [2]SalmonProps!$G$2:$G$10001),0), 19))</f>
        <v>#N/A</v>
      </c>
      <c r="P99" s="165" t="e" cm="1">
        <f t="array" ref="P99">IF(ISBLANK($AQ99), "", INDEX([2]SalmonProps!$A$2:$AA$10001,MATCH(1,($A99=[2]SalmonProps!$A$2:$A$10001)*(2=[2]SalmonProps!$C$2:$C$10001)*(1=[2]SalmonProps!$D$2:$D$10001)*("A2" = [2]SalmonProps!$B$2:$B$10001)*($AP99 = [2]SalmonProps!$F$2:$F$10001) *($AR99 = [2]SalmonProps!$G$2:$G$10001),0), 19))</f>
        <v>#N/A</v>
      </c>
      <c r="Q99" s="168" t="e" cm="1">
        <f t="array" ref="Q99">IF(ISBLANK($AQ99), "", INDEX([2]SalmonProps!$A$2:$AA$10001,MATCH(1,($A99=[2]SalmonProps!$A$2:$A$10001)*(3=[2]SalmonProps!$C$2:$C$10001)*(1=[2]SalmonProps!$D$2:$D$10001)*("A2" = [2]SalmonProps!$B$2:$B$10001)*($AP99 = [2]SalmonProps!$F$2:$F$10001) *($AR99 = [2]SalmonProps!$G$2:$G$10001),0), 19))</f>
        <v>#N/A</v>
      </c>
      <c r="R99" s="164" cm="1">
        <f t="array" ref="R99">IF(ISBLANK($AQ99), "", INDEX([2]SalmonProps!$A$2:$AA$10001,MATCH(1,($A99=[2]SalmonProps!$A$2:$A$10001)*(1=[2]SalmonProps!$C$2:$C$10001)*(1=[2]SalmonProps!$D$2:$D$10001)*("A1" = [2]SalmonProps!$B$2:$B$10001)*($AP99 = [2]SalmonProps!$F$2:$F$10001) *($AR99 = [2]SalmonProps!$G$2:$G$10001),0), 18))</f>
        <v>0.3982</v>
      </c>
      <c r="S99" s="165" cm="1">
        <f t="array" ref="S99">IF(ISBLANK($AQ99), "", INDEX([2]SalmonProps!$A$2:$AA$10001,MATCH(1,($A99=[2]SalmonProps!$A$2:$A$10001)*(1=[2]SalmonProps!$C$2:$C$10001)*(2=[2]SalmonProps!$D$2:$D$10001)*("A1" = [2]SalmonProps!$B$2:$B$10001)*($AP99 = [2]SalmonProps!$F$2:$F$10001) *($AR99 = [2]SalmonProps!$G$2:$G$10001),0), 18))</f>
        <v>0.4168</v>
      </c>
      <c r="T99" s="165" cm="1">
        <f t="array" ref="T99">IF(ISBLANK($AQ99), "", INDEX([2]SalmonProps!$A$2:$AA$10001,MATCH(1,($A99=[2]SalmonProps!$A$2:$A$10001)*(1=[2]SalmonProps!$C$2:$C$10001)*("1&amp;2"=[2]SalmonProps!$D$2:$D$10001)*("A1" = [2]SalmonProps!$B$2:$B$10001)*($AP99 = [2]SalmonProps!$F$2:$F$10001) *($AR99 = [2]SalmonProps!$G$2:$G$10001),0), 18))</f>
        <v>0.40289999999999998</v>
      </c>
      <c r="U99" s="165" cm="1">
        <f t="array" ref="U99">IF(ISBLANK($AQ99), "", INDEX([2]SalmonProps!$A$2:$AA$10001,MATCH(1,($A99=[2]SalmonProps!$A$2:$A$10001)*(2=[2]SalmonProps!$C$2:$C$10001)*(3=[2]SalmonProps!$D$2:$D$10001)*("A1" = [2]SalmonProps!$B$2:$B$10001)*($AP99 = [2]SalmonProps!$F$2:$F$10001) *($AR99 = [2]SalmonProps!$G$2:$G$10001),0), 18))</f>
        <v>0.34360000000000002</v>
      </c>
      <c r="V99" s="181" cm="1">
        <f t="array" ref="V99">IF(ISBLANK($AQ99), "", INDEX([2]SalmonProps!$A$2:$AA$10001,MATCH(1,($A99=[2]SalmonProps!$A$2:$A$10001)*(3=[2]SalmonProps!$C$2:$C$10001)*(3=[2]SalmonProps!$D$2:$D$10001)*("A1" = [2]SalmonProps!$B$2:$B$10001)*($AP99 = [2]SalmonProps!$F$2:$F$10001) *($AR99 = [2]SalmonProps!$G$2:$G$10001),0), 18))</f>
        <v>0</v>
      </c>
      <c r="W99" s="180" t="e" cm="1">
        <f t="array" ref="W99">IF(ISBLANK($AQ99), "", INDEX([2]SalmonProps!$A$2:$AA$10001,MATCH(1,($A99=[2]SalmonProps!$A$2:$A$10001)*(1=[2]SalmonProps!$C$2:$C$10001)*(1=[2]SalmonProps!$D$2:$D$10001)*("A2" = [2]SalmonProps!$B$2:$B$10001)*($AP99 = [2]SalmonProps!$F$2:$F$10001) *($AR99 = [2]SalmonProps!$G$2:$G$10001),0), 18))</f>
        <v>#N/A</v>
      </c>
      <c r="X99" s="165" t="e" cm="1">
        <f t="array" ref="X99">IF(ISBLANK($AQ99), "", INDEX([2]SalmonProps!$A$2:$AA$10001,MATCH(1,($A99=[2]SalmonProps!$A$2:$A$10001)*(2=[2]SalmonProps!$C$2:$C$10001)*(1=[2]SalmonProps!$D$2:$D$10001)*("A2" = [2]SalmonProps!$B$2:$B$10001)*($AP99 = [2]SalmonProps!$F$2:$F$10001) *($AR99 = [2]SalmonProps!$G$2:$G$10001),0), 18))</f>
        <v>#N/A</v>
      </c>
      <c r="Y99" s="168" t="e" cm="1">
        <f t="array" ref="Y99">IF(ISBLANK($AQ99), "", INDEX([2]SalmonProps!$A$2:$AA$10001,MATCH(1,($A99=[2]SalmonProps!$A$2:$A$10001)*(3=[2]SalmonProps!$C$2:$C$10001)*(1=[2]SalmonProps!$D$2:$D$10001)*("A2" = [2]SalmonProps!$B$2:$B$10001)*($AP99 = [2]SalmonProps!$F$2:$F$10001) *($AR99 = [2]SalmonProps!$G$2:$G$10001),0), 18))</f>
        <v>#N/A</v>
      </c>
      <c r="Z99" s="164" cm="1">
        <f t="array" ref="Z99">IF(ISBLANK($AQ99), "", INDEX([2]SalmonProps!$A$2:$AA$10001,MATCH(1,($A99=[2]SalmonProps!$A$2:$A$10001)*(1=[2]SalmonProps!$C$2:$C$10001)*(1=[2]SalmonProps!$D$2:$D$10001)*("A1" = [2]SalmonProps!$B$2:$B$10001)*($AP99 = [2]SalmonProps!$F$2:$F$10001) *($AR99 = [2]SalmonProps!$G$2:$G$10001),0), 15))</f>
        <v>0.49519999999999997</v>
      </c>
      <c r="AA99" s="165" cm="1">
        <f t="array" ref="AA99">IF(ISBLANK($AQ99), "", INDEX([2]SalmonProps!$A$2:$AA$10001,MATCH(1,($A99=[2]SalmonProps!$A$2:$A$10001)*(1=[2]SalmonProps!$C$2:$C$10001)*(2=[2]SalmonProps!$D$2:$D$10001)*("A1" = [2]SalmonProps!$B$2:$B$10001)*($AP99 = [2]SalmonProps!$F$2:$F$10001) *($AR99 = [2]SalmonProps!$G$2:$G$10001),0), 15))</f>
        <v>0.67130000000000001</v>
      </c>
      <c r="AB99" s="165" cm="1">
        <f t="array" ref="AB99">IF(ISBLANK($AQ99), "", INDEX([2]SalmonProps!$A$2:$AA$10001,MATCH(1,($A99=[2]SalmonProps!$A$2:$A$10001)*(1=[2]SalmonProps!$C$2:$C$10001)*("1&amp;2"=[2]SalmonProps!$D$2:$D$10001)*("A1" = [2]SalmonProps!$B$2:$B$10001)*($AP99 = [2]SalmonProps!$F$2:$F$10001) *($AR99 = [2]SalmonProps!$G$2:$G$10001),0), 15))</f>
        <v>0.56979999999999997</v>
      </c>
      <c r="AC99" s="165" cm="1">
        <f t="array" ref="AC99">IF(ISBLANK($AQ99), "", INDEX([2]SalmonProps!$A$2:$AA$10001,MATCH(1,($A99=[2]SalmonProps!$A$2:$A$10001)*(2=[2]SalmonProps!$C$2:$C$10001)*(3=[2]SalmonProps!$D$2:$D$10001)*("A1" = [2]SalmonProps!$B$2:$B$10001)*($AP99 = [2]SalmonProps!$F$2:$F$10001) *($AR99 = [2]SalmonProps!$G$2:$G$10001),0), 15))</f>
        <v>0.64480000000000004</v>
      </c>
      <c r="AD99" s="181" cm="1">
        <f t="array" ref="AD99">IF(ISBLANK($AQ99), "", INDEX([2]SalmonProps!$A$2:$AA$10001,MATCH(1,($A99=[2]SalmonProps!$A$2:$A$10001)*(3=[2]SalmonProps!$C$2:$C$10001)*(3=[2]SalmonProps!$D$2:$D$10001)*("A1" = [2]SalmonProps!$B$2:$B$10001)*($AP99 = [2]SalmonProps!$F$2:$F$10001) *($AR99 = [2]SalmonProps!$G$2:$G$10001),0), 15))</f>
        <v>0.57410000000000005</v>
      </c>
      <c r="AE99" s="166" t="e" cm="1">
        <f t="array" ref="AE99">IF(ISBLANK($AQ99), "", INDEX([2]SalmonProps!$A$2:$AA$10001,MATCH(1,($A99=[2]SalmonProps!$A$2:$A$10001)*(1=[2]SalmonProps!$C$2:$C$10001)*(1=[2]SalmonProps!$D$2:$D$10001)*("A2" = [2]SalmonProps!$B$2:$B$10001)*($AP99 = [2]SalmonProps!$F$2:$F$10001) *($AR99 = [2]SalmonProps!$G$2:$G$10001),0), 15))</f>
        <v>#N/A</v>
      </c>
      <c r="AF99" s="166" t="e" cm="1">
        <f t="array" ref="AF99">IF(ISBLANK($AQ99), "", INDEX([2]SalmonProps!$A$2:$AA$10001,MATCH(1,($A99=[2]SalmonProps!$A$2:$A$10001)*(2=[2]SalmonProps!$C$2:$C$10001)*(1=[2]SalmonProps!$D$2:$D$10001)*("A2" = [2]SalmonProps!$B$2:$B$10001)*($AP99 = [2]SalmonProps!$F$2:$F$10001) *($AR99 = [2]SalmonProps!$G$2:$G$10001),0), 15))</f>
        <v>#N/A</v>
      </c>
      <c r="AG99" s="167" t="e" cm="1">
        <f t="array" ref="AG99">IF(ISBLANK($AQ99), "", INDEX([2]SalmonProps!$A$2:$AA$10001,MATCH(1,($A99=[2]SalmonProps!$A$2:$A$10001)*(3=[2]SalmonProps!$C$2:$C$10001)*(1=[2]SalmonProps!$D$2:$D$10001)*("A2" = [2]SalmonProps!$B$2:$B$10001)*($AP99 = [2]SalmonProps!$F$2:$F$10001) *($AR99 = [2]SalmonProps!$G$2:$G$10001),0), 15))</f>
        <v>#N/A</v>
      </c>
      <c r="AH99" s="173" cm="1">
        <f t="array" ref="AH99">IF(ISBLANK($AQ99), "", INDEX([2]SalmonProps!$A$2:$AA$10001,MATCH(1,($A99=[2]SalmonProps!$A$2:$A$10001)*($AP99 = [2]SalmonProps!$F$2:$F$10001) *($AR99 = [2]SalmonProps!$G$2:$G$10001),0), 24))</f>
        <v>52.5</v>
      </c>
      <c r="AI99" s="183" cm="1">
        <f t="array" ref="AI99">IF(ISBLANK($AQ99), "", INDEX([2]SalmonProps!$A$2:$AA$10001,MATCH(1,($A99=[2]SalmonProps!$A$2:$A$10001)*($AP99 = [2]SalmonProps!$F$2:$F$10001) *($AR99 = [2]SalmonProps!$G$2:$G$10001),0), 25))</f>
        <v>6.8</v>
      </c>
      <c r="AJ99" s="174" cm="1">
        <f t="array" ref="AJ99">IF(ISBLANK($AQ99), "", INDEX([2]SalmonProps!$A$2:$AA$10001,MATCH(1,($A99=[2]SalmonProps!$A$2:$A$10001)*($AP99 = [2]SalmonProps!$F$2:$F$10001) *($AR99 = [2]SalmonProps!$G$2:$G$10001),0), 20))</f>
        <v>61.6</v>
      </c>
      <c r="AK99" s="183" cm="1">
        <f t="array" ref="AK99">IF(ISBLANK($AQ99), "", INDEX([2]SalmonProps!$A$2:$AA$10001,MATCH(1,($A99=[2]SalmonProps!$A$2:$A$10001)*($AP99 = [2]SalmonProps!$F$2:$F$10001) *($AR99 = [2]SalmonProps!$G$2:$G$10001),0), 21))</f>
        <v>5</v>
      </c>
      <c r="AL99" s="174" cm="1">
        <f t="array" ref="AL99">IF(ISBLANK($AQ99), "", INDEX([2]SalmonProps!$A$2:$AA$10001,MATCH(1,($A99=[2]SalmonProps!$A$2:$A$10001)*($AP99 = [2]SalmonProps!$F$2:$F$10001) *($AR99 = [2]SalmonProps!$G$2:$G$10001),0), 22))</f>
        <v>82.6</v>
      </c>
      <c r="AM99" s="183" cm="1">
        <f t="array" ref="AM99">IF(ISBLANK($AQ99), "", INDEX([2]SalmonProps!$A$2:$AA$10001,MATCH(1,($A99=[2]SalmonProps!$A$2:$A$10001)*($AP99 = [2]SalmonProps!$F$2:$F$10001) *($AR99 = [2]SalmonProps!$G$2:$G$10001),0), 23))</f>
        <v>8.3000000000000007</v>
      </c>
      <c r="AN99" s="174" t="str" cm="1">
        <f t="array" ref="AN99">IF(ISBLANK($AQ99), "", INDEX([2]SalmonProps!$A$2:$AA$10001,MATCH(1,($A99=[2]SalmonProps!$A$2:$A$10001)*($AP99 = [2]SalmonProps!$F$2:$F$10001) *($AR99 = [2]SalmonProps!$G$2:$G$10001),0), 26))</f>
        <v>NA</v>
      </c>
      <c r="AO99" s="175" t="str" cm="1">
        <f t="array" ref="AO99">IF(ISBLANK($AQ99), "", INDEX([2]SalmonProps!$A$2:$AA$10001,MATCH(1,($A99=[2]SalmonProps!$A$2:$A$10001)*($AP99 = [2]SalmonProps!$F$2:$F$10001) *($AR99 = [2]SalmonProps!$G$2:$G$10001),0), 27))</f>
        <v>NA</v>
      </c>
      <c r="AP99" s="112">
        <v>4</v>
      </c>
      <c r="AQ99" s="112" t="s">
        <v>133</v>
      </c>
      <c r="AR99" s="112" t="str">
        <f t="shared" si="2"/>
        <v>Unweighted</v>
      </c>
    </row>
    <row r="100" spans="1:44" x14ac:dyDescent="0.3">
      <c r="A100" s="20">
        <f>'[1]Passage Estimates'!$A100</f>
        <v>45202</v>
      </c>
      <c r="B100" s="164" t="str" cm="1">
        <f t="array" ref="B100">IF(ISBLANK($AQ100), "", INDEX([2]SalmonProps!$A$2:$AA$10001,MATCH(1,($A100=[2]SalmonProps!$A$2:$A$10001)*(1=[2]SalmonProps!$C$2:$C$10001)*(1=[2]SalmonProps!$D$2:$D$10001)*("A1" = [2]SalmonProps!$B$2:$B$10001)*($AP100 = [2]SalmonProps!$F$2:$F$10001) *($AR100 = [2]SalmonProps!$G$2:$G$10001),0), 17))</f>
        <v/>
      </c>
      <c r="C100" s="165" t="str" cm="1">
        <f t="array" ref="C100">IF(ISBLANK($AQ100), "", INDEX([2]SalmonProps!$A$2:$AA$10001,MATCH(1,($A100=[2]SalmonProps!$A$2:$A$10001)*(1=[2]SalmonProps!$C$2:$C$10001)*(2=[2]SalmonProps!$D$2:$D$10001)*("A1" = [2]SalmonProps!$B$2:$B$10001)*($AP100 = [2]SalmonProps!$F$2:$F$10001) *($AR100 = [2]SalmonProps!$G$2:$G$10001),0), 17))</f>
        <v/>
      </c>
      <c r="D100" s="165" t="str" cm="1">
        <f t="array" ref="D100">IF(ISBLANK($AQ100), "", INDEX([2]SalmonProps!$A$2:$AA$10001,MATCH(1,($A100=[2]SalmonProps!$A$2:$A$10001)*(1=[2]SalmonProps!$C$2:$C$10001)*("1&amp;2"=[2]SalmonProps!$D$2:$D$10001)*("A1" = [2]SalmonProps!$B$2:$B$10001)*($AP100 = [2]SalmonProps!$F$2:$F$10001) *($AR100 = [2]SalmonProps!$G$2:$G$10001),0), 17))</f>
        <v/>
      </c>
      <c r="E100" s="181" t="str" cm="1">
        <f t="array" ref="E100">IF(ISBLANK($AQ100), "", INDEX([2]SalmonProps!$A$2:$AA$10001,MATCH(1,($A100=[2]SalmonProps!$A$2:$A$10001)*(2=[2]SalmonProps!$C$2:$C$10001)*(3=[2]SalmonProps!$D$2:$D$10001)*("A1" = [2]SalmonProps!$B$2:$B$10001)*($AP100 = [2]SalmonProps!$F$2:$F$10001) *($AR100 = [2]SalmonProps!$G$2:$G$10001),0), 17))</f>
        <v/>
      </c>
      <c r="F100" s="165" t="str" cm="1">
        <f t="array" ref="F100">IF(ISBLANK($AQ100), "", INDEX([2]SalmonProps!$A$2:$AA$10001,MATCH(1,($A100=[2]SalmonProps!$A$2:$A$10001)*(3=[2]SalmonProps!$C$2:$C$10001)*(3=[2]SalmonProps!$D$2:$D$10001)*("A1" = [2]SalmonProps!$B$2:$B$10001)*($AP100 = [2]SalmonProps!$F$2:$F$10001) *($AR100 = [2]SalmonProps!$G$2:$G$10001),0), 17))</f>
        <v/>
      </c>
      <c r="G100" s="165" t="str" cm="1">
        <f t="array" ref="G100">IF(ISBLANK($AQ100), "", INDEX([2]SalmonProps!$A$2:$AA$10001,MATCH(1,($A100=[2]SalmonProps!$A$2:$A$10001)*(1=[2]SalmonProps!$C$2:$C$10001)*(1=[2]SalmonProps!$D$2:$D$10001)*("A2" = [2]SalmonProps!$B$2:$B$10001)*($AP100 = [2]SalmonProps!$F$2:$F$10001) *($AR100 = [2]SalmonProps!$G$2:$G$10001),0), 17))</f>
        <v/>
      </c>
      <c r="H100" s="166" t="str" cm="1">
        <f t="array" ref="H100">IF(ISBLANK($AQ100), "", INDEX([2]SalmonProps!$A$2:$AA$10001,MATCH(1,($A100=[2]SalmonProps!$A$2:$A$10001)*(2=[2]SalmonProps!$C$2:$C$10001)*(1=[2]SalmonProps!$D$2:$D$10001)*("A2" = [2]SalmonProps!$B$2:$B$10001)*($AP100 = [2]SalmonProps!$F$2:$F$10001) *($AR100 = [2]SalmonProps!$G$2:$G$10001),0), 17))</f>
        <v/>
      </c>
      <c r="I100" s="167" t="str" cm="1">
        <f t="array" ref="I100">IF(ISBLANK($AQ100), "", INDEX([2]SalmonProps!$A$2:$AA$10001,MATCH(1,($A100=[2]SalmonProps!$A$2:$A$10001)*(3=[2]SalmonProps!$C$2:$C$10001)*(1=[2]SalmonProps!$D$2:$D$10001)*("A2" = [2]SalmonProps!$B$2:$B$10001)*($AP100 = [2]SalmonProps!$F$2:$F$10001) *($AR100 = [2]SalmonProps!$G$2:$G$10001),0), 17))</f>
        <v/>
      </c>
      <c r="J100" s="164" t="str" cm="1">
        <f t="array" ref="J100">IF(ISBLANK($AQ100), "", INDEX([2]SalmonProps!$A$2:$AA$10001,MATCH(1,($A100=[2]SalmonProps!$A$2:$A$10001)*(1=[2]SalmonProps!$C$2:$C$10001)*(1=[2]SalmonProps!$D$2:$D$10001)*("A1" = [2]SalmonProps!$B$2:$B$10001)*($AP100 = [2]SalmonProps!$F$2:$F$10001) *($AR100 = [2]SalmonProps!$G$2:$G$10001),0), 19))</f>
        <v/>
      </c>
      <c r="K100" s="165" t="str" cm="1">
        <f t="array" ref="K100">IF(ISBLANK($AQ100), "", INDEX([2]SalmonProps!$A$2:$AA$10001,MATCH(1,($A100=[2]SalmonProps!$A$2:$A$10001)*(1=[2]SalmonProps!$C$2:$C$10001)*(2=[2]SalmonProps!$D$2:$D$10001)*("A1" = [2]SalmonProps!$B$2:$B$10001)*($AP100 = [2]SalmonProps!$F$2:$F$10001) *($AR100 = [2]SalmonProps!$G$2:$G$10001),0), 19))</f>
        <v/>
      </c>
      <c r="L100" s="165" t="str" cm="1">
        <f t="array" ref="L100">IF(ISBLANK($AQ100), "", INDEX([2]SalmonProps!$A$2:$AA$10001,MATCH(1,($A100=[2]SalmonProps!$A$2:$A$10001)*(1=[2]SalmonProps!$C$2:$C$10001)*("1&amp;2"=[2]SalmonProps!$D$2:$D$10001)*("A1" = [2]SalmonProps!$B$2:$B$10001)*($AP100 = [2]SalmonProps!$F$2:$F$10001) *($AR100 = [2]SalmonProps!$G$2:$G$10001),0), 19))</f>
        <v/>
      </c>
      <c r="M100" s="165" t="str" cm="1">
        <f t="array" ref="M100">IF(ISBLANK($AQ100), "", INDEX([2]SalmonProps!$A$2:$AA$10001,MATCH(1,($A100=[2]SalmonProps!$A$2:$A$10001)*(2=[2]SalmonProps!$C$2:$C$10001)*(3=[2]SalmonProps!$D$2:$D$10001)*("A1" = [2]SalmonProps!$B$2:$B$10001)*($AP100 = [2]SalmonProps!$F$2:$F$10001) *($AR100 = [2]SalmonProps!$G$2:$G$10001),0), 19))</f>
        <v/>
      </c>
      <c r="N100" s="181" t="str" cm="1">
        <f t="array" ref="N100">IF(ISBLANK($AQ100), "", INDEX([2]SalmonProps!$A$2:$AA$10001,MATCH(1,($A100=[2]SalmonProps!$A$2:$A$10001)*(3=[2]SalmonProps!$C$2:$C$10001)*(3=[2]SalmonProps!$D$2:$D$10001)*("A1" = [2]SalmonProps!$B$2:$B$10001)*($AP100 = [2]SalmonProps!$F$2:$F$10001) *($AR100 = [2]SalmonProps!$G$2:$G$10001),0), 19))</f>
        <v/>
      </c>
      <c r="O100" s="165" t="str" cm="1">
        <f t="array" ref="O100">IF(ISBLANK($AQ100), "", INDEX([2]SalmonProps!$A$2:$AA$10001,MATCH(1,($A100=[2]SalmonProps!$A$2:$A$10001)*(1=[2]SalmonProps!$C$2:$C$10001)*(1=[2]SalmonProps!$D$2:$D$10001)*("A2" = [2]SalmonProps!$B$2:$B$10001)*($AP100 = [2]SalmonProps!$F$2:$F$10001) *($AR100 = [2]SalmonProps!$G$2:$G$10001),0), 19))</f>
        <v/>
      </c>
      <c r="P100" s="165" t="str" cm="1">
        <f t="array" ref="P100">IF(ISBLANK($AQ100), "", INDEX([2]SalmonProps!$A$2:$AA$10001,MATCH(1,($A100=[2]SalmonProps!$A$2:$A$10001)*(2=[2]SalmonProps!$C$2:$C$10001)*(1=[2]SalmonProps!$D$2:$D$10001)*("A2" = [2]SalmonProps!$B$2:$B$10001)*($AP100 = [2]SalmonProps!$F$2:$F$10001) *($AR100 = [2]SalmonProps!$G$2:$G$10001),0), 19))</f>
        <v/>
      </c>
      <c r="Q100" s="168" t="str" cm="1">
        <f t="array" ref="Q100">IF(ISBLANK($AQ100), "", INDEX([2]SalmonProps!$A$2:$AA$10001,MATCH(1,($A100=[2]SalmonProps!$A$2:$A$10001)*(3=[2]SalmonProps!$C$2:$C$10001)*(1=[2]SalmonProps!$D$2:$D$10001)*("A2" = [2]SalmonProps!$B$2:$B$10001)*($AP100 = [2]SalmonProps!$F$2:$F$10001) *($AR100 = [2]SalmonProps!$G$2:$G$10001),0), 19))</f>
        <v/>
      </c>
      <c r="R100" s="164" t="str" cm="1">
        <f t="array" ref="R100">IF(ISBLANK($AQ100), "", INDEX([2]SalmonProps!$A$2:$AA$10001,MATCH(1,($A100=[2]SalmonProps!$A$2:$A$10001)*(1=[2]SalmonProps!$C$2:$C$10001)*(1=[2]SalmonProps!$D$2:$D$10001)*("A1" = [2]SalmonProps!$B$2:$B$10001)*($AP100 = [2]SalmonProps!$F$2:$F$10001) *($AR100 = [2]SalmonProps!$G$2:$G$10001),0), 18))</f>
        <v/>
      </c>
      <c r="S100" s="165" t="str" cm="1">
        <f t="array" ref="S100">IF(ISBLANK($AQ100), "", INDEX([2]SalmonProps!$A$2:$AA$10001,MATCH(1,($A100=[2]SalmonProps!$A$2:$A$10001)*(1=[2]SalmonProps!$C$2:$C$10001)*(2=[2]SalmonProps!$D$2:$D$10001)*("A1" = [2]SalmonProps!$B$2:$B$10001)*($AP100 = [2]SalmonProps!$F$2:$F$10001) *($AR100 = [2]SalmonProps!$G$2:$G$10001),0), 18))</f>
        <v/>
      </c>
      <c r="T100" s="165" t="str" cm="1">
        <f t="array" ref="T100">IF(ISBLANK($AQ100), "", INDEX([2]SalmonProps!$A$2:$AA$10001,MATCH(1,($A100=[2]SalmonProps!$A$2:$A$10001)*(1=[2]SalmonProps!$C$2:$C$10001)*("1&amp;2"=[2]SalmonProps!$D$2:$D$10001)*("A1" = [2]SalmonProps!$B$2:$B$10001)*($AP100 = [2]SalmonProps!$F$2:$F$10001) *($AR100 = [2]SalmonProps!$G$2:$G$10001),0), 18))</f>
        <v/>
      </c>
      <c r="U100" s="165" t="str" cm="1">
        <f t="array" ref="U100">IF(ISBLANK($AQ100), "", INDEX([2]SalmonProps!$A$2:$AA$10001,MATCH(1,($A100=[2]SalmonProps!$A$2:$A$10001)*(2=[2]SalmonProps!$C$2:$C$10001)*(3=[2]SalmonProps!$D$2:$D$10001)*("A1" = [2]SalmonProps!$B$2:$B$10001)*($AP100 = [2]SalmonProps!$F$2:$F$10001) *($AR100 = [2]SalmonProps!$G$2:$G$10001),0), 18))</f>
        <v/>
      </c>
      <c r="V100" s="181" t="str" cm="1">
        <f t="array" ref="V100">IF(ISBLANK($AQ100), "", INDEX([2]SalmonProps!$A$2:$AA$10001,MATCH(1,($A100=[2]SalmonProps!$A$2:$A$10001)*(3=[2]SalmonProps!$C$2:$C$10001)*(3=[2]SalmonProps!$D$2:$D$10001)*("A1" = [2]SalmonProps!$B$2:$B$10001)*($AP100 = [2]SalmonProps!$F$2:$F$10001) *($AR100 = [2]SalmonProps!$G$2:$G$10001),0), 18))</f>
        <v/>
      </c>
      <c r="W100" s="180" t="str" cm="1">
        <f t="array" ref="W100">IF(ISBLANK($AQ100), "", INDEX([2]SalmonProps!$A$2:$AA$10001,MATCH(1,($A100=[2]SalmonProps!$A$2:$A$10001)*(1=[2]SalmonProps!$C$2:$C$10001)*(1=[2]SalmonProps!$D$2:$D$10001)*("A2" = [2]SalmonProps!$B$2:$B$10001)*($AP100 = [2]SalmonProps!$F$2:$F$10001) *($AR100 = [2]SalmonProps!$G$2:$G$10001),0), 18))</f>
        <v/>
      </c>
      <c r="X100" s="165" t="str" cm="1">
        <f t="array" ref="X100">IF(ISBLANK($AQ100), "", INDEX([2]SalmonProps!$A$2:$AA$10001,MATCH(1,($A100=[2]SalmonProps!$A$2:$A$10001)*(2=[2]SalmonProps!$C$2:$C$10001)*(1=[2]SalmonProps!$D$2:$D$10001)*("A2" = [2]SalmonProps!$B$2:$B$10001)*($AP100 = [2]SalmonProps!$F$2:$F$10001) *($AR100 = [2]SalmonProps!$G$2:$G$10001),0), 18))</f>
        <v/>
      </c>
      <c r="Y100" s="168" t="str" cm="1">
        <f t="array" ref="Y100">IF(ISBLANK($AQ100), "", INDEX([2]SalmonProps!$A$2:$AA$10001,MATCH(1,($A100=[2]SalmonProps!$A$2:$A$10001)*(3=[2]SalmonProps!$C$2:$C$10001)*(1=[2]SalmonProps!$D$2:$D$10001)*("A2" = [2]SalmonProps!$B$2:$B$10001)*($AP100 = [2]SalmonProps!$F$2:$F$10001) *($AR100 = [2]SalmonProps!$G$2:$G$10001),0), 18))</f>
        <v/>
      </c>
      <c r="Z100" s="164" t="str" cm="1">
        <f t="array" ref="Z100">IF(ISBLANK($AQ100), "", INDEX([2]SalmonProps!$A$2:$AA$10001,MATCH(1,($A100=[2]SalmonProps!$A$2:$A$10001)*(1=[2]SalmonProps!$C$2:$C$10001)*(1=[2]SalmonProps!$D$2:$D$10001)*("A1" = [2]SalmonProps!$B$2:$B$10001)*($AP100 = [2]SalmonProps!$F$2:$F$10001) *($AR100 = [2]SalmonProps!$G$2:$G$10001),0), 15))</f>
        <v/>
      </c>
      <c r="AA100" s="165" t="str" cm="1">
        <f t="array" ref="AA100">IF(ISBLANK($AQ100), "", INDEX([2]SalmonProps!$A$2:$AA$10001,MATCH(1,($A100=[2]SalmonProps!$A$2:$A$10001)*(1=[2]SalmonProps!$C$2:$C$10001)*(2=[2]SalmonProps!$D$2:$D$10001)*("A1" = [2]SalmonProps!$B$2:$B$10001)*($AP100 = [2]SalmonProps!$F$2:$F$10001) *($AR100 = [2]SalmonProps!$G$2:$G$10001),0), 15))</f>
        <v/>
      </c>
      <c r="AB100" s="165" t="str" cm="1">
        <f t="array" ref="AB100">IF(ISBLANK($AQ100), "", INDEX([2]SalmonProps!$A$2:$AA$10001,MATCH(1,($A100=[2]SalmonProps!$A$2:$A$10001)*(1=[2]SalmonProps!$C$2:$C$10001)*("1&amp;2"=[2]SalmonProps!$D$2:$D$10001)*("A1" = [2]SalmonProps!$B$2:$B$10001)*($AP100 = [2]SalmonProps!$F$2:$F$10001) *($AR100 = [2]SalmonProps!$G$2:$G$10001),0), 15))</f>
        <v/>
      </c>
      <c r="AC100" s="165" t="str" cm="1">
        <f t="array" ref="AC100">IF(ISBLANK($AQ100), "", INDEX([2]SalmonProps!$A$2:$AA$10001,MATCH(1,($A100=[2]SalmonProps!$A$2:$A$10001)*(2=[2]SalmonProps!$C$2:$C$10001)*(3=[2]SalmonProps!$D$2:$D$10001)*("A1" = [2]SalmonProps!$B$2:$B$10001)*($AP100 = [2]SalmonProps!$F$2:$F$10001) *($AR100 = [2]SalmonProps!$G$2:$G$10001),0), 15))</f>
        <v/>
      </c>
      <c r="AD100" s="181" t="str" cm="1">
        <f t="array" ref="AD100">IF(ISBLANK($AQ100), "", INDEX([2]SalmonProps!$A$2:$AA$10001,MATCH(1,($A100=[2]SalmonProps!$A$2:$A$10001)*(3=[2]SalmonProps!$C$2:$C$10001)*(3=[2]SalmonProps!$D$2:$D$10001)*("A1" = [2]SalmonProps!$B$2:$B$10001)*($AP100 = [2]SalmonProps!$F$2:$F$10001) *($AR100 = [2]SalmonProps!$G$2:$G$10001),0), 15))</f>
        <v/>
      </c>
      <c r="AE100" s="166" t="str" cm="1">
        <f t="array" ref="AE100">IF(ISBLANK($AQ100), "", INDEX([2]SalmonProps!$A$2:$AA$10001,MATCH(1,($A100=[2]SalmonProps!$A$2:$A$10001)*(1=[2]SalmonProps!$C$2:$C$10001)*(1=[2]SalmonProps!$D$2:$D$10001)*("A2" = [2]SalmonProps!$B$2:$B$10001)*($AP100 = [2]SalmonProps!$F$2:$F$10001) *($AR100 = [2]SalmonProps!$G$2:$G$10001),0), 15))</f>
        <v/>
      </c>
      <c r="AF100" s="166" t="str" cm="1">
        <f t="array" ref="AF100">IF(ISBLANK($AQ100), "", INDEX([2]SalmonProps!$A$2:$AA$10001,MATCH(1,($A100=[2]SalmonProps!$A$2:$A$10001)*(2=[2]SalmonProps!$C$2:$C$10001)*(1=[2]SalmonProps!$D$2:$D$10001)*("A2" = [2]SalmonProps!$B$2:$B$10001)*($AP100 = [2]SalmonProps!$F$2:$F$10001) *($AR100 = [2]SalmonProps!$G$2:$G$10001),0), 15))</f>
        <v/>
      </c>
      <c r="AG100" s="167" t="str" cm="1">
        <f t="array" ref="AG100">IF(ISBLANK($AQ100), "", INDEX([2]SalmonProps!$A$2:$AA$10001,MATCH(1,($A100=[2]SalmonProps!$A$2:$A$10001)*(3=[2]SalmonProps!$C$2:$C$10001)*(1=[2]SalmonProps!$D$2:$D$10001)*("A2" = [2]SalmonProps!$B$2:$B$10001)*($AP100 = [2]SalmonProps!$F$2:$F$10001) *($AR100 = [2]SalmonProps!$G$2:$G$10001),0), 15))</f>
        <v/>
      </c>
      <c r="AH100" s="173" t="str" cm="1">
        <f t="array" ref="AH100">IF(ISBLANK($AQ100), "", INDEX([2]SalmonProps!$A$2:$AA$10001,MATCH(1,($A100=[2]SalmonProps!$A$2:$A$10001)*($AP100 = [2]SalmonProps!$F$2:$F$10001) *($AR100 = [2]SalmonProps!$G$2:$G$10001),0), 24))</f>
        <v/>
      </c>
      <c r="AI100" s="183" t="str" cm="1">
        <f t="array" ref="AI100">IF(ISBLANK($AQ100), "", INDEX([2]SalmonProps!$A$2:$AA$10001,MATCH(1,($A100=[2]SalmonProps!$A$2:$A$10001)*($AP100 = [2]SalmonProps!$F$2:$F$10001) *($AR100 = [2]SalmonProps!$G$2:$G$10001),0), 25))</f>
        <v/>
      </c>
      <c r="AJ100" s="174" t="str" cm="1">
        <f t="array" ref="AJ100">IF(ISBLANK($AQ100), "", INDEX([2]SalmonProps!$A$2:$AA$10001,MATCH(1,($A100=[2]SalmonProps!$A$2:$A$10001)*($AP100 = [2]SalmonProps!$F$2:$F$10001) *($AR100 = [2]SalmonProps!$G$2:$G$10001),0), 20))</f>
        <v/>
      </c>
      <c r="AK100" s="183" t="str" cm="1">
        <f t="array" ref="AK100">IF(ISBLANK($AQ100), "", INDEX([2]SalmonProps!$A$2:$AA$10001,MATCH(1,($A100=[2]SalmonProps!$A$2:$A$10001)*($AP100 = [2]SalmonProps!$F$2:$F$10001) *($AR100 = [2]SalmonProps!$G$2:$G$10001),0), 21))</f>
        <v/>
      </c>
      <c r="AL100" s="174" t="str" cm="1">
        <f t="array" ref="AL100">IF(ISBLANK($AQ100), "", INDEX([2]SalmonProps!$A$2:$AA$10001,MATCH(1,($A100=[2]SalmonProps!$A$2:$A$10001)*($AP100 = [2]SalmonProps!$F$2:$F$10001) *($AR100 = [2]SalmonProps!$G$2:$G$10001),0), 22))</f>
        <v/>
      </c>
      <c r="AM100" s="183" t="str" cm="1">
        <f t="array" ref="AM100">IF(ISBLANK($AQ100), "", INDEX([2]SalmonProps!$A$2:$AA$10001,MATCH(1,($A100=[2]SalmonProps!$A$2:$A$10001)*($AP100 = [2]SalmonProps!$F$2:$F$10001) *($AR100 = [2]SalmonProps!$G$2:$G$10001),0), 23))</f>
        <v/>
      </c>
      <c r="AN100" s="174" t="str" cm="1">
        <f t="array" ref="AN100">IF(ISBLANK($AQ100), "", INDEX([2]SalmonProps!$A$2:$AA$10001,MATCH(1,($A100=[2]SalmonProps!$A$2:$A$10001)*($AP100 = [2]SalmonProps!$F$2:$F$10001) *($AR100 = [2]SalmonProps!$G$2:$G$10001),0), 26))</f>
        <v/>
      </c>
      <c r="AO100" s="175" t="str" cm="1">
        <f t="array" ref="AO100">IF(ISBLANK($AQ100), "", INDEX([2]SalmonProps!$A$2:$AA$10001,MATCH(1,($A100=[2]SalmonProps!$A$2:$A$10001)*($AP100 = [2]SalmonProps!$F$2:$F$10001) *($AR100 = [2]SalmonProps!$G$2:$G$10001),0), 27))</f>
        <v/>
      </c>
      <c r="AP100" s="112"/>
      <c r="AQ100" s="112"/>
      <c r="AR100" s="112" t="e">
        <f t="shared" si="2"/>
        <v>#N/A</v>
      </c>
    </row>
    <row r="101" spans="1:44" x14ac:dyDescent="0.3">
      <c r="A101" s="20">
        <f>'[1]Passage Estimates'!$A101</f>
        <v>45203</v>
      </c>
      <c r="B101" s="164" t="str" cm="1">
        <f t="array" ref="B101">IF(ISBLANK($AQ101), "", INDEX([2]SalmonProps!$A$2:$AA$10001,MATCH(1,($A101=[2]SalmonProps!$A$2:$A$10001)*(1=[2]SalmonProps!$C$2:$C$10001)*(1=[2]SalmonProps!$D$2:$D$10001)*("A1" = [2]SalmonProps!$B$2:$B$10001)*($AP101 = [2]SalmonProps!$F$2:$F$10001) *($AR101 = [2]SalmonProps!$G$2:$G$10001),0), 17))</f>
        <v/>
      </c>
      <c r="C101" s="165" t="str" cm="1">
        <f t="array" ref="C101">IF(ISBLANK($AQ101), "", INDEX([2]SalmonProps!$A$2:$AA$10001,MATCH(1,($A101=[2]SalmonProps!$A$2:$A$10001)*(1=[2]SalmonProps!$C$2:$C$10001)*(2=[2]SalmonProps!$D$2:$D$10001)*("A1" = [2]SalmonProps!$B$2:$B$10001)*($AP101 = [2]SalmonProps!$F$2:$F$10001) *($AR101 = [2]SalmonProps!$G$2:$G$10001),0), 17))</f>
        <v/>
      </c>
      <c r="D101" s="165" t="str" cm="1">
        <f t="array" ref="D101">IF(ISBLANK($AQ101), "", INDEX([2]SalmonProps!$A$2:$AA$10001,MATCH(1,($A101=[2]SalmonProps!$A$2:$A$10001)*(1=[2]SalmonProps!$C$2:$C$10001)*("1&amp;2"=[2]SalmonProps!$D$2:$D$10001)*("A1" = [2]SalmonProps!$B$2:$B$10001)*($AP101 = [2]SalmonProps!$F$2:$F$10001) *($AR101 = [2]SalmonProps!$G$2:$G$10001),0), 17))</f>
        <v/>
      </c>
      <c r="E101" s="181" t="str" cm="1">
        <f t="array" ref="E101">IF(ISBLANK($AQ101), "", INDEX([2]SalmonProps!$A$2:$AA$10001,MATCH(1,($A101=[2]SalmonProps!$A$2:$A$10001)*(2=[2]SalmonProps!$C$2:$C$10001)*(3=[2]SalmonProps!$D$2:$D$10001)*("A1" = [2]SalmonProps!$B$2:$B$10001)*($AP101 = [2]SalmonProps!$F$2:$F$10001) *($AR101 = [2]SalmonProps!$G$2:$G$10001),0), 17))</f>
        <v/>
      </c>
      <c r="F101" s="165" t="str" cm="1">
        <f t="array" ref="F101">IF(ISBLANK($AQ101), "", INDEX([2]SalmonProps!$A$2:$AA$10001,MATCH(1,($A101=[2]SalmonProps!$A$2:$A$10001)*(3=[2]SalmonProps!$C$2:$C$10001)*(3=[2]SalmonProps!$D$2:$D$10001)*("A1" = [2]SalmonProps!$B$2:$B$10001)*($AP101 = [2]SalmonProps!$F$2:$F$10001) *($AR101 = [2]SalmonProps!$G$2:$G$10001),0), 17))</f>
        <v/>
      </c>
      <c r="G101" s="165" t="str" cm="1">
        <f t="array" ref="G101">IF(ISBLANK($AQ101), "", INDEX([2]SalmonProps!$A$2:$AA$10001,MATCH(1,($A101=[2]SalmonProps!$A$2:$A$10001)*(1=[2]SalmonProps!$C$2:$C$10001)*(1=[2]SalmonProps!$D$2:$D$10001)*("A2" = [2]SalmonProps!$B$2:$B$10001)*($AP101 = [2]SalmonProps!$F$2:$F$10001) *($AR101 = [2]SalmonProps!$G$2:$G$10001),0), 17))</f>
        <v/>
      </c>
      <c r="H101" s="166" t="str" cm="1">
        <f t="array" ref="H101">IF(ISBLANK($AQ101), "", INDEX([2]SalmonProps!$A$2:$AA$10001,MATCH(1,($A101=[2]SalmonProps!$A$2:$A$10001)*(2=[2]SalmonProps!$C$2:$C$10001)*(1=[2]SalmonProps!$D$2:$D$10001)*("A2" = [2]SalmonProps!$B$2:$B$10001)*($AP101 = [2]SalmonProps!$F$2:$F$10001) *($AR101 = [2]SalmonProps!$G$2:$G$10001),0), 17))</f>
        <v/>
      </c>
      <c r="I101" s="167" t="str" cm="1">
        <f t="array" ref="I101">IF(ISBLANK($AQ101), "", INDEX([2]SalmonProps!$A$2:$AA$10001,MATCH(1,($A101=[2]SalmonProps!$A$2:$A$10001)*(3=[2]SalmonProps!$C$2:$C$10001)*(1=[2]SalmonProps!$D$2:$D$10001)*("A2" = [2]SalmonProps!$B$2:$B$10001)*($AP101 = [2]SalmonProps!$F$2:$F$10001) *($AR101 = [2]SalmonProps!$G$2:$G$10001),0), 17))</f>
        <v/>
      </c>
      <c r="J101" s="164" t="str" cm="1">
        <f t="array" ref="J101">IF(ISBLANK($AQ101), "", INDEX([2]SalmonProps!$A$2:$AA$10001,MATCH(1,($A101=[2]SalmonProps!$A$2:$A$10001)*(1=[2]SalmonProps!$C$2:$C$10001)*(1=[2]SalmonProps!$D$2:$D$10001)*("A1" = [2]SalmonProps!$B$2:$B$10001)*($AP101 = [2]SalmonProps!$F$2:$F$10001) *($AR101 = [2]SalmonProps!$G$2:$G$10001),0), 19))</f>
        <v/>
      </c>
      <c r="K101" s="165" t="str" cm="1">
        <f t="array" ref="K101">IF(ISBLANK($AQ101), "", INDEX([2]SalmonProps!$A$2:$AA$10001,MATCH(1,($A101=[2]SalmonProps!$A$2:$A$10001)*(1=[2]SalmonProps!$C$2:$C$10001)*(2=[2]SalmonProps!$D$2:$D$10001)*("A1" = [2]SalmonProps!$B$2:$B$10001)*($AP101 = [2]SalmonProps!$F$2:$F$10001) *($AR101 = [2]SalmonProps!$G$2:$G$10001),0), 19))</f>
        <v/>
      </c>
      <c r="L101" s="165" t="str" cm="1">
        <f t="array" ref="L101">IF(ISBLANK($AQ101), "", INDEX([2]SalmonProps!$A$2:$AA$10001,MATCH(1,($A101=[2]SalmonProps!$A$2:$A$10001)*(1=[2]SalmonProps!$C$2:$C$10001)*("1&amp;2"=[2]SalmonProps!$D$2:$D$10001)*("A1" = [2]SalmonProps!$B$2:$B$10001)*($AP101 = [2]SalmonProps!$F$2:$F$10001) *($AR101 = [2]SalmonProps!$G$2:$G$10001),0), 19))</f>
        <v/>
      </c>
      <c r="M101" s="165" t="str" cm="1">
        <f t="array" ref="M101">IF(ISBLANK($AQ101), "", INDEX([2]SalmonProps!$A$2:$AA$10001,MATCH(1,($A101=[2]SalmonProps!$A$2:$A$10001)*(2=[2]SalmonProps!$C$2:$C$10001)*(3=[2]SalmonProps!$D$2:$D$10001)*("A1" = [2]SalmonProps!$B$2:$B$10001)*($AP101 = [2]SalmonProps!$F$2:$F$10001) *($AR101 = [2]SalmonProps!$G$2:$G$10001),0), 19))</f>
        <v/>
      </c>
      <c r="N101" s="181" t="str" cm="1">
        <f t="array" ref="N101">IF(ISBLANK($AQ101), "", INDEX([2]SalmonProps!$A$2:$AA$10001,MATCH(1,($A101=[2]SalmonProps!$A$2:$A$10001)*(3=[2]SalmonProps!$C$2:$C$10001)*(3=[2]SalmonProps!$D$2:$D$10001)*("A1" = [2]SalmonProps!$B$2:$B$10001)*($AP101 = [2]SalmonProps!$F$2:$F$10001) *($AR101 = [2]SalmonProps!$G$2:$G$10001),0), 19))</f>
        <v/>
      </c>
      <c r="O101" s="165" t="str" cm="1">
        <f t="array" ref="O101">IF(ISBLANK($AQ101), "", INDEX([2]SalmonProps!$A$2:$AA$10001,MATCH(1,($A101=[2]SalmonProps!$A$2:$A$10001)*(1=[2]SalmonProps!$C$2:$C$10001)*(1=[2]SalmonProps!$D$2:$D$10001)*("A2" = [2]SalmonProps!$B$2:$B$10001)*($AP101 = [2]SalmonProps!$F$2:$F$10001) *($AR101 = [2]SalmonProps!$G$2:$G$10001),0), 19))</f>
        <v/>
      </c>
      <c r="P101" s="165" t="str" cm="1">
        <f t="array" ref="P101">IF(ISBLANK($AQ101), "", INDEX([2]SalmonProps!$A$2:$AA$10001,MATCH(1,($A101=[2]SalmonProps!$A$2:$A$10001)*(2=[2]SalmonProps!$C$2:$C$10001)*(1=[2]SalmonProps!$D$2:$D$10001)*("A2" = [2]SalmonProps!$B$2:$B$10001)*($AP101 = [2]SalmonProps!$F$2:$F$10001) *($AR101 = [2]SalmonProps!$G$2:$G$10001),0), 19))</f>
        <v/>
      </c>
      <c r="Q101" s="168" t="str" cm="1">
        <f t="array" ref="Q101">IF(ISBLANK($AQ101), "", INDEX([2]SalmonProps!$A$2:$AA$10001,MATCH(1,($A101=[2]SalmonProps!$A$2:$A$10001)*(3=[2]SalmonProps!$C$2:$C$10001)*(1=[2]SalmonProps!$D$2:$D$10001)*("A2" = [2]SalmonProps!$B$2:$B$10001)*($AP101 = [2]SalmonProps!$F$2:$F$10001) *($AR101 = [2]SalmonProps!$G$2:$G$10001),0), 19))</f>
        <v/>
      </c>
      <c r="R101" s="164" t="str" cm="1">
        <f t="array" ref="R101">IF(ISBLANK($AQ101), "", INDEX([2]SalmonProps!$A$2:$AA$10001,MATCH(1,($A101=[2]SalmonProps!$A$2:$A$10001)*(1=[2]SalmonProps!$C$2:$C$10001)*(1=[2]SalmonProps!$D$2:$D$10001)*("A1" = [2]SalmonProps!$B$2:$B$10001)*($AP101 = [2]SalmonProps!$F$2:$F$10001) *($AR101 = [2]SalmonProps!$G$2:$G$10001),0), 18))</f>
        <v/>
      </c>
      <c r="S101" s="165" t="str" cm="1">
        <f t="array" ref="S101">IF(ISBLANK($AQ101), "", INDEX([2]SalmonProps!$A$2:$AA$10001,MATCH(1,($A101=[2]SalmonProps!$A$2:$A$10001)*(1=[2]SalmonProps!$C$2:$C$10001)*(2=[2]SalmonProps!$D$2:$D$10001)*("A1" = [2]SalmonProps!$B$2:$B$10001)*($AP101 = [2]SalmonProps!$F$2:$F$10001) *($AR101 = [2]SalmonProps!$G$2:$G$10001),0), 18))</f>
        <v/>
      </c>
      <c r="T101" s="165" t="str" cm="1">
        <f t="array" ref="T101">IF(ISBLANK($AQ101), "", INDEX([2]SalmonProps!$A$2:$AA$10001,MATCH(1,($A101=[2]SalmonProps!$A$2:$A$10001)*(1=[2]SalmonProps!$C$2:$C$10001)*("1&amp;2"=[2]SalmonProps!$D$2:$D$10001)*("A1" = [2]SalmonProps!$B$2:$B$10001)*($AP101 = [2]SalmonProps!$F$2:$F$10001) *($AR101 = [2]SalmonProps!$G$2:$G$10001),0), 18))</f>
        <v/>
      </c>
      <c r="U101" s="165" t="str" cm="1">
        <f t="array" ref="U101">IF(ISBLANK($AQ101), "", INDEX([2]SalmonProps!$A$2:$AA$10001,MATCH(1,($A101=[2]SalmonProps!$A$2:$A$10001)*(2=[2]SalmonProps!$C$2:$C$10001)*(3=[2]SalmonProps!$D$2:$D$10001)*("A1" = [2]SalmonProps!$B$2:$B$10001)*($AP101 = [2]SalmonProps!$F$2:$F$10001) *($AR101 = [2]SalmonProps!$G$2:$G$10001),0), 18))</f>
        <v/>
      </c>
      <c r="V101" s="181" t="str" cm="1">
        <f t="array" ref="V101">IF(ISBLANK($AQ101), "", INDEX([2]SalmonProps!$A$2:$AA$10001,MATCH(1,($A101=[2]SalmonProps!$A$2:$A$10001)*(3=[2]SalmonProps!$C$2:$C$10001)*(3=[2]SalmonProps!$D$2:$D$10001)*("A1" = [2]SalmonProps!$B$2:$B$10001)*($AP101 = [2]SalmonProps!$F$2:$F$10001) *($AR101 = [2]SalmonProps!$G$2:$G$10001),0), 18))</f>
        <v/>
      </c>
      <c r="W101" s="180" t="str" cm="1">
        <f t="array" ref="W101">IF(ISBLANK($AQ101), "", INDEX([2]SalmonProps!$A$2:$AA$10001,MATCH(1,($A101=[2]SalmonProps!$A$2:$A$10001)*(1=[2]SalmonProps!$C$2:$C$10001)*(1=[2]SalmonProps!$D$2:$D$10001)*("A2" = [2]SalmonProps!$B$2:$B$10001)*($AP101 = [2]SalmonProps!$F$2:$F$10001) *($AR101 = [2]SalmonProps!$G$2:$G$10001),0), 18))</f>
        <v/>
      </c>
      <c r="X101" s="165" t="str" cm="1">
        <f t="array" ref="X101">IF(ISBLANK($AQ101), "", INDEX([2]SalmonProps!$A$2:$AA$10001,MATCH(1,($A101=[2]SalmonProps!$A$2:$A$10001)*(2=[2]SalmonProps!$C$2:$C$10001)*(1=[2]SalmonProps!$D$2:$D$10001)*("A2" = [2]SalmonProps!$B$2:$B$10001)*($AP101 = [2]SalmonProps!$F$2:$F$10001) *($AR101 = [2]SalmonProps!$G$2:$G$10001),0), 18))</f>
        <v/>
      </c>
      <c r="Y101" s="168" t="str" cm="1">
        <f t="array" ref="Y101">IF(ISBLANK($AQ101), "", INDEX([2]SalmonProps!$A$2:$AA$10001,MATCH(1,($A101=[2]SalmonProps!$A$2:$A$10001)*(3=[2]SalmonProps!$C$2:$C$10001)*(1=[2]SalmonProps!$D$2:$D$10001)*("A2" = [2]SalmonProps!$B$2:$B$10001)*($AP101 = [2]SalmonProps!$F$2:$F$10001) *($AR101 = [2]SalmonProps!$G$2:$G$10001),0), 18))</f>
        <v/>
      </c>
      <c r="Z101" s="164" t="str" cm="1">
        <f t="array" ref="Z101">IF(ISBLANK($AQ101), "", INDEX([2]SalmonProps!$A$2:$AA$10001,MATCH(1,($A101=[2]SalmonProps!$A$2:$A$10001)*(1=[2]SalmonProps!$C$2:$C$10001)*(1=[2]SalmonProps!$D$2:$D$10001)*("A1" = [2]SalmonProps!$B$2:$B$10001)*($AP101 = [2]SalmonProps!$F$2:$F$10001) *($AR101 = [2]SalmonProps!$G$2:$G$10001),0), 15))</f>
        <v/>
      </c>
      <c r="AA101" s="165" t="str" cm="1">
        <f t="array" ref="AA101">IF(ISBLANK($AQ101), "", INDEX([2]SalmonProps!$A$2:$AA$10001,MATCH(1,($A101=[2]SalmonProps!$A$2:$A$10001)*(1=[2]SalmonProps!$C$2:$C$10001)*(2=[2]SalmonProps!$D$2:$D$10001)*("A1" = [2]SalmonProps!$B$2:$B$10001)*($AP101 = [2]SalmonProps!$F$2:$F$10001) *($AR101 = [2]SalmonProps!$G$2:$G$10001),0), 15))</f>
        <v/>
      </c>
      <c r="AB101" s="165" t="str" cm="1">
        <f t="array" ref="AB101">IF(ISBLANK($AQ101), "", INDEX([2]SalmonProps!$A$2:$AA$10001,MATCH(1,($A101=[2]SalmonProps!$A$2:$A$10001)*(1=[2]SalmonProps!$C$2:$C$10001)*("1&amp;2"=[2]SalmonProps!$D$2:$D$10001)*("A1" = [2]SalmonProps!$B$2:$B$10001)*($AP101 = [2]SalmonProps!$F$2:$F$10001) *($AR101 = [2]SalmonProps!$G$2:$G$10001),0), 15))</f>
        <v/>
      </c>
      <c r="AC101" s="165" t="str" cm="1">
        <f t="array" ref="AC101">IF(ISBLANK($AQ101), "", INDEX([2]SalmonProps!$A$2:$AA$10001,MATCH(1,($A101=[2]SalmonProps!$A$2:$A$10001)*(2=[2]SalmonProps!$C$2:$C$10001)*(3=[2]SalmonProps!$D$2:$D$10001)*("A1" = [2]SalmonProps!$B$2:$B$10001)*($AP101 = [2]SalmonProps!$F$2:$F$10001) *($AR101 = [2]SalmonProps!$G$2:$G$10001),0), 15))</f>
        <v/>
      </c>
      <c r="AD101" s="181" t="str" cm="1">
        <f t="array" ref="AD101">IF(ISBLANK($AQ101), "", INDEX([2]SalmonProps!$A$2:$AA$10001,MATCH(1,($A101=[2]SalmonProps!$A$2:$A$10001)*(3=[2]SalmonProps!$C$2:$C$10001)*(3=[2]SalmonProps!$D$2:$D$10001)*("A1" = [2]SalmonProps!$B$2:$B$10001)*($AP101 = [2]SalmonProps!$F$2:$F$10001) *($AR101 = [2]SalmonProps!$G$2:$G$10001),0), 15))</f>
        <v/>
      </c>
      <c r="AE101" s="166" t="str" cm="1">
        <f t="array" ref="AE101">IF(ISBLANK($AQ101), "", INDEX([2]SalmonProps!$A$2:$AA$10001,MATCH(1,($A101=[2]SalmonProps!$A$2:$A$10001)*(1=[2]SalmonProps!$C$2:$C$10001)*(1=[2]SalmonProps!$D$2:$D$10001)*("A2" = [2]SalmonProps!$B$2:$B$10001)*($AP101 = [2]SalmonProps!$F$2:$F$10001) *($AR101 = [2]SalmonProps!$G$2:$G$10001),0), 15))</f>
        <v/>
      </c>
      <c r="AF101" s="166" t="str" cm="1">
        <f t="array" ref="AF101">IF(ISBLANK($AQ101), "", INDEX([2]SalmonProps!$A$2:$AA$10001,MATCH(1,($A101=[2]SalmonProps!$A$2:$A$10001)*(2=[2]SalmonProps!$C$2:$C$10001)*(1=[2]SalmonProps!$D$2:$D$10001)*("A2" = [2]SalmonProps!$B$2:$B$10001)*($AP101 = [2]SalmonProps!$F$2:$F$10001) *($AR101 = [2]SalmonProps!$G$2:$G$10001),0), 15))</f>
        <v/>
      </c>
      <c r="AG101" s="167" t="str" cm="1">
        <f t="array" ref="AG101">IF(ISBLANK($AQ101), "", INDEX([2]SalmonProps!$A$2:$AA$10001,MATCH(1,($A101=[2]SalmonProps!$A$2:$A$10001)*(3=[2]SalmonProps!$C$2:$C$10001)*(1=[2]SalmonProps!$D$2:$D$10001)*("A2" = [2]SalmonProps!$B$2:$B$10001)*($AP101 = [2]SalmonProps!$F$2:$F$10001) *($AR101 = [2]SalmonProps!$G$2:$G$10001),0), 15))</f>
        <v/>
      </c>
      <c r="AH101" s="173" t="str" cm="1">
        <f t="array" ref="AH101">IF(ISBLANK($AQ101), "", INDEX([2]SalmonProps!$A$2:$AA$10001,MATCH(1,($A101=[2]SalmonProps!$A$2:$A$10001)*($AP101 = [2]SalmonProps!$F$2:$F$10001) *($AR101 = [2]SalmonProps!$G$2:$G$10001),0), 24))</f>
        <v/>
      </c>
      <c r="AI101" s="183" t="str" cm="1">
        <f t="array" ref="AI101">IF(ISBLANK($AQ101), "", INDEX([2]SalmonProps!$A$2:$AA$10001,MATCH(1,($A101=[2]SalmonProps!$A$2:$A$10001)*($AP101 = [2]SalmonProps!$F$2:$F$10001) *($AR101 = [2]SalmonProps!$G$2:$G$10001),0), 25))</f>
        <v/>
      </c>
      <c r="AJ101" s="174" t="str" cm="1">
        <f t="array" ref="AJ101">IF(ISBLANK($AQ101), "", INDEX([2]SalmonProps!$A$2:$AA$10001,MATCH(1,($A101=[2]SalmonProps!$A$2:$A$10001)*($AP101 = [2]SalmonProps!$F$2:$F$10001) *($AR101 = [2]SalmonProps!$G$2:$G$10001),0), 20))</f>
        <v/>
      </c>
      <c r="AK101" s="183" t="str" cm="1">
        <f t="array" ref="AK101">IF(ISBLANK($AQ101), "", INDEX([2]SalmonProps!$A$2:$AA$10001,MATCH(1,($A101=[2]SalmonProps!$A$2:$A$10001)*($AP101 = [2]SalmonProps!$F$2:$F$10001) *($AR101 = [2]SalmonProps!$G$2:$G$10001),0), 21))</f>
        <v/>
      </c>
      <c r="AL101" s="174" t="str" cm="1">
        <f t="array" ref="AL101">IF(ISBLANK($AQ101), "", INDEX([2]SalmonProps!$A$2:$AA$10001,MATCH(1,($A101=[2]SalmonProps!$A$2:$A$10001)*($AP101 = [2]SalmonProps!$F$2:$F$10001) *($AR101 = [2]SalmonProps!$G$2:$G$10001),0), 22))</f>
        <v/>
      </c>
      <c r="AM101" s="183" t="str" cm="1">
        <f t="array" ref="AM101">IF(ISBLANK($AQ101), "", INDEX([2]SalmonProps!$A$2:$AA$10001,MATCH(1,($A101=[2]SalmonProps!$A$2:$A$10001)*($AP101 = [2]SalmonProps!$F$2:$F$10001) *($AR101 = [2]SalmonProps!$G$2:$G$10001),0), 23))</f>
        <v/>
      </c>
      <c r="AN101" s="174" t="str" cm="1">
        <f t="array" ref="AN101">IF(ISBLANK($AQ101), "", INDEX([2]SalmonProps!$A$2:$AA$10001,MATCH(1,($A101=[2]SalmonProps!$A$2:$A$10001)*($AP101 = [2]SalmonProps!$F$2:$F$10001) *($AR101 = [2]SalmonProps!$G$2:$G$10001),0), 26))</f>
        <v/>
      </c>
      <c r="AO101" s="175" t="str" cm="1">
        <f t="array" ref="AO101">IF(ISBLANK($AQ101), "", INDEX([2]SalmonProps!$A$2:$AA$10001,MATCH(1,($A101=[2]SalmonProps!$A$2:$A$10001)*($AP101 = [2]SalmonProps!$F$2:$F$10001) *($AR101 = [2]SalmonProps!$G$2:$G$10001),0), 27))</f>
        <v/>
      </c>
      <c r="AP101" s="112"/>
      <c r="AQ101" s="112"/>
      <c r="AR101" s="112" t="e">
        <f t="shared" si="2"/>
        <v>#N/A</v>
      </c>
    </row>
    <row r="102" spans="1:44" x14ac:dyDescent="0.3">
      <c r="A102" s="20">
        <f>'[1]Passage Estimates'!$A102</f>
        <v>45204</v>
      </c>
      <c r="B102" s="164" t="str" cm="1">
        <f t="array" ref="B102">IF(ISBLANK($AQ102), "", INDEX([2]SalmonProps!$A$2:$AA$10001,MATCH(1,($A102=[2]SalmonProps!$A$2:$A$10001)*(1=[2]SalmonProps!$C$2:$C$10001)*(1=[2]SalmonProps!$D$2:$D$10001)*("A1" = [2]SalmonProps!$B$2:$B$10001)*($AP102 = [2]SalmonProps!$F$2:$F$10001) *($AR102 = [2]SalmonProps!$G$2:$G$10001),0), 17))</f>
        <v/>
      </c>
      <c r="C102" s="165" t="str" cm="1">
        <f t="array" ref="C102">IF(ISBLANK($AQ102), "", INDEX([2]SalmonProps!$A$2:$AA$10001,MATCH(1,($A102=[2]SalmonProps!$A$2:$A$10001)*(1=[2]SalmonProps!$C$2:$C$10001)*(2=[2]SalmonProps!$D$2:$D$10001)*("A1" = [2]SalmonProps!$B$2:$B$10001)*($AP102 = [2]SalmonProps!$F$2:$F$10001) *($AR102 = [2]SalmonProps!$G$2:$G$10001),0), 17))</f>
        <v/>
      </c>
      <c r="D102" s="165" t="str" cm="1">
        <f t="array" ref="D102">IF(ISBLANK($AQ102), "", INDEX([2]SalmonProps!$A$2:$AA$10001,MATCH(1,($A102=[2]SalmonProps!$A$2:$A$10001)*(1=[2]SalmonProps!$C$2:$C$10001)*("1&amp;2"=[2]SalmonProps!$D$2:$D$10001)*("A1" = [2]SalmonProps!$B$2:$B$10001)*($AP102 = [2]SalmonProps!$F$2:$F$10001) *($AR102 = [2]SalmonProps!$G$2:$G$10001),0), 17))</f>
        <v/>
      </c>
      <c r="E102" s="181" t="str" cm="1">
        <f t="array" ref="E102">IF(ISBLANK($AQ102), "", INDEX([2]SalmonProps!$A$2:$AA$10001,MATCH(1,($A102=[2]SalmonProps!$A$2:$A$10001)*(2=[2]SalmonProps!$C$2:$C$10001)*(3=[2]SalmonProps!$D$2:$D$10001)*("A1" = [2]SalmonProps!$B$2:$B$10001)*($AP102 = [2]SalmonProps!$F$2:$F$10001) *($AR102 = [2]SalmonProps!$G$2:$G$10001),0), 17))</f>
        <v/>
      </c>
      <c r="F102" s="165" t="str" cm="1">
        <f t="array" ref="F102">IF(ISBLANK($AQ102), "", INDEX([2]SalmonProps!$A$2:$AA$10001,MATCH(1,($A102=[2]SalmonProps!$A$2:$A$10001)*(3=[2]SalmonProps!$C$2:$C$10001)*(3=[2]SalmonProps!$D$2:$D$10001)*("A1" = [2]SalmonProps!$B$2:$B$10001)*($AP102 = [2]SalmonProps!$F$2:$F$10001) *($AR102 = [2]SalmonProps!$G$2:$G$10001),0), 17))</f>
        <v/>
      </c>
      <c r="G102" s="165" t="str" cm="1">
        <f t="array" ref="G102">IF(ISBLANK($AQ102), "", INDEX([2]SalmonProps!$A$2:$AA$10001,MATCH(1,($A102=[2]SalmonProps!$A$2:$A$10001)*(1=[2]SalmonProps!$C$2:$C$10001)*(1=[2]SalmonProps!$D$2:$D$10001)*("A2" = [2]SalmonProps!$B$2:$B$10001)*($AP102 = [2]SalmonProps!$F$2:$F$10001) *($AR102 = [2]SalmonProps!$G$2:$G$10001),0), 17))</f>
        <v/>
      </c>
      <c r="H102" s="166" t="str" cm="1">
        <f t="array" ref="H102">IF(ISBLANK($AQ102), "", INDEX([2]SalmonProps!$A$2:$AA$10001,MATCH(1,($A102=[2]SalmonProps!$A$2:$A$10001)*(2=[2]SalmonProps!$C$2:$C$10001)*(1=[2]SalmonProps!$D$2:$D$10001)*("A2" = [2]SalmonProps!$B$2:$B$10001)*($AP102 = [2]SalmonProps!$F$2:$F$10001) *($AR102 = [2]SalmonProps!$G$2:$G$10001),0), 17))</f>
        <v/>
      </c>
      <c r="I102" s="167" t="str" cm="1">
        <f t="array" ref="I102">IF(ISBLANK($AQ102), "", INDEX([2]SalmonProps!$A$2:$AA$10001,MATCH(1,($A102=[2]SalmonProps!$A$2:$A$10001)*(3=[2]SalmonProps!$C$2:$C$10001)*(1=[2]SalmonProps!$D$2:$D$10001)*("A2" = [2]SalmonProps!$B$2:$B$10001)*($AP102 = [2]SalmonProps!$F$2:$F$10001) *($AR102 = [2]SalmonProps!$G$2:$G$10001),0), 17))</f>
        <v/>
      </c>
      <c r="J102" s="164" t="str" cm="1">
        <f t="array" ref="J102">IF(ISBLANK($AQ102), "", INDEX([2]SalmonProps!$A$2:$AA$10001,MATCH(1,($A102=[2]SalmonProps!$A$2:$A$10001)*(1=[2]SalmonProps!$C$2:$C$10001)*(1=[2]SalmonProps!$D$2:$D$10001)*("A1" = [2]SalmonProps!$B$2:$B$10001)*($AP102 = [2]SalmonProps!$F$2:$F$10001) *($AR102 = [2]SalmonProps!$G$2:$G$10001),0), 19))</f>
        <v/>
      </c>
      <c r="K102" s="165" t="str" cm="1">
        <f t="array" ref="K102">IF(ISBLANK($AQ102), "", INDEX([2]SalmonProps!$A$2:$AA$10001,MATCH(1,($A102=[2]SalmonProps!$A$2:$A$10001)*(1=[2]SalmonProps!$C$2:$C$10001)*(2=[2]SalmonProps!$D$2:$D$10001)*("A1" = [2]SalmonProps!$B$2:$B$10001)*($AP102 = [2]SalmonProps!$F$2:$F$10001) *($AR102 = [2]SalmonProps!$G$2:$G$10001),0), 19))</f>
        <v/>
      </c>
      <c r="L102" s="165" t="str" cm="1">
        <f t="array" ref="L102">IF(ISBLANK($AQ102), "", INDEX([2]SalmonProps!$A$2:$AA$10001,MATCH(1,($A102=[2]SalmonProps!$A$2:$A$10001)*(1=[2]SalmonProps!$C$2:$C$10001)*("1&amp;2"=[2]SalmonProps!$D$2:$D$10001)*("A1" = [2]SalmonProps!$B$2:$B$10001)*($AP102 = [2]SalmonProps!$F$2:$F$10001) *($AR102 = [2]SalmonProps!$G$2:$G$10001),0), 19))</f>
        <v/>
      </c>
      <c r="M102" s="165" t="str" cm="1">
        <f t="array" ref="M102">IF(ISBLANK($AQ102), "", INDEX([2]SalmonProps!$A$2:$AA$10001,MATCH(1,($A102=[2]SalmonProps!$A$2:$A$10001)*(2=[2]SalmonProps!$C$2:$C$10001)*(3=[2]SalmonProps!$D$2:$D$10001)*("A1" = [2]SalmonProps!$B$2:$B$10001)*($AP102 = [2]SalmonProps!$F$2:$F$10001) *($AR102 = [2]SalmonProps!$G$2:$G$10001),0), 19))</f>
        <v/>
      </c>
      <c r="N102" s="181" t="str" cm="1">
        <f t="array" ref="N102">IF(ISBLANK($AQ102), "", INDEX([2]SalmonProps!$A$2:$AA$10001,MATCH(1,($A102=[2]SalmonProps!$A$2:$A$10001)*(3=[2]SalmonProps!$C$2:$C$10001)*(3=[2]SalmonProps!$D$2:$D$10001)*("A1" = [2]SalmonProps!$B$2:$B$10001)*($AP102 = [2]SalmonProps!$F$2:$F$10001) *($AR102 = [2]SalmonProps!$G$2:$G$10001),0), 19))</f>
        <v/>
      </c>
      <c r="O102" s="165" t="str" cm="1">
        <f t="array" ref="O102">IF(ISBLANK($AQ102), "", INDEX([2]SalmonProps!$A$2:$AA$10001,MATCH(1,($A102=[2]SalmonProps!$A$2:$A$10001)*(1=[2]SalmonProps!$C$2:$C$10001)*(1=[2]SalmonProps!$D$2:$D$10001)*("A2" = [2]SalmonProps!$B$2:$B$10001)*($AP102 = [2]SalmonProps!$F$2:$F$10001) *($AR102 = [2]SalmonProps!$G$2:$G$10001),0), 19))</f>
        <v/>
      </c>
      <c r="P102" s="165" t="str" cm="1">
        <f t="array" ref="P102">IF(ISBLANK($AQ102), "", INDEX([2]SalmonProps!$A$2:$AA$10001,MATCH(1,($A102=[2]SalmonProps!$A$2:$A$10001)*(2=[2]SalmonProps!$C$2:$C$10001)*(1=[2]SalmonProps!$D$2:$D$10001)*("A2" = [2]SalmonProps!$B$2:$B$10001)*($AP102 = [2]SalmonProps!$F$2:$F$10001) *($AR102 = [2]SalmonProps!$G$2:$G$10001),0), 19))</f>
        <v/>
      </c>
      <c r="Q102" s="168" t="str" cm="1">
        <f t="array" ref="Q102">IF(ISBLANK($AQ102), "", INDEX([2]SalmonProps!$A$2:$AA$10001,MATCH(1,($A102=[2]SalmonProps!$A$2:$A$10001)*(3=[2]SalmonProps!$C$2:$C$10001)*(1=[2]SalmonProps!$D$2:$D$10001)*("A2" = [2]SalmonProps!$B$2:$B$10001)*($AP102 = [2]SalmonProps!$F$2:$F$10001) *($AR102 = [2]SalmonProps!$G$2:$G$10001),0), 19))</f>
        <v/>
      </c>
      <c r="R102" s="164" t="str" cm="1">
        <f t="array" ref="R102">IF(ISBLANK($AQ102), "", INDEX([2]SalmonProps!$A$2:$AA$10001,MATCH(1,($A102=[2]SalmonProps!$A$2:$A$10001)*(1=[2]SalmonProps!$C$2:$C$10001)*(1=[2]SalmonProps!$D$2:$D$10001)*("A1" = [2]SalmonProps!$B$2:$B$10001)*($AP102 = [2]SalmonProps!$F$2:$F$10001) *($AR102 = [2]SalmonProps!$G$2:$G$10001),0), 18))</f>
        <v/>
      </c>
      <c r="S102" s="165" t="str" cm="1">
        <f t="array" ref="S102">IF(ISBLANK($AQ102), "", INDEX([2]SalmonProps!$A$2:$AA$10001,MATCH(1,($A102=[2]SalmonProps!$A$2:$A$10001)*(1=[2]SalmonProps!$C$2:$C$10001)*(2=[2]SalmonProps!$D$2:$D$10001)*("A1" = [2]SalmonProps!$B$2:$B$10001)*($AP102 = [2]SalmonProps!$F$2:$F$10001) *($AR102 = [2]SalmonProps!$G$2:$G$10001),0), 18))</f>
        <v/>
      </c>
      <c r="T102" s="165" t="str" cm="1">
        <f t="array" ref="T102">IF(ISBLANK($AQ102), "", INDEX([2]SalmonProps!$A$2:$AA$10001,MATCH(1,($A102=[2]SalmonProps!$A$2:$A$10001)*(1=[2]SalmonProps!$C$2:$C$10001)*("1&amp;2"=[2]SalmonProps!$D$2:$D$10001)*("A1" = [2]SalmonProps!$B$2:$B$10001)*($AP102 = [2]SalmonProps!$F$2:$F$10001) *($AR102 = [2]SalmonProps!$G$2:$G$10001),0), 18))</f>
        <v/>
      </c>
      <c r="U102" s="165" t="str" cm="1">
        <f t="array" ref="U102">IF(ISBLANK($AQ102), "", INDEX([2]SalmonProps!$A$2:$AA$10001,MATCH(1,($A102=[2]SalmonProps!$A$2:$A$10001)*(2=[2]SalmonProps!$C$2:$C$10001)*(3=[2]SalmonProps!$D$2:$D$10001)*("A1" = [2]SalmonProps!$B$2:$B$10001)*($AP102 = [2]SalmonProps!$F$2:$F$10001) *($AR102 = [2]SalmonProps!$G$2:$G$10001),0), 18))</f>
        <v/>
      </c>
      <c r="V102" s="181" t="str" cm="1">
        <f t="array" ref="V102">IF(ISBLANK($AQ102), "", INDEX([2]SalmonProps!$A$2:$AA$10001,MATCH(1,($A102=[2]SalmonProps!$A$2:$A$10001)*(3=[2]SalmonProps!$C$2:$C$10001)*(3=[2]SalmonProps!$D$2:$D$10001)*("A1" = [2]SalmonProps!$B$2:$B$10001)*($AP102 = [2]SalmonProps!$F$2:$F$10001) *($AR102 = [2]SalmonProps!$G$2:$G$10001),0), 18))</f>
        <v/>
      </c>
      <c r="W102" s="180" t="str" cm="1">
        <f t="array" ref="W102">IF(ISBLANK($AQ102), "", INDEX([2]SalmonProps!$A$2:$AA$10001,MATCH(1,($A102=[2]SalmonProps!$A$2:$A$10001)*(1=[2]SalmonProps!$C$2:$C$10001)*(1=[2]SalmonProps!$D$2:$D$10001)*("A2" = [2]SalmonProps!$B$2:$B$10001)*($AP102 = [2]SalmonProps!$F$2:$F$10001) *($AR102 = [2]SalmonProps!$G$2:$G$10001),0), 18))</f>
        <v/>
      </c>
      <c r="X102" s="165" t="str" cm="1">
        <f t="array" ref="X102">IF(ISBLANK($AQ102), "", INDEX([2]SalmonProps!$A$2:$AA$10001,MATCH(1,($A102=[2]SalmonProps!$A$2:$A$10001)*(2=[2]SalmonProps!$C$2:$C$10001)*(1=[2]SalmonProps!$D$2:$D$10001)*("A2" = [2]SalmonProps!$B$2:$B$10001)*($AP102 = [2]SalmonProps!$F$2:$F$10001) *($AR102 = [2]SalmonProps!$G$2:$G$10001),0), 18))</f>
        <v/>
      </c>
      <c r="Y102" s="168" t="str" cm="1">
        <f t="array" ref="Y102">IF(ISBLANK($AQ102), "", INDEX([2]SalmonProps!$A$2:$AA$10001,MATCH(1,($A102=[2]SalmonProps!$A$2:$A$10001)*(3=[2]SalmonProps!$C$2:$C$10001)*(1=[2]SalmonProps!$D$2:$D$10001)*("A2" = [2]SalmonProps!$B$2:$B$10001)*($AP102 = [2]SalmonProps!$F$2:$F$10001) *($AR102 = [2]SalmonProps!$G$2:$G$10001),0), 18))</f>
        <v/>
      </c>
      <c r="Z102" s="164" t="str" cm="1">
        <f t="array" ref="Z102">IF(ISBLANK($AQ102), "", INDEX([2]SalmonProps!$A$2:$AA$10001,MATCH(1,($A102=[2]SalmonProps!$A$2:$A$10001)*(1=[2]SalmonProps!$C$2:$C$10001)*(1=[2]SalmonProps!$D$2:$D$10001)*("A1" = [2]SalmonProps!$B$2:$B$10001)*($AP102 = [2]SalmonProps!$F$2:$F$10001) *($AR102 = [2]SalmonProps!$G$2:$G$10001),0), 15))</f>
        <v/>
      </c>
      <c r="AA102" s="165" t="str" cm="1">
        <f t="array" ref="AA102">IF(ISBLANK($AQ102), "", INDEX([2]SalmonProps!$A$2:$AA$10001,MATCH(1,($A102=[2]SalmonProps!$A$2:$A$10001)*(1=[2]SalmonProps!$C$2:$C$10001)*(2=[2]SalmonProps!$D$2:$D$10001)*("A1" = [2]SalmonProps!$B$2:$B$10001)*($AP102 = [2]SalmonProps!$F$2:$F$10001) *($AR102 = [2]SalmonProps!$G$2:$G$10001),0), 15))</f>
        <v/>
      </c>
      <c r="AB102" s="165" t="str" cm="1">
        <f t="array" ref="AB102">IF(ISBLANK($AQ102), "", INDEX([2]SalmonProps!$A$2:$AA$10001,MATCH(1,($A102=[2]SalmonProps!$A$2:$A$10001)*(1=[2]SalmonProps!$C$2:$C$10001)*("1&amp;2"=[2]SalmonProps!$D$2:$D$10001)*("A1" = [2]SalmonProps!$B$2:$B$10001)*($AP102 = [2]SalmonProps!$F$2:$F$10001) *($AR102 = [2]SalmonProps!$G$2:$G$10001),0), 15))</f>
        <v/>
      </c>
      <c r="AC102" s="165" t="str" cm="1">
        <f t="array" ref="AC102">IF(ISBLANK($AQ102), "", INDEX([2]SalmonProps!$A$2:$AA$10001,MATCH(1,($A102=[2]SalmonProps!$A$2:$A$10001)*(2=[2]SalmonProps!$C$2:$C$10001)*(3=[2]SalmonProps!$D$2:$D$10001)*("A1" = [2]SalmonProps!$B$2:$B$10001)*($AP102 = [2]SalmonProps!$F$2:$F$10001) *($AR102 = [2]SalmonProps!$G$2:$G$10001),0), 15))</f>
        <v/>
      </c>
      <c r="AD102" s="181" t="str" cm="1">
        <f t="array" ref="AD102">IF(ISBLANK($AQ102), "", INDEX([2]SalmonProps!$A$2:$AA$10001,MATCH(1,($A102=[2]SalmonProps!$A$2:$A$10001)*(3=[2]SalmonProps!$C$2:$C$10001)*(3=[2]SalmonProps!$D$2:$D$10001)*("A1" = [2]SalmonProps!$B$2:$B$10001)*($AP102 = [2]SalmonProps!$F$2:$F$10001) *($AR102 = [2]SalmonProps!$G$2:$G$10001),0), 15))</f>
        <v/>
      </c>
      <c r="AE102" s="166" t="str" cm="1">
        <f t="array" ref="AE102">IF(ISBLANK($AQ102), "", INDEX([2]SalmonProps!$A$2:$AA$10001,MATCH(1,($A102=[2]SalmonProps!$A$2:$A$10001)*(1=[2]SalmonProps!$C$2:$C$10001)*(1=[2]SalmonProps!$D$2:$D$10001)*("A2" = [2]SalmonProps!$B$2:$B$10001)*($AP102 = [2]SalmonProps!$F$2:$F$10001) *($AR102 = [2]SalmonProps!$G$2:$G$10001),0), 15))</f>
        <v/>
      </c>
      <c r="AF102" s="166" t="str" cm="1">
        <f t="array" ref="AF102">IF(ISBLANK($AQ102), "", INDEX([2]SalmonProps!$A$2:$AA$10001,MATCH(1,($A102=[2]SalmonProps!$A$2:$A$10001)*(2=[2]SalmonProps!$C$2:$C$10001)*(1=[2]SalmonProps!$D$2:$D$10001)*("A2" = [2]SalmonProps!$B$2:$B$10001)*($AP102 = [2]SalmonProps!$F$2:$F$10001) *($AR102 = [2]SalmonProps!$G$2:$G$10001),0), 15))</f>
        <v/>
      </c>
      <c r="AG102" s="167" t="str" cm="1">
        <f t="array" ref="AG102">IF(ISBLANK($AQ102), "", INDEX([2]SalmonProps!$A$2:$AA$10001,MATCH(1,($A102=[2]SalmonProps!$A$2:$A$10001)*(3=[2]SalmonProps!$C$2:$C$10001)*(1=[2]SalmonProps!$D$2:$D$10001)*("A2" = [2]SalmonProps!$B$2:$B$10001)*($AP102 = [2]SalmonProps!$F$2:$F$10001) *($AR102 = [2]SalmonProps!$G$2:$G$10001),0), 15))</f>
        <v/>
      </c>
      <c r="AH102" s="173" t="str" cm="1">
        <f t="array" ref="AH102">IF(ISBLANK($AQ102), "", INDEX([2]SalmonProps!$A$2:$AA$10001,MATCH(1,($A102=[2]SalmonProps!$A$2:$A$10001)*($AP102 = [2]SalmonProps!$F$2:$F$10001) *($AR102 = [2]SalmonProps!$G$2:$G$10001),0), 24))</f>
        <v/>
      </c>
      <c r="AI102" s="183" t="str" cm="1">
        <f t="array" ref="AI102">IF(ISBLANK($AQ102), "", INDEX([2]SalmonProps!$A$2:$AA$10001,MATCH(1,($A102=[2]SalmonProps!$A$2:$A$10001)*($AP102 = [2]SalmonProps!$F$2:$F$10001) *($AR102 = [2]SalmonProps!$G$2:$G$10001),0), 25))</f>
        <v/>
      </c>
      <c r="AJ102" s="174" t="str" cm="1">
        <f t="array" ref="AJ102">IF(ISBLANK($AQ102), "", INDEX([2]SalmonProps!$A$2:$AA$10001,MATCH(1,($A102=[2]SalmonProps!$A$2:$A$10001)*($AP102 = [2]SalmonProps!$F$2:$F$10001) *($AR102 = [2]SalmonProps!$G$2:$G$10001),0), 20))</f>
        <v/>
      </c>
      <c r="AK102" s="183" t="str" cm="1">
        <f t="array" ref="AK102">IF(ISBLANK($AQ102), "", INDEX([2]SalmonProps!$A$2:$AA$10001,MATCH(1,($A102=[2]SalmonProps!$A$2:$A$10001)*($AP102 = [2]SalmonProps!$F$2:$F$10001) *($AR102 = [2]SalmonProps!$G$2:$G$10001),0), 21))</f>
        <v/>
      </c>
      <c r="AL102" s="174" t="str" cm="1">
        <f t="array" ref="AL102">IF(ISBLANK($AQ102), "", INDEX([2]SalmonProps!$A$2:$AA$10001,MATCH(1,($A102=[2]SalmonProps!$A$2:$A$10001)*($AP102 = [2]SalmonProps!$F$2:$F$10001) *($AR102 = [2]SalmonProps!$G$2:$G$10001),0), 22))</f>
        <v/>
      </c>
      <c r="AM102" s="183" t="str" cm="1">
        <f t="array" ref="AM102">IF(ISBLANK($AQ102), "", INDEX([2]SalmonProps!$A$2:$AA$10001,MATCH(1,($A102=[2]SalmonProps!$A$2:$A$10001)*($AP102 = [2]SalmonProps!$F$2:$F$10001) *($AR102 = [2]SalmonProps!$G$2:$G$10001),0), 23))</f>
        <v/>
      </c>
      <c r="AN102" s="174" t="str" cm="1">
        <f t="array" ref="AN102">IF(ISBLANK($AQ102), "", INDEX([2]SalmonProps!$A$2:$AA$10001,MATCH(1,($A102=[2]SalmonProps!$A$2:$A$10001)*($AP102 = [2]SalmonProps!$F$2:$F$10001) *($AR102 = [2]SalmonProps!$G$2:$G$10001),0), 26))</f>
        <v/>
      </c>
      <c r="AO102" s="175" t="str" cm="1">
        <f t="array" ref="AO102">IF(ISBLANK($AQ102), "", INDEX([2]SalmonProps!$A$2:$AA$10001,MATCH(1,($A102=[2]SalmonProps!$A$2:$A$10001)*($AP102 = [2]SalmonProps!$F$2:$F$10001) *($AR102 = [2]SalmonProps!$G$2:$G$10001),0), 27))</f>
        <v/>
      </c>
      <c r="AP102" s="112"/>
      <c r="AQ102" s="112"/>
      <c r="AR102" s="112" t="e">
        <f t="shared" si="2"/>
        <v>#N/A</v>
      </c>
    </row>
    <row r="103" spans="1:44" x14ac:dyDescent="0.3">
      <c r="A103" s="20">
        <f>'[1]Passage Estimates'!$A103</f>
        <v>45205</v>
      </c>
      <c r="B103" s="164" t="str" cm="1">
        <f t="array" ref="B103">IF(ISBLANK($AQ103), "", INDEX([2]SalmonProps!$A$2:$AA$10001,MATCH(1,($A103=[2]SalmonProps!$A$2:$A$10001)*(1=[2]SalmonProps!$C$2:$C$10001)*(1=[2]SalmonProps!$D$2:$D$10001)*("A1" = [2]SalmonProps!$B$2:$B$10001)*($AP103 = [2]SalmonProps!$F$2:$F$10001) *($AR103 = [2]SalmonProps!$G$2:$G$10001),0), 17))</f>
        <v/>
      </c>
      <c r="C103" s="165" t="str" cm="1">
        <f t="array" ref="C103">IF(ISBLANK($AQ103), "", INDEX([2]SalmonProps!$A$2:$AA$10001,MATCH(1,($A103=[2]SalmonProps!$A$2:$A$10001)*(1=[2]SalmonProps!$C$2:$C$10001)*(2=[2]SalmonProps!$D$2:$D$10001)*("A1" = [2]SalmonProps!$B$2:$B$10001)*($AP103 = [2]SalmonProps!$F$2:$F$10001) *($AR103 = [2]SalmonProps!$G$2:$G$10001),0), 17))</f>
        <v/>
      </c>
      <c r="D103" s="165" t="str" cm="1">
        <f t="array" ref="D103">IF(ISBLANK($AQ103), "", INDEX([2]SalmonProps!$A$2:$AA$10001,MATCH(1,($A103=[2]SalmonProps!$A$2:$A$10001)*(1=[2]SalmonProps!$C$2:$C$10001)*("1&amp;2"=[2]SalmonProps!$D$2:$D$10001)*("A1" = [2]SalmonProps!$B$2:$B$10001)*($AP103 = [2]SalmonProps!$F$2:$F$10001) *($AR103 = [2]SalmonProps!$G$2:$G$10001),0), 17))</f>
        <v/>
      </c>
      <c r="E103" s="181" t="str" cm="1">
        <f t="array" ref="E103">IF(ISBLANK($AQ103), "", INDEX([2]SalmonProps!$A$2:$AA$10001,MATCH(1,($A103=[2]SalmonProps!$A$2:$A$10001)*(2=[2]SalmonProps!$C$2:$C$10001)*(3=[2]SalmonProps!$D$2:$D$10001)*("A1" = [2]SalmonProps!$B$2:$B$10001)*($AP103 = [2]SalmonProps!$F$2:$F$10001) *($AR103 = [2]SalmonProps!$G$2:$G$10001),0), 17))</f>
        <v/>
      </c>
      <c r="F103" s="165" t="str" cm="1">
        <f t="array" ref="F103">IF(ISBLANK($AQ103), "", INDEX([2]SalmonProps!$A$2:$AA$10001,MATCH(1,($A103=[2]SalmonProps!$A$2:$A$10001)*(3=[2]SalmonProps!$C$2:$C$10001)*(3=[2]SalmonProps!$D$2:$D$10001)*("A1" = [2]SalmonProps!$B$2:$B$10001)*($AP103 = [2]SalmonProps!$F$2:$F$10001) *($AR103 = [2]SalmonProps!$G$2:$G$10001),0), 17))</f>
        <v/>
      </c>
      <c r="G103" s="165" t="str" cm="1">
        <f t="array" ref="G103">IF(ISBLANK($AQ103), "", INDEX([2]SalmonProps!$A$2:$AA$10001,MATCH(1,($A103=[2]SalmonProps!$A$2:$A$10001)*(1=[2]SalmonProps!$C$2:$C$10001)*(1=[2]SalmonProps!$D$2:$D$10001)*("A2" = [2]SalmonProps!$B$2:$B$10001)*($AP103 = [2]SalmonProps!$F$2:$F$10001) *($AR103 = [2]SalmonProps!$G$2:$G$10001),0), 17))</f>
        <v/>
      </c>
      <c r="H103" s="166" t="str" cm="1">
        <f t="array" ref="H103">IF(ISBLANK($AQ103), "", INDEX([2]SalmonProps!$A$2:$AA$10001,MATCH(1,($A103=[2]SalmonProps!$A$2:$A$10001)*(2=[2]SalmonProps!$C$2:$C$10001)*(1=[2]SalmonProps!$D$2:$D$10001)*("A2" = [2]SalmonProps!$B$2:$B$10001)*($AP103 = [2]SalmonProps!$F$2:$F$10001) *($AR103 = [2]SalmonProps!$G$2:$G$10001),0), 17))</f>
        <v/>
      </c>
      <c r="I103" s="167" t="str" cm="1">
        <f t="array" ref="I103">IF(ISBLANK($AQ103), "", INDEX([2]SalmonProps!$A$2:$AA$10001,MATCH(1,($A103=[2]SalmonProps!$A$2:$A$10001)*(3=[2]SalmonProps!$C$2:$C$10001)*(1=[2]SalmonProps!$D$2:$D$10001)*("A2" = [2]SalmonProps!$B$2:$B$10001)*($AP103 = [2]SalmonProps!$F$2:$F$10001) *($AR103 = [2]SalmonProps!$G$2:$G$10001),0), 17))</f>
        <v/>
      </c>
      <c r="J103" s="164" t="str" cm="1">
        <f t="array" ref="J103">IF(ISBLANK($AQ103), "", INDEX([2]SalmonProps!$A$2:$AA$10001,MATCH(1,($A103=[2]SalmonProps!$A$2:$A$10001)*(1=[2]SalmonProps!$C$2:$C$10001)*(1=[2]SalmonProps!$D$2:$D$10001)*("A1" = [2]SalmonProps!$B$2:$B$10001)*($AP103 = [2]SalmonProps!$F$2:$F$10001) *($AR103 = [2]SalmonProps!$G$2:$G$10001),0), 19))</f>
        <v/>
      </c>
      <c r="K103" s="165" t="str" cm="1">
        <f t="array" ref="K103">IF(ISBLANK($AQ103), "", INDEX([2]SalmonProps!$A$2:$AA$10001,MATCH(1,($A103=[2]SalmonProps!$A$2:$A$10001)*(1=[2]SalmonProps!$C$2:$C$10001)*(2=[2]SalmonProps!$D$2:$D$10001)*("A1" = [2]SalmonProps!$B$2:$B$10001)*($AP103 = [2]SalmonProps!$F$2:$F$10001) *($AR103 = [2]SalmonProps!$G$2:$G$10001),0), 19))</f>
        <v/>
      </c>
      <c r="L103" s="165" t="str" cm="1">
        <f t="array" ref="L103">IF(ISBLANK($AQ103), "", INDEX([2]SalmonProps!$A$2:$AA$10001,MATCH(1,($A103=[2]SalmonProps!$A$2:$A$10001)*(1=[2]SalmonProps!$C$2:$C$10001)*("1&amp;2"=[2]SalmonProps!$D$2:$D$10001)*("A1" = [2]SalmonProps!$B$2:$B$10001)*($AP103 = [2]SalmonProps!$F$2:$F$10001) *($AR103 = [2]SalmonProps!$G$2:$G$10001),0), 19))</f>
        <v/>
      </c>
      <c r="M103" s="165" t="str" cm="1">
        <f t="array" ref="M103">IF(ISBLANK($AQ103), "", INDEX([2]SalmonProps!$A$2:$AA$10001,MATCH(1,($A103=[2]SalmonProps!$A$2:$A$10001)*(2=[2]SalmonProps!$C$2:$C$10001)*(3=[2]SalmonProps!$D$2:$D$10001)*("A1" = [2]SalmonProps!$B$2:$B$10001)*($AP103 = [2]SalmonProps!$F$2:$F$10001) *($AR103 = [2]SalmonProps!$G$2:$G$10001),0), 19))</f>
        <v/>
      </c>
      <c r="N103" s="181" t="str" cm="1">
        <f t="array" ref="N103">IF(ISBLANK($AQ103), "", INDEX([2]SalmonProps!$A$2:$AA$10001,MATCH(1,($A103=[2]SalmonProps!$A$2:$A$10001)*(3=[2]SalmonProps!$C$2:$C$10001)*(3=[2]SalmonProps!$D$2:$D$10001)*("A1" = [2]SalmonProps!$B$2:$B$10001)*($AP103 = [2]SalmonProps!$F$2:$F$10001) *($AR103 = [2]SalmonProps!$G$2:$G$10001),0), 19))</f>
        <v/>
      </c>
      <c r="O103" s="165" t="str" cm="1">
        <f t="array" ref="O103">IF(ISBLANK($AQ103), "", INDEX([2]SalmonProps!$A$2:$AA$10001,MATCH(1,($A103=[2]SalmonProps!$A$2:$A$10001)*(1=[2]SalmonProps!$C$2:$C$10001)*(1=[2]SalmonProps!$D$2:$D$10001)*("A2" = [2]SalmonProps!$B$2:$B$10001)*($AP103 = [2]SalmonProps!$F$2:$F$10001) *($AR103 = [2]SalmonProps!$G$2:$G$10001),0), 19))</f>
        <v/>
      </c>
      <c r="P103" s="165" t="str" cm="1">
        <f t="array" ref="P103">IF(ISBLANK($AQ103), "", INDEX([2]SalmonProps!$A$2:$AA$10001,MATCH(1,($A103=[2]SalmonProps!$A$2:$A$10001)*(2=[2]SalmonProps!$C$2:$C$10001)*(1=[2]SalmonProps!$D$2:$D$10001)*("A2" = [2]SalmonProps!$B$2:$B$10001)*($AP103 = [2]SalmonProps!$F$2:$F$10001) *($AR103 = [2]SalmonProps!$G$2:$G$10001),0), 19))</f>
        <v/>
      </c>
      <c r="Q103" s="168" t="str" cm="1">
        <f t="array" ref="Q103">IF(ISBLANK($AQ103), "", INDEX([2]SalmonProps!$A$2:$AA$10001,MATCH(1,($A103=[2]SalmonProps!$A$2:$A$10001)*(3=[2]SalmonProps!$C$2:$C$10001)*(1=[2]SalmonProps!$D$2:$D$10001)*("A2" = [2]SalmonProps!$B$2:$B$10001)*($AP103 = [2]SalmonProps!$F$2:$F$10001) *($AR103 = [2]SalmonProps!$G$2:$G$10001),0), 19))</f>
        <v/>
      </c>
      <c r="R103" s="164" t="str" cm="1">
        <f t="array" ref="R103">IF(ISBLANK($AQ103), "", INDEX([2]SalmonProps!$A$2:$AA$10001,MATCH(1,($A103=[2]SalmonProps!$A$2:$A$10001)*(1=[2]SalmonProps!$C$2:$C$10001)*(1=[2]SalmonProps!$D$2:$D$10001)*("A1" = [2]SalmonProps!$B$2:$B$10001)*($AP103 = [2]SalmonProps!$F$2:$F$10001) *($AR103 = [2]SalmonProps!$G$2:$G$10001),0), 18))</f>
        <v/>
      </c>
      <c r="S103" s="165" t="str" cm="1">
        <f t="array" ref="S103">IF(ISBLANK($AQ103), "", INDEX([2]SalmonProps!$A$2:$AA$10001,MATCH(1,($A103=[2]SalmonProps!$A$2:$A$10001)*(1=[2]SalmonProps!$C$2:$C$10001)*(2=[2]SalmonProps!$D$2:$D$10001)*("A1" = [2]SalmonProps!$B$2:$B$10001)*($AP103 = [2]SalmonProps!$F$2:$F$10001) *($AR103 = [2]SalmonProps!$G$2:$G$10001),0), 18))</f>
        <v/>
      </c>
      <c r="T103" s="165" t="str" cm="1">
        <f t="array" ref="T103">IF(ISBLANK($AQ103), "", INDEX([2]SalmonProps!$A$2:$AA$10001,MATCH(1,($A103=[2]SalmonProps!$A$2:$A$10001)*(1=[2]SalmonProps!$C$2:$C$10001)*("1&amp;2"=[2]SalmonProps!$D$2:$D$10001)*("A1" = [2]SalmonProps!$B$2:$B$10001)*($AP103 = [2]SalmonProps!$F$2:$F$10001) *($AR103 = [2]SalmonProps!$G$2:$G$10001),0), 18))</f>
        <v/>
      </c>
      <c r="U103" s="165" t="str" cm="1">
        <f t="array" ref="U103">IF(ISBLANK($AQ103), "", INDEX([2]SalmonProps!$A$2:$AA$10001,MATCH(1,($A103=[2]SalmonProps!$A$2:$A$10001)*(2=[2]SalmonProps!$C$2:$C$10001)*(3=[2]SalmonProps!$D$2:$D$10001)*("A1" = [2]SalmonProps!$B$2:$B$10001)*($AP103 = [2]SalmonProps!$F$2:$F$10001) *($AR103 = [2]SalmonProps!$G$2:$G$10001),0), 18))</f>
        <v/>
      </c>
      <c r="V103" s="181" t="str" cm="1">
        <f t="array" ref="V103">IF(ISBLANK($AQ103), "", INDEX([2]SalmonProps!$A$2:$AA$10001,MATCH(1,($A103=[2]SalmonProps!$A$2:$A$10001)*(3=[2]SalmonProps!$C$2:$C$10001)*(3=[2]SalmonProps!$D$2:$D$10001)*("A1" = [2]SalmonProps!$B$2:$B$10001)*($AP103 = [2]SalmonProps!$F$2:$F$10001) *($AR103 = [2]SalmonProps!$G$2:$G$10001),0), 18))</f>
        <v/>
      </c>
      <c r="W103" s="180" t="str" cm="1">
        <f t="array" ref="W103">IF(ISBLANK($AQ103), "", INDEX([2]SalmonProps!$A$2:$AA$10001,MATCH(1,($A103=[2]SalmonProps!$A$2:$A$10001)*(1=[2]SalmonProps!$C$2:$C$10001)*(1=[2]SalmonProps!$D$2:$D$10001)*("A2" = [2]SalmonProps!$B$2:$B$10001)*($AP103 = [2]SalmonProps!$F$2:$F$10001) *($AR103 = [2]SalmonProps!$G$2:$G$10001),0), 18))</f>
        <v/>
      </c>
      <c r="X103" s="165" t="str" cm="1">
        <f t="array" ref="X103">IF(ISBLANK($AQ103), "", INDEX([2]SalmonProps!$A$2:$AA$10001,MATCH(1,($A103=[2]SalmonProps!$A$2:$A$10001)*(2=[2]SalmonProps!$C$2:$C$10001)*(1=[2]SalmonProps!$D$2:$D$10001)*("A2" = [2]SalmonProps!$B$2:$B$10001)*($AP103 = [2]SalmonProps!$F$2:$F$10001) *($AR103 = [2]SalmonProps!$G$2:$G$10001),0), 18))</f>
        <v/>
      </c>
      <c r="Y103" s="168" t="str" cm="1">
        <f t="array" ref="Y103">IF(ISBLANK($AQ103), "", INDEX([2]SalmonProps!$A$2:$AA$10001,MATCH(1,($A103=[2]SalmonProps!$A$2:$A$10001)*(3=[2]SalmonProps!$C$2:$C$10001)*(1=[2]SalmonProps!$D$2:$D$10001)*("A2" = [2]SalmonProps!$B$2:$B$10001)*($AP103 = [2]SalmonProps!$F$2:$F$10001) *($AR103 = [2]SalmonProps!$G$2:$G$10001),0), 18))</f>
        <v/>
      </c>
      <c r="Z103" s="164" t="str" cm="1">
        <f t="array" ref="Z103">IF(ISBLANK($AQ103), "", INDEX([2]SalmonProps!$A$2:$AA$10001,MATCH(1,($A103=[2]SalmonProps!$A$2:$A$10001)*(1=[2]SalmonProps!$C$2:$C$10001)*(1=[2]SalmonProps!$D$2:$D$10001)*("A1" = [2]SalmonProps!$B$2:$B$10001)*($AP103 = [2]SalmonProps!$F$2:$F$10001) *($AR103 = [2]SalmonProps!$G$2:$G$10001),0), 15))</f>
        <v/>
      </c>
      <c r="AA103" s="165" t="str" cm="1">
        <f t="array" ref="AA103">IF(ISBLANK($AQ103), "", INDEX([2]SalmonProps!$A$2:$AA$10001,MATCH(1,($A103=[2]SalmonProps!$A$2:$A$10001)*(1=[2]SalmonProps!$C$2:$C$10001)*(2=[2]SalmonProps!$D$2:$D$10001)*("A1" = [2]SalmonProps!$B$2:$B$10001)*($AP103 = [2]SalmonProps!$F$2:$F$10001) *($AR103 = [2]SalmonProps!$G$2:$G$10001),0), 15))</f>
        <v/>
      </c>
      <c r="AB103" s="165" t="str" cm="1">
        <f t="array" ref="AB103">IF(ISBLANK($AQ103), "", INDEX([2]SalmonProps!$A$2:$AA$10001,MATCH(1,($A103=[2]SalmonProps!$A$2:$A$10001)*(1=[2]SalmonProps!$C$2:$C$10001)*("1&amp;2"=[2]SalmonProps!$D$2:$D$10001)*("A1" = [2]SalmonProps!$B$2:$B$10001)*($AP103 = [2]SalmonProps!$F$2:$F$10001) *($AR103 = [2]SalmonProps!$G$2:$G$10001),0), 15))</f>
        <v/>
      </c>
      <c r="AC103" s="165" t="str" cm="1">
        <f t="array" ref="AC103">IF(ISBLANK($AQ103), "", INDEX([2]SalmonProps!$A$2:$AA$10001,MATCH(1,($A103=[2]SalmonProps!$A$2:$A$10001)*(2=[2]SalmonProps!$C$2:$C$10001)*(3=[2]SalmonProps!$D$2:$D$10001)*("A1" = [2]SalmonProps!$B$2:$B$10001)*($AP103 = [2]SalmonProps!$F$2:$F$10001) *($AR103 = [2]SalmonProps!$G$2:$G$10001),0), 15))</f>
        <v/>
      </c>
      <c r="AD103" s="181" t="str" cm="1">
        <f t="array" ref="AD103">IF(ISBLANK($AQ103), "", INDEX([2]SalmonProps!$A$2:$AA$10001,MATCH(1,($A103=[2]SalmonProps!$A$2:$A$10001)*(3=[2]SalmonProps!$C$2:$C$10001)*(3=[2]SalmonProps!$D$2:$D$10001)*("A1" = [2]SalmonProps!$B$2:$B$10001)*($AP103 = [2]SalmonProps!$F$2:$F$10001) *($AR103 = [2]SalmonProps!$G$2:$G$10001),0), 15))</f>
        <v/>
      </c>
      <c r="AE103" s="166" t="str" cm="1">
        <f t="array" ref="AE103">IF(ISBLANK($AQ103), "", INDEX([2]SalmonProps!$A$2:$AA$10001,MATCH(1,($A103=[2]SalmonProps!$A$2:$A$10001)*(1=[2]SalmonProps!$C$2:$C$10001)*(1=[2]SalmonProps!$D$2:$D$10001)*("A2" = [2]SalmonProps!$B$2:$B$10001)*($AP103 = [2]SalmonProps!$F$2:$F$10001) *($AR103 = [2]SalmonProps!$G$2:$G$10001),0), 15))</f>
        <v/>
      </c>
      <c r="AF103" s="166" t="str" cm="1">
        <f t="array" ref="AF103">IF(ISBLANK($AQ103), "", INDEX([2]SalmonProps!$A$2:$AA$10001,MATCH(1,($A103=[2]SalmonProps!$A$2:$A$10001)*(2=[2]SalmonProps!$C$2:$C$10001)*(1=[2]SalmonProps!$D$2:$D$10001)*("A2" = [2]SalmonProps!$B$2:$B$10001)*($AP103 = [2]SalmonProps!$F$2:$F$10001) *($AR103 = [2]SalmonProps!$G$2:$G$10001),0), 15))</f>
        <v/>
      </c>
      <c r="AG103" s="167" t="str" cm="1">
        <f t="array" ref="AG103">IF(ISBLANK($AQ103), "", INDEX([2]SalmonProps!$A$2:$AA$10001,MATCH(1,($A103=[2]SalmonProps!$A$2:$A$10001)*(3=[2]SalmonProps!$C$2:$C$10001)*(1=[2]SalmonProps!$D$2:$D$10001)*("A2" = [2]SalmonProps!$B$2:$B$10001)*($AP103 = [2]SalmonProps!$F$2:$F$10001) *($AR103 = [2]SalmonProps!$G$2:$G$10001),0), 15))</f>
        <v/>
      </c>
      <c r="AH103" s="173" t="str" cm="1">
        <f t="array" ref="AH103">IF(ISBLANK($AQ103), "", INDEX([2]SalmonProps!$A$2:$AA$10001,MATCH(1,($A103=[2]SalmonProps!$A$2:$A$10001)*($AP103 = [2]SalmonProps!$F$2:$F$10001) *($AR103 = [2]SalmonProps!$G$2:$G$10001),0), 24))</f>
        <v/>
      </c>
      <c r="AI103" s="183" t="str" cm="1">
        <f t="array" ref="AI103">IF(ISBLANK($AQ103), "", INDEX([2]SalmonProps!$A$2:$AA$10001,MATCH(1,($A103=[2]SalmonProps!$A$2:$A$10001)*($AP103 = [2]SalmonProps!$F$2:$F$10001) *($AR103 = [2]SalmonProps!$G$2:$G$10001),0), 25))</f>
        <v/>
      </c>
      <c r="AJ103" s="174" t="str" cm="1">
        <f t="array" ref="AJ103">IF(ISBLANK($AQ103), "", INDEX([2]SalmonProps!$A$2:$AA$10001,MATCH(1,($A103=[2]SalmonProps!$A$2:$A$10001)*($AP103 = [2]SalmonProps!$F$2:$F$10001) *($AR103 = [2]SalmonProps!$G$2:$G$10001),0), 20))</f>
        <v/>
      </c>
      <c r="AK103" s="183" t="str" cm="1">
        <f t="array" ref="AK103">IF(ISBLANK($AQ103), "", INDEX([2]SalmonProps!$A$2:$AA$10001,MATCH(1,($A103=[2]SalmonProps!$A$2:$A$10001)*($AP103 = [2]SalmonProps!$F$2:$F$10001) *($AR103 = [2]SalmonProps!$G$2:$G$10001),0), 21))</f>
        <v/>
      </c>
      <c r="AL103" s="174" t="str" cm="1">
        <f t="array" ref="AL103">IF(ISBLANK($AQ103), "", INDEX([2]SalmonProps!$A$2:$AA$10001,MATCH(1,($A103=[2]SalmonProps!$A$2:$A$10001)*($AP103 = [2]SalmonProps!$F$2:$F$10001) *($AR103 = [2]SalmonProps!$G$2:$G$10001),0), 22))</f>
        <v/>
      </c>
      <c r="AM103" s="183" t="str" cm="1">
        <f t="array" ref="AM103">IF(ISBLANK($AQ103), "", INDEX([2]SalmonProps!$A$2:$AA$10001,MATCH(1,($A103=[2]SalmonProps!$A$2:$A$10001)*($AP103 = [2]SalmonProps!$F$2:$F$10001) *($AR103 = [2]SalmonProps!$G$2:$G$10001),0), 23))</f>
        <v/>
      </c>
      <c r="AN103" s="174" t="str" cm="1">
        <f t="array" ref="AN103">IF(ISBLANK($AQ103), "", INDEX([2]SalmonProps!$A$2:$AA$10001,MATCH(1,($A103=[2]SalmonProps!$A$2:$A$10001)*($AP103 = [2]SalmonProps!$F$2:$F$10001) *($AR103 = [2]SalmonProps!$G$2:$G$10001),0), 26))</f>
        <v/>
      </c>
      <c r="AO103" s="175" t="str" cm="1">
        <f t="array" ref="AO103">IF(ISBLANK($AQ103), "", INDEX([2]SalmonProps!$A$2:$AA$10001,MATCH(1,($A103=[2]SalmonProps!$A$2:$A$10001)*($AP103 = [2]SalmonProps!$F$2:$F$10001) *($AR103 = [2]SalmonProps!$G$2:$G$10001),0), 27))</f>
        <v/>
      </c>
      <c r="AP103" s="112"/>
      <c r="AQ103" s="112"/>
      <c r="AR103" s="112" t="e">
        <f t="shared" si="2"/>
        <v>#N/A</v>
      </c>
    </row>
    <row r="104" spans="1:44" x14ac:dyDescent="0.3">
      <c r="A104" s="20">
        <f>'[1]Passage Estimates'!$A104</f>
        <v>45206</v>
      </c>
      <c r="B104" s="164" t="str" cm="1">
        <f t="array" ref="B104">IF(ISBLANK($AQ104), "", INDEX([2]SalmonProps!$A$2:$AA$10001,MATCH(1,($A104=[2]SalmonProps!$A$2:$A$10001)*(1=[2]SalmonProps!$C$2:$C$10001)*(1=[2]SalmonProps!$D$2:$D$10001)*("A1" = [2]SalmonProps!$B$2:$B$10001)*($AP104 = [2]SalmonProps!$F$2:$F$10001) *($AR104 = [2]SalmonProps!$G$2:$G$10001),0), 17))</f>
        <v/>
      </c>
      <c r="C104" s="165" t="str" cm="1">
        <f t="array" ref="C104">IF(ISBLANK($AQ104), "", INDEX([2]SalmonProps!$A$2:$AA$10001,MATCH(1,($A104=[2]SalmonProps!$A$2:$A$10001)*(1=[2]SalmonProps!$C$2:$C$10001)*(2=[2]SalmonProps!$D$2:$D$10001)*("A1" = [2]SalmonProps!$B$2:$B$10001)*($AP104 = [2]SalmonProps!$F$2:$F$10001) *($AR104 = [2]SalmonProps!$G$2:$G$10001),0), 17))</f>
        <v/>
      </c>
      <c r="D104" s="165" t="str" cm="1">
        <f t="array" ref="D104">IF(ISBLANK($AQ104), "", INDEX([2]SalmonProps!$A$2:$AA$10001,MATCH(1,($A104=[2]SalmonProps!$A$2:$A$10001)*(1=[2]SalmonProps!$C$2:$C$10001)*("1&amp;2"=[2]SalmonProps!$D$2:$D$10001)*("A1" = [2]SalmonProps!$B$2:$B$10001)*($AP104 = [2]SalmonProps!$F$2:$F$10001) *($AR104 = [2]SalmonProps!$G$2:$G$10001),0), 17))</f>
        <v/>
      </c>
      <c r="E104" s="181" t="str" cm="1">
        <f t="array" ref="E104">IF(ISBLANK($AQ104), "", INDEX([2]SalmonProps!$A$2:$AA$10001,MATCH(1,($A104=[2]SalmonProps!$A$2:$A$10001)*(2=[2]SalmonProps!$C$2:$C$10001)*(3=[2]SalmonProps!$D$2:$D$10001)*("A1" = [2]SalmonProps!$B$2:$B$10001)*($AP104 = [2]SalmonProps!$F$2:$F$10001) *($AR104 = [2]SalmonProps!$G$2:$G$10001),0), 17))</f>
        <v/>
      </c>
      <c r="F104" s="165" t="str" cm="1">
        <f t="array" ref="F104">IF(ISBLANK($AQ104), "", INDEX([2]SalmonProps!$A$2:$AA$10001,MATCH(1,($A104=[2]SalmonProps!$A$2:$A$10001)*(3=[2]SalmonProps!$C$2:$C$10001)*(3=[2]SalmonProps!$D$2:$D$10001)*("A1" = [2]SalmonProps!$B$2:$B$10001)*($AP104 = [2]SalmonProps!$F$2:$F$10001) *($AR104 = [2]SalmonProps!$G$2:$G$10001),0), 17))</f>
        <v/>
      </c>
      <c r="G104" s="165" t="str" cm="1">
        <f t="array" ref="G104">IF(ISBLANK($AQ104), "", INDEX([2]SalmonProps!$A$2:$AA$10001,MATCH(1,($A104=[2]SalmonProps!$A$2:$A$10001)*(1=[2]SalmonProps!$C$2:$C$10001)*(1=[2]SalmonProps!$D$2:$D$10001)*("A2" = [2]SalmonProps!$B$2:$B$10001)*($AP104 = [2]SalmonProps!$F$2:$F$10001) *($AR104 = [2]SalmonProps!$G$2:$G$10001),0), 17))</f>
        <v/>
      </c>
      <c r="H104" s="166" t="str" cm="1">
        <f t="array" ref="H104">IF(ISBLANK($AQ104), "", INDEX([2]SalmonProps!$A$2:$AA$10001,MATCH(1,($A104=[2]SalmonProps!$A$2:$A$10001)*(2=[2]SalmonProps!$C$2:$C$10001)*(1=[2]SalmonProps!$D$2:$D$10001)*("A2" = [2]SalmonProps!$B$2:$B$10001)*($AP104 = [2]SalmonProps!$F$2:$F$10001) *($AR104 = [2]SalmonProps!$G$2:$G$10001),0), 17))</f>
        <v/>
      </c>
      <c r="I104" s="167" t="str" cm="1">
        <f t="array" ref="I104">IF(ISBLANK($AQ104), "", INDEX([2]SalmonProps!$A$2:$AA$10001,MATCH(1,($A104=[2]SalmonProps!$A$2:$A$10001)*(3=[2]SalmonProps!$C$2:$C$10001)*(1=[2]SalmonProps!$D$2:$D$10001)*("A2" = [2]SalmonProps!$B$2:$B$10001)*($AP104 = [2]SalmonProps!$F$2:$F$10001) *($AR104 = [2]SalmonProps!$G$2:$G$10001),0), 17))</f>
        <v/>
      </c>
      <c r="J104" s="164" t="str" cm="1">
        <f t="array" ref="J104">IF(ISBLANK($AQ104), "", INDEX([2]SalmonProps!$A$2:$AA$10001,MATCH(1,($A104=[2]SalmonProps!$A$2:$A$10001)*(1=[2]SalmonProps!$C$2:$C$10001)*(1=[2]SalmonProps!$D$2:$D$10001)*("A1" = [2]SalmonProps!$B$2:$B$10001)*($AP104 = [2]SalmonProps!$F$2:$F$10001) *($AR104 = [2]SalmonProps!$G$2:$G$10001),0), 19))</f>
        <v/>
      </c>
      <c r="K104" s="165" t="str" cm="1">
        <f t="array" ref="K104">IF(ISBLANK($AQ104), "", INDEX([2]SalmonProps!$A$2:$AA$10001,MATCH(1,($A104=[2]SalmonProps!$A$2:$A$10001)*(1=[2]SalmonProps!$C$2:$C$10001)*(2=[2]SalmonProps!$D$2:$D$10001)*("A1" = [2]SalmonProps!$B$2:$B$10001)*($AP104 = [2]SalmonProps!$F$2:$F$10001) *($AR104 = [2]SalmonProps!$G$2:$G$10001),0), 19))</f>
        <v/>
      </c>
      <c r="L104" s="165" t="str" cm="1">
        <f t="array" ref="L104">IF(ISBLANK($AQ104), "", INDEX([2]SalmonProps!$A$2:$AA$10001,MATCH(1,($A104=[2]SalmonProps!$A$2:$A$10001)*(1=[2]SalmonProps!$C$2:$C$10001)*("1&amp;2"=[2]SalmonProps!$D$2:$D$10001)*("A1" = [2]SalmonProps!$B$2:$B$10001)*($AP104 = [2]SalmonProps!$F$2:$F$10001) *($AR104 = [2]SalmonProps!$G$2:$G$10001),0), 19))</f>
        <v/>
      </c>
      <c r="M104" s="165" t="str" cm="1">
        <f t="array" ref="M104">IF(ISBLANK($AQ104), "", INDEX([2]SalmonProps!$A$2:$AA$10001,MATCH(1,($A104=[2]SalmonProps!$A$2:$A$10001)*(2=[2]SalmonProps!$C$2:$C$10001)*(3=[2]SalmonProps!$D$2:$D$10001)*("A1" = [2]SalmonProps!$B$2:$B$10001)*($AP104 = [2]SalmonProps!$F$2:$F$10001) *($AR104 = [2]SalmonProps!$G$2:$G$10001),0), 19))</f>
        <v/>
      </c>
      <c r="N104" s="181" t="str" cm="1">
        <f t="array" ref="N104">IF(ISBLANK($AQ104), "", INDEX([2]SalmonProps!$A$2:$AA$10001,MATCH(1,($A104=[2]SalmonProps!$A$2:$A$10001)*(3=[2]SalmonProps!$C$2:$C$10001)*(3=[2]SalmonProps!$D$2:$D$10001)*("A1" = [2]SalmonProps!$B$2:$B$10001)*($AP104 = [2]SalmonProps!$F$2:$F$10001) *($AR104 = [2]SalmonProps!$G$2:$G$10001),0), 19))</f>
        <v/>
      </c>
      <c r="O104" s="165" t="str" cm="1">
        <f t="array" ref="O104">IF(ISBLANK($AQ104), "", INDEX([2]SalmonProps!$A$2:$AA$10001,MATCH(1,($A104=[2]SalmonProps!$A$2:$A$10001)*(1=[2]SalmonProps!$C$2:$C$10001)*(1=[2]SalmonProps!$D$2:$D$10001)*("A2" = [2]SalmonProps!$B$2:$B$10001)*($AP104 = [2]SalmonProps!$F$2:$F$10001) *($AR104 = [2]SalmonProps!$G$2:$G$10001),0), 19))</f>
        <v/>
      </c>
      <c r="P104" s="165" t="str" cm="1">
        <f t="array" ref="P104">IF(ISBLANK($AQ104), "", INDEX([2]SalmonProps!$A$2:$AA$10001,MATCH(1,($A104=[2]SalmonProps!$A$2:$A$10001)*(2=[2]SalmonProps!$C$2:$C$10001)*(1=[2]SalmonProps!$D$2:$D$10001)*("A2" = [2]SalmonProps!$B$2:$B$10001)*($AP104 = [2]SalmonProps!$F$2:$F$10001) *($AR104 = [2]SalmonProps!$G$2:$G$10001),0), 19))</f>
        <v/>
      </c>
      <c r="Q104" s="168" t="str" cm="1">
        <f t="array" ref="Q104">IF(ISBLANK($AQ104), "", INDEX([2]SalmonProps!$A$2:$AA$10001,MATCH(1,($A104=[2]SalmonProps!$A$2:$A$10001)*(3=[2]SalmonProps!$C$2:$C$10001)*(1=[2]SalmonProps!$D$2:$D$10001)*("A2" = [2]SalmonProps!$B$2:$B$10001)*($AP104 = [2]SalmonProps!$F$2:$F$10001) *($AR104 = [2]SalmonProps!$G$2:$G$10001),0), 19))</f>
        <v/>
      </c>
      <c r="R104" s="164" t="str" cm="1">
        <f t="array" ref="R104">IF(ISBLANK($AQ104), "", INDEX([2]SalmonProps!$A$2:$AA$10001,MATCH(1,($A104=[2]SalmonProps!$A$2:$A$10001)*(1=[2]SalmonProps!$C$2:$C$10001)*(1=[2]SalmonProps!$D$2:$D$10001)*("A1" = [2]SalmonProps!$B$2:$B$10001)*($AP104 = [2]SalmonProps!$F$2:$F$10001) *($AR104 = [2]SalmonProps!$G$2:$G$10001),0), 18))</f>
        <v/>
      </c>
      <c r="S104" s="165" t="str" cm="1">
        <f t="array" ref="S104">IF(ISBLANK($AQ104), "", INDEX([2]SalmonProps!$A$2:$AA$10001,MATCH(1,($A104=[2]SalmonProps!$A$2:$A$10001)*(1=[2]SalmonProps!$C$2:$C$10001)*(2=[2]SalmonProps!$D$2:$D$10001)*("A1" = [2]SalmonProps!$B$2:$B$10001)*($AP104 = [2]SalmonProps!$F$2:$F$10001) *($AR104 = [2]SalmonProps!$G$2:$G$10001),0), 18))</f>
        <v/>
      </c>
      <c r="T104" s="165" t="str" cm="1">
        <f t="array" ref="T104">IF(ISBLANK($AQ104), "", INDEX([2]SalmonProps!$A$2:$AA$10001,MATCH(1,($A104=[2]SalmonProps!$A$2:$A$10001)*(1=[2]SalmonProps!$C$2:$C$10001)*("1&amp;2"=[2]SalmonProps!$D$2:$D$10001)*("A1" = [2]SalmonProps!$B$2:$B$10001)*($AP104 = [2]SalmonProps!$F$2:$F$10001) *($AR104 = [2]SalmonProps!$G$2:$G$10001),0), 18))</f>
        <v/>
      </c>
      <c r="U104" s="165" t="str" cm="1">
        <f t="array" ref="U104">IF(ISBLANK($AQ104), "", INDEX([2]SalmonProps!$A$2:$AA$10001,MATCH(1,($A104=[2]SalmonProps!$A$2:$A$10001)*(2=[2]SalmonProps!$C$2:$C$10001)*(3=[2]SalmonProps!$D$2:$D$10001)*("A1" = [2]SalmonProps!$B$2:$B$10001)*($AP104 = [2]SalmonProps!$F$2:$F$10001) *($AR104 = [2]SalmonProps!$G$2:$G$10001),0), 18))</f>
        <v/>
      </c>
      <c r="V104" s="181" t="str" cm="1">
        <f t="array" ref="V104">IF(ISBLANK($AQ104), "", INDEX([2]SalmonProps!$A$2:$AA$10001,MATCH(1,($A104=[2]SalmonProps!$A$2:$A$10001)*(3=[2]SalmonProps!$C$2:$C$10001)*(3=[2]SalmonProps!$D$2:$D$10001)*("A1" = [2]SalmonProps!$B$2:$B$10001)*($AP104 = [2]SalmonProps!$F$2:$F$10001) *($AR104 = [2]SalmonProps!$G$2:$G$10001),0), 18))</f>
        <v/>
      </c>
      <c r="W104" s="180" t="str" cm="1">
        <f t="array" ref="W104">IF(ISBLANK($AQ104), "", INDEX([2]SalmonProps!$A$2:$AA$10001,MATCH(1,($A104=[2]SalmonProps!$A$2:$A$10001)*(1=[2]SalmonProps!$C$2:$C$10001)*(1=[2]SalmonProps!$D$2:$D$10001)*("A2" = [2]SalmonProps!$B$2:$B$10001)*($AP104 = [2]SalmonProps!$F$2:$F$10001) *($AR104 = [2]SalmonProps!$G$2:$G$10001),0), 18))</f>
        <v/>
      </c>
      <c r="X104" s="165" t="str" cm="1">
        <f t="array" ref="X104">IF(ISBLANK($AQ104), "", INDEX([2]SalmonProps!$A$2:$AA$10001,MATCH(1,($A104=[2]SalmonProps!$A$2:$A$10001)*(2=[2]SalmonProps!$C$2:$C$10001)*(1=[2]SalmonProps!$D$2:$D$10001)*("A2" = [2]SalmonProps!$B$2:$B$10001)*($AP104 = [2]SalmonProps!$F$2:$F$10001) *($AR104 = [2]SalmonProps!$G$2:$G$10001),0), 18))</f>
        <v/>
      </c>
      <c r="Y104" s="168" t="str" cm="1">
        <f t="array" ref="Y104">IF(ISBLANK($AQ104), "", INDEX([2]SalmonProps!$A$2:$AA$10001,MATCH(1,($A104=[2]SalmonProps!$A$2:$A$10001)*(3=[2]SalmonProps!$C$2:$C$10001)*(1=[2]SalmonProps!$D$2:$D$10001)*("A2" = [2]SalmonProps!$B$2:$B$10001)*($AP104 = [2]SalmonProps!$F$2:$F$10001) *($AR104 = [2]SalmonProps!$G$2:$G$10001),0), 18))</f>
        <v/>
      </c>
      <c r="Z104" s="164" t="str" cm="1">
        <f t="array" ref="Z104">IF(ISBLANK($AQ104), "", INDEX([2]SalmonProps!$A$2:$AA$10001,MATCH(1,($A104=[2]SalmonProps!$A$2:$A$10001)*(1=[2]SalmonProps!$C$2:$C$10001)*(1=[2]SalmonProps!$D$2:$D$10001)*("A1" = [2]SalmonProps!$B$2:$B$10001)*($AP104 = [2]SalmonProps!$F$2:$F$10001) *($AR104 = [2]SalmonProps!$G$2:$G$10001),0), 15))</f>
        <v/>
      </c>
      <c r="AA104" s="165" t="str" cm="1">
        <f t="array" ref="AA104">IF(ISBLANK($AQ104), "", INDEX([2]SalmonProps!$A$2:$AA$10001,MATCH(1,($A104=[2]SalmonProps!$A$2:$A$10001)*(1=[2]SalmonProps!$C$2:$C$10001)*(2=[2]SalmonProps!$D$2:$D$10001)*("A1" = [2]SalmonProps!$B$2:$B$10001)*($AP104 = [2]SalmonProps!$F$2:$F$10001) *($AR104 = [2]SalmonProps!$G$2:$G$10001),0), 15))</f>
        <v/>
      </c>
      <c r="AB104" s="165" t="str" cm="1">
        <f t="array" ref="AB104">IF(ISBLANK($AQ104), "", INDEX([2]SalmonProps!$A$2:$AA$10001,MATCH(1,($A104=[2]SalmonProps!$A$2:$A$10001)*(1=[2]SalmonProps!$C$2:$C$10001)*("1&amp;2"=[2]SalmonProps!$D$2:$D$10001)*("A1" = [2]SalmonProps!$B$2:$B$10001)*($AP104 = [2]SalmonProps!$F$2:$F$10001) *($AR104 = [2]SalmonProps!$G$2:$G$10001),0), 15))</f>
        <v/>
      </c>
      <c r="AC104" s="165" t="str" cm="1">
        <f t="array" ref="AC104">IF(ISBLANK($AQ104), "", INDEX([2]SalmonProps!$A$2:$AA$10001,MATCH(1,($A104=[2]SalmonProps!$A$2:$A$10001)*(2=[2]SalmonProps!$C$2:$C$10001)*(3=[2]SalmonProps!$D$2:$D$10001)*("A1" = [2]SalmonProps!$B$2:$B$10001)*($AP104 = [2]SalmonProps!$F$2:$F$10001) *($AR104 = [2]SalmonProps!$G$2:$G$10001),0), 15))</f>
        <v/>
      </c>
      <c r="AD104" s="181" t="str" cm="1">
        <f t="array" ref="AD104">IF(ISBLANK($AQ104), "", INDEX([2]SalmonProps!$A$2:$AA$10001,MATCH(1,($A104=[2]SalmonProps!$A$2:$A$10001)*(3=[2]SalmonProps!$C$2:$C$10001)*(3=[2]SalmonProps!$D$2:$D$10001)*("A1" = [2]SalmonProps!$B$2:$B$10001)*($AP104 = [2]SalmonProps!$F$2:$F$10001) *($AR104 = [2]SalmonProps!$G$2:$G$10001),0), 15))</f>
        <v/>
      </c>
      <c r="AE104" s="166" t="str" cm="1">
        <f t="array" ref="AE104">IF(ISBLANK($AQ104), "", INDEX([2]SalmonProps!$A$2:$AA$10001,MATCH(1,($A104=[2]SalmonProps!$A$2:$A$10001)*(1=[2]SalmonProps!$C$2:$C$10001)*(1=[2]SalmonProps!$D$2:$D$10001)*("A2" = [2]SalmonProps!$B$2:$B$10001)*($AP104 = [2]SalmonProps!$F$2:$F$10001) *($AR104 = [2]SalmonProps!$G$2:$G$10001),0), 15))</f>
        <v/>
      </c>
      <c r="AF104" s="166" t="str" cm="1">
        <f t="array" ref="AF104">IF(ISBLANK($AQ104), "", INDEX([2]SalmonProps!$A$2:$AA$10001,MATCH(1,($A104=[2]SalmonProps!$A$2:$A$10001)*(2=[2]SalmonProps!$C$2:$C$10001)*(1=[2]SalmonProps!$D$2:$D$10001)*("A2" = [2]SalmonProps!$B$2:$B$10001)*($AP104 = [2]SalmonProps!$F$2:$F$10001) *($AR104 = [2]SalmonProps!$G$2:$G$10001),0), 15))</f>
        <v/>
      </c>
      <c r="AG104" s="167" t="str" cm="1">
        <f t="array" ref="AG104">IF(ISBLANK($AQ104), "", INDEX([2]SalmonProps!$A$2:$AA$10001,MATCH(1,($A104=[2]SalmonProps!$A$2:$A$10001)*(3=[2]SalmonProps!$C$2:$C$10001)*(1=[2]SalmonProps!$D$2:$D$10001)*("A2" = [2]SalmonProps!$B$2:$B$10001)*($AP104 = [2]SalmonProps!$F$2:$F$10001) *($AR104 = [2]SalmonProps!$G$2:$G$10001),0), 15))</f>
        <v/>
      </c>
      <c r="AH104" s="173" t="str" cm="1">
        <f t="array" ref="AH104">IF(ISBLANK($AQ104), "", INDEX([2]SalmonProps!$A$2:$AA$10001,MATCH(1,($A104=[2]SalmonProps!$A$2:$A$10001)*($AP104 = [2]SalmonProps!$F$2:$F$10001) *($AR104 = [2]SalmonProps!$G$2:$G$10001),0), 24))</f>
        <v/>
      </c>
      <c r="AI104" s="183" t="str" cm="1">
        <f t="array" ref="AI104">IF(ISBLANK($AQ104), "", INDEX([2]SalmonProps!$A$2:$AA$10001,MATCH(1,($A104=[2]SalmonProps!$A$2:$A$10001)*($AP104 = [2]SalmonProps!$F$2:$F$10001) *($AR104 = [2]SalmonProps!$G$2:$G$10001),0), 25))</f>
        <v/>
      </c>
      <c r="AJ104" s="174" t="str" cm="1">
        <f t="array" ref="AJ104">IF(ISBLANK($AQ104), "", INDEX([2]SalmonProps!$A$2:$AA$10001,MATCH(1,($A104=[2]SalmonProps!$A$2:$A$10001)*($AP104 = [2]SalmonProps!$F$2:$F$10001) *($AR104 = [2]SalmonProps!$G$2:$G$10001),0), 20))</f>
        <v/>
      </c>
      <c r="AK104" s="183" t="str" cm="1">
        <f t="array" ref="AK104">IF(ISBLANK($AQ104), "", INDEX([2]SalmonProps!$A$2:$AA$10001,MATCH(1,($A104=[2]SalmonProps!$A$2:$A$10001)*($AP104 = [2]SalmonProps!$F$2:$F$10001) *($AR104 = [2]SalmonProps!$G$2:$G$10001),0), 21))</f>
        <v/>
      </c>
      <c r="AL104" s="174" t="str" cm="1">
        <f t="array" ref="AL104">IF(ISBLANK($AQ104), "", INDEX([2]SalmonProps!$A$2:$AA$10001,MATCH(1,($A104=[2]SalmonProps!$A$2:$A$10001)*($AP104 = [2]SalmonProps!$F$2:$F$10001) *($AR104 = [2]SalmonProps!$G$2:$G$10001),0), 22))</f>
        <v/>
      </c>
      <c r="AM104" s="183" t="str" cm="1">
        <f t="array" ref="AM104">IF(ISBLANK($AQ104), "", INDEX([2]SalmonProps!$A$2:$AA$10001,MATCH(1,($A104=[2]SalmonProps!$A$2:$A$10001)*($AP104 = [2]SalmonProps!$F$2:$F$10001) *($AR104 = [2]SalmonProps!$G$2:$G$10001),0), 23))</f>
        <v/>
      </c>
      <c r="AN104" s="174" t="str" cm="1">
        <f t="array" ref="AN104">IF(ISBLANK($AQ104), "", INDEX([2]SalmonProps!$A$2:$AA$10001,MATCH(1,($A104=[2]SalmonProps!$A$2:$A$10001)*($AP104 = [2]SalmonProps!$F$2:$F$10001) *($AR104 = [2]SalmonProps!$G$2:$G$10001),0), 26))</f>
        <v/>
      </c>
      <c r="AO104" s="175" t="str" cm="1">
        <f t="array" ref="AO104">IF(ISBLANK($AQ104), "", INDEX([2]SalmonProps!$A$2:$AA$10001,MATCH(1,($A104=[2]SalmonProps!$A$2:$A$10001)*($AP104 = [2]SalmonProps!$F$2:$F$10001) *($AR104 = [2]SalmonProps!$G$2:$G$10001),0), 27))</f>
        <v/>
      </c>
      <c r="AP104" s="112"/>
      <c r="AQ104" s="112"/>
      <c r="AR104" s="112" t="e">
        <f t="shared" si="2"/>
        <v>#N/A</v>
      </c>
    </row>
    <row r="105" spans="1:44" x14ac:dyDescent="0.3">
      <c r="A105" s="20">
        <f>'[1]Passage Estimates'!$A105</f>
        <v>45207</v>
      </c>
      <c r="B105" s="164" t="str" cm="1">
        <f t="array" ref="B105">IF(ISBLANK($AQ105), "", INDEX([2]SalmonProps!$A$2:$AA$10001,MATCH(1,($A105=[2]SalmonProps!$A$2:$A$10001)*(1=[2]SalmonProps!$C$2:$C$10001)*(1=[2]SalmonProps!$D$2:$D$10001)*("A1" = [2]SalmonProps!$B$2:$B$10001)*($AP105 = [2]SalmonProps!$F$2:$F$10001) *($AR105 = [2]SalmonProps!$G$2:$G$10001),0), 17))</f>
        <v/>
      </c>
      <c r="C105" s="165" t="str" cm="1">
        <f t="array" ref="C105">IF(ISBLANK($AQ105), "", INDEX([2]SalmonProps!$A$2:$AA$10001,MATCH(1,($A105=[2]SalmonProps!$A$2:$A$10001)*(1=[2]SalmonProps!$C$2:$C$10001)*(2=[2]SalmonProps!$D$2:$D$10001)*("A1" = [2]SalmonProps!$B$2:$B$10001)*($AP105 = [2]SalmonProps!$F$2:$F$10001) *($AR105 = [2]SalmonProps!$G$2:$G$10001),0), 17))</f>
        <v/>
      </c>
      <c r="D105" s="165" t="str" cm="1">
        <f t="array" ref="D105">IF(ISBLANK($AQ105), "", INDEX([2]SalmonProps!$A$2:$AA$10001,MATCH(1,($A105=[2]SalmonProps!$A$2:$A$10001)*(1=[2]SalmonProps!$C$2:$C$10001)*("1&amp;2"=[2]SalmonProps!$D$2:$D$10001)*("A1" = [2]SalmonProps!$B$2:$B$10001)*($AP105 = [2]SalmonProps!$F$2:$F$10001) *($AR105 = [2]SalmonProps!$G$2:$G$10001),0), 17))</f>
        <v/>
      </c>
      <c r="E105" s="181" t="str" cm="1">
        <f t="array" ref="E105">IF(ISBLANK($AQ105), "", INDEX([2]SalmonProps!$A$2:$AA$10001,MATCH(1,($A105=[2]SalmonProps!$A$2:$A$10001)*(2=[2]SalmonProps!$C$2:$C$10001)*(3=[2]SalmonProps!$D$2:$D$10001)*("A1" = [2]SalmonProps!$B$2:$B$10001)*($AP105 = [2]SalmonProps!$F$2:$F$10001) *($AR105 = [2]SalmonProps!$G$2:$G$10001),0), 17))</f>
        <v/>
      </c>
      <c r="F105" s="165" t="str" cm="1">
        <f t="array" ref="F105">IF(ISBLANK($AQ105), "", INDEX([2]SalmonProps!$A$2:$AA$10001,MATCH(1,($A105=[2]SalmonProps!$A$2:$A$10001)*(3=[2]SalmonProps!$C$2:$C$10001)*(3=[2]SalmonProps!$D$2:$D$10001)*("A1" = [2]SalmonProps!$B$2:$B$10001)*($AP105 = [2]SalmonProps!$F$2:$F$10001) *($AR105 = [2]SalmonProps!$G$2:$G$10001),0), 17))</f>
        <v/>
      </c>
      <c r="G105" s="165" t="str" cm="1">
        <f t="array" ref="G105">IF(ISBLANK($AQ105), "", INDEX([2]SalmonProps!$A$2:$AA$10001,MATCH(1,($A105=[2]SalmonProps!$A$2:$A$10001)*(1=[2]SalmonProps!$C$2:$C$10001)*(1=[2]SalmonProps!$D$2:$D$10001)*("A2" = [2]SalmonProps!$B$2:$B$10001)*($AP105 = [2]SalmonProps!$F$2:$F$10001) *($AR105 = [2]SalmonProps!$G$2:$G$10001),0), 17))</f>
        <v/>
      </c>
      <c r="H105" s="166" t="str" cm="1">
        <f t="array" ref="H105">IF(ISBLANK($AQ105), "", INDEX([2]SalmonProps!$A$2:$AA$10001,MATCH(1,($A105=[2]SalmonProps!$A$2:$A$10001)*(2=[2]SalmonProps!$C$2:$C$10001)*(1=[2]SalmonProps!$D$2:$D$10001)*("A2" = [2]SalmonProps!$B$2:$B$10001)*($AP105 = [2]SalmonProps!$F$2:$F$10001) *($AR105 = [2]SalmonProps!$G$2:$G$10001),0), 17))</f>
        <v/>
      </c>
      <c r="I105" s="167" t="str" cm="1">
        <f t="array" ref="I105">IF(ISBLANK($AQ105), "", INDEX([2]SalmonProps!$A$2:$AA$10001,MATCH(1,($A105=[2]SalmonProps!$A$2:$A$10001)*(3=[2]SalmonProps!$C$2:$C$10001)*(1=[2]SalmonProps!$D$2:$D$10001)*("A2" = [2]SalmonProps!$B$2:$B$10001)*($AP105 = [2]SalmonProps!$F$2:$F$10001) *($AR105 = [2]SalmonProps!$G$2:$G$10001),0), 17))</f>
        <v/>
      </c>
      <c r="J105" s="164" t="str" cm="1">
        <f t="array" ref="J105">IF(ISBLANK($AQ105), "", INDEX([2]SalmonProps!$A$2:$AA$10001,MATCH(1,($A105=[2]SalmonProps!$A$2:$A$10001)*(1=[2]SalmonProps!$C$2:$C$10001)*(1=[2]SalmonProps!$D$2:$D$10001)*("A1" = [2]SalmonProps!$B$2:$B$10001)*($AP105 = [2]SalmonProps!$F$2:$F$10001) *($AR105 = [2]SalmonProps!$G$2:$G$10001),0), 19))</f>
        <v/>
      </c>
      <c r="K105" s="165" t="str" cm="1">
        <f t="array" ref="K105">IF(ISBLANK($AQ105), "", INDEX([2]SalmonProps!$A$2:$AA$10001,MATCH(1,($A105=[2]SalmonProps!$A$2:$A$10001)*(1=[2]SalmonProps!$C$2:$C$10001)*(2=[2]SalmonProps!$D$2:$D$10001)*("A1" = [2]SalmonProps!$B$2:$B$10001)*($AP105 = [2]SalmonProps!$F$2:$F$10001) *($AR105 = [2]SalmonProps!$G$2:$G$10001),0), 19))</f>
        <v/>
      </c>
      <c r="L105" s="165" t="str" cm="1">
        <f t="array" ref="L105">IF(ISBLANK($AQ105), "", INDEX([2]SalmonProps!$A$2:$AA$10001,MATCH(1,($A105=[2]SalmonProps!$A$2:$A$10001)*(1=[2]SalmonProps!$C$2:$C$10001)*("1&amp;2"=[2]SalmonProps!$D$2:$D$10001)*("A1" = [2]SalmonProps!$B$2:$B$10001)*($AP105 = [2]SalmonProps!$F$2:$F$10001) *($AR105 = [2]SalmonProps!$G$2:$G$10001),0), 19))</f>
        <v/>
      </c>
      <c r="M105" s="165" t="str" cm="1">
        <f t="array" ref="M105">IF(ISBLANK($AQ105), "", INDEX([2]SalmonProps!$A$2:$AA$10001,MATCH(1,($A105=[2]SalmonProps!$A$2:$A$10001)*(2=[2]SalmonProps!$C$2:$C$10001)*(3=[2]SalmonProps!$D$2:$D$10001)*("A1" = [2]SalmonProps!$B$2:$B$10001)*($AP105 = [2]SalmonProps!$F$2:$F$10001) *($AR105 = [2]SalmonProps!$G$2:$G$10001),0), 19))</f>
        <v/>
      </c>
      <c r="N105" s="181" t="str" cm="1">
        <f t="array" ref="N105">IF(ISBLANK($AQ105), "", INDEX([2]SalmonProps!$A$2:$AA$10001,MATCH(1,($A105=[2]SalmonProps!$A$2:$A$10001)*(3=[2]SalmonProps!$C$2:$C$10001)*(3=[2]SalmonProps!$D$2:$D$10001)*("A1" = [2]SalmonProps!$B$2:$B$10001)*($AP105 = [2]SalmonProps!$F$2:$F$10001) *($AR105 = [2]SalmonProps!$G$2:$G$10001),0), 19))</f>
        <v/>
      </c>
      <c r="O105" s="165" t="str" cm="1">
        <f t="array" ref="O105">IF(ISBLANK($AQ105), "", INDEX([2]SalmonProps!$A$2:$AA$10001,MATCH(1,($A105=[2]SalmonProps!$A$2:$A$10001)*(1=[2]SalmonProps!$C$2:$C$10001)*(1=[2]SalmonProps!$D$2:$D$10001)*("A2" = [2]SalmonProps!$B$2:$B$10001)*($AP105 = [2]SalmonProps!$F$2:$F$10001) *($AR105 = [2]SalmonProps!$G$2:$G$10001),0), 19))</f>
        <v/>
      </c>
      <c r="P105" s="165" t="str" cm="1">
        <f t="array" ref="P105">IF(ISBLANK($AQ105), "", INDEX([2]SalmonProps!$A$2:$AA$10001,MATCH(1,($A105=[2]SalmonProps!$A$2:$A$10001)*(2=[2]SalmonProps!$C$2:$C$10001)*(1=[2]SalmonProps!$D$2:$D$10001)*("A2" = [2]SalmonProps!$B$2:$B$10001)*($AP105 = [2]SalmonProps!$F$2:$F$10001) *($AR105 = [2]SalmonProps!$G$2:$G$10001),0), 19))</f>
        <v/>
      </c>
      <c r="Q105" s="168" t="str" cm="1">
        <f t="array" ref="Q105">IF(ISBLANK($AQ105), "", INDEX([2]SalmonProps!$A$2:$AA$10001,MATCH(1,($A105=[2]SalmonProps!$A$2:$A$10001)*(3=[2]SalmonProps!$C$2:$C$10001)*(1=[2]SalmonProps!$D$2:$D$10001)*("A2" = [2]SalmonProps!$B$2:$B$10001)*($AP105 = [2]SalmonProps!$F$2:$F$10001) *($AR105 = [2]SalmonProps!$G$2:$G$10001),0), 19))</f>
        <v/>
      </c>
      <c r="R105" s="164" t="str" cm="1">
        <f t="array" ref="R105">IF(ISBLANK($AQ105), "", INDEX([2]SalmonProps!$A$2:$AA$10001,MATCH(1,($A105=[2]SalmonProps!$A$2:$A$10001)*(1=[2]SalmonProps!$C$2:$C$10001)*(1=[2]SalmonProps!$D$2:$D$10001)*("A1" = [2]SalmonProps!$B$2:$B$10001)*($AP105 = [2]SalmonProps!$F$2:$F$10001) *($AR105 = [2]SalmonProps!$G$2:$G$10001),0), 18))</f>
        <v/>
      </c>
      <c r="S105" s="165" t="str" cm="1">
        <f t="array" ref="S105">IF(ISBLANK($AQ105), "", INDEX([2]SalmonProps!$A$2:$AA$10001,MATCH(1,($A105=[2]SalmonProps!$A$2:$A$10001)*(1=[2]SalmonProps!$C$2:$C$10001)*(2=[2]SalmonProps!$D$2:$D$10001)*("A1" = [2]SalmonProps!$B$2:$B$10001)*($AP105 = [2]SalmonProps!$F$2:$F$10001) *($AR105 = [2]SalmonProps!$G$2:$G$10001),0), 18))</f>
        <v/>
      </c>
      <c r="T105" s="165" t="str" cm="1">
        <f t="array" ref="T105">IF(ISBLANK($AQ105), "", INDEX([2]SalmonProps!$A$2:$AA$10001,MATCH(1,($A105=[2]SalmonProps!$A$2:$A$10001)*(1=[2]SalmonProps!$C$2:$C$10001)*("1&amp;2"=[2]SalmonProps!$D$2:$D$10001)*("A1" = [2]SalmonProps!$B$2:$B$10001)*($AP105 = [2]SalmonProps!$F$2:$F$10001) *($AR105 = [2]SalmonProps!$G$2:$G$10001),0), 18))</f>
        <v/>
      </c>
      <c r="U105" s="165" t="str" cm="1">
        <f t="array" ref="U105">IF(ISBLANK($AQ105), "", INDEX([2]SalmonProps!$A$2:$AA$10001,MATCH(1,($A105=[2]SalmonProps!$A$2:$A$10001)*(2=[2]SalmonProps!$C$2:$C$10001)*(3=[2]SalmonProps!$D$2:$D$10001)*("A1" = [2]SalmonProps!$B$2:$B$10001)*($AP105 = [2]SalmonProps!$F$2:$F$10001) *($AR105 = [2]SalmonProps!$G$2:$G$10001),0), 18))</f>
        <v/>
      </c>
      <c r="V105" s="181" t="str" cm="1">
        <f t="array" ref="V105">IF(ISBLANK($AQ105), "", INDEX([2]SalmonProps!$A$2:$AA$10001,MATCH(1,($A105=[2]SalmonProps!$A$2:$A$10001)*(3=[2]SalmonProps!$C$2:$C$10001)*(3=[2]SalmonProps!$D$2:$D$10001)*("A1" = [2]SalmonProps!$B$2:$B$10001)*($AP105 = [2]SalmonProps!$F$2:$F$10001) *($AR105 = [2]SalmonProps!$G$2:$G$10001),0), 18))</f>
        <v/>
      </c>
      <c r="W105" s="180" t="str" cm="1">
        <f t="array" ref="W105">IF(ISBLANK($AQ105), "", INDEX([2]SalmonProps!$A$2:$AA$10001,MATCH(1,($A105=[2]SalmonProps!$A$2:$A$10001)*(1=[2]SalmonProps!$C$2:$C$10001)*(1=[2]SalmonProps!$D$2:$D$10001)*("A2" = [2]SalmonProps!$B$2:$B$10001)*($AP105 = [2]SalmonProps!$F$2:$F$10001) *($AR105 = [2]SalmonProps!$G$2:$G$10001),0), 18))</f>
        <v/>
      </c>
      <c r="X105" s="165" t="str" cm="1">
        <f t="array" ref="X105">IF(ISBLANK($AQ105), "", INDEX([2]SalmonProps!$A$2:$AA$10001,MATCH(1,($A105=[2]SalmonProps!$A$2:$A$10001)*(2=[2]SalmonProps!$C$2:$C$10001)*(1=[2]SalmonProps!$D$2:$D$10001)*("A2" = [2]SalmonProps!$B$2:$B$10001)*($AP105 = [2]SalmonProps!$F$2:$F$10001) *($AR105 = [2]SalmonProps!$G$2:$G$10001),0), 18))</f>
        <v/>
      </c>
      <c r="Y105" s="168" t="str" cm="1">
        <f t="array" ref="Y105">IF(ISBLANK($AQ105), "", INDEX([2]SalmonProps!$A$2:$AA$10001,MATCH(1,($A105=[2]SalmonProps!$A$2:$A$10001)*(3=[2]SalmonProps!$C$2:$C$10001)*(1=[2]SalmonProps!$D$2:$D$10001)*("A2" = [2]SalmonProps!$B$2:$B$10001)*($AP105 = [2]SalmonProps!$F$2:$F$10001) *($AR105 = [2]SalmonProps!$G$2:$G$10001),0), 18))</f>
        <v/>
      </c>
      <c r="Z105" s="164" t="str" cm="1">
        <f t="array" ref="Z105">IF(ISBLANK($AQ105), "", INDEX([2]SalmonProps!$A$2:$AA$10001,MATCH(1,($A105=[2]SalmonProps!$A$2:$A$10001)*(1=[2]SalmonProps!$C$2:$C$10001)*(1=[2]SalmonProps!$D$2:$D$10001)*("A1" = [2]SalmonProps!$B$2:$B$10001)*($AP105 = [2]SalmonProps!$F$2:$F$10001) *($AR105 = [2]SalmonProps!$G$2:$G$10001),0), 15))</f>
        <v/>
      </c>
      <c r="AA105" s="165" t="str" cm="1">
        <f t="array" ref="AA105">IF(ISBLANK($AQ105), "", INDEX([2]SalmonProps!$A$2:$AA$10001,MATCH(1,($A105=[2]SalmonProps!$A$2:$A$10001)*(1=[2]SalmonProps!$C$2:$C$10001)*(2=[2]SalmonProps!$D$2:$D$10001)*("A1" = [2]SalmonProps!$B$2:$B$10001)*($AP105 = [2]SalmonProps!$F$2:$F$10001) *($AR105 = [2]SalmonProps!$G$2:$G$10001),0), 15))</f>
        <v/>
      </c>
      <c r="AB105" s="165" t="str" cm="1">
        <f t="array" ref="AB105">IF(ISBLANK($AQ105), "", INDEX([2]SalmonProps!$A$2:$AA$10001,MATCH(1,($A105=[2]SalmonProps!$A$2:$A$10001)*(1=[2]SalmonProps!$C$2:$C$10001)*("1&amp;2"=[2]SalmonProps!$D$2:$D$10001)*("A1" = [2]SalmonProps!$B$2:$B$10001)*($AP105 = [2]SalmonProps!$F$2:$F$10001) *($AR105 = [2]SalmonProps!$G$2:$G$10001),0), 15))</f>
        <v/>
      </c>
      <c r="AC105" s="165" t="str" cm="1">
        <f t="array" ref="AC105">IF(ISBLANK($AQ105), "", INDEX([2]SalmonProps!$A$2:$AA$10001,MATCH(1,($A105=[2]SalmonProps!$A$2:$A$10001)*(2=[2]SalmonProps!$C$2:$C$10001)*(3=[2]SalmonProps!$D$2:$D$10001)*("A1" = [2]SalmonProps!$B$2:$B$10001)*($AP105 = [2]SalmonProps!$F$2:$F$10001) *($AR105 = [2]SalmonProps!$G$2:$G$10001),0), 15))</f>
        <v/>
      </c>
      <c r="AD105" s="181" t="str" cm="1">
        <f t="array" ref="AD105">IF(ISBLANK($AQ105), "", INDEX([2]SalmonProps!$A$2:$AA$10001,MATCH(1,($A105=[2]SalmonProps!$A$2:$A$10001)*(3=[2]SalmonProps!$C$2:$C$10001)*(3=[2]SalmonProps!$D$2:$D$10001)*("A1" = [2]SalmonProps!$B$2:$B$10001)*($AP105 = [2]SalmonProps!$F$2:$F$10001) *($AR105 = [2]SalmonProps!$G$2:$G$10001),0), 15))</f>
        <v/>
      </c>
      <c r="AE105" s="166" t="str" cm="1">
        <f t="array" ref="AE105">IF(ISBLANK($AQ105), "", INDEX([2]SalmonProps!$A$2:$AA$10001,MATCH(1,($A105=[2]SalmonProps!$A$2:$A$10001)*(1=[2]SalmonProps!$C$2:$C$10001)*(1=[2]SalmonProps!$D$2:$D$10001)*("A2" = [2]SalmonProps!$B$2:$B$10001)*($AP105 = [2]SalmonProps!$F$2:$F$10001) *($AR105 = [2]SalmonProps!$G$2:$G$10001),0), 15))</f>
        <v/>
      </c>
      <c r="AF105" s="166" t="str" cm="1">
        <f t="array" ref="AF105">IF(ISBLANK($AQ105), "", INDEX([2]SalmonProps!$A$2:$AA$10001,MATCH(1,($A105=[2]SalmonProps!$A$2:$A$10001)*(2=[2]SalmonProps!$C$2:$C$10001)*(1=[2]SalmonProps!$D$2:$D$10001)*("A2" = [2]SalmonProps!$B$2:$B$10001)*($AP105 = [2]SalmonProps!$F$2:$F$10001) *($AR105 = [2]SalmonProps!$G$2:$G$10001),0), 15))</f>
        <v/>
      </c>
      <c r="AG105" s="167" t="str" cm="1">
        <f t="array" ref="AG105">IF(ISBLANK($AQ105), "", INDEX([2]SalmonProps!$A$2:$AA$10001,MATCH(1,($A105=[2]SalmonProps!$A$2:$A$10001)*(3=[2]SalmonProps!$C$2:$C$10001)*(1=[2]SalmonProps!$D$2:$D$10001)*("A2" = [2]SalmonProps!$B$2:$B$10001)*($AP105 = [2]SalmonProps!$F$2:$F$10001) *($AR105 = [2]SalmonProps!$G$2:$G$10001),0), 15))</f>
        <v/>
      </c>
      <c r="AH105" s="173" t="str" cm="1">
        <f t="array" ref="AH105">IF(ISBLANK($AQ105), "", INDEX([2]SalmonProps!$A$2:$AA$10001,MATCH(1,($A105=[2]SalmonProps!$A$2:$A$10001)*($AP105 = [2]SalmonProps!$F$2:$F$10001) *($AR105 = [2]SalmonProps!$G$2:$G$10001),0), 24))</f>
        <v/>
      </c>
      <c r="AI105" s="183" t="str" cm="1">
        <f t="array" ref="AI105">IF(ISBLANK($AQ105), "", INDEX([2]SalmonProps!$A$2:$AA$10001,MATCH(1,($A105=[2]SalmonProps!$A$2:$A$10001)*($AP105 = [2]SalmonProps!$F$2:$F$10001) *($AR105 = [2]SalmonProps!$G$2:$G$10001),0), 25))</f>
        <v/>
      </c>
      <c r="AJ105" s="174" t="str" cm="1">
        <f t="array" ref="AJ105">IF(ISBLANK($AQ105), "", INDEX([2]SalmonProps!$A$2:$AA$10001,MATCH(1,($A105=[2]SalmonProps!$A$2:$A$10001)*($AP105 = [2]SalmonProps!$F$2:$F$10001) *($AR105 = [2]SalmonProps!$G$2:$G$10001),0), 20))</f>
        <v/>
      </c>
      <c r="AK105" s="183" t="str" cm="1">
        <f t="array" ref="AK105">IF(ISBLANK($AQ105), "", INDEX([2]SalmonProps!$A$2:$AA$10001,MATCH(1,($A105=[2]SalmonProps!$A$2:$A$10001)*($AP105 = [2]SalmonProps!$F$2:$F$10001) *($AR105 = [2]SalmonProps!$G$2:$G$10001),0), 21))</f>
        <v/>
      </c>
      <c r="AL105" s="174" t="str" cm="1">
        <f t="array" ref="AL105">IF(ISBLANK($AQ105), "", INDEX([2]SalmonProps!$A$2:$AA$10001,MATCH(1,($A105=[2]SalmonProps!$A$2:$A$10001)*($AP105 = [2]SalmonProps!$F$2:$F$10001) *($AR105 = [2]SalmonProps!$G$2:$G$10001),0), 22))</f>
        <v/>
      </c>
      <c r="AM105" s="183" t="str" cm="1">
        <f t="array" ref="AM105">IF(ISBLANK($AQ105), "", INDEX([2]SalmonProps!$A$2:$AA$10001,MATCH(1,($A105=[2]SalmonProps!$A$2:$A$10001)*($AP105 = [2]SalmonProps!$F$2:$F$10001) *($AR105 = [2]SalmonProps!$G$2:$G$10001),0), 23))</f>
        <v/>
      </c>
      <c r="AN105" s="174" t="str" cm="1">
        <f t="array" ref="AN105">IF(ISBLANK($AQ105), "", INDEX([2]SalmonProps!$A$2:$AA$10001,MATCH(1,($A105=[2]SalmonProps!$A$2:$A$10001)*($AP105 = [2]SalmonProps!$F$2:$F$10001) *($AR105 = [2]SalmonProps!$G$2:$G$10001),0), 26))</f>
        <v/>
      </c>
      <c r="AO105" s="175" t="str" cm="1">
        <f t="array" ref="AO105">IF(ISBLANK($AQ105), "", INDEX([2]SalmonProps!$A$2:$AA$10001,MATCH(1,($A105=[2]SalmonProps!$A$2:$A$10001)*($AP105 = [2]SalmonProps!$F$2:$F$10001) *($AR105 = [2]SalmonProps!$G$2:$G$10001),0), 27))</f>
        <v/>
      </c>
      <c r="AP105" s="112"/>
      <c r="AQ105" s="112"/>
      <c r="AR105" s="112" t="e">
        <f t="shared" si="2"/>
        <v>#N/A</v>
      </c>
    </row>
    <row r="106" spans="1:44" x14ac:dyDescent="0.3">
      <c r="A106" s="20">
        <f>'[1]Passage Estimates'!$A106</f>
        <v>45208</v>
      </c>
      <c r="B106" s="164" t="str" cm="1">
        <f t="array" ref="B106">IF(ISBLANK($AQ106), "", INDEX([2]SalmonProps!$A$2:$AA$10001,MATCH(1,($A106=[2]SalmonProps!$A$2:$A$10001)*(1=[2]SalmonProps!$C$2:$C$10001)*(1=[2]SalmonProps!$D$2:$D$10001)*("A1" = [2]SalmonProps!$B$2:$B$10001)*($AP106 = [2]SalmonProps!$F$2:$F$10001) *($AR106 = [2]SalmonProps!$G$2:$G$10001),0), 17))</f>
        <v/>
      </c>
      <c r="C106" s="165" t="str" cm="1">
        <f t="array" ref="C106">IF(ISBLANK($AQ106), "", INDEX([2]SalmonProps!$A$2:$AA$10001,MATCH(1,($A106=[2]SalmonProps!$A$2:$A$10001)*(1=[2]SalmonProps!$C$2:$C$10001)*(2=[2]SalmonProps!$D$2:$D$10001)*("A1" = [2]SalmonProps!$B$2:$B$10001)*($AP106 = [2]SalmonProps!$F$2:$F$10001) *($AR106 = [2]SalmonProps!$G$2:$G$10001),0), 17))</f>
        <v/>
      </c>
      <c r="D106" s="165" t="str" cm="1">
        <f t="array" ref="D106">IF(ISBLANK($AQ106), "", INDEX([2]SalmonProps!$A$2:$AA$10001,MATCH(1,($A106=[2]SalmonProps!$A$2:$A$10001)*(1=[2]SalmonProps!$C$2:$C$10001)*("1&amp;2"=[2]SalmonProps!$D$2:$D$10001)*("A1" = [2]SalmonProps!$B$2:$B$10001)*($AP106 = [2]SalmonProps!$F$2:$F$10001) *($AR106 = [2]SalmonProps!$G$2:$G$10001),0), 17))</f>
        <v/>
      </c>
      <c r="E106" s="181" t="str" cm="1">
        <f t="array" ref="E106">IF(ISBLANK($AQ106), "", INDEX([2]SalmonProps!$A$2:$AA$10001,MATCH(1,($A106=[2]SalmonProps!$A$2:$A$10001)*(2=[2]SalmonProps!$C$2:$C$10001)*(3=[2]SalmonProps!$D$2:$D$10001)*("A1" = [2]SalmonProps!$B$2:$B$10001)*($AP106 = [2]SalmonProps!$F$2:$F$10001) *($AR106 = [2]SalmonProps!$G$2:$G$10001),0), 17))</f>
        <v/>
      </c>
      <c r="F106" s="165" t="str" cm="1">
        <f t="array" ref="F106">IF(ISBLANK($AQ106), "", INDEX([2]SalmonProps!$A$2:$AA$10001,MATCH(1,($A106=[2]SalmonProps!$A$2:$A$10001)*(3=[2]SalmonProps!$C$2:$C$10001)*(3=[2]SalmonProps!$D$2:$D$10001)*("A1" = [2]SalmonProps!$B$2:$B$10001)*($AP106 = [2]SalmonProps!$F$2:$F$10001) *($AR106 = [2]SalmonProps!$G$2:$G$10001),0), 17))</f>
        <v/>
      </c>
      <c r="G106" s="165" t="str" cm="1">
        <f t="array" ref="G106">IF(ISBLANK($AQ106), "", INDEX([2]SalmonProps!$A$2:$AA$10001,MATCH(1,($A106=[2]SalmonProps!$A$2:$A$10001)*(1=[2]SalmonProps!$C$2:$C$10001)*(1=[2]SalmonProps!$D$2:$D$10001)*("A2" = [2]SalmonProps!$B$2:$B$10001)*($AP106 = [2]SalmonProps!$F$2:$F$10001) *($AR106 = [2]SalmonProps!$G$2:$G$10001),0), 17))</f>
        <v/>
      </c>
      <c r="H106" s="166" t="str" cm="1">
        <f t="array" ref="H106">IF(ISBLANK($AQ106), "", INDEX([2]SalmonProps!$A$2:$AA$10001,MATCH(1,($A106=[2]SalmonProps!$A$2:$A$10001)*(2=[2]SalmonProps!$C$2:$C$10001)*(1=[2]SalmonProps!$D$2:$D$10001)*("A2" = [2]SalmonProps!$B$2:$B$10001)*($AP106 = [2]SalmonProps!$F$2:$F$10001) *($AR106 = [2]SalmonProps!$G$2:$G$10001),0), 17))</f>
        <v/>
      </c>
      <c r="I106" s="167" t="str" cm="1">
        <f t="array" ref="I106">IF(ISBLANK($AQ106), "", INDEX([2]SalmonProps!$A$2:$AA$10001,MATCH(1,($A106=[2]SalmonProps!$A$2:$A$10001)*(3=[2]SalmonProps!$C$2:$C$10001)*(1=[2]SalmonProps!$D$2:$D$10001)*("A2" = [2]SalmonProps!$B$2:$B$10001)*($AP106 = [2]SalmonProps!$F$2:$F$10001) *($AR106 = [2]SalmonProps!$G$2:$G$10001),0), 17))</f>
        <v/>
      </c>
      <c r="J106" s="164" t="str" cm="1">
        <f t="array" ref="J106">IF(ISBLANK($AQ106), "", INDEX([2]SalmonProps!$A$2:$AA$10001,MATCH(1,($A106=[2]SalmonProps!$A$2:$A$10001)*(1=[2]SalmonProps!$C$2:$C$10001)*(1=[2]SalmonProps!$D$2:$D$10001)*("A1" = [2]SalmonProps!$B$2:$B$10001)*($AP106 = [2]SalmonProps!$F$2:$F$10001) *($AR106 = [2]SalmonProps!$G$2:$G$10001),0), 19))</f>
        <v/>
      </c>
      <c r="K106" s="165" t="str" cm="1">
        <f t="array" ref="K106">IF(ISBLANK($AQ106), "", INDEX([2]SalmonProps!$A$2:$AA$10001,MATCH(1,($A106=[2]SalmonProps!$A$2:$A$10001)*(1=[2]SalmonProps!$C$2:$C$10001)*(2=[2]SalmonProps!$D$2:$D$10001)*("A1" = [2]SalmonProps!$B$2:$B$10001)*($AP106 = [2]SalmonProps!$F$2:$F$10001) *($AR106 = [2]SalmonProps!$G$2:$G$10001),0), 19))</f>
        <v/>
      </c>
      <c r="L106" s="165" t="str" cm="1">
        <f t="array" ref="L106">IF(ISBLANK($AQ106), "", INDEX([2]SalmonProps!$A$2:$AA$10001,MATCH(1,($A106=[2]SalmonProps!$A$2:$A$10001)*(1=[2]SalmonProps!$C$2:$C$10001)*("1&amp;2"=[2]SalmonProps!$D$2:$D$10001)*("A1" = [2]SalmonProps!$B$2:$B$10001)*($AP106 = [2]SalmonProps!$F$2:$F$10001) *($AR106 = [2]SalmonProps!$G$2:$G$10001),0), 19))</f>
        <v/>
      </c>
      <c r="M106" s="165" t="str" cm="1">
        <f t="array" ref="M106">IF(ISBLANK($AQ106), "", INDEX([2]SalmonProps!$A$2:$AA$10001,MATCH(1,($A106=[2]SalmonProps!$A$2:$A$10001)*(2=[2]SalmonProps!$C$2:$C$10001)*(3=[2]SalmonProps!$D$2:$D$10001)*("A1" = [2]SalmonProps!$B$2:$B$10001)*($AP106 = [2]SalmonProps!$F$2:$F$10001) *($AR106 = [2]SalmonProps!$G$2:$G$10001),0), 19))</f>
        <v/>
      </c>
      <c r="N106" s="181" t="str" cm="1">
        <f t="array" ref="N106">IF(ISBLANK($AQ106), "", INDEX([2]SalmonProps!$A$2:$AA$10001,MATCH(1,($A106=[2]SalmonProps!$A$2:$A$10001)*(3=[2]SalmonProps!$C$2:$C$10001)*(3=[2]SalmonProps!$D$2:$D$10001)*("A1" = [2]SalmonProps!$B$2:$B$10001)*($AP106 = [2]SalmonProps!$F$2:$F$10001) *($AR106 = [2]SalmonProps!$G$2:$G$10001),0), 19))</f>
        <v/>
      </c>
      <c r="O106" s="165" t="str" cm="1">
        <f t="array" ref="O106">IF(ISBLANK($AQ106), "", INDEX([2]SalmonProps!$A$2:$AA$10001,MATCH(1,($A106=[2]SalmonProps!$A$2:$A$10001)*(1=[2]SalmonProps!$C$2:$C$10001)*(1=[2]SalmonProps!$D$2:$D$10001)*("A2" = [2]SalmonProps!$B$2:$B$10001)*($AP106 = [2]SalmonProps!$F$2:$F$10001) *($AR106 = [2]SalmonProps!$G$2:$G$10001),0), 19))</f>
        <v/>
      </c>
      <c r="P106" s="165" t="str" cm="1">
        <f t="array" ref="P106">IF(ISBLANK($AQ106), "", INDEX([2]SalmonProps!$A$2:$AA$10001,MATCH(1,($A106=[2]SalmonProps!$A$2:$A$10001)*(2=[2]SalmonProps!$C$2:$C$10001)*(1=[2]SalmonProps!$D$2:$D$10001)*("A2" = [2]SalmonProps!$B$2:$B$10001)*($AP106 = [2]SalmonProps!$F$2:$F$10001) *($AR106 = [2]SalmonProps!$G$2:$G$10001),0), 19))</f>
        <v/>
      </c>
      <c r="Q106" s="168" t="str" cm="1">
        <f t="array" ref="Q106">IF(ISBLANK($AQ106), "", INDEX([2]SalmonProps!$A$2:$AA$10001,MATCH(1,($A106=[2]SalmonProps!$A$2:$A$10001)*(3=[2]SalmonProps!$C$2:$C$10001)*(1=[2]SalmonProps!$D$2:$D$10001)*("A2" = [2]SalmonProps!$B$2:$B$10001)*($AP106 = [2]SalmonProps!$F$2:$F$10001) *($AR106 = [2]SalmonProps!$G$2:$G$10001),0), 19))</f>
        <v/>
      </c>
      <c r="R106" s="164" t="str" cm="1">
        <f t="array" ref="R106">IF(ISBLANK($AQ106), "", INDEX([2]SalmonProps!$A$2:$AA$10001,MATCH(1,($A106=[2]SalmonProps!$A$2:$A$10001)*(1=[2]SalmonProps!$C$2:$C$10001)*(1=[2]SalmonProps!$D$2:$D$10001)*("A1" = [2]SalmonProps!$B$2:$B$10001)*($AP106 = [2]SalmonProps!$F$2:$F$10001) *($AR106 = [2]SalmonProps!$G$2:$G$10001),0), 18))</f>
        <v/>
      </c>
      <c r="S106" s="165" t="str" cm="1">
        <f t="array" ref="S106">IF(ISBLANK($AQ106), "", INDEX([2]SalmonProps!$A$2:$AA$10001,MATCH(1,($A106=[2]SalmonProps!$A$2:$A$10001)*(1=[2]SalmonProps!$C$2:$C$10001)*(2=[2]SalmonProps!$D$2:$D$10001)*("A1" = [2]SalmonProps!$B$2:$B$10001)*($AP106 = [2]SalmonProps!$F$2:$F$10001) *($AR106 = [2]SalmonProps!$G$2:$G$10001),0), 18))</f>
        <v/>
      </c>
      <c r="T106" s="165" t="str" cm="1">
        <f t="array" ref="T106">IF(ISBLANK($AQ106), "", INDEX([2]SalmonProps!$A$2:$AA$10001,MATCH(1,($A106=[2]SalmonProps!$A$2:$A$10001)*(1=[2]SalmonProps!$C$2:$C$10001)*("1&amp;2"=[2]SalmonProps!$D$2:$D$10001)*("A1" = [2]SalmonProps!$B$2:$B$10001)*($AP106 = [2]SalmonProps!$F$2:$F$10001) *($AR106 = [2]SalmonProps!$G$2:$G$10001),0), 18))</f>
        <v/>
      </c>
      <c r="U106" s="165" t="str" cm="1">
        <f t="array" ref="U106">IF(ISBLANK($AQ106), "", INDEX([2]SalmonProps!$A$2:$AA$10001,MATCH(1,($A106=[2]SalmonProps!$A$2:$A$10001)*(2=[2]SalmonProps!$C$2:$C$10001)*(3=[2]SalmonProps!$D$2:$D$10001)*("A1" = [2]SalmonProps!$B$2:$B$10001)*($AP106 = [2]SalmonProps!$F$2:$F$10001) *($AR106 = [2]SalmonProps!$G$2:$G$10001),0), 18))</f>
        <v/>
      </c>
      <c r="V106" s="181" t="str" cm="1">
        <f t="array" ref="V106">IF(ISBLANK($AQ106), "", INDEX([2]SalmonProps!$A$2:$AA$10001,MATCH(1,($A106=[2]SalmonProps!$A$2:$A$10001)*(3=[2]SalmonProps!$C$2:$C$10001)*(3=[2]SalmonProps!$D$2:$D$10001)*("A1" = [2]SalmonProps!$B$2:$B$10001)*($AP106 = [2]SalmonProps!$F$2:$F$10001) *($AR106 = [2]SalmonProps!$G$2:$G$10001),0), 18))</f>
        <v/>
      </c>
      <c r="W106" s="180" t="str" cm="1">
        <f t="array" ref="W106">IF(ISBLANK($AQ106), "", INDEX([2]SalmonProps!$A$2:$AA$10001,MATCH(1,($A106=[2]SalmonProps!$A$2:$A$10001)*(1=[2]SalmonProps!$C$2:$C$10001)*(1=[2]SalmonProps!$D$2:$D$10001)*("A2" = [2]SalmonProps!$B$2:$B$10001)*($AP106 = [2]SalmonProps!$F$2:$F$10001) *($AR106 = [2]SalmonProps!$G$2:$G$10001),0), 18))</f>
        <v/>
      </c>
      <c r="X106" s="165" t="str" cm="1">
        <f t="array" ref="X106">IF(ISBLANK($AQ106), "", INDEX([2]SalmonProps!$A$2:$AA$10001,MATCH(1,($A106=[2]SalmonProps!$A$2:$A$10001)*(2=[2]SalmonProps!$C$2:$C$10001)*(1=[2]SalmonProps!$D$2:$D$10001)*("A2" = [2]SalmonProps!$B$2:$B$10001)*($AP106 = [2]SalmonProps!$F$2:$F$10001) *($AR106 = [2]SalmonProps!$G$2:$G$10001),0), 18))</f>
        <v/>
      </c>
      <c r="Y106" s="168" t="str" cm="1">
        <f t="array" ref="Y106">IF(ISBLANK($AQ106), "", INDEX([2]SalmonProps!$A$2:$AA$10001,MATCH(1,($A106=[2]SalmonProps!$A$2:$A$10001)*(3=[2]SalmonProps!$C$2:$C$10001)*(1=[2]SalmonProps!$D$2:$D$10001)*("A2" = [2]SalmonProps!$B$2:$B$10001)*($AP106 = [2]SalmonProps!$F$2:$F$10001) *($AR106 = [2]SalmonProps!$G$2:$G$10001),0), 18))</f>
        <v/>
      </c>
      <c r="Z106" s="164" t="str" cm="1">
        <f t="array" ref="Z106">IF(ISBLANK($AQ106), "", INDEX([2]SalmonProps!$A$2:$AA$10001,MATCH(1,($A106=[2]SalmonProps!$A$2:$A$10001)*(1=[2]SalmonProps!$C$2:$C$10001)*(1=[2]SalmonProps!$D$2:$D$10001)*("A1" = [2]SalmonProps!$B$2:$B$10001)*($AP106 = [2]SalmonProps!$F$2:$F$10001) *($AR106 = [2]SalmonProps!$G$2:$G$10001),0), 15))</f>
        <v/>
      </c>
      <c r="AA106" s="165" t="str" cm="1">
        <f t="array" ref="AA106">IF(ISBLANK($AQ106), "", INDEX([2]SalmonProps!$A$2:$AA$10001,MATCH(1,($A106=[2]SalmonProps!$A$2:$A$10001)*(1=[2]SalmonProps!$C$2:$C$10001)*(2=[2]SalmonProps!$D$2:$D$10001)*("A1" = [2]SalmonProps!$B$2:$B$10001)*($AP106 = [2]SalmonProps!$F$2:$F$10001) *($AR106 = [2]SalmonProps!$G$2:$G$10001),0), 15))</f>
        <v/>
      </c>
      <c r="AB106" s="165" t="str" cm="1">
        <f t="array" ref="AB106">IF(ISBLANK($AQ106), "", INDEX([2]SalmonProps!$A$2:$AA$10001,MATCH(1,($A106=[2]SalmonProps!$A$2:$A$10001)*(1=[2]SalmonProps!$C$2:$C$10001)*("1&amp;2"=[2]SalmonProps!$D$2:$D$10001)*("A1" = [2]SalmonProps!$B$2:$B$10001)*($AP106 = [2]SalmonProps!$F$2:$F$10001) *($AR106 = [2]SalmonProps!$G$2:$G$10001),0), 15))</f>
        <v/>
      </c>
      <c r="AC106" s="165" t="str" cm="1">
        <f t="array" ref="AC106">IF(ISBLANK($AQ106), "", INDEX([2]SalmonProps!$A$2:$AA$10001,MATCH(1,($A106=[2]SalmonProps!$A$2:$A$10001)*(2=[2]SalmonProps!$C$2:$C$10001)*(3=[2]SalmonProps!$D$2:$D$10001)*("A1" = [2]SalmonProps!$B$2:$B$10001)*($AP106 = [2]SalmonProps!$F$2:$F$10001) *($AR106 = [2]SalmonProps!$G$2:$G$10001),0), 15))</f>
        <v/>
      </c>
      <c r="AD106" s="181" t="str" cm="1">
        <f t="array" ref="AD106">IF(ISBLANK($AQ106), "", INDEX([2]SalmonProps!$A$2:$AA$10001,MATCH(1,($A106=[2]SalmonProps!$A$2:$A$10001)*(3=[2]SalmonProps!$C$2:$C$10001)*(3=[2]SalmonProps!$D$2:$D$10001)*("A1" = [2]SalmonProps!$B$2:$B$10001)*($AP106 = [2]SalmonProps!$F$2:$F$10001) *($AR106 = [2]SalmonProps!$G$2:$G$10001),0), 15))</f>
        <v/>
      </c>
      <c r="AE106" s="166" t="str" cm="1">
        <f t="array" ref="AE106">IF(ISBLANK($AQ106), "", INDEX([2]SalmonProps!$A$2:$AA$10001,MATCH(1,($A106=[2]SalmonProps!$A$2:$A$10001)*(1=[2]SalmonProps!$C$2:$C$10001)*(1=[2]SalmonProps!$D$2:$D$10001)*("A2" = [2]SalmonProps!$B$2:$B$10001)*($AP106 = [2]SalmonProps!$F$2:$F$10001) *($AR106 = [2]SalmonProps!$G$2:$G$10001),0), 15))</f>
        <v/>
      </c>
      <c r="AF106" s="166" t="str" cm="1">
        <f t="array" ref="AF106">IF(ISBLANK($AQ106), "", INDEX([2]SalmonProps!$A$2:$AA$10001,MATCH(1,($A106=[2]SalmonProps!$A$2:$A$10001)*(2=[2]SalmonProps!$C$2:$C$10001)*(1=[2]SalmonProps!$D$2:$D$10001)*("A2" = [2]SalmonProps!$B$2:$B$10001)*($AP106 = [2]SalmonProps!$F$2:$F$10001) *($AR106 = [2]SalmonProps!$G$2:$G$10001),0), 15))</f>
        <v/>
      </c>
      <c r="AG106" s="167" t="str" cm="1">
        <f t="array" ref="AG106">IF(ISBLANK($AQ106), "", INDEX([2]SalmonProps!$A$2:$AA$10001,MATCH(1,($A106=[2]SalmonProps!$A$2:$A$10001)*(3=[2]SalmonProps!$C$2:$C$10001)*(1=[2]SalmonProps!$D$2:$D$10001)*("A2" = [2]SalmonProps!$B$2:$B$10001)*($AP106 = [2]SalmonProps!$F$2:$F$10001) *($AR106 = [2]SalmonProps!$G$2:$G$10001),0), 15))</f>
        <v/>
      </c>
      <c r="AH106" s="173" t="str" cm="1">
        <f t="array" ref="AH106">IF(ISBLANK($AQ106), "", INDEX([2]SalmonProps!$A$2:$AA$10001,MATCH(1,($A106=[2]SalmonProps!$A$2:$A$10001)*($AP106 = [2]SalmonProps!$F$2:$F$10001) *($AR106 = [2]SalmonProps!$G$2:$G$10001),0), 24))</f>
        <v/>
      </c>
      <c r="AI106" s="183" t="str" cm="1">
        <f t="array" ref="AI106">IF(ISBLANK($AQ106), "", INDEX([2]SalmonProps!$A$2:$AA$10001,MATCH(1,($A106=[2]SalmonProps!$A$2:$A$10001)*($AP106 = [2]SalmonProps!$F$2:$F$10001) *($AR106 = [2]SalmonProps!$G$2:$G$10001),0), 25))</f>
        <v/>
      </c>
      <c r="AJ106" s="174" t="str" cm="1">
        <f t="array" ref="AJ106">IF(ISBLANK($AQ106), "", INDEX([2]SalmonProps!$A$2:$AA$10001,MATCH(1,($A106=[2]SalmonProps!$A$2:$A$10001)*($AP106 = [2]SalmonProps!$F$2:$F$10001) *($AR106 = [2]SalmonProps!$G$2:$G$10001),0), 20))</f>
        <v/>
      </c>
      <c r="AK106" s="183" t="str" cm="1">
        <f t="array" ref="AK106">IF(ISBLANK($AQ106), "", INDEX([2]SalmonProps!$A$2:$AA$10001,MATCH(1,($A106=[2]SalmonProps!$A$2:$A$10001)*($AP106 = [2]SalmonProps!$F$2:$F$10001) *($AR106 = [2]SalmonProps!$G$2:$G$10001),0), 21))</f>
        <v/>
      </c>
      <c r="AL106" s="174" t="str" cm="1">
        <f t="array" ref="AL106">IF(ISBLANK($AQ106), "", INDEX([2]SalmonProps!$A$2:$AA$10001,MATCH(1,($A106=[2]SalmonProps!$A$2:$A$10001)*($AP106 = [2]SalmonProps!$F$2:$F$10001) *($AR106 = [2]SalmonProps!$G$2:$G$10001),0), 22))</f>
        <v/>
      </c>
      <c r="AM106" s="183" t="str" cm="1">
        <f t="array" ref="AM106">IF(ISBLANK($AQ106), "", INDEX([2]SalmonProps!$A$2:$AA$10001,MATCH(1,($A106=[2]SalmonProps!$A$2:$A$10001)*($AP106 = [2]SalmonProps!$F$2:$F$10001) *($AR106 = [2]SalmonProps!$G$2:$G$10001),0), 23))</f>
        <v/>
      </c>
      <c r="AN106" s="174" t="str" cm="1">
        <f t="array" ref="AN106">IF(ISBLANK($AQ106), "", INDEX([2]SalmonProps!$A$2:$AA$10001,MATCH(1,($A106=[2]SalmonProps!$A$2:$A$10001)*($AP106 = [2]SalmonProps!$F$2:$F$10001) *($AR106 = [2]SalmonProps!$G$2:$G$10001),0), 26))</f>
        <v/>
      </c>
      <c r="AO106" s="175" t="str" cm="1">
        <f t="array" ref="AO106">IF(ISBLANK($AQ106), "", INDEX([2]SalmonProps!$A$2:$AA$10001,MATCH(1,($A106=[2]SalmonProps!$A$2:$A$10001)*($AP106 = [2]SalmonProps!$F$2:$F$10001) *($AR106 = [2]SalmonProps!$G$2:$G$10001),0), 27))</f>
        <v/>
      </c>
      <c r="AP106" s="112"/>
      <c r="AQ106" s="112"/>
      <c r="AR106" s="112" t="e">
        <f t="shared" si="2"/>
        <v>#N/A</v>
      </c>
    </row>
    <row r="107" spans="1:44" x14ac:dyDescent="0.3">
      <c r="A107" s="20">
        <f>'[1]Passage Estimates'!$A107</f>
        <v>45209</v>
      </c>
      <c r="B107" s="164" t="str" cm="1">
        <f t="array" ref="B107">IF(ISBLANK($AQ107), "", INDEX([2]SalmonProps!$A$2:$AA$10001,MATCH(1,($A107=[2]SalmonProps!$A$2:$A$10001)*(1=[2]SalmonProps!$C$2:$C$10001)*(1=[2]SalmonProps!$D$2:$D$10001)*("A1" = [2]SalmonProps!$B$2:$B$10001)*($AP107 = [2]SalmonProps!$F$2:$F$10001) *($AR107 = [2]SalmonProps!$G$2:$G$10001),0), 17))</f>
        <v/>
      </c>
      <c r="C107" s="165" t="str" cm="1">
        <f t="array" ref="C107">IF(ISBLANK($AQ107), "", INDEX([2]SalmonProps!$A$2:$AA$10001,MATCH(1,($A107=[2]SalmonProps!$A$2:$A$10001)*(1=[2]SalmonProps!$C$2:$C$10001)*(2=[2]SalmonProps!$D$2:$D$10001)*("A1" = [2]SalmonProps!$B$2:$B$10001)*($AP107 = [2]SalmonProps!$F$2:$F$10001) *($AR107 = [2]SalmonProps!$G$2:$G$10001),0), 17))</f>
        <v/>
      </c>
      <c r="D107" s="165" t="str" cm="1">
        <f t="array" ref="D107">IF(ISBLANK($AQ107), "", INDEX([2]SalmonProps!$A$2:$AA$10001,MATCH(1,($A107=[2]SalmonProps!$A$2:$A$10001)*(1=[2]SalmonProps!$C$2:$C$10001)*("1&amp;2"=[2]SalmonProps!$D$2:$D$10001)*("A1" = [2]SalmonProps!$B$2:$B$10001)*($AP107 = [2]SalmonProps!$F$2:$F$10001) *($AR107 = [2]SalmonProps!$G$2:$G$10001),0), 17))</f>
        <v/>
      </c>
      <c r="E107" s="181" t="str" cm="1">
        <f t="array" ref="E107">IF(ISBLANK($AQ107), "", INDEX([2]SalmonProps!$A$2:$AA$10001,MATCH(1,($A107=[2]SalmonProps!$A$2:$A$10001)*(2=[2]SalmonProps!$C$2:$C$10001)*(3=[2]SalmonProps!$D$2:$D$10001)*("A1" = [2]SalmonProps!$B$2:$B$10001)*($AP107 = [2]SalmonProps!$F$2:$F$10001) *($AR107 = [2]SalmonProps!$G$2:$G$10001),0), 17))</f>
        <v/>
      </c>
      <c r="F107" s="165" t="str" cm="1">
        <f t="array" ref="F107">IF(ISBLANK($AQ107), "", INDEX([2]SalmonProps!$A$2:$AA$10001,MATCH(1,($A107=[2]SalmonProps!$A$2:$A$10001)*(3=[2]SalmonProps!$C$2:$C$10001)*(3=[2]SalmonProps!$D$2:$D$10001)*("A1" = [2]SalmonProps!$B$2:$B$10001)*($AP107 = [2]SalmonProps!$F$2:$F$10001) *($AR107 = [2]SalmonProps!$G$2:$G$10001),0), 17))</f>
        <v/>
      </c>
      <c r="G107" s="165" t="str" cm="1">
        <f t="array" ref="G107">IF(ISBLANK($AQ107), "", INDEX([2]SalmonProps!$A$2:$AA$10001,MATCH(1,($A107=[2]SalmonProps!$A$2:$A$10001)*(1=[2]SalmonProps!$C$2:$C$10001)*(1=[2]SalmonProps!$D$2:$D$10001)*("A2" = [2]SalmonProps!$B$2:$B$10001)*($AP107 = [2]SalmonProps!$F$2:$F$10001) *($AR107 = [2]SalmonProps!$G$2:$G$10001),0), 17))</f>
        <v/>
      </c>
      <c r="H107" s="166" t="str" cm="1">
        <f t="array" ref="H107">IF(ISBLANK($AQ107), "", INDEX([2]SalmonProps!$A$2:$AA$10001,MATCH(1,($A107=[2]SalmonProps!$A$2:$A$10001)*(2=[2]SalmonProps!$C$2:$C$10001)*(1=[2]SalmonProps!$D$2:$D$10001)*("A2" = [2]SalmonProps!$B$2:$B$10001)*($AP107 = [2]SalmonProps!$F$2:$F$10001) *($AR107 = [2]SalmonProps!$G$2:$G$10001),0), 17))</f>
        <v/>
      </c>
      <c r="I107" s="167" t="str" cm="1">
        <f t="array" ref="I107">IF(ISBLANK($AQ107), "", INDEX([2]SalmonProps!$A$2:$AA$10001,MATCH(1,($A107=[2]SalmonProps!$A$2:$A$10001)*(3=[2]SalmonProps!$C$2:$C$10001)*(1=[2]SalmonProps!$D$2:$D$10001)*("A2" = [2]SalmonProps!$B$2:$B$10001)*($AP107 = [2]SalmonProps!$F$2:$F$10001) *($AR107 = [2]SalmonProps!$G$2:$G$10001),0), 17))</f>
        <v/>
      </c>
      <c r="J107" s="164" t="str" cm="1">
        <f t="array" ref="J107">IF(ISBLANK($AQ107), "", INDEX([2]SalmonProps!$A$2:$AA$10001,MATCH(1,($A107=[2]SalmonProps!$A$2:$A$10001)*(1=[2]SalmonProps!$C$2:$C$10001)*(1=[2]SalmonProps!$D$2:$D$10001)*("A1" = [2]SalmonProps!$B$2:$B$10001)*($AP107 = [2]SalmonProps!$F$2:$F$10001) *($AR107 = [2]SalmonProps!$G$2:$G$10001),0), 19))</f>
        <v/>
      </c>
      <c r="K107" s="165" t="str" cm="1">
        <f t="array" ref="K107">IF(ISBLANK($AQ107), "", INDEX([2]SalmonProps!$A$2:$AA$10001,MATCH(1,($A107=[2]SalmonProps!$A$2:$A$10001)*(1=[2]SalmonProps!$C$2:$C$10001)*(2=[2]SalmonProps!$D$2:$D$10001)*("A1" = [2]SalmonProps!$B$2:$B$10001)*($AP107 = [2]SalmonProps!$F$2:$F$10001) *($AR107 = [2]SalmonProps!$G$2:$G$10001),0), 19))</f>
        <v/>
      </c>
      <c r="L107" s="165" t="str" cm="1">
        <f t="array" ref="L107">IF(ISBLANK($AQ107), "", INDEX([2]SalmonProps!$A$2:$AA$10001,MATCH(1,($A107=[2]SalmonProps!$A$2:$A$10001)*(1=[2]SalmonProps!$C$2:$C$10001)*("1&amp;2"=[2]SalmonProps!$D$2:$D$10001)*("A1" = [2]SalmonProps!$B$2:$B$10001)*($AP107 = [2]SalmonProps!$F$2:$F$10001) *($AR107 = [2]SalmonProps!$G$2:$G$10001),0), 19))</f>
        <v/>
      </c>
      <c r="M107" s="165" t="str" cm="1">
        <f t="array" ref="M107">IF(ISBLANK($AQ107), "", INDEX([2]SalmonProps!$A$2:$AA$10001,MATCH(1,($A107=[2]SalmonProps!$A$2:$A$10001)*(2=[2]SalmonProps!$C$2:$C$10001)*(3=[2]SalmonProps!$D$2:$D$10001)*("A1" = [2]SalmonProps!$B$2:$B$10001)*($AP107 = [2]SalmonProps!$F$2:$F$10001) *($AR107 = [2]SalmonProps!$G$2:$G$10001),0), 19))</f>
        <v/>
      </c>
      <c r="N107" s="181" t="str" cm="1">
        <f t="array" ref="N107">IF(ISBLANK($AQ107), "", INDEX([2]SalmonProps!$A$2:$AA$10001,MATCH(1,($A107=[2]SalmonProps!$A$2:$A$10001)*(3=[2]SalmonProps!$C$2:$C$10001)*(3=[2]SalmonProps!$D$2:$D$10001)*("A1" = [2]SalmonProps!$B$2:$B$10001)*($AP107 = [2]SalmonProps!$F$2:$F$10001) *($AR107 = [2]SalmonProps!$G$2:$G$10001),0), 19))</f>
        <v/>
      </c>
      <c r="O107" s="165" t="str" cm="1">
        <f t="array" ref="O107">IF(ISBLANK($AQ107), "", INDEX([2]SalmonProps!$A$2:$AA$10001,MATCH(1,($A107=[2]SalmonProps!$A$2:$A$10001)*(1=[2]SalmonProps!$C$2:$C$10001)*(1=[2]SalmonProps!$D$2:$D$10001)*("A2" = [2]SalmonProps!$B$2:$B$10001)*($AP107 = [2]SalmonProps!$F$2:$F$10001) *($AR107 = [2]SalmonProps!$G$2:$G$10001),0), 19))</f>
        <v/>
      </c>
      <c r="P107" s="165" t="str" cm="1">
        <f t="array" ref="P107">IF(ISBLANK($AQ107), "", INDEX([2]SalmonProps!$A$2:$AA$10001,MATCH(1,($A107=[2]SalmonProps!$A$2:$A$10001)*(2=[2]SalmonProps!$C$2:$C$10001)*(1=[2]SalmonProps!$D$2:$D$10001)*("A2" = [2]SalmonProps!$B$2:$B$10001)*($AP107 = [2]SalmonProps!$F$2:$F$10001) *($AR107 = [2]SalmonProps!$G$2:$G$10001),0), 19))</f>
        <v/>
      </c>
      <c r="Q107" s="168" t="str" cm="1">
        <f t="array" ref="Q107">IF(ISBLANK($AQ107), "", INDEX([2]SalmonProps!$A$2:$AA$10001,MATCH(1,($A107=[2]SalmonProps!$A$2:$A$10001)*(3=[2]SalmonProps!$C$2:$C$10001)*(1=[2]SalmonProps!$D$2:$D$10001)*("A2" = [2]SalmonProps!$B$2:$B$10001)*($AP107 = [2]SalmonProps!$F$2:$F$10001) *($AR107 = [2]SalmonProps!$G$2:$G$10001),0), 19))</f>
        <v/>
      </c>
      <c r="R107" s="164" t="str" cm="1">
        <f t="array" ref="R107">IF(ISBLANK($AQ107), "", INDEX([2]SalmonProps!$A$2:$AA$10001,MATCH(1,($A107=[2]SalmonProps!$A$2:$A$10001)*(1=[2]SalmonProps!$C$2:$C$10001)*(1=[2]SalmonProps!$D$2:$D$10001)*("A1" = [2]SalmonProps!$B$2:$B$10001)*($AP107 = [2]SalmonProps!$F$2:$F$10001) *($AR107 = [2]SalmonProps!$G$2:$G$10001),0), 18))</f>
        <v/>
      </c>
      <c r="S107" s="165" t="str" cm="1">
        <f t="array" ref="S107">IF(ISBLANK($AQ107), "", INDEX([2]SalmonProps!$A$2:$AA$10001,MATCH(1,($A107=[2]SalmonProps!$A$2:$A$10001)*(1=[2]SalmonProps!$C$2:$C$10001)*(2=[2]SalmonProps!$D$2:$D$10001)*("A1" = [2]SalmonProps!$B$2:$B$10001)*($AP107 = [2]SalmonProps!$F$2:$F$10001) *($AR107 = [2]SalmonProps!$G$2:$G$10001),0), 18))</f>
        <v/>
      </c>
      <c r="T107" s="165" t="str" cm="1">
        <f t="array" ref="T107">IF(ISBLANK($AQ107), "", INDEX([2]SalmonProps!$A$2:$AA$10001,MATCH(1,($A107=[2]SalmonProps!$A$2:$A$10001)*(1=[2]SalmonProps!$C$2:$C$10001)*("1&amp;2"=[2]SalmonProps!$D$2:$D$10001)*("A1" = [2]SalmonProps!$B$2:$B$10001)*($AP107 = [2]SalmonProps!$F$2:$F$10001) *($AR107 = [2]SalmonProps!$G$2:$G$10001),0), 18))</f>
        <v/>
      </c>
      <c r="U107" s="165" t="str" cm="1">
        <f t="array" ref="U107">IF(ISBLANK($AQ107), "", INDEX([2]SalmonProps!$A$2:$AA$10001,MATCH(1,($A107=[2]SalmonProps!$A$2:$A$10001)*(2=[2]SalmonProps!$C$2:$C$10001)*(3=[2]SalmonProps!$D$2:$D$10001)*("A1" = [2]SalmonProps!$B$2:$B$10001)*($AP107 = [2]SalmonProps!$F$2:$F$10001) *($AR107 = [2]SalmonProps!$G$2:$G$10001),0), 18))</f>
        <v/>
      </c>
      <c r="V107" s="181" t="str" cm="1">
        <f t="array" ref="V107">IF(ISBLANK($AQ107), "", INDEX([2]SalmonProps!$A$2:$AA$10001,MATCH(1,($A107=[2]SalmonProps!$A$2:$A$10001)*(3=[2]SalmonProps!$C$2:$C$10001)*(3=[2]SalmonProps!$D$2:$D$10001)*("A1" = [2]SalmonProps!$B$2:$B$10001)*($AP107 = [2]SalmonProps!$F$2:$F$10001) *($AR107 = [2]SalmonProps!$G$2:$G$10001),0), 18))</f>
        <v/>
      </c>
      <c r="W107" s="180" t="str" cm="1">
        <f t="array" ref="W107">IF(ISBLANK($AQ107), "", INDEX([2]SalmonProps!$A$2:$AA$10001,MATCH(1,($A107=[2]SalmonProps!$A$2:$A$10001)*(1=[2]SalmonProps!$C$2:$C$10001)*(1=[2]SalmonProps!$D$2:$D$10001)*("A2" = [2]SalmonProps!$B$2:$B$10001)*($AP107 = [2]SalmonProps!$F$2:$F$10001) *($AR107 = [2]SalmonProps!$G$2:$G$10001),0), 18))</f>
        <v/>
      </c>
      <c r="X107" s="165" t="str" cm="1">
        <f t="array" ref="X107">IF(ISBLANK($AQ107), "", INDEX([2]SalmonProps!$A$2:$AA$10001,MATCH(1,($A107=[2]SalmonProps!$A$2:$A$10001)*(2=[2]SalmonProps!$C$2:$C$10001)*(1=[2]SalmonProps!$D$2:$D$10001)*("A2" = [2]SalmonProps!$B$2:$B$10001)*($AP107 = [2]SalmonProps!$F$2:$F$10001) *($AR107 = [2]SalmonProps!$G$2:$G$10001),0), 18))</f>
        <v/>
      </c>
      <c r="Y107" s="168" t="str" cm="1">
        <f t="array" ref="Y107">IF(ISBLANK($AQ107), "", INDEX([2]SalmonProps!$A$2:$AA$10001,MATCH(1,($A107=[2]SalmonProps!$A$2:$A$10001)*(3=[2]SalmonProps!$C$2:$C$10001)*(1=[2]SalmonProps!$D$2:$D$10001)*("A2" = [2]SalmonProps!$B$2:$B$10001)*($AP107 = [2]SalmonProps!$F$2:$F$10001) *($AR107 = [2]SalmonProps!$G$2:$G$10001),0), 18))</f>
        <v/>
      </c>
      <c r="Z107" s="164" t="str" cm="1">
        <f t="array" ref="Z107">IF(ISBLANK($AQ107), "", INDEX([2]SalmonProps!$A$2:$AA$10001,MATCH(1,($A107=[2]SalmonProps!$A$2:$A$10001)*(1=[2]SalmonProps!$C$2:$C$10001)*(1=[2]SalmonProps!$D$2:$D$10001)*("A1" = [2]SalmonProps!$B$2:$B$10001)*($AP107 = [2]SalmonProps!$F$2:$F$10001) *($AR107 = [2]SalmonProps!$G$2:$G$10001),0), 15))</f>
        <v/>
      </c>
      <c r="AA107" s="165" t="str" cm="1">
        <f t="array" ref="AA107">IF(ISBLANK($AQ107), "", INDEX([2]SalmonProps!$A$2:$AA$10001,MATCH(1,($A107=[2]SalmonProps!$A$2:$A$10001)*(1=[2]SalmonProps!$C$2:$C$10001)*(2=[2]SalmonProps!$D$2:$D$10001)*("A1" = [2]SalmonProps!$B$2:$B$10001)*($AP107 = [2]SalmonProps!$F$2:$F$10001) *($AR107 = [2]SalmonProps!$G$2:$G$10001),0), 15))</f>
        <v/>
      </c>
      <c r="AB107" s="165" t="str" cm="1">
        <f t="array" ref="AB107">IF(ISBLANK($AQ107), "", INDEX([2]SalmonProps!$A$2:$AA$10001,MATCH(1,($A107=[2]SalmonProps!$A$2:$A$10001)*(1=[2]SalmonProps!$C$2:$C$10001)*("1&amp;2"=[2]SalmonProps!$D$2:$D$10001)*("A1" = [2]SalmonProps!$B$2:$B$10001)*($AP107 = [2]SalmonProps!$F$2:$F$10001) *($AR107 = [2]SalmonProps!$G$2:$G$10001),0), 15))</f>
        <v/>
      </c>
      <c r="AC107" s="165" t="str" cm="1">
        <f t="array" ref="AC107">IF(ISBLANK($AQ107), "", INDEX([2]SalmonProps!$A$2:$AA$10001,MATCH(1,($A107=[2]SalmonProps!$A$2:$A$10001)*(2=[2]SalmonProps!$C$2:$C$10001)*(3=[2]SalmonProps!$D$2:$D$10001)*("A1" = [2]SalmonProps!$B$2:$B$10001)*($AP107 = [2]SalmonProps!$F$2:$F$10001) *($AR107 = [2]SalmonProps!$G$2:$G$10001),0), 15))</f>
        <v/>
      </c>
      <c r="AD107" s="181" t="str" cm="1">
        <f t="array" ref="AD107">IF(ISBLANK($AQ107), "", INDEX([2]SalmonProps!$A$2:$AA$10001,MATCH(1,($A107=[2]SalmonProps!$A$2:$A$10001)*(3=[2]SalmonProps!$C$2:$C$10001)*(3=[2]SalmonProps!$D$2:$D$10001)*("A1" = [2]SalmonProps!$B$2:$B$10001)*($AP107 = [2]SalmonProps!$F$2:$F$10001) *($AR107 = [2]SalmonProps!$G$2:$G$10001),0), 15))</f>
        <v/>
      </c>
      <c r="AE107" s="166" t="str" cm="1">
        <f t="array" ref="AE107">IF(ISBLANK($AQ107), "", INDEX([2]SalmonProps!$A$2:$AA$10001,MATCH(1,($A107=[2]SalmonProps!$A$2:$A$10001)*(1=[2]SalmonProps!$C$2:$C$10001)*(1=[2]SalmonProps!$D$2:$D$10001)*("A2" = [2]SalmonProps!$B$2:$B$10001)*($AP107 = [2]SalmonProps!$F$2:$F$10001) *($AR107 = [2]SalmonProps!$G$2:$G$10001),0), 15))</f>
        <v/>
      </c>
      <c r="AF107" s="166" t="str" cm="1">
        <f t="array" ref="AF107">IF(ISBLANK($AQ107), "", INDEX([2]SalmonProps!$A$2:$AA$10001,MATCH(1,($A107=[2]SalmonProps!$A$2:$A$10001)*(2=[2]SalmonProps!$C$2:$C$10001)*(1=[2]SalmonProps!$D$2:$D$10001)*("A2" = [2]SalmonProps!$B$2:$B$10001)*($AP107 = [2]SalmonProps!$F$2:$F$10001) *($AR107 = [2]SalmonProps!$G$2:$G$10001),0), 15))</f>
        <v/>
      </c>
      <c r="AG107" s="167" t="str" cm="1">
        <f t="array" ref="AG107">IF(ISBLANK($AQ107), "", INDEX([2]SalmonProps!$A$2:$AA$10001,MATCH(1,($A107=[2]SalmonProps!$A$2:$A$10001)*(3=[2]SalmonProps!$C$2:$C$10001)*(1=[2]SalmonProps!$D$2:$D$10001)*("A2" = [2]SalmonProps!$B$2:$B$10001)*($AP107 = [2]SalmonProps!$F$2:$F$10001) *($AR107 = [2]SalmonProps!$G$2:$G$10001),0), 15))</f>
        <v/>
      </c>
      <c r="AH107" s="173" t="str" cm="1">
        <f t="array" ref="AH107">IF(ISBLANK($AQ107), "", INDEX([2]SalmonProps!$A$2:$AA$10001,MATCH(1,($A107=[2]SalmonProps!$A$2:$A$10001)*($AP107 = [2]SalmonProps!$F$2:$F$10001) *($AR107 = [2]SalmonProps!$G$2:$G$10001),0), 24))</f>
        <v/>
      </c>
      <c r="AI107" s="183" t="str" cm="1">
        <f t="array" ref="AI107">IF(ISBLANK($AQ107), "", INDEX([2]SalmonProps!$A$2:$AA$10001,MATCH(1,($A107=[2]SalmonProps!$A$2:$A$10001)*($AP107 = [2]SalmonProps!$F$2:$F$10001) *($AR107 = [2]SalmonProps!$G$2:$G$10001),0), 25))</f>
        <v/>
      </c>
      <c r="AJ107" s="174" t="str" cm="1">
        <f t="array" ref="AJ107">IF(ISBLANK($AQ107), "", INDEX([2]SalmonProps!$A$2:$AA$10001,MATCH(1,($A107=[2]SalmonProps!$A$2:$A$10001)*($AP107 = [2]SalmonProps!$F$2:$F$10001) *($AR107 = [2]SalmonProps!$G$2:$G$10001),0), 20))</f>
        <v/>
      </c>
      <c r="AK107" s="183" t="str" cm="1">
        <f t="array" ref="AK107">IF(ISBLANK($AQ107), "", INDEX([2]SalmonProps!$A$2:$AA$10001,MATCH(1,($A107=[2]SalmonProps!$A$2:$A$10001)*($AP107 = [2]SalmonProps!$F$2:$F$10001) *($AR107 = [2]SalmonProps!$G$2:$G$10001),0), 21))</f>
        <v/>
      </c>
      <c r="AL107" s="174" t="str" cm="1">
        <f t="array" ref="AL107">IF(ISBLANK($AQ107), "", INDEX([2]SalmonProps!$A$2:$AA$10001,MATCH(1,($A107=[2]SalmonProps!$A$2:$A$10001)*($AP107 = [2]SalmonProps!$F$2:$F$10001) *($AR107 = [2]SalmonProps!$G$2:$G$10001),0), 22))</f>
        <v/>
      </c>
      <c r="AM107" s="183" t="str" cm="1">
        <f t="array" ref="AM107">IF(ISBLANK($AQ107), "", INDEX([2]SalmonProps!$A$2:$AA$10001,MATCH(1,($A107=[2]SalmonProps!$A$2:$A$10001)*($AP107 = [2]SalmonProps!$F$2:$F$10001) *($AR107 = [2]SalmonProps!$G$2:$G$10001),0), 23))</f>
        <v/>
      </c>
      <c r="AN107" s="174" t="str" cm="1">
        <f t="array" ref="AN107">IF(ISBLANK($AQ107), "", INDEX([2]SalmonProps!$A$2:$AA$10001,MATCH(1,($A107=[2]SalmonProps!$A$2:$A$10001)*($AP107 = [2]SalmonProps!$F$2:$F$10001) *($AR107 = [2]SalmonProps!$G$2:$G$10001),0), 26))</f>
        <v/>
      </c>
      <c r="AO107" s="175" t="str" cm="1">
        <f t="array" ref="AO107">IF(ISBLANK($AQ107), "", INDEX([2]SalmonProps!$A$2:$AA$10001,MATCH(1,($A107=[2]SalmonProps!$A$2:$A$10001)*($AP107 = [2]SalmonProps!$F$2:$F$10001) *($AR107 = [2]SalmonProps!$G$2:$G$10001),0), 27))</f>
        <v/>
      </c>
      <c r="AP107" s="112"/>
      <c r="AQ107" s="112"/>
      <c r="AR107" s="112" t="e">
        <f t="shared" si="2"/>
        <v>#N/A</v>
      </c>
    </row>
    <row r="108" spans="1:44" x14ac:dyDescent="0.3">
      <c r="A108" s="20">
        <f>'[1]Passage Estimates'!$A108</f>
        <v>45210</v>
      </c>
      <c r="B108" s="164" t="str" cm="1">
        <f t="array" ref="B108">IF(ISBLANK($AQ108), "", INDEX([2]SalmonProps!$A$2:$AA$10001,MATCH(1,($A108=[2]SalmonProps!$A$2:$A$10001)*(1=[2]SalmonProps!$C$2:$C$10001)*(1=[2]SalmonProps!$D$2:$D$10001)*("A1" = [2]SalmonProps!$B$2:$B$10001)*($AP108 = [2]SalmonProps!$F$2:$F$10001) *($AR108 = [2]SalmonProps!$G$2:$G$10001),0), 17))</f>
        <v/>
      </c>
      <c r="C108" s="165" t="str" cm="1">
        <f t="array" ref="C108">IF(ISBLANK($AQ108), "", INDEX([2]SalmonProps!$A$2:$AA$10001,MATCH(1,($A108=[2]SalmonProps!$A$2:$A$10001)*(1=[2]SalmonProps!$C$2:$C$10001)*(2=[2]SalmonProps!$D$2:$D$10001)*("A1" = [2]SalmonProps!$B$2:$B$10001)*($AP108 = [2]SalmonProps!$F$2:$F$10001) *($AR108 = [2]SalmonProps!$G$2:$G$10001),0), 17))</f>
        <v/>
      </c>
      <c r="D108" s="165" t="str" cm="1">
        <f t="array" ref="D108">IF(ISBLANK($AQ108), "", INDEX([2]SalmonProps!$A$2:$AA$10001,MATCH(1,($A108=[2]SalmonProps!$A$2:$A$10001)*(1=[2]SalmonProps!$C$2:$C$10001)*("1&amp;2"=[2]SalmonProps!$D$2:$D$10001)*("A1" = [2]SalmonProps!$B$2:$B$10001)*($AP108 = [2]SalmonProps!$F$2:$F$10001) *($AR108 = [2]SalmonProps!$G$2:$G$10001),0), 17))</f>
        <v/>
      </c>
      <c r="E108" s="181" t="str" cm="1">
        <f t="array" ref="E108">IF(ISBLANK($AQ108), "", INDEX([2]SalmonProps!$A$2:$AA$10001,MATCH(1,($A108=[2]SalmonProps!$A$2:$A$10001)*(2=[2]SalmonProps!$C$2:$C$10001)*(3=[2]SalmonProps!$D$2:$D$10001)*("A1" = [2]SalmonProps!$B$2:$B$10001)*($AP108 = [2]SalmonProps!$F$2:$F$10001) *($AR108 = [2]SalmonProps!$G$2:$G$10001),0), 17))</f>
        <v/>
      </c>
      <c r="F108" s="165" t="str" cm="1">
        <f t="array" ref="F108">IF(ISBLANK($AQ108), "", INDEX([2]SalmonProps!$A$2:$AA$10001,MATCH(1,($A108=[2]SalmonProps!$A$2:$A$10001)*(3=[2]SalmonProps!$C$2:$C$10001)*(3=[2]SalmonProps!$D$2:$D$10001)*("A1" = [2]SalmonProps!$B$2:$B$10001)*($AP108 = [2]SalmonProps!$F$2:$F$10001) *($AR108 = [2]SalmonProps!$G$2:$G$10001),0), 17))</f>
        <v/>
      </c>
      <c r="G108" s="165" t="str" cm="1">
        <f t="array" ref="G108">IF(ISBLANK($AQ108), "", INDEX([2]SalmonProps!$A$2:$AA$10001,MATCH(1,($A108=[2]SalmonProps!$A$2:$A$10001)*(1=[2]SalmonProps!$C$2:$C$10001)*(1=[2]SalmonProps!$D$2:$D$10001)*("A2" = [2]SalmonProps!$B$2:$B$10001)*($AP108 = [2]SalmonProps!$F$2:$F$10001) *($AR108 = [2]SalmonProps!$G$2:$G$10001),0), 17))</f>
        <v/>
      </c>
      <c r="H108" s="166" t="str" cm="1">
        <f t="array" ref="H108">IF(ISBLANK($AQ108), "", INDEX([2]SalmonProps!$A$2:$AA$10001,MATCH(1,($A108=[2]SalmonProps!$A$2:$A$10001)*(2=[2]SalmonProps!$C$2:$C$10001)*(1=[2]SalmonProps!$D$2:$D$10001)*("A2" = [2]SalmonProps!$B$2:$B$10001)*($AP108 = [2]SalmonProps!$F$2:$F$10001) *($AR108 = [2]SalmonProps!$G$2:$G$10001),0), 17))</f>
        <v/>
      </c>
      <c r="I108" s="167" t="str" cm="1">
        <f t="array" ref="I108">IF(ISBLANK($AQ108), "", INDEX([2]SalmonProps!$A$2:$AA$10001,MATCH(1,($A108=[2]SalmonProps!$A$2:$A$10001)*(3=[2]SalmonProps!$C$2:$C$10001)*(1=[2]SalmonProps!$D$2:$D$10001)*("A2" = [2]SalmonProps!$B$2:$B$10001)*($AP108 = [2]SalmonProps!$F$2:$F$10001) *($AR108 = [2]SalmonProps!$G$2:$G$10001),0), 17))</f>
        <v/>
      </c>
      <c r="J108" s="164" t="str" cm="1">
        <f t="array" ref="J108">IF(ISBLANK($AQ108), "", INDEX([2]SalmonProps!$A$2:$AA$10001,MATCH(1,($A108=[2]SalmonProps!$A$2:$A$10001)*(1=[2]SalmonProps!$C$2:$C$10001)*(1=[2]SalmonProps!$D$2:$D$10001)*("A1" = [2]SalmonProps!$B$2:$B$10001)*($AP108 = [2]SalmonProps!$F$2:$F$10001) *($AR108 = [2]SalmonProps!$G$2:$G$10001),0), 19))</f>
        <v/>
      </c>
      <c r="K108" s="165" t="str" cm="1">
        <f t="array" ref="K108">IF(ISBLANK($AQ108), "", INDEX([2]SalmonProps!$A$2:$AA$10001,MATCH(1,($A108=[2]SalmonProps!$A$2:$A$10001)*(1=[2]SalmonProps!$C$2:$C$10001)*(2=[2]SalmonProps!$D$2:$D$10001)*("A1" = [2]SalmonProps!$B$2:$B$10001)*($AP108 = [2]SalmonProps!$F$2:$F$10001) *($AR108 = [2]SalmonProps!$G$2:$G$10001),0), 19))</f>
        <v/>
      </c>
      <c r="L108" s="165" t="str" cm="1">
        <f t="array" ref="L108">IF(ISBLANK($AQ108), "", INDEX([2]SalmonProps!$A$2:$AA$10001,MATCH(1,($A108=[2]SalmonProps!$A$2:$A$10001)*(1=[2]SalmonProps!$C$2:$C$10001)*("1&amp;2"=[2]SalmonProps!$D$2:$D$10001)*("A1" = [2]SalmonProps!$B$2:$B$10001)*($AP108 = [2]SalmonProps!$F$2:$F$10001) *($AR108 = [2]SalmonProps!$G$2:$G$10001),0), 19))</f>
        <v/>
      </c>
      <c r="M108" s="165" t="str" cm="1">
        <f t="array" ref="M108">IF(ISBLANK($AQ108), "", INDEX([2]SalmonProps!$A$2:$AA$10001,MATCH(1,($A108=[2]SalmonProps!$A$2:$A$10001)*(2=[2]SalmonProps!$C$2:$C$10001)*(3=[2]SalmonProps!$D$2:$D$10001)*("A1" = [2]SalmonProps!$B$2:$B$10001)*($AP108 = [2]SalmonProps!$F$2:$F$10001) *($AR108 = [2]SalmonProps!$G$2:$G$10001),0), 19))</f>
        <v/>
      </c>
      <c r="N108" s="181" t="str" cm="1">
        <f t="array" ref="N108">IF(ISBLANK($AQ108), "", INDEX([2]SalmonProps!$A$2:$AA$10001,MATCH(1,($A108=[2]SalmonProps!$A$2:$A$10001)*(3=[2]SalmonProps!$C$2:$C$10001)*(3=[2]SalmonProps!$D$2:$D$10001)*("A1" = [2]SalmonProps!$B$2:$B$10001)*($AP108 = [2]SalmonProps!$F$2:$F$10001) *($AR108 = [2]SalmonProps!$G$2:$G$10001),0), 19))</f>
        <v/>
      </c>
      <c r="O108" s="165" t="str" cm="1">
        <f t="array" ref="O108">IF(ISBLANK($AQ108), "", INDEX([2]SalmonProps!$A$2:$AA$10001,MATCH(1,($A108=[2]SalmonProps!$A$2:$A$10001)*(1=[2]SalmonProps!$C$2:$C$10001)*(1=[2]SalmonProps!$D$2:$D$10001)*("A2" = [2]SalmonProps!$B$2:$B$10001)*($AP108 = [2]SalmonProps!$F$2:$F$10001) *($AR108 = [2]SalmonProps!$G$2:$G$10001),0), 19))</f>
        <v/>
      </c>
      <c r="P108" s="165" t="str" cm="1">
        <f t="array" ref="P108">IF(ISBLANK($AQ108), "", INDEX([2]SalmonProps!$A$2:$AA$10001,MATCH(1,($A108=[2]SalmonProps!$A$2:$A$10001)*(2=[2]SalmonProps!$C$2:$C$10001)*(1=[2]SalmonProps!$D$2:$D$10001)*("A2" = [2]SalmonProps!$B$2:$B$10001)*($AP108 = [2]SalmonProps!$F$2:$F$10001) *($AR108 = [2]SalmonProps!$G$2:$G$10001),0), 19))</f>
        <v/>
      </c>
      <c r="Q108" s="168" t="str" cm="1">
        <f t="array" ref="Q108">IF(ISBLANK($AQ108), "", INDEX([2]SalmonProps!$A$2:$AA$10001,MATCH(1,($A108=[2]SalmonProps!$A$2:$A$10001)*(3=[2]SalmonProps!$C$2:$C$10001)*(1=[2]SalmonProps!$D$2:$D$10001)*("A2" = [2]SalmonProps!$B$2:$B$10001)*($AP108 = [2]SalmonProps!$F$2:$F$10001) *($AR108 = [2]SalmonProps!$G$2:$G$10001),0), 19))</f>
        <v/>
      </c>
      <c r="R108" s="164" t="str" cm="1">
        <f t="array" ref="R108">IF(ISBLANK($AQ108), "", INDEX([2]SalmonProps!$A$2:$AA$10001,MATCH(1,($A108=[2]SalmonProps!$A$2:$A$10001)*(1=[2]SalmonProps!$C$2:$C$10001)*(1=[2]SalmonProps!$D$2:$D$10001)*("A1" = [2]SalmonProps!$B$2:$B$10001)*($AP108 = [2]SalmonProps!$F$2:$F$10001) *($AR108 = [2]SalmonProps!$G$2:$G$10001),0), 18))</f>
        <v/>
      </c>
      <c r="S108" s="165" t="str" cm="1">
        <f t="array" ref="S108">IF(ISBLANK($AQ108), "", INDEX([2]SalmonProps!$A$2:$AA$10001,MATCH(1,($A108=[2]SalmonProps!$A$2:$A$10001)*(1=[2]SalmonProps!$C$2:$C$10001)*(2=[2]SalmonProps!$D$2:$D$10001)*("A1" = [2]SalmonProps!$B$2:$B$10001)*($AP108 = [2]SalmonProps!$F$2:$F$10001) *($AR108 = [2]SalmonProps!$G$2:$G$10001),0), 18))</f>
        <v/>
      </c>
      <c r="T108" s="165" t="str" cm="1">
        <f t="array" ref="T108">IF(ISBLANK($AQ108), "", INDEX([2]SalmonProps!$A$2:$AA$10001,MATCH(1,($A108=[2]SalmonProps!$A$2:$A$10001)*(1=[2]SalmonProps!$C$2:$C$10001)*("1&amp;2"=[2]SalmonProps!$D$2:$D$10001)*("A1" = [2]SalmonProps!$B$2:$B$10001)*($AP108 = [2]SalmonProps!$F$2:$F$10001) *($AR108 = [2]SalmonProps!$G$2:$G$10001),0), 18))</f>
        <v/>
      </c>
      <c r="U108" s="165" t="str" cm="1">
        <f t="array" ref="U108">IF(ISBLANK($AQ108), "", INDEX([2]SalmonProps!$A$2:$AA$10001,MATCH(1,($A108=[2]SalmonProps!$A$2:$A$10001)*(2=[2]SalmonProps!$C$2:$C$10001)*(3=[2]SalmonProps!$D$2:$D$10001)*("A1" = [2]SalmonProps!$B$2:$B$10001)*($AP108 = [2]SalmonProps!$F$2:$F$10001) *($AR108 = [2]SalmonProps!$G$2:$G$10001),0), 18))</f>
        <v/>
      </c>
      <c r="V108" s="181" t="str" cm="1">
        <f t="array" ref="V108">IF(ISBLANK($AQ108), "", INDEX([2]SalmonProps!$A$2:$AA$10001,MATCH(1,($A108=[2]SalmonProps!$A$2:$A$10001)*(3=[2]SalmonProps!$C$2:$C$10001)*(3=[2]SalmonProps!$D$2:$D$10001)*("A1" = [2]SalmonProps!$B$2:$B$10001)*($AP108 = [2]SalmonProps!$F$2:$F$10001) *($AR108 = [2]SalmonProps!$G$2:$G$10001),0), 18))</f>
        <v/>
      </c>
      <c r="W108" s="180" t="str" cm="1">
        <f t="array" ref="W108">IF(ISBLANK($AQ108), "", INDEX([2]SalmonProps!$A$2:$AA$10001,MATCH(1,($A108=[2]SalmonProps!$A$2:$A$10001)*(1=[2]SalmonProps!$C$2:$C$10001)*(1=[2]SalmonProps!$D$2:$D$10001)*("A2" = [2]SalmonProps!$B$2:$B$10001)*($AP108 = [2]SalmonProps!$F$2:$F$10001) *($AR108 = [2]SalmonProps!$G$2:$G$10001),0), 18))</f>
        <v/>
      </c>
      <c r="X108" s="165" t="str" cm="1">
        <f t="array" ref="X108">IF(ISBLANK($AQ108), "", INDEX([2]SalmonProps!$A$2:$AA$10001,MATCH(1,($A108=[2]SalmonProps!$A$2:$A$10001)*(2=[2]SalmonProps!$C$2:$C$10001)*(1=[2]SalmonProps!$D$2:$D$10001)*("A2" = [2]SalmonProps!$B$2:$B$10001)*($AP108 = [2]SalmonProps!$F$2:$F$10001) *($AR108 = [2]SalmonProps!$G$2:$G$10001),0), 18))</f>
        <v/>
      </c>
      <c r="Y108" s="168" t="str" cm="1">
        <f t="array" ref="Y108">IF(ISBLANK($AQ108), "", INDEX([2]SalmonProps!$A$2:$AA$10001,MATCH(1,($A108=[2]SalmonProps!$A$2:$A$10001)*(3=[2]SalmonProps!$C$2:$C$10001)*(1=[2]SalmonProps!$D$2:$D$10001)*("A2" = [2]SalmonProps!$B$2:$B$10001)*($AP108 = [2]SalmonProps!$F$2:$F$10001) *($AR108 = [2]SalmonProps!$G$2:$G$10001),0), 18))</f>
        <v/>
      </c>
      <c r="Z108" s="164" t="str" cm="1">
        <f t="array" ref="Z108">IF(ISBLANK($AQ108), "", INDEX([2]SalmonProps!$A$2:$AA$10001,MATCH(1,($A108=[2]SalmonProps!$A$2:$A$10001)*(1=[2]SalmonProps!$C$2:$C$10001)*(1=[2]SalmonProps!$D$2:$D$10001)*("A1" = [2]SalmonProps!$B$2:$B$10001)*($AP108 = [2]SalmonProps!$F$2:$F$10001) *($AR108 = [2]SalmonProps!$G$2:$G$10001),0), 15))</f>
        <v/>
      </c>
      <c r="AA108" s="165" t="str" cm="1">
        <f t="array" ref="AA108">IF(ISBLANK($AQ108), "", INDEX([2]SalmonProps!$A$2:$AA$10001,MATCH(1,($A108=[2]SalmonProps!$A$2:$A$10001)*(1=[2]SalmonProps!$C$2:$C$10001)*(2=[2]SalmonProps!$D$2:$D$10001)*("A1" = [2]SalmonProps!$B$2:$B$10001)*($AP108 = [2]SalmonProps!$F$2:$F$10001) *($AR108 = [2]SalmonProps!$G$2:$G$10001),0), 15))</f>
        <v/>
      </c>
      <c r="AB108" s="165" t="str" cm="1">
        <f t="array" ref="AB108">IF(ISBLANK($AQ108), "", INDEX([2]SalmonProps!$A$2:$AA$10001,MATCH(1,($A108=[2]SalmonProps!$A$2:$A$10001)*(1=[2]SalmonProps!$C$2:$C$10001)*("1&amp;2"=[2]SalmonProps!$D$2:$D$10001)*("A1" = [2]SalmonProps!$B$2:$B$10001)*($AP108 = [2]SalmonProps!$F$2:$F$10001) *($AR108 = [2]SalmonProps!$G$2:$G$10001),0), 15))</f>
        <v/>
      </c>
      <c r="AC108" s="165" t="str" cm="1">
        <f t="array" ref="AC108">IF(ISBLANK($AQ108), "", INDEX([2]SalmonProps!$A$2:$AA$10001,MATCH(1,($A108=[2]SalmonProps!$A$2:$A$10001)*(2=[2]SalmonProps!$C$2:$C$10001)*(3=[2]SalmonProps!$D$2:$D$10001)*("A1" = [2]SalmonProps!$B$2:$B$10001)*($AP108 = [2]SalmonProps!$F$2:$F$10001) *($AR108 = [2]SalmonProps!$G$2:$G$10001),0), 15))</f>
        <v/>
      </c>
      <c r="AD108" s="181" t="str" cm="1">
        <f t="array" ref="AD108">IF(ISBLANK($AQ108), "", INDEX([2]SalmonProps!$A$2:$AA$10001,MATCH(1,($A108=[2]SalmonProps!$A$2:$A$10001)*(3=[2]SalmonProps!$C$2:$C$10001)*(3=[2]SalmonProps!$D$2:$D$10001)*("A1" = [2]SalmonProps!$B$2:$B$10001)*($AP108 = [2]SalmonProps!$F$2:$F$10001) *($AR108 = [2]SalmonProps!$G$2:$G$10001),0), 15))</f>
        <v/>
      </c>
      <c r="AE108" s="166" t="str" cm="1">
        <f t="array" ref="AE108">IF(ISBLANK($AQ108), "", INDEX([2]SalmonProps!$A$2:$AA$10001,MATCH(1,($A108=[2]SalmonProps!$A$2:$A$10001)*(1=[2]SalmonProps!$C$2:$C$10001)*(1=[2]SalmonProps!$D$2:$D$10001)*("A2" = [2]SalmonProps!$B$2:$B$10001)*($AP108 = [2]SalmonProps!$F$2:$F$10001) *($AR108 = [2]SalmonProps!$G$2:$G$10001),0), 15))</f>
        <v/>
      </c>
      <c r="AF108" s="166" t="str" cm="1">
        <f t="array" ref="AF108">IF(ISBLANK($AQ108), "", INDEX([2]SalmonProps!$A$2:$AA$10001,MATCH(1,($A108=[2]SalmonProps!$A$2:$A$10001)*(2=[2]SalmonProps!$C$2:$C$10001)*(1=[2]SalmonProps!$D$2:$D$10001)*("A2" = [2]SalmonProps!$B$2:$B$10001)*($AP108 = [2]SalmonProps!$F$2:$F$10001) *($AR108 = [2]SalmonProps!$G$2:$G$10001),0), 15))</f>
        <v/>
      </c>
      <c r="AG108" s="167" t="str" cm="1">
        <f t="array" ref="AG108">IF(ISBLANK($AQ108), "", INDEX([2]SalmonProps!$A$2:$AA$10001,MATCH(1,($A108=[2]SalmonProps!$A$2:$A$10001)*(3=[2]SalmonProps!$C$2:$C$10001)*(1=[2]SalmonProps!$D$2:$D$10001)*("A2" = [2]SalmonProps!$B$2:$B$10001)*($AP108 = [2]SalmonProps!$F$2:$F$10001) *($AR108 = [2]SalmonProps!$G$2:$G$10001),0), 15))</f>
        <v/>
      </c>
      <c r="AH108" s="173" t="str" cm="1">
        <f t="array" ref="AH108">IF(ISBLANK($AQ108), "", INDEX([2]SalmonProps!$A$2:$AA$10001,MATCH(1,($A108=[2]SalmonProps!$A$2:$A$10001)*($AP108 = [2]SalmonProps!$F$2:$F$10001) *($AR108 = [2]SalmonProps!$G$2:$G$10001),0), 24))</f>
        <v/>
      </c>
      <c r="AI108" s="183" t="str" cm="1">
        <f t="array" ref="AI108">IF(ISBLANK($AQ108), "", INDEX([2]SalmonProps!$A$2:$AA$10001,MATCH(1,($A108=[2]SalmonProps!$A$2:$A$10001)*($AP108 = [2]SalmonProps!$F$2:$F$10001) *($AR108 = [2]SalmonProps!$G$2:$G$10001),0), 25))</f>
        <v/>
      </c>
      <c r="AJ108" s="174" t="str" cm="1">
        <f t="array" ref="AJ108">IF(ISBLANK($AQ108), "", INDEX([2]SalmonProps!$A$2:$AA$10001,MATCH(1,($A108=[2]SalmonProps!$A$2:$A$10001)*($AP108 = [2]SalmonProps!$F$2:$F$10001) *($AR108 = [2]SalmonProps!$G$2:$G$10001),0), 20))</f>
        <v/>
      </c>
      <c r="AK108" s="183" t="str" cm="1">
        <f t="array" ref="AK108">IF(ISBLANK($AQ108), "", INDEX([2]SalmonProps!$A$2:$AA$10001,MATCH(1,($A108=[2]SalmonProps!$A$2:$A$10001)*($AP108 = [2]SalmonProps!$F$2:$F$10001) *($AR108 = [2]SalmonProps!$G$2:$G$10001),0), 21))</f>
        <v/>
      </c>
      <c r="AL108" s="174" t="str" cm="1">
        <f t="array" ref="AL108">IF(ISBLANK($AQ108), "", INDEX([2]SalmonProps!$A$2:$AA$10001,MATCH(1,($A108=[2]SalmonProps!$A$2:$A$10001)*($AP108 = [2]SalmonProps!$F$2:$F$10001) *($AR108 = [2]SalmonProps!$G$2:$G$10001),0), 22))</f>
        <v/>
      </c>
      <c r="AM108" s="183" t="str" cm="1">
        <f t="array" ref="AM108">IF(ISBLANK($AQ108), "", INDEX([2]SalmonProps!$A$2:$AA$10001,MATCH(1,($A108=[2]SalmonProps!$A$2:$A$10001)*($AP108 = [2]SalmonProps!$F$2:$F$10001) *($AR108 = [2]SalmonProps!$G$2:$G$10001),0), 23))</f>
        <v/>
      </c>
      <c r="AN108" s="174" t="str" cm="1">
        <f t="array" ref="AN108">IF(ISBLANK($AQ108), "", INDEX([2]SalmonProps!$A$2:$AA$10001,MATCH(1,($A108=[2]SalmonProps!$A$2:$A$10001)*($AP108 = [2]SalmonProps!$F$2:$F$10001) *($AR108 = [2]SalmonProps!$G$2:$G$10001),0), 26))</f>
        <v/>
      </c>
      <c r="AO108" s="175" t="str" cm="1">
        <f t="array" ref="AO108">IF(ISBLANK($AQ108), "", INDEX([2]SalmonProps!$A$2:$AA$10001,MATCH(1,($A108=[2]SalmonProps!$A$2:$A$10001)*($AP108 = [2]SalmonProps!$F$2:$F$10001) *($AR108 = [2]SalmonProps!$G$2:$G$10001),0), 27))</f>
        <v/>
      </c>
      <c r="AP108" s="112"/>
      <c r="AQ108" s="112"/>
      <c r="AR108" s="112" t="e">
        <f t="shared" si="2"/>
        <v>#N/A</v>
      </c>
    </row>
    <row r="109" spans="1:44" x14ac:dyDescent="0.3">
      <c r="A109" s="20">
        <f>'[1]Passage Estimates'!$A109</f>
        <v>45211</v>
      </c>
      <c r="B109" s="164" t="str" cm="1">
        <f t="array" ref="B109">IF(ISBLANK($AQ109), "", INDEX([2]SalmonProps!$A$2:$AA$10001,MATCH(1,($A109=[2]SalmonProps!$A$2:$A$10001)*(1=[2]SalmonProps!$C$2:$C$10001)*(1=[2]SalmonProps!$D$2:$D$10001)*("A1" = [2]SalmonProps!$B$2:$B$10001)*($AP109 = [2]SalmonProps!$F$2:$F$10001) *($AR109 = [2]SalmonProps!$G$2:$G$10001),0), 17))</f>
        <v/>
      </c>
      <c r="C109" s="165" t="str" cm="1">
        <f t="array" ref="C109">IF(ISBLANK($AQ109), "", INDEX([2]SalmonProps!$A$2:$AA$10001,MATCH(1,($A109=[2]SalmonProps!$A$2:$A$10001)*(1=[2]SalmonProps!$C$2:$C$10001)*(2=[2]SalmonProps!$D$2:$D$10001)*("A1" = [2]SalmonProps!$B$2:$B$10001)*($AP109 = [2]SalmonProps!$F$2:$F$10001) *($AR109 = [2]SalmonProps!$G$2:$G$10001),0), 17))</f>
        <v/>
      </c>
      <c r="D109" s="165" t="str" cm="1">
        <f t="array" ref="D109">IF(ISBLANK($AQ109), "", INDEX([2]SalmonProps!$A$2:$AA$10001,MATCH(1,($A109=[2]SalmonProps!$A$2:$A$10001)*(1=[2]SalmonProps!$C$2:$C$10001)*("1&amp;2"=[2]SalmonProps!$D$2:$D$10001)*("A1" = [2]SalmonProps!$B$2:$B$10001)*($AP109 = [2]SalmonProps!$F$2:$F$10001) *($AR109 = [2]SalmonProps!$G$2:$G$10001),0), 17))</f>
        <v/>
      </c>
      <c r="E109" s="181" t="str" cm="1">
        <f t="array" ref="E109">IF(ISBLANK($AQ109), "", INDEX([2]SalmonProps!$A$2:$AA$10001,MATCH(1,($A109=[2]SalmonProps!$A$2:$A$10001)*(2=[2]SalmonProps!$C$2:$C$10001)*(3=[2]SalmonProps!$D$2:$D$10001)*("A1" = [2]SalmonProps!$B$2:$B$10001)*($AP109 = [2]SalmonProps!$F$2:$F$10001) *($AR109 = [2]SalmonProps!$G$2:$G$10001),0), 17))</f>
        <v/>
      </c>
      <c r="F109" s="165" t="str" cm="1">
        <f t="array" ref="F109">IF(ISBLANK($AQ109), "", INDEX([2]SalmonProps!$A$2:$AA$10001,MATCH(1,($A109=[2]SalmonProps!$A$2:$A$10001)*(3=[2]SalmonProps!$C$2:$C$10001)*(3=[2]SalmonProps!$D$2:$D$10001)*("A1" = [2]SalmonProps!$B$2:$B$10001)*($AP109 = [2]SalmonProps!$F$2:$F$10001) *($AR109 = [2]SalmonProps!$G$2:$G$10001),0), 17))</f>
        <v/>
      </c>
      <c r="G109" s="165" t="str" cm="1">
        <f t="array" ref="G109">IF(ISBLANK($AQ109), "", INDEX([2]SalmonProps!$A$2:$AA$10001,MATCH(1,($A109=[2]SalmonProps!$A$2:$A$10001)*(1=[2]SalmonProps!$C$2:$C$10001)*(1=[2]SalmonProps!$D$2:$D$10001)*("A2" = [2]SalmonProps!$B$2:$B$10001)*($AP109 = [2]SalmonProps!$F$2:$F$10001) *($AR109 = [2]SalmonProps!$G$2:$G$10001),0), 17))</f>
        <v/>
      </c>
      <c r="H109" s="166" t="str" cm="1">
        <f t="array" ref="H109">IF(ISBLANK($AQ109), "", INDEX([2]SalmonProps!$A$2:$AA$10001,MATCH(1,($A109=[2]SalmonProps!$A$2:$A$10001)*(2=[2]SalmonProps!$C$2:$C$10001)*(1=[2]SalmonProps!$D$2:$D$10001)*("A2" = [2]SalmonProps!$B$2:$B$10001)*($AP109 = [2]SalmonProps!$F$2:$F$10001) *($AR109 = [2]SalmonProps!$G$2:$G$10001),0), 17))</f>
        <v/>
      </c>
      <c r="I109" s="167" t="str" cm="1">
        <f t="array" ref="I109">IF(ISBLANK($AQ109), "", INDEX([2]SalmonProps!$A$2:$AA$10001,MATCH(1,($A109=[2]SalmonProps!$A$2:$A$10001)*(3=[2]SalmonProps!$C$2:$C$10001)*(1=[2]SalmonProps!$D$2:$D$10001)*("A2" = [2]SalmonProps!$B$2:$B$10001)*($AP109 = [2]SalmonProps!$F$2:$F$10001) *($AR109 = [2]SalmonProps!$G$2:$G$10001),0), 17))</f>
        <v/>
      </c>
      <c r="J109" s="164" t="str" cm="1">
        <f t="array" ref="J109">IF(ISBLANK($AQ109), "", INDEX([2]SalmonProps!$A$2:$AA$10001,MATCH(1,($A109=[2]SalmonProps!$A$2:$A$10001)*(1=[2]SalmonProps!$C$2:$C$10001)*(1=[2]SalmonProps!$D$2:$D$10001)*("A1" = [2]SalmonProps!$B$2:$B$10001)*($AP109 = [2]SalmonProps!$F$2:$F$10001) *($AR109 = [2]SalmonProps!$G$2:$G$10001),0), 19))</f>
        <v/>
      </c>
      <c r="K109" s="165" t="str" cm="1">
        <f t="array" ref="K109">IF(ISBLANK($AQ109), "", INDEX([2]SalmonProps!$A$2:$AA$10001,MATCH(1,($A109=[2]SalmonProps!$A$2:$A$10001)*(1=[2]SalmonProps!$C$2:$C$10001)*(2=[2]SalmonProps!$D$2:$D$10001)*("A1" = [2]SalmonProps!$B$2:$B$10001)*($AP109 = [2]SalmonProps!$F$2:$F$10001) *($AR109 = [2]SalmonProps!$G$2:$G$10001),0), 19))</f>
        <v/>
      </c>
      <c r="L109" s="165" t="str" cm="1">
        <f t="array" ref="L109">IF(ISBLANK($AQ109), "", INDEX([2]SalmonProps!$A$2:$AA$10001,MATCH(1,($A109=[2]SalmonProps!$A$2:$A$10001)*(1=[2]SalmonProps!$C$2:$C$10001)*("1&amp;2"=[2]SalmonProps!$D$2:$D$10001)*("A1" = [2]SalmonProps!$B$2:$B$10001)*($AP109 = [2]SalmonProps!$F$2:$F$10001) *($AR109 = [2]SalmonProps!$G$2:$G$10001),0), 19))</f>
        <v/>
      </c>
      <c r="M109" s="165" t="str" cm="1">
        <f t="array" ref="M109">IF(ISBLANK($AQ109), "", INDEX([2]SalmonProps!$A$2:$AA$10001,MATCH(1,($A109=[2]SalmonProps!$A$2:$A$10001)*(2=[2]SalmonProps!$C$2:$C$10001)*(3=[2]SalmonProps!$D$2:$D$10001)*("A1" = [2]SalmonProps!$B$2:$B$10001)*($AP109 = [2]SalmonProps!$F$2:$F$10001) *($AR109 = [2]SalmonProps!$G$2:$G$10001),0), 19))</f>
        <v/>
      </c>
      <c r="N109" s="181" t="str" cm="1">
        <f t="array" ref="N109">IF(ISBLANK($AQ109), "", INDEX([2]SalmonProps!$A$2:$AA$10001,MATCH(1,($A109=[2]SalmonProps!$A$2:$A$10001)*(3=[2]SalmonProps!$C$2:$C$10001)*(3=[2]SalmonProps!$D$2:$D$10001)*("A1" = [2]SalmonProps!$B$2:$B$10001)*($AP109 = [2]SalmonProps!$F$2:$F$10001) *($AR109 = [2]SalmonProps!$G$2:$G$10001),0), 19))</f>
        <v/>
      </c>
      <c r="O109" s="165" t="str" cm="1">
        <f t="array" ref="O109">IF(ISBLANK($AQ109), "", INDEX([2]SalmonProps!$A$2:$AA$10001,MATCH(1,($A109=[2]SalmonProps!$A$2:$A$10001)*(1=[2]SalmonProps!$C$2:$C$10001)*(1=[2]SalmonProps!$D$2:$D$10001)*("A2" = [2]SalmonProps!$B$2:$B$10001)*($AP109 = [2]SalmonProps!$F$2:$F$10001) *($AR109 = [2]SalmonProps!$G$2:$G$10001),0), 19))</f>
        <v/>
      </c>
      <c r="P109" s="165" t="str" cm="1">
        <f t="array" ref="P109">IF(ISBLANK($AQ109), "", INDEX([2]SalmonProps!$A$2:$AA$10001,MATCH(1,($A109=[2]SalmonProps!$A$2:$A$10001)*(2=[2]SalmonProps!$C$2:$C$10001)*(1=[2]SalmonProps!$D$2:$D$10001)*("A2" = [2]SalmonProps!$B$2:$B$10001)*($AP109 = [2]SalmonProps!$F$2:$F$10001) *($AR109 = [2]SalmonProps!$G$2:$G$10001),0), 19))</f>
        <v/>
      </c>
      <c r="Q109" s="168" t="str" cm="1">
        <f t="array" ref="Q109">IF(ISBLANK($AQ109), "", INDEX([2]SalmonProps!$A$2:$AA$10001,MATCH(1,($A109=[2]SalmonProps!$A$2:$A$10001)*(3=[2]SalmonProps!$C$2:$C$10001)*(1=[2]SalmonProps!$D$2:$D$10001)*("A2" = [2]SalmonProps!$B$2:$B$10001)*($AP109 = [2]SalmonProps!$F$2:$F$10001) *($AR109 = [2]SalmonProps!$G$2:$G$10001),0), 19))</f>
        <v/>
      </c>
      <c r="R109" s="164" t="str" cm="1">
        <f t="array" ref="R109">IF(ISBLANK($AQ109), "", INDEX([2]SalmonProps!$A$2:$AA$10001,MATCH(1,($A109=[2]SalmonProps!$A$2:$A$10001)*(1=[2]SalmonProps!$C$2:$C$10001)*(1=[2]SalmonProps!$D$2:$D$10001)*("A1" = [2]SalmonProps!$B$2:$B$10001)*($AP109 = [2]SalmonProps!$F$2:$F$10001) *($AR109 = [2]SalmonProps!$G$2:$G$10001),0), 18))</f>
        <v/>
      </c>
      <c r="S109" s="165" t="str" cm="1">
        <f t="array" ref="S109">IF(ISBLANK($AQ109), "", INDEX([2]SalmonProps!$A$2:$AA$10001,MATCH(1,($A109=[2]SalmonProps!$A$2:$A$10001)*(1=[2]SalmonProps!$C$2:$C$10001)*(2=[2]SalmonProps!$D$2:$D$10001)*("A1" = [2]SalmonProps!$B$2:$B$10001)*($AP109 = [2]SalmonProps!$F$2:$F$10001) *($AR109 = [2]SalmonProps!$G$2:$G$10001),0), 18))</f>
        <v/>
      </c>
      <c r="T109" s="165" t="str" cm="1">
        <f t="array" ref="T109">IF(ISBLANK($AQ109), "", INDEX([2]SalmonProps!$A$2:$AA$10001,MATCH(1,($A109=[2]SalmonProps!$A$2:$A$10001)*(1=[2]SalmonProps!$C$2:$C$10001)*("1&amp;2"=[2]SalmonProps!$D$2:$D$10001)*("A1" = [2]SalmonProps!$B$2:$B$10001)*($AP109 = [2]SalmonProps!$F$2:$F$10001) *($AR109 = [2]SalmonProps!$G$2:$G$10001),0), 18))</f>
        <v/>
      </c>
      <c r="U109" s="165" t="str" cm="1">
        <f t="array" ref="U109">IF(ISBLANK($AQ109), "", INDEX([2]SalmonProps!$A$2:$AA$10001,MATCH(1,($A109=[2]SalmonProps!$A$2:$A$10001)*(2=[2]SalmonProps!$C$2:$C$10001)*(3=[2]SalmonProps!$D$2:$D$10001)*("A1" = [2]SalmonProps!$B$2:$B$10001)*($AP109 = [2]SalmonProps!$F$2:$F$10001) *($AR109 = [2]SalmonProps!$G$2:$G$10001),0), 18))</f>
        <v/>
      </c>
      <c r="V109" s="181" t="str" cm="1">
        <f t="array" ref="V109">IF(ISBLANK($AQ109), "", INDEX([2]SalmonProps!$A$2:$AA$10001,MATCH(1,($A109=[2]SalmonProps!$A$2:$A$10001)*(3=[2]SalmonProps!$C$2:$C$10001)*(3=[2]SalmonProps!$D$2:$D$10001)*("A1" = [2]SalmonProps!$B$2:$B$10001)*($AP109 = [2]SalmonProps!$F$2:$F$10001) *($AR109 = [2]SalmonProps!$G$2:$G$10001),0), 18))</f>
        <v/>
      </c>
      <c r="W109" s="180" t="str" cm="1">
        <f t="array" ref="W109">IF(ISBLANK($AQ109), "", INDEX([2]SalmonProps!$A$2:$AA$10001,MATCH(1,($A109=[2]SalmonProps!$A$2:$A$10001)*(1=[2]SalmonProps!$C$2:$C$10001)*(1=[2]SalmonProps!$D$2:$D$10001)*("A2" = [2]SalmonProps!$B$2:$B$10001)*($AP109 = [2]SalmonProps!$F$2:$F$10001) *($AR109 = [2]SalmonProps!$G$2:$G$10001),0), 18))</f>
        <v/>
      </c>
      <c r="X109" s="165" t="str" cm="1">
        <f t="array" ref="X109">IF(ISBLANK($AQ109), "", INDEX([2]SalmonProps!$A$2:$AA$10001,MATCH(1,($A109=[2]SalmonProps!$A$2:$A$10001)*(2=[2]SalmonProps!$C$2:$C$10001)*(1=[2]SalmonProps!$D$2:$D$10001)*("A2" = [2]SalmonProps!$B$2:$B$10001)*($AP109 = [2]SalmonProps!$F$2:$F$10001) *($AR109 = [2]SalmonProps!$G$2:$G$10001),0), 18))</f>
        <v/>
      </c>
      <c r="Y109" s="168" t="str" cm="1">
        <f t="array" ref="Y109">IF(ISBLANK($AQ109), "", INDEX([2]SalmonProps!$A$2:$AA$10001,MATCH(1,($A109=[2]SalmonProps!$A$2:$A$10001)*(3=[2]SalmonProps!$C$2:$C$10001)*(1=[2]SalmonProps!$D$2:$D$10001)*("A2" = [2]SalmonProps!$B$2:$B$10001)*($AP109 = [2]SalmonProps!$F$2:$F$10001) *($AR109 = [2]SalmonProps!$G$2:$G$10001),0), 18))</f>
        <v/>
      </c>
      <c r="Z109" s="164" t="str" cm="1">
        <f t="array" ref="Z109">IF(ISBLANK($AQ109), "", INDEX([2]SalmonProps!$A$2:$AA$10001,MATCH(1,($A109=[2]SalmonProps!$A$2:$A$10001)*(1=[2]SalmonProps!$C$2:$C$10001)*(1=[2]SalmonProps!$D$2:$D$10001)*("A1" = [2]SalmonProps!$B$2:$B$10001)*($AP109 = [2]SalmonProps!$F$2:$F$10001) *($AR109 = [2]SalmonProps!$G$2:$G$10001),0), 15))</f>
        <v/>
      </c>
      <c r="AA109" s="165" t="str" cm="1">
        <f t="array" ref="AA109">IF(ISBLANK($AQ109), "", INDEX([2]SalmonProps!$A$2:$AA$10001,MATCH(1,($A109=[2]SalmonProps!$A$2:$A$10001)*(1=[2]SalmonProps!$C$2:$C$10001)*(2=[2]SalmonProps!$D$2:$D$10001)*("A1" = [2]SalmonProps!$B$2:$B$10001)*($AP109 = [2]SalmonProps!$F$2:$F$10001) *($AR109 = [2]SalmonProps!$G$2:$G$10001),0), 15))</f>
        <v/>
      </c>
      <c r="AB109" s="165" t="str" cm="1">
        <f t="array" ref="AB109">IF(ISBLANK($AQ109), "", INDEX([2]SalmonProps!$A$2:$AA$10001,MATCH(1,($A109=[2]SalmonProps!$A$2:$A$10001)*(1=[2]SalmonProps!$C$2:$C$10001)*("1&amp;2"=[2]SalmonProps!$D$2:$D$10001)*("A1" = [2]SalmonProps!$B$2:$B$10001)*($AP109 = [2]SalmonProps!$F$2:$F$10001) *($AR109 = [2]SalmonProps!$G$2:$G$10001),0), 15))</f>
        <v/>
      </c>
      <c r="AC109" s="165" t="str" cm="1">
        <f t="array" ref="AC109">IF(ISBLANK($AQ109), "", INDEX([2]SalmonProps!$A$2:$AA$10001,MATCH(1,($A109=[2]SalmonProps!$A$2:$A$10001)*(2=[2]SalmonProps!$C$2:$C$10001)*(3=[2]SalmonProps!$D$2:$D$10001)*("A1" = [2]SalmonProps!$B$2:$B$10001)*($AP109 = [2]SalmonProps!$F$2:$F$10001) *($AR109 = [2]SalmonProps!$G$2:$G$10001),0), 15))</f>
        <v/>
      </c>
      <c r="AD109" s="181" t="str" cm="1">
        <f t="array" ref="AD109">IF(ISBLANK($AQ109), "", INDEX([2]SalmonProps!$A$2:$AA$10001,MATCH(1,($A109=[2]SalmonProps!$A$2:$A$10001)*(3=[2]SalmonProps!$C$2:$C$10001)*(3=[2]SalmonProps!$D$2:$D$10001)*("A1" = [2]SalmonProps!$B$2:$B$10001)*($AP109 = [2]SalmonProps!$F$2:$F$10001) *($AR109 = [2]SalmonProps!$G$2:$G$10001),0), 15))</f>
        <v/>
      </c>
      <c r="AE109" s="166" t="str" cm="1">
        <f t="array" ref="AE109">IF(ISBLANK($AQ109), "", INDEX([2]SalmonProps!$A$2:$AA$10001,MATCH(1,($A109=[2]SalmonProps!$A$2:$A$10001)*(1=[2]SalmonProps!$C$2:$C$10001)*(1=[2]SalmonProps!$D$2:$D$10001)*("A2" = [2]SalmonProps!$B$2:$B$10001)*($AP109 = [2]SalmonProps!$F$2:$F$10001) *($AR109 = [2]SalmonProps!$G$2:$G$10001),0), 15))</f>
        <v/>
      </c>
      <c r="AF109" s="166" t="str" cm="1">
        <f t="array" ref="AF109">IF(ISBLANK($AQ109), "", INDEX([2]SalmonProps!$A$2:$AA$10001,MATCH(1,($A109=[2]SalmonProps!$A$2:$A$10001)*(2=[2]SalmonProps!$C$2:$C$10001)*(1=[2]SalmonProps!$D$2:$D$10001)*("A2" = [2]SalmonProps!$B$2:$B$10001)*($AP109 = [2]SalmonProps!$F$2:$F$10001) *($AR109 = [2]SalmonProps!$G$2:$G$10001),0), 15))</f>
        <v/>
      </c>
      <c r="AG109" s="167" t="str" cm="1">
        <f t="array" ref="AG109">IF(ISBLANK($AQ109), "", INDEX([2]SalmonProps!$A$2:$AA$10001,MATCH(1,($A109=[2]SalmonProps!$A$2:$A$10001)*(3=[2]SalmonProps!$C$2:$C$10001)*(1=[2]SalmonProps!$D$2:$D$10001)*("A2" = [2]SalmonProps!$B$2:$B$10001)*($AP109 = [2]SalmonProps!$F$2:$F$10001) *($AR109 = [2]SalmonProps!$G$2:$G$10001),0), 15))</f>
        <v/>
      </c>
      <c r="AH109" s="173" t="str" cm="1">
        <f t="array" ref="AH109">IF(ISBLANK($AQ109), "", INDEX([2]SalmonProps!$A$2:$AA$10001,MATCH(1,($A109=[2]SalmonProps!$A$2:$A$10001)*($AP109 = [2]SalmonProps!$F$2:$F$10001) *($AR109 = [2]SalmonProps!$G$2:$G$10001),0), 24))</f>
        <v/>
      </c>
      <c r="AI109" s="183" t="str" cm="1">
        <f t="array" ref="AI109">IF(ISBLANK($AQ109), "", INDEX([2]SalmonProps!$A$2:$AA$10001,MATCH(1,($A109=[2]SalmonProps!$A$2:$A$10001)*($AP109 = [2]SalmonProps!$F$2:$F$10001) *($AR109 = [2]SalmonProps!$G$2:$G$10001),0), 25))</f>
        <v/>
      </c>
      <c r="AJ109" s="174" t="str" cm="1">
        <f t="array" ref="AJ109">IF(ISBLANK($AQ109), "", INDEX([2]SalmonProps!$A$2:$AA$10001,MATCH(1,($A109=[2]SalmonProps!$A$2:$A$10001)*($AP109 = [2]SalmonProps!$F$2:$F$10001) *($AR109 = [2]SalmonProps!$G$2:$G$10001),0), 20))</f>
        <v/>
      </c>
      <c r="AK109" s="183" t="str" cm="1">
        <f t="array" ref="AK109">IF(ISBLANK($AQ109), "", INDEX([2]SalmonProps!$A$2:$AA$10001,MATCH(1,($A109=[2]SalmonProps!$A$2:$A$10001)*($AP109 = [2]SalmonProps!$F$2:$F$10001) *($AR109 = [2]SalmonProps!$G$2:$G$10001),0), 21))</f>
        <v/>
      </c>
      <c r="AL109" s="174" t="str" cm="1">
        <f t="array" ref="AL109">IF(ISBLANK($AQ109), "", INDEX([2]SalmonProps!$A$2:$AA$10001,MATCH(1,($A109=[2]SalmonProps!$A$2:$A$10001)*($AP109 = [2]SalmonProps!$F$2:$F$10001) *($AR109 = [2]SalmonProps!$G$2:$G$10001),0), 22))</f>
        <v/>
      </c>
      <c r="AM109" s="183" t="str" cm="1">
        <f t="array" ref="AM109">IF(ISBLANK($AQ109), "", INDEX([2]SalmonProps!$A$2:$AA$10001,MATCH(1,($A109=[2]SalmonProps!$A$2:$A$10001)*($AP109 = [2]SalmonProps!$F$2:$F$10001) *($AR109 = [2]SalmonProps!$G$2:$G$10001),0), 23))</f>
        <v/>
      </c>
      <c r="AN109" s="174" t="str" cm="1">
        <f t="array" ref="AN109">IF(ISBLANK($AQ109), "", INDEX([2]SalmonProps!$A$2:$AA$10001,MATCH(1,($A109=[2]SalmonProps!$A$2:$A$10001)*($AP109 = [2]SalmonProps!$F$2:$F$10001) *($AR109 = [2]SalmonProps!$G$2:$G$10001),0), 26))</f>
        <v/>
      </c>
      <c r="AO109" s="175" t="str" cm="1">
        <f t="array" ref="AO109">IF(ISBLANK($AQ109), "", INDEX([2]SalmonProps!$A$2:$AA$10001,MATCH(1,($A109=[2]SalmonProps!$A$2:$A$10001)*($AP109 = [2]SalmonProps!$F$2:$F$10001) *($AR109 = [2]SalmonProps!$G$2:$G$10001),0), 27))</f>
        <v/>
      </c>
      <c r="AP109" s="112"/>
      <c r="AQ109" s="112"/>
      <c r="AR109" s="112" t="e">
        <f t="shared" si="2"/>
        <v>#N/A</v>
      </c>
    </row>
    <row r="110" spans="1:44" x14ac:dyDescent="0.3">
      <c r="A110" s="20">
        <f>'[1]Passage Estimates'!$A110</f>
        <v>45212</v>
      </c>
      <c r="B110" s="164" t="str" cm="1">
        <f t="array" ref="B110">IF(ISBLANK($AQ110), "", INDEX([2]SalmonProps!$A$2:$AA$10001,MATCH(1,($A110=[2]SalmonProps!$A$2:$A$10001)*(1=[2]SalmonProps!$C$2:$C$10001)*(1=[2]SalmonProps!$D$2:$D$10001)*("A1" = [2]SalmonProps!$B$2:$B$10001)*($AP110 = [2]SalmonProps!$F$2:$F$10001) *($AR110 = [2]SalmonProps!$G$2:$G$10001),0), 17))</f>
        <v/>
      </c>
      <c r="C110" s="165" t="str" cm="1">
        <f t="array" ref="C110">IF(ISBLANK($AQ110), "", INDEX([2]SalmonProps!$A$2:$AA$10001,MATCH(1,($A110=[2]SalmonProps!$A$2:$A$10001)*(1=[2]SalmonProps!$C$2:$C$10001)*(2=[2]SalmonProps!$D$2:$D$10001)*("A1" = [2]SalmonProps!$B$2:$B$10001)*($AP110 = [2]SalmonProps!$F$2:$F$10001) *($AR110 = [2]SalmonProps!$G$2:$G$10001),0), 17))</f>
        <v/>
      </c>
      <c r="D110" s="165" t="str" cm="1">
        <f t="array" ref="D110">IF(ISBLANK($AQ110), "", INDEX([2]SalmonProps!$A$2:$AA$10001,MATCH(1,($A110=[2]SalmonProps!$A$2:$A$10001)*(1=[2]SalmonProps!$C$2:$C$10001)*("1&amp;2"=[2]SalmonProps!$D$2:$D$10001)*("A1" = [2]SalmonProps!$B$2:$B$10001)*($AP110 = [2]SalmonProps!$F$2:$F$10001) *($AR110 = [2]SalmonProps!$G$2:$G$10001),0), 17))</f>
        <v/>
      </c>
      <c r="E110" s="181" t="str" cm="1">
        <f t="array" ref="E110">IF(ISBLANK($AQ110), "", INDEX([2]SalmonProps!$A$2:$AA$10001,MATCH(1,($A110=[2]SalmonProps!$A$2:$A$10001)*(2=[2]SalmonProps!$C$2:$C$10001)*(3=[2]SalmonProps!$D$2:$D$10001)*("A1" = [2]SalmonProps!$B$2:$B$10001)*($AP110 = [2]SalmonProps!$F$2:$F$10001) *($AR110 = [2]SalmonProps!$G$2:$G$10001),0), 17))</f>
        <v/>
      </c>
      <c r="F110" s="165" t="str" cm="1">
        <f t="array" ref="F110">IF(ISBLANK($AQ110), "", INDEX([2]SalmonProps!$A$2:$AA$10001,MATCH(1,($A110=[2]SalmonProps!$A$2:$A$10001)*(3=[2]SalmonProps!$C$2:$C$10001)*(3=[2]SalmonProps!$D$2:$D$10001)*("A1" = [2]SalmonProps!$B$2:$B$10001)*($AP110 = [2]SalmonProps!$F$2:$F$10001) *($AR110 = [2]SalmonProps!$G$2:$G$10001),0), 17))</f>
        <v/>
      </c>
      <c r="G110" s="165" t="str" cm="1">
        <f t="array" ref="G110">IF(ISBLANK($AQ110), "", INDEX([2]SalmonProps!$A$2:$AA$10001,MATCH(1,($A110=[2]SalmonProps!$A$2:$A$10001)*(1=[2]SalmonProps!$C$2:$C$10001)*(1=[2]SalmonProps!$D$2:$D$10001)*("A2" = [2]SalmonProps!$B$2:$B$10001)*($AP110 = [2]SalmonProps!$F$2:$F$10001) *($AR110 = [2]SalmonProps!$G$2:$G$10001),0), 17))</f>
        <v/>
      </c>
      <c r="H110" s="166" t="str" cm="1">
        <f t="array" ref="H110">IF(ISBLANK($AQ110), "", INDEX([2]SalmonProps!$A$2:$AA$10001,MATCH(1,($A110=[2]SalmonProps!$A$2:$A$10001)*(2=[2]SalmonProps!$C$2:$C$10001)*(1=[2]SalmonProps!$D$2:$D$10001)*("A2" = [2]SalmonProps!$B$2:$B$10001)*($AP110 = [2]SalmonProps!$F$2:$F$10001) *($AR110 = [2]SalmonProps!$G$2:$G$10001),0), 17))</f>
        <v/>
      </c>
      <c r="I110" s="167" t="str" cm="1">
        <f t="array" ref="I110">IF(ISBLANK($AQ110), "", INDEX([2]SalmonProps!$A$2:$AA$10001,MATCH(1,($A110=[2]SalmonProps!$A$2:$A$10001)*(3=[2]SalmonProps!$C$2:$C$10001)*(1=[2]SalmonProps!$D$2:$D$10001)*("A2" = [2]SalmonProps!$B$2:$B$10001)*($AP110 = [2]SalmonProps!$F$2:$F$10001) *($AR110 = [2]SalmonProps!$G$2:$G$10001),0), 17))</f>
        <v/>
      </c>
      <c r="J110" s="164" t="str" cm="1">
        <f t="array" ref="J110">IF(ISBLANK($AQ110), "", INDEX([2]SalmonProps!$A$2:$AA$10001,MATCH(1,($A110=[2]SalmonProps!$A$2:$A$10001)*(1=[2]SalmonProps!$C$2:$C$10001)*(1=[2]SalmonProps!$D$2:$D$10001)*("A1" = [2]SalmonProps!$B$2:$B$10001)*($AP110 = [2]SalmonProps!$F$2:$F$10001) *($AR110 = [2]SalmonProps!$G$2:$G$10001),0), 19))</f>
        <v/>
      </c>
      <c r="K110" s="165" t="str" cm="1">
        <f t="array" ref="K110">IF(ISBLANK($AQ110), "", INDEX([2]SalmonProps!$A$2:$AA$10001,MATCH(1,($A110=[2]SalmonProps!$A$2:$A$10001)*(1=[2]SalmonProps!$C$2:$C$10001)*(2=[2]SalmonProps!$D$2:$D$10001)*("A1" = [2]SalmonProps!$B$2:$B$10001)*($AP110 = [2]SalmonProps!$F$2:$F$10001) *($AR110 = [2]SalmonProps!$G$2:$G$10001),0), 19))</f>
        <v/>
      </c>
      <c r="L110" s="165" t="str" cm="1">
        <f t="array" ref="L110">IF(ISBLANK($AQ110), "", INDEX([2]SalmonProps!$A$2:$AA$10001,MATCH(1,($A110=[2]SalmonProps!$A$2:$A$10001)*(1=[2]SalmonProps!$C$2:$C$10001)*("1&amp;2"=[2]SalmonProps!$D$2:$D$10001)*("A1" = [2]SalmonProps!$B$2:$B$10001)*($AP110 = [2]SalmonProps!$F$2:$F$10001) *($AR110 = [2]SalmonProps!$G$2:$G$10001),0), 19))</f>
        <v/>
      </c>
      <c r="M110" s="165" t="str" cm="1">
        <f t="array" ref="M110">IF(ISBLANK($AQ110), "", INDEX([2]SalmonProps!$A$2:$AA$10001,MATCH(1,($A110=[2]SalmonProps!$A$2:$A$10001)*(2=[2]SalmonProps!$C$2:$C$10001)*(3=[2]SalmonProps!$D$2:$D$10001)*("A1" = [2]SalmonProps!$B$2:$B$10001)*($AP110 = [2]SalmonProps!$F$2:$F$10001) *($AR110 = [2]SalmonProps!$G$2:$G$10001),0), 19))</f>
        <v/>
      </c>
      <c r="N110" s="181" t="str" cm="1">
        <f t="array" ref="N110">IF(ISBLANK($AQ110), "", INDEX([2]SalmonProps!$A$2:$AA$10001,MATCH(1,($A110=[2]SalmonProps!$A$2:$A$10001)*(3=[2]SalmonProps!$C$2:$C$10001)*(3=[2]SalmonProps!$D$2:$D$10001)*("A1" = [2]SalmonProps!$B$2:$B$10001)*($AP110 = [2]SalmonProps!$F$2:$F$10001) *($AR110 = [2]SalmonProps!$G$2:$G$10001),0), 19))</f>
        <v/>
      </c>
      <c r="O110" s="165" t="str" cm="1">
        <f t="array" ref="O110">IF(ISBLANK($AQ110), "", INDEX([2]SalmonProps!$A$2:$AA$10001,MATCH(1,($A110=[2]SalmonProps!$A$2:$A$10001)*(1=[2]SalmonProps!$C$2:$C$10001)*(1=[2]SalmonProps!$D$2:$D$10001)*("A2" = [2]SalmonProps!$B$2:$B$10001)*($AP110 = [2]SalmonProps!$F$2:$F$10001) *($AR110 = [2]SalmonProps!$G$2:$G$10001),0), 19))</f>
        <v/>
      </c>
      <c r="P110" s="165" t="str" cm="1">
        <f t="array" ref="P110">IF(ISBLANK($AQ110), "", INDEX([2]SalmonProps!$A$2:$AA$10001,MATCH(1,($A110=[2]SalmonProps!$A$2:$A$10001)*(2=[2]SalmonProps!$C$2:$C$10001)*(1=[2]SalmonProps!$D$2:$D$10001)*("A2" = [2]SalmonProps!$B$2:$B$10001)*($AP110 = [2]SalmonProps!$F$2:$F$10001) *($AR110 = [2]SalmonProps!$G$2:$G$10001),0), 19))</f>
        <v/>
      </c>
      <c r="Q110" s="168" t="str" cm="1">
        <f t="array" ref="Q110">IF(ISBLANK($AQ110), "", INDEX([2]SalmonProps!$A$2:$AA$10001,MATCH(1,($A110=[2]SalmonProps!$A$2:$A$10001)*(3=[2]SalmonProps!$C$2:$C$10001)*(1=[2]SalmonProps!$D$2:$D$10001)*("A2" = [2]SalmonProps!$B$2:$B$10001)*($AP110 = [2]SalmonProps!$F$2:$F$10001) *($AR110 = [2]SalmonProps!$G$2:$G$10001),0), 19))</f>
        <v/>
      </c>
      <c r="R110" s="164" t="str" cm="1">
        <f t="array" ref="R110">IF(ISBLANK($AQ110), "", INDEX([2]SalmonProps!$A$2:$AA$10001,MATCH(1,($A110=[2]SalmonProps!$A$2:$A$10001)*(1=[2]SalmonProps!$C$2:$C$10001)*(1=[2]SalmonProps!$D$2:$D$10001)*("A1" = [2]SalmonProps!$B$2:$B$10001)*($AP110 = [2]SalmonProps!$F$2:$F$10001) *($AR110 = [2]SalmonProps!$G$2:$G$10001),0), 18))</f>
        <v/>
      </c>
      <c r="S110" s="165" t="str" cm="1">
        <f t="array" ref="S110">IF(ISBLANK($AQ110), "", INDEX([2]SalmonProps!$A$2:$AA$10001,MATCH(1,($A110=[2]SalmonProps!$A$2:$A$10001)*(1=[2]SalmonProps!$C$2:$C$10001)*(2=[2]SalmonProps!$D$2:$D$10001)*("A1" = [2]SalmonProps!$B$2:$B$10001)*($AP110 = [2]SalmonProps!$F$2:$F$10001) *($AR110 = [2]SalmonProps!$G$2:$G$10001),0), 18))</f>
        <v/>
      </c>
      <c r="T110" s="165" t="str" cm="1">
        <f t="array" ref="T110">IF(ISBLANK($AQ110), "", INDEX([2]SalmonProps!$A$2:$AA$10001,MATCH(1,($A110=[2]SalmonProps!$A$2:$A$10001)*(1=[2]SalmonProps!$C$2:$C$10001)*("1&amp;2"=[2]SalmonProps!$D$2:$D$10001)*("A1" = [2]SalmonProps!$B$2:$B$10001)*($AP110 = [2]SalmonProps!$F$2:$F$10001) *($AR110 = [2]SalmonProps!$G$2:$G$10001),0), 18))</f>
        <v/>
      </c>
      <c r="U110" s="165" t="str" cm="1">
        <f t="array" ref="U110">IF(ISBLANK($AQ110), "", INDEX([2]SalmonProps!$A$2:$AA$10001,MATCH(1,($A110=[2]SalmonProps!$A$2:$A$10001)*(2=[2]SalmonProps!$C$2:$C$10001)*(3=[2]SalmonProps!$D$2:$D$10001)*("A1" = [2]SalmonProps!$B$2:$B$10001)*($AP110 = [2]SalmonProps!$F$2:$F$10001) *($AR110 = [2]SalmonProps!$G$2:$G$10001),0), 18))</f>
        <v/>
      </c>
      <c r="V110" s="181" t="str" cm="1">
        <f t="array" ref="V110">IF(ISBLANK($AQ110), "", INDEX([2]SalmonProps!$A$2:$AA$10001,MATCH(1,($A110=[2]SalmonProps!$A$2:$A$10001)*(3=[2]SalmonProps!$C$2:$C$10001)*(3=[2]SalmonProps!$D$2:$D$10001)*("A1" = [2]SalmonProps!$B$2:$B$10001)*($AP110 = [2]SalmonProps!$F$2:$F$10001) *($AR110 = [2]SalmonProps!$G$2:$G$10001),0), 18))</f>
        <v/>
      </c>
      <c r="W110" s="180" t="str" cm="1">
        <f t="array" ref="W110">IF(ISBLANK($AQ110), "", INDEX([2]SalmonProps!$A$2:$AA$10001,MATCH(1,($A110=[2]SalmonProps!$A$2:$A$10001)*(1=[2]SalmonProps!$C$2:$C$10001)*(1=[2]SalmonProps!$D$2:$D$10001)*("A2" = [2]SalmonProps!$B$2:$B$10001)*($AP110 = [2]SalmonProps!$F$2:$F$10001) *($AR110 = [2]SalmonProps!$G$2:$G$10001),0), 18))</f>
        <v/>
      </c>
      <c r="X110" s="165" t="str" cm="1">
        <f t="array" ref="X110">IF(ISBLANK($AQ110), "", INDEX([2]SalmonProps!$A$2:$AA$10001,MATCH(1,($A110=[2]SalmonProps!$A$2:$A$10001)*(2=[2]SalmonProps!$C$2:$C$10001)*(1=[2]SalmonProps!$D$2:$D$10001)*("A2" = [2]SalmonProps!$B$2:$B$10001)*($AP110 = [2]SalmonProps!$F$2:$F$10001) *($AR110 = [2]SalmonProps!$G$2:$G$10001),0), 18))</f>
        <v/>
      </c>
      <c r="Y110" s="168" t="str" cm="1">
        <f t="array" ref="Y110">IF(ISBLANK($AQ110), "", INDEX([2]SalmonProps!$A$2:$AA$10001,MATCH(1,($A110=[2]SalmonProps!$A$2:$A$10001)*(3=[2]SalmonProps!$C$2:$C$10001)*(1=[2]SalmonProps!$D$2:$D$10001)*("A2" = [2]SalmonProps!$B$2:$B$10001)*($AP110 = [2]SalmonProps!$F$2:$F$10001) *($AR110 = [2]SalmonProps!$G$2:$G$10001),0), 18))</f>
        <v/>
      </c>
      <c r="Z110" s="164" t="str" cm="1">
        <f t="array" ref="Z110">IF(ISBLANK($AQ110), "", INDEX([2]SalmonProps!$A$2:$AA$10001,MATCH(1,($A110=[2]SalmonProps!$A$2:$A$10001)*(1=[2]SalmonProps!$C$2:$C$10001)*(1=[2]SalmonProps!$D$2:$D$10001)*("A1" = [2]SalmonProps!$B$2:$B$10001)*($AP110 = [2]SalmonProps!$F$2:$F$10001) *($AR110 = [2]SalmonProps!$G$2:$G$10001),0), 15))</f>
        <v/>
      </c>
      <c r="AA110" s="165" t="str" cm="1">
        <f t="array" ref="AA110">IF(ISBLANK($AQ110), "", INDEX([2]SalmonProps!$A$2:$AA$10001,MATCH(1,($A110=[2]SalmonProps!$A$2:$A$10001)*(1=[2]SalmonProps!$C$2:$C$10001)*(2=[2]SalmonProps!$D$2:$D$10001)*("A1" = [2]SalmonProps!$B$2:$B$10001)*($AP110 = [2]SalmonProps!$F$2:$F$10001) *($AR110 = [2]SalmonProps!$G$2:$G$10001),0), 15))</f>
        <v/>
      </c>
      <c r="AB110" s="165" t="str" cm="1">
        <f t="array" ref="AB110">IF(ISBLANK($AQ110), "", INDEX([2]SalmonProps!$A$2:$AA$10001,MATCH(1,($A110=[2]SalmonProps!$A$2:$A$10001)*(1=[2]SalmonProps!$C$2:$C$10001)*("1&amp;2"=[2]SalmonProps!$D$2:$D$10001)*("A1" = [2]SalmonProps!$B$2:$B$10001)*($AP110 = [2]SalmonProps!$F$2:$F$10001) *($AR110 = [2]SalmonProps!$G$2:$G$10001),0), 15))</f>
        <v/>
      </c>
      <c r="AC110" s="165" t="str" cm="1">
        <f t="array" ref="AC110">IF(ISBLANK($AQ110), "", INDEX([2]SalmonProps!$A$2:$AA$10001,MATCH(1,($A110=[2]SalmonProps!$A$2:$A$10001)*(2=[2]SalmonProps!$C$2:$C$10001)*(3=[2]SalmonProps!$D$2:$D$10001)*("A1" = [2]SalmonProps!$B$2:$B$10001)*($AP110 = [2]SalmonProps!$F$2:$F$10001) *($AR110 = [2]SalmonProps!$G$2:$G$10001),0), 15))</f>
        <v/>
      </c>
      <c r="AD110" s="181" t="str" cm="1">
        <f t="array" ref="AD110">IF(ISBLANK($AQ110), "", INDEX([2]SalmonProps!$A$2:$AA$10001,MATCH(1,($A110=[2]SalmonProps!$A$2:$A$10001)*(3=[2]SalmonProps!$C$2:$C$10001)*(3=[2]SalmonProps!$D$2:$D$10001)*("A1" = [2]SalmonProps!$B$2:$B$10001)*($AP110 = [2]SalmonProps!$F$2:$F$10001) *($AR110 = [2]SalmonProps!$G$2:$G$10001),0), 15))</f>
        <v/>
      </c>
      <c r="AE110" s="166" t="str" cm="1">
        <f t="array" ref="AE110">IF(ISBLANK($AQ110), "", INDEX([2]SalmonProps!$A$2:$AA$10001,MATCH(1,($A110=[2]SalmonProps!$A$2:$A$10001)*(1=[2]SalmonProps!$C$2:$C$10001)*(1=[2]SalmonProps!$D$2:$D$10001)*("A2" = [2]SalmonProps!$B$2:$B$10001)*($AP110 = [2]SalmonProps!$F$2:$F$10001) *($AR110 = [2]SalmonProps!$G$2:$G$10001),0), 15))</f>
        <v/>
      </c>
      <c r="AF110" s="166" t="str" cm="1">
        <f t="array" ref="AF110">IF(ISBLANK($AQ110), "", INDEX([2]SalmonProps!$A$2:$AA$10001,MATCH(1,($A110=[2]SalmonProps!$A$2:$A$10001)*(2=[2]SalmonProps!$C$2:$C$10001)*(1=[2]SalmonProps!$D$2:$D$10001)*("A2" = [2]SalmonProps!$B$2:$B$10001)*($AP110 = [2]SalmonProps!$F$2:$F$10001) *($AR110 = [2]SalmonProps!$G$2:$G$10001),0), 15))</f>
        <v/>
      </c>
      <c r="AG110" s="167" t="str" cm="1">
        <f t="array" ref="AG110">IF(ISBLANK($AQ110), "", INDEX([2]SalmonProps!$A$2:$AA$10001,MATCH(1,($A110=[2]SalmonProps!$A$2:$A$10001)*(3=[2]SalmonProps!$C$2:$C$10001)*(1=[2]SalmonProps!$D$2:$D$10001)*("A2" = [2]SalmonProps!$B$2:$B$10001)*($AP110 = [2]SalmonProps!$F$2:$F$10001) *($AR110 = [2]SalmonProps!$G$2:$G$10001),0), 15))</f>
        <v/>
      </c>
      <c r="AH110" s="173" t="str" cm="1">
        <f t="array" ref="AH110">IF(ISBLANK($AQ110), "", INDEX([2]SalmonProps!$A$2:$AA$10001,MATCH(1,($A110=[2]SalmonProps!$A$2:$A$10001)*($AP110 = [2]SalmonProps!$F$2:$F$10001) *($AR110 = [2]SalmonProps!$G$2:$G$10001),0), 24))</f>
        <v/>
      </c>
      <c r="AI110" s="183" t="str" cm="1">
        <f t="array" ref="AI110">IF(ISBLANK($AQ110), "", INDEX([2]SalmonProps!$A$2:$AA$10001,MATCH(1,($A110=[2]SalmonProps!$A$2:$A$10001)*($AP110 = [2]SalmonProps!$F$2:$F$10001) *($AR110 = [2]SalmonProps!$G$2:$G$10001),0), 25))</f>
        <v/>
      </c>
      <c r="AJ110" s="174" t="str" cm="1">
        <f t="array" ref="AJ110">IF(ISBLANK($AQ110), "", INDEX([2]SalmonProps!$A$2:$AA$10001,MATCH(1,($A110=[2]SalmonProps!$A$2:$A$10001)*($AP110 = [2]SalmonProps!$F$2:$F$10001) *($AR110 = [2]SalmonProps!$G$2:$G$10001),0), 20))</f>
        <v/>
      </c>
      <c r="AK110" s="183" t="str" cm="1">
        <f t="array" ref="AK110">IF(ISBLANK($AQ110), "", INDEX([2]SalmonProps!$A$2:$AA$10001,MATCH(1,($A110=[2]SalmonProps!$A$2:$A$10001)*($AP110 = [2]SalmonProps!$F$2:$F$10001) *($AR110 = [2]SalmonProps!$G$2:$G$10001),0), 21))</f>
        <v/>
      </c>
      <c r="AL110" s="174" t="str" cm="1">
        <f t="array" ref="AL110">IF(ISBLANK($AQ110), "", INDEX([2]SalmonProps!$A$2:$AA$10001,MATCH(1,($A110=[2]SalmonProps!$A$2:$A$10001)*($AP110 = [2]SalmonProps!$F$2:$F$10001) *($AR110 = [2]SalmonProps!$G$2:$G$10001),0), 22))</f>
        <v/>
      </c>
      <c r="AM110" s="183" t="str" cm="1">
        <f t="array" ref="AM110">IF(ISBLANK($AQ110), "", INDEX([2]SalmonProps!$A$2:$AA$10001,MATCH(1,($A110=[2]SalmonProps!$A$2:$A$10001)*($AP110 = [2]SalmonProps!$F$2:$F$10001) *($AR110 = [2]SalmonProps!$G$2:$G$10001),0), 23))</f>
        <v/>
      </c>
      <c r="AN110" s="174" t="str" cm="1">
        <f t="array" ref="AN110">IF(ISBLANK($AQ110), "", INDEX([2]SalmonProps!$A$2:$AA$10001,MATCH(1,($A110=[2]SalmonProps!$A$2:$A$10001)*($AP110 = [2]SalmonProps!$F$2:$F$10001) *($AR110 = [2]SalmonProps!$G$2:$G$10001),0), 26))</f>
        <v/>
      </c>
      <c r="AO110" s="175" t="str" cm="1">
        <f t="array" ref="AO110">IF(ISBLANK($AQ110), "", INDEX([2]SalmonProps!$A$2:$AA$10001,MATCH(1,($A110=[2]SalmonProps!$A$2:$A$10001)*($AP110 = [2]SalmonProps!$F$2:$F$10001) *($AR110 = [2]SalmonProps!$G$2:$G$10001),0), 27))</f>
        <v/>
      </c>
      <c r="AP110" s="112"/>
      <c r="AQ110" s="112"/>
      <c r="AR110" s="112" t="e">
        <f t="shared" si="2"/>
        <v>#N/A</v>
      </c>
    </row>
    <row r="111" spans="1:44" x14ac:dyDescent="0.3">
      <c r="A111" s="20">
        <f>'[1]Passage Estimates'!$A111</f>
        <v>45213</v>
      </c>
      <c r="B111" s="164" t="str" cm="1">
        <f t="array" ref="B111">IF(ISBLANK($AQ111), "", INDEX([2]SalmonProps!$A$2:$AA$10001,MATCH(1,($A111=[2]SalmonProps!$A$2:$A$10001)*(1=[2]SalmonProps!$C$2:$C$10001)*(1=[2]SalmonProps!$D$2:$D$10001)*("A1" = [2]SalmonProps!$B$2:$B$10001)*($AP111 = [2]SalmonProps!$F$2:$F$10001) *($AR111 = [2]SalmonProps!$G$2:$G$10001),0), 17))</f>
        <v/>
      </c>
      <c r="C111" s="165" t="str" cm="1">
        <f t="array" ref="C111">IF(ISBLANK($AQ111), "", INDEX([2]SalmonProps!$A$2:$AA$10001,MATCH(1,($A111=[2]SalmonProps!$A$2:$A$10001)*(1=[2]SalmonProps!$C$2:$C$10001)*(2=[2]SalmonProps!$D$2:$D$10001)*("A1" = [2]SalmonProps!$B$2:$B$10001)*($AP111 = [2]SalmonProps!$F$2:$F$10001) *($AR111 = [2]SalmonProps!$G$2:$G$10001),0), 17))</f>
        <v/>
      </c>
      <c r="D111" s="165" t="str" cm="1">
        <f t="array" ref="D111">IF(ISBLANK($AQ111), "", INDEX([2]SalmonProps!$A$2:$AA$10001,MATCH(1,($A111=[2]SalmonProps!$A$2:$A$10001)*(1=[2]SalmonProps!$C$2:$C$10001)*("1&amp;2"=[2]SalmonProps!$D$2:$D$10001)*("A1" = [2]SalmonProps!$B$2:$B$10001)*($AP111 = [2]SalmonProps!$F$2:$F$10001) *($AR111 = [2]SalmonProps!$G$2:$G$10001),0), 17))</f>
        <v/>
      </c>
      <c r="E111" s="181" t="str" cm="1">
        <f t="array" ref="E111">IF(ISBLANK($AQ111), "", INDEX([2]SalmonProps!$A$2:$AA$10001,MATCH(1,($A111=[2]SalmonProps!$A$2:$A$10001)*(2=[2]SalmonProps!$C$2:$C$10001)*(3=[2]SalmonProps!$D$2:$D$10001)*("A1" = [2]SalmonProps!$B$2:$B$10001)*($AP111 = [2]SalmonProps!$F$2:$F$10001) *($AR111 = [2]SalmonProps!$G$2:$G$10001),0), 17))</f>
        <v/>
      </c>
      <c r="F111" s="165" t="str" cm="1">
        <f t="array" ref="F111">IF(ISBLANK($AQ111), "", INDEX([2]SalmonProps!$A$2:$AA$10001,MATCH(1,($A111=[2]SalmonProps!$A$2:$A$10001)*(3=[2]SalmonProps!$C$2:$C$10001)*(3=[2]SalmonProps!$D$2:$D$10001)*("A1" = [2]SalmonProps!$B$2:$B$10001)*($AP111 = [2]SalmonProps!$F$2:$F$10001) *($AR111 = [2]SalmonProps!$G$2:$G$10001),0), 17))</f>
        <v/>
      </c>
      <c r="G111" s="165" t="str" cm="1">
        <f t="array" ref="G111">IF(ISBLANK($AQ111), "", INDEX([2]SalmonProps!$A$2:$AA$10001,MATCH(1,($A111=[2]SalmonProps!$A$2:$A$10001)*(1=[2]SalmonProps!$C$2:$C$10001)*(1=[2]SalmonProps!$D$2:$D$10001)*("A2" = [2]SalmonProps!$B$2:$B$10001)*($AP111 = [2]SalmonProps!$F$2:$F$10001) *($AR111 = [2]SalmonProps!$G$2:$G$10001),0), 17))</f>
        <v/>
      </c>
      <c r="H111" s="166" t="str" cm="1">
        <f t="array" ref="H111">IF(ISBLANK($AQ111), "", INDEX([2]SalmonProps!$A$2:$AA$10001,MATCH(1,($A111=[2]SalmonProps!$A$2:$A$10001)*(2=[2]SalmonProps!$C$2:$C$10001)*(1=[2]SalmonProps!$D$2:$D$10001)*("A2" = [2]SalmonProps!$B$2:$B$10001)*($AP111 = [2]SalmonProps!$F$2:$F$10001) *($AR111 = [2]SalmonProps!$G$2:$G$10001),0), 17))</f>
        <v/>
      </c>
      <c r="I111" s="167" t="str" cm="1">
        <f t="array" ref="I111">IF(ISBLANK($AQ111), "", INDEX([2]SalmonProps!$A$2:$AA$10001,MATCH(1,($A111=[2]SalmonProps!$A$2:$A$10001)*(3=[2]SalmonProps!$C$2:$C$10001)*(1=[2]SalmonProps!$D$2:$D$10001)*("A2" = [2]SalmonProps!$B$2:$B$10001)*($AP111 = [2]SalmonProps!$F$2:$F$10001) *($AR111 = [2]SalmonProps!$G$2:$G$10001),0), 17))</f>
        <v/>
      </c>
      <c r="J111" s="164" t="str" cm="1">
        <f t="array" ref="J111">IF(ISBLANK($AQ111), "", INDEX([2]SalmonProps!$A$2:$AA$10001,MATCH(1,($A111=[2]SalmonProps!$A$2:$A$10001)*(1=[2]SalmonProps!$C$2:$C$10001)*(1=[2]SalmonProps!$D$2:$D$10001)*("A1" = [2]SalmonProps!$B$2:$B$10001)*($AP111 = [2]SalmonProps!$F$2:$F$10001) *($AR111 = [2]SalmonProps!$G$2:$G$10001),0), 19))</f>
        <v/>
      </c>
      <c r="K111" s="165" t="str" cm="1">
        <f t="array" ref="K111">IF(ISBLANK($AQ111), "", INDEX([2]SalmonProps!$A$2:$AA$10001,MATCH(1,($A111=[2]SalmonProps!$A$2:$A$10001)*(1=[2]SalmonProps!$C$2:$C$10001)*(2=[2]SalmonProps!$D$2:$D$10001)*("A1" = [2]SalmonProps!$B$2:$B$10001)*($AP111 = [2]SalmonProps!$F$2:$F$10001) *($AR111 = [2]SalmonProps!$G$2:$G$10001),0), 19))</f>
        <v/>
      </c>
      <c r="L111" s="165" t="str" cm="1">
        <f t="array" ref="L111">IF(ISBLANK($AQ111), "", INDEX([2]SalmonProps!$A$2:$AA$10001,MATCH(1,($A111=[2]SalmonProps!$A$2:$A$10001)*(1=[2]SalmonProps!$C$2:$C$10001)*("1&amp;2"=[2]SalmonProps!$D$2:$D$10001)*("A1" = [2]SalmonProps!$B$2:$B$10001)*($AP111 = [2]SalmonProps!$F$2:$F$10001) *($AR111 = [2]SalmonProps!$G$2:$G$10001),0), 19))</f>
        <v/>
      </c>
      <c r="M111" s="165" t="str" cm="1">
        <f t="array" ref="M111">IF(ISBLANK($AQ111), "", INDEX([2]SalmonProps!$A$2:$AA$10001,MATCH(1,($A111=[2]SalmonProps!$A$2:$A$10001)*(2=[2]SalmonProps!$C$2:$C$10001)*(3=[2]SalmonProps!$D$2:$D$10001)*("A1" = [2]SalmonProps!$B$2:$B$10001)*($AP111 = [2]SalmonProps!$F$2:$F$10001) *($AR111 = [2]SalmonProps!$G$2:$G$10001),0), 19))</f>
        <v/>
      </c>
      <c r="N111" s="181" t="str" cm="1">
        <f t="array" ref="N111">IF(ISBLANK($AQ111), "", INDEX([2]SalmonProps!$A$2:$AA$10001,MATCH(1,($A111=[2]SalmonProps!$A$2:$A$10001)*(3=[2]SalmonProps!$C$2:$C$10001)*(3=[2]SalmonProps!$D$2:$D$10001)*("A1" = [2]SalmonProps!$B$2:$B$10001)*($AP111 = [2]SalmonProps!$F$2:$F$10001) *($AR111 = [2]SalmonProps!$G$2:$G$10001),0), 19))</f>
        <v/>
      </c>
      <c r="O111" s="165" t="str" cm="1">
        <f t="array" ref="O111">IF(ISBLANK($AQ111), "", INDEX([2]SalmonProps!$A$2:$AA$10001,MATCH(1,($A111=[2]SalmonProps!$A$2:$A$10001)*(1=[2]SalmonProps!$C$2:$C$10001)*(1=[2]SalmonProps!$D$2:$D$10001)*("A2" = [2]SalmonProps!$B$2:$B$10001)*($AP111 = [2]SalmonProps!$F$2:$F$10001) *($AR111 = [2]SalmonProps!$G$2:$G$10001),0), 19))</f>
        <v/>
      </c>
      <c r="P111" s="165" t="str" cm="1">
        <f t="array" ref="P111">IF(ISBLANK($AQ111), "", INDEX([2]SalmonProps!$A$2:$AA$10001,MATCH(1,($A111=[2]SalmonProps!$A$2:$A$10001)*(2=[2]SalmonProps!$C$2:$C$10001)*(1=[2]SalmonProps!$D$2:$D$10001)*("A2" = [2]SalmonProps!$B$2:$B$10001)*($AP111 = [2]SalmonProps!$F$2:$F$10001) *($AR111 = [2]SalmonProps!$G$2:$G$10001),0), 19))</f>
        <v/>
      </c>
      <c r="Q111" s="168" t="str" cm="1">
        <f t="array" ref="Q111">IF(ISBLANK($AQ111), "", INDEX([2]SalmonProps!$A$2:$AA$10001,MATCH(1,($A111=[2]SalmonProps!$A$2:$A$10001)*(3=[2]SalmonProps!$C$2:$C$10001)*(1=[2]SalmonProps!$D$2:$D$10001)*("A2" = [2]SalmonProps!$B$2:$B$10001)*($AP111 = [2]SalmonProps!$F$2:$F$10001) *($AR111 = [2]SalmonProps!$G$2:$G$10001),0), 19))</f>
        <v/>
      </c>
      <c r="R111" s="164" t="str" cm="1">
        <f t="array" ref="R111">IF(ISBLANK($AQ111), "", INDEX([2]SalmonProps!$A$2:$AA$10001,MATCH(1,($A111=[2]SalmonProps!$A$2:$A$10001)*(1=[2]SalmonProps!$C$2:$C$10001)*(1=[2]SalmonProps!$D$2:$D$10001)*("A1" = [2]SalmonProps!$B$2:$B$10001)*($AP111 = [2]SalmonProps!$F$2:$F$10001) *($AR111 = [2]SalmonProps!$G$2:$G$10001),0), 18))</f>
        <v/>
      </c>
      <c r="S111" s="165" t="str" cm="1">
        <f t="array" ref="S111">IF(ISBLANK($AQ111), "", INDEX([2]SalmonProps!$A$2:$AA$10001,MATCH(1,($A111=[2]SalmonProps!$A$2:$A$10001)*(1=[2]SalmonProps!$C$2:$C$10001)*(2=[2]SalmonProps!$D$2:$D$10001)*("A1" = [2]SalmonProps!$B$2:$B$10001)*($AP111 = [2]SalmonProps!$F$2:$F$10001) *($AR111 = [2]SalmonProps!$G$2:$G$10001),0), 18))</f>
        <v/>
      </c>
      <c r="T111" s="165" t="str" cm="1">
        <f t="array" ref="T111">IF(ISBLANK($AQ111), "", INDEX([2]SalmonProps!$A$2:$AA$10001,MATCH(1,($A111=[2]SalmonProps!$A$2:$A$10001)*(1=[2]SalmonProps!$C$2:$C$10001)*("1&amp;2"=[2]SalmonProps!$D$2:$D$10001)*("A1" = [2]SalmonProps!$B$2:$B$10001)*($AP111 = [2]SalmonProps!$F$2:$F$10001) *($AR111 = [2]SalmonProps!$G$2:$G$10001),0), 18))</f>
        <v/>
      </c>
      <c r="U111" s="165" t="str" cm="1">
        <f t="array" ref="U111">IF(ISBLANK($AQ111), "", INDEX([2]SalmonProps!$A$2:$AA$10001,MATCH(1,($A111=[2]SalmonProps!$A$2:$A$10001)*(2=[2]SalmonProps!$C$2:$C$10001)*(3=[2]SalmonProps!$D$2:$D$10001)*("A1" = [2]SalmonProps!$B$2:$B$10001)*($AP111 = [2]SalmonProps!$F$2:$F$10001) *($AR111 = [2]SalmonProps!$G$2:$G$10001),0), 18))</f>
        <v/>
      </c>
      <c r="V111" s="181" t="str" cm="1">
        <f t="array" ref="V111">IF(ISBLANK($AQ111), "", INDEX([2]SalmonProps!$A$2:$AA$10001,MATCH(1,($A111=[2]SalmonProps!$A$2:$A$10001)*(3=[2]SalmonProps!$C$2:$C$10001)*(3=[2]SalmonProps!$D$2:$D$10001)*("A1" = [2]SalmonProps!$B$2:$B$10001)*($AP111 = [2]SalmonProps!$F$2:$F$10001) *($AR111 = [2]SalmonProps!$G$2:$G$10001),0), 18))</f>
        <v/>
      </c>
      <c r="W111" s="180" t="str" cm="1">
        <f t="array" ref="W111">IF(ISBLANK($AQ111), "", INDEX([2]SalmonProps!$A$2:$AA$10001,MATCH(1,($A111=[2]SalmonProps!$A$2:$A$10001)*(1=[2]SalmonProps!$C$2:$C$10001)*(1=[2]SalmonProps!$D$2:$D$10001)*("A2" = [2]SalmonProps!$B$2:$B$10001)*($AP111 = [2]SalmonProps!$F$2:$F$10001) *($AR111 = [2]SalmonProps!$G$2:$G$10001),0), 18))</f>
        <v/>
      </c>
      <c r="X111" s="165" t="str" cm="1">
        <f t="array" ref="X111">IF(ISBLANK($AQ111), "", INDEX([2]SalmonProps!$A$2:$AA$10001,MATCH(1,($A111=[2]SalmonProps!$A$2:$A$10001)*(2=[2]SalmonProps!$C$2:$C$10001)*(1=[2]SalmonProps!$D$2:$D$10001)*("A2" = [2]SalmonProps!$B$2:$B$10001)*($AP111 = [2]SalmonProps!$F$2:$F$10001) *($AR111 = [2]SalmonProps!$G$2:$G$10001),0), 18))</f>
        <v/>
      </c>
      <c r="Y111" s="168" t="str" cm="1">
        <f t="array" ref="Y111">IF(ISBLANK($AQ111), "", INDEX([2]SalmonProps!$A$2:$AA$10001,MATCH(1,($A111=[2]SalmonProps!$A$2:$A$10001)*(3=[2]SalmonProps!$C$2:$C$10001)*(1=[2]SalmonProps!$D$2:$D$10001)*("A2" = [2]SalmonProps!$B$2:$B$10001)*($AP111 = [2]SalmonProps!$F$2:$F$10001) *($AR111 = [2]SalmonProps!$G$2:$G$10001),0), 18))</f>
        <v/>
      </c>
      <c r="Z111" s="164" t="str" cm="1">
        <f t="array" ref="Z111">IF(ISBLANK($AQ111), "", INDEX([2]SalmonProps!$A$2:$AA$10001,MATCH(1,($A111=[2]SalmonProps!$A$2:$A$10001)*(1=[2]SalmonProps!$C$2:$C$10001)*(1=[2]SalmonProps!$D$2:$D$10001)*("A1" = [2]SalmonProps!$B$2:$B$10001)*($AP111 = [2]SalmonProps!$F$2:$F$10001) *($AR111 = [2]SalmonProps!$G$2:$G$10001),0), 15))</f>
        <v/>
      </c>
      <c r="AA111" s="165" t="str" cm="1">
        <f t="array" ref="AA111">IF(ISBLANK($AQ111), "", INDEX([2]SalmonProps!$A$2:$AA$10001,MATCH(1,($A111=[2]SalmonProps!$A$2:$A$10001)*(1=[2]SalmonProps!$C$2:$C$10001)*(2=[2]SalmonProps!$D$2:$D$10001)*("A1" = [2]SalmonProps!$B$2:$B$10001)*($AP111 = [2]SalmonProps!$F$2:$F$10001) *($AR111 = [2]SalmonProps!$G$2:$G$10001),0), 15))</f>
        <v/>
      </c>
      <c r="AB111" s="165" t="str" cm="1">
        <f t="array" ref="AB111">IF(ISBLANK($AQ111), "", INDEX([2]SalmonProps!$A$2:$AA$10001,MATCH(1,($A111=[2]SalmonProps!$A$2:$A$10001)*(1=[2]SalmonProps!$C$2:$C$10001)*("1&amp;2"=[2]SalmonProps!$D$2:$D$10001)*("A1" = [2]SalmonProps!$B$2:$B$10001)*($AP111 = [2]SalmonProps!$F$2:$F$10001) *($AR111 = [2]SalmonProps!$G$2:$G$10001),0), 15))</f>
        <v/>
      </c>
      <c r="AC111" s="165" t="str" cm="1">
        <f t="array" ref="AC111">IF(ISBLANK($AQ111), "", INDEX([2]SalmonProps!$A$2:$AA$10001,MATCH(1,($A111=[2]SalmonProps!$A$2:$A$10001)*(2=[2]SalmonProps!$C$2:$C$10001)*(3=[2]SalmonProps!$D$2:$D$10001)*("A1" = [2]SalmonProps!$B$2:$B$10001)*($AP111 = [2]SalmonProps!$F$2:$F$10001) *($AR111 = [2]SalmonProps!$G$2:$G$10001),0), 15))</f>
        <v/>
      </c>
      <c r="AD111" s="181" t="str" cm="1">
        <f t="array" ref="AD111">IF(ISBLANK($AQ111), "", INDEX([2]SalmonProps!$A$2:$AA$10001,MATCH(1,($A111=[2]SalmonProps!$A$2:$A$10001)*(3=[2]SalmonProps!$C$2:$C$10001)*(3=[2]SalmonProps!$D$2:$D$10001)*("A1" = [2]SalmonProps!$B$2:$B$10001)*($AP111 = [2]SalmonProps!$F$2:$F$10001) *($AR111 = [2]SalmonProps!$G$2:$G$10001),0), 15))</f>
        <v/>
      </c>
      <c r="AE111" s="166" t="str" cm="1">
        <f t="array" ref="AE111">IF(ISBLANK($AQ111), "", INDEX([2]SalmonProps!$A$2:$AA$10001,MATCH(1,($A111=[2]SalmonProps!$A$2:$A$10001)*(1=[2]SalmonProps!$C$2:$C$10001)*(1=[2]SalmonProps!$D$2:$D$10001)*("A2" = [2]SalmonProps!$B$2:$B$10001)*($AP111 = [2]SalmonProps!$F$2:$F$10001) *($AR111 = [2]SalmonProps!$G$2:$G$10001),0), 15))</f>
        <v/>
      </c>
      <c r="AF111" s="166" t="str" cm="1">
        <f t="array" ref="AF111">IF(ISBLANK($AQ111), "", INDEX([2]SalmonProps!$A$2:$AA$10001,MATCH(1,($A111=[2]SalmonProps!$A$2:$A$10001)*(2=[2]SalmonProps!$C$2:$C$10001)*(1=[2]SalmonProps!$D$2:$D$10001)*("A2" = [2]SalmonProps!$B$2:$B$10001)*($AP111 = [2]SalmonProps!$F$2:$F$10001) *($AR111 = [2]SalmonProps!$G$2:$G$10001),0), 15))</f>
        <v/>
      </c>
      <c r="AG111" s="167" t="str" cm="1">
        <f t="array" ref="AG111">IF(ISBLANK($AQ111), "", INDEX([2]SalmonProps!$A$2:$AA$10001,MATCH(1,($A111=[2]SalmonProps!$A$2:$A$10001)*(3=[2]SalmonProps!$C$2:$C$10001)*(1=[2]SalmonProps!$D$2:$D$10001)*("A2" = [2]SalmonProps!$B$2:$B$10001)*($AP111 = [2]SalmonProps!$F$2:$F$10001) *($AR111 = [2]SalmonProps!$G$2:$G$10001),0), 15))</f>
        <v/>
      </c>
      <c r="AH111" s="173" t="str" cm="1">
        <f t="array" ref="AH111">IF(ISBLANK($AQ111), "", INDEX([2]SalmonProps!$A$2:$AA$10001,MATCH(1,($A111=[2]SalmonProps!$A$2:$A$10001)*($AP111 = [2]SalmonProps!$F$2:$F$10001) *($AR111 = [2]SalmonProps!$G$2:$G$10001),0), 24))</f>
        <v/>
      </c>
      <c r="AI111" s="183" t="str" cm="1">
        <f t="array" ref="AI111">IF(ISBLANK($AQ111), "", INDEX([2]SalmonProps!$A$2:$AA$10001,MATCH(1,($A111=[2]SalmonProps!$A$2:$A$10001)*($AP111 = [2]SalmonProps!$F$2:$F$10001) *($AR111 = [2]SalmonProps!$G$2:$G$10001),0), 25))</f>
        <v/>
      </c>
      <c r="AJ111" s="174" t="str" cm="1">
        <f t="array" ref="AJ111">IF(ISBLANK($AQ111), "", INDEX([2]SalmonProps!$A$2:$AA$10001,MATCH(1,($A111=[2]SalmonProps!$A$2:$A$10001)*($AP111 = [2]SalmonProps!$F$2:$F$10001) *($AR111 = [2]SalmonProps!$G$2:$G$10001),0), 20))</f>
        <v/>
      </c>
      <c r="AK111" s="183" t="str" cm="1">
        <f t="array" ref="AK111">IF(ISBLANK($AQ111), "", INDEX([2]SalmonProps!$A$2:$AA$10001,MATCH(1,($A111=[2]SalmonProps!$A$2:$A$10001)*($AP111 = [2]SalmonProps!$F$2:$F$10001) *($AR111 = [2]SalmonProps!$G$2:$G$10001),0), 21))</f>
        <v/>
      </c>
      <c r="AL111" s="174" t="str" cm="1">
        <f t="array" ref="AL111">IF(ISBLANK($AQ111), "", INDEX([2]SalmonProps!$A$2:$AA$10001,MATCH(1,($A111=[2]SalmonProps!$A$2:$A$10001)*($AP111 = [2]SalmonProps!$F$2:$F$10001) *($AR111 = [2]SalmonProps!$G$2:$G$10001),0), 22))</f>
        <v/>
      </c>
      <c r="AM111" s="183" t="str" cm="1">
        <f t="array" ref="AM111">IF(ISBLANK($AQ111), "", INDEX([2]SalmonProps!$A$2:$AA$10001,MATCH(1,($A111=[2]SalmonProps!$A$2:$A$10001)*($AP111 = [2]SalmonProps!$F$2:$F$10001) *($AR111 = [2]SalmonProps!$G$2:$G$10001),0), 23))</f>
        <v/>
      </c>
      <c r="AN111" s="174" t="str" cm="1">
        <f t="array" ref="AN111">IF(ISBLANK($AQ111), "", INDEX([2]SalmonProps!$A$2:$AA$10001,MATCH(1,($A111=[2]SalmonProps!$A$2:$A$10001)*($AP111 = [2]SalmonProps!$F$2:$F$10001) *($AR111 = [2]SalmonProps!$G$2:$G$10001),0), 26))</f>
        <v/>
      </c>
      <c r="AO111" s="175" t="str" cm="1">
        <f t="array" ref="AO111">IF(ISBLANK($AQ111), "", INDEX([2]SalmonProps!$A$2:$AA$10001,MATCH(1,($A111=[2]SalmonProps!$A$2:$A$10001)*($AP111 = [2]SalmonProps!$F$2:$F$10001) *($AR111 = [2]SalmonProps!$G$2:$G$10001),0), 27))</f>
        <v/>
      </c>
      <c r="AP111" s="112"/>
      <c r="AQ111" s="112"/>
      <c r="AR111" s="112" t="e">
        <f t="shared" si="2"/>
        <v>#N/A</v>
      </c>
    </row>
    <row r="112" spans="1:44" x14ac:dyDescent="0.3">
      <c r="A112" s="20">
        <f>'[1]Passage Estimates'!$A112</f>
        <v>45214</v>
      </c>
      <c r="B112" s="164" t="str" cm="1">
        <f t="array" ref="B112">IF(ISBLANK($AQ112), "", INDEX([2]SalmonProps!$A$2:$AA$10001,MATCH(1,($A112=[2]SalmonProps!$A$2:$A$10001)*(1=[2]SalmonProps!$C$2:$C$10001)*(1=[2]SalmonProps!$D$2:$D$10001)*("A1" = [2]SalmonProps!$B$2:$B$10001)*($AP112 = [2]SalmonProps!$F$2:$F$10001) *($AR112 = [2]SalmonProps!$G$2:$G$10001),0), 17))</f>
        <v/>
      </c>
      <c r="C112" s="165" t="str" cm="1">
        <f t="array" ref="C112">IF(ISBLANK($AQ112), "", INDEX([2]SalmonProps!$A$2:$AA$10001,MATCH(1,($A112=[2]SalmonProps!$A$2:$A$10001)*(1=[2]SalmonProps!$C$2:$C$10001)*(2=[2]SalmonProps!$D$2:$D$10001)*("A1" = [2]SalmonProps!$B$2:$B$10001)*($AP112 = [2]SalmonProps!$F$2:$F$10001) *($AR112 = [2]SalmonProps!$G$2:$G$10001),0), 17))</f>
        <v/>
      </c>
      <c r="D112" s="165" t="str" cm="1">
        <f t="array" ref="D112">IF(ISBLANK($AQ112), "", INDEX([2]SalmonProps!$A$2:$AA$10001,MATCH(1,($A112=[2]SalmonProps!$A$2:$A$10001)*(1=[2]SalmonProps!$C$2:$C$10001)*("1&amp;2"=[2]SalmonProps!$D$2:$D$10001)*("A1" = [2]SalmonProps!$B$2:$B$10001)*($AP112 = [2]SalmonProps!$F$2:$F$10001) *($AR112 = [2]SalmonProps!$G$2:$G$10001),0), 17))</f>
        <v/>
      </c>
      <c r="E112" s="181" t="str" cm="1">
        <f t="array" ref="E112">IF(ISBLANK($AQ112), "", INDEX([2]SalmonProps!$A$2:$AA$10001,MATCH(1,($A112=[2]SalmonProps!$A$2:$A$10001)*(2=[2]SalmonProps!$C$2:$C$10001)*(3=[2]SalmonProps!$D$2:$D$10001)*("A1" = [2]SalmonProps!$B$2:$B$10001)*($AP112 = [2]SalmonProps!$F$2:$F$10001) *($AR112 = [2]SalmonProps!$G$2:$G$10001),0), 17))</f>
        <v/>
      </c>
      <c r="F112" s="165" t="str" cm="1">
        <f t="array" ref="F112">IF(ISBLANK($AQ112), "", INDEX([2]SalmonProps!$A$2:$AA$10001,MATCH(1,($A112=[2]SalmonProps!$A$2:$A$10001)*(3=[2]SalmonProps!$C$2:$C$10001)*(3=[2]SalmonProps!$D$2:$D$10001)*("A1" = [2]SalmonProps!$B$2:$B$10001)*($AP112 = [2]SalmonProps!$F$2:$F$10001) *($AR112 = [2]SalmonProps!$G$2:$G$10001),0), 17))</f>
        <v/>
      </c>
      <c r="G112" s="165" t="str" cm="1">
        <f t="array" ref="G112">IF(ISBLANK($AQ112), "", INDEX([2]SalmonProps!$A$2:$AA$10001,MATCH(1,($A112=[2]SalmonProps!$A$2:$A$10001)*(1=[2]SalmonProps!$C$2:$C$10001)*(1=[2]SalmonProps!$D$2:$D$10001)*("A2" = [2]SalmonProps!$B$2:$B$10001)*($AP112 = [2]SalmonProps!$F$2:$F$10001) *($AR112 = [2]SalmonProps!$G$2:$G$10001),0), 17))</f>
        <v/>
      </c>
      <c r="H112" s="166" t="str" cm="1">
        <f t="array" ref="H112">IF(ISBLANK($AQ112), "", INDEX([2]SalmonProps!$A$2:$AA$10001,MATCH(1,($A112=[2]SalmonProps!$A$2:$A$10001)*(2=[2]SalmonProps!$C$2:$C$10001)*(1=[2]SalmonProps!$D$2:$D$10001)*("A2" = [2]SalmonProps!$B$2:$B$10001)*($AP112 = [2]SalmonProps!$F$2:$F$10001) *($AR112 = [2]SalmonProps!$G$2:$G$10001),0), 17))</f>
        <v/>
      </c>
      <c r="I112" s="167" t="str" cm="1">
        <f t="array" ref="I112">IF(ISBLANK($AQ112), "", INDEX([2]SalmonProps!$A$2:$AA$10001,MATCH(1,($A112=[2]SalmonProps!$A$2:$A$10001)*(3=[2]SalmonProps!$C$2:$C$10001)*(1=[2]SalmonProps!$D$2:$D$10001)*("A2" = [2]SalmonProps!$B$2:$B$10001)*($AP112 = [2]SalmonProps!$F$2:$F$10001) *($AR112 = [2]SalmonProps!$G$2:$G$10001),0), 17))</f>
        <v/>
      </c>
      <c r="J112" s="164" t="str" cm="1">
        <f t="array" ref="J112">IF(ISBLANK($AQ112), "", INDEX([2]SalmonProps!$A$2:$AA$10001,MATCH(1,($A112=[2]SalmonProps!$A$2:$A$10001)*(1=[2]SalmonProps!$C$2:$C$10001)*(1=[2]SalmonProps!$D$2:$D$10001)*("A1" = [2]SalmonProps!$B$2:$B$10001)*($AP112 = [2]SalmonProps!$F$2:$F$10001) *($AR112 = [2]SalmonProps!$G$2:$G$10001),0), 19))</f>
        <v/>
      </c>
      <c r="K112" s="165" t="str" cm="1">
        <f t="array" ref="K112">IF(ISBLANK($AQ112), "", INDEX([2]SalmonProps!$A$2:$AA$10001,MATCH(1,($A112=[2]SalmonProps!$A$2:$A$10001)*(1=[2]SalmonProps!$C$2:$C$10001)*(2=[2]SalmonProps!$D$2:$D$10001)*("A1" = [2]SalmonProps!$B$2:$B$10001)*($AP112 = [2]SalmonProps!$F$2:$F$10001) *($AR112 = [2]SalmonProps!$G$2:$G$10001),0), 19))</f>
        <v/>
      </c>
      <c r="L112" s="165" t="str" cm="1">
        <f t="array" ref="L112">IF(ISBLANK($AQ112), "", INDEX([2]SalmonProps!$A$2:$AA$10001,MATCH(1,($A112=[2]SalmonProps!$A$2:$A$10001)*(1=[2]SalmonProps!$C$2:$C$10001)*("1&amp;2"=[2]SalmonProps!$D$2:$D$10001)*("A1" = [2]SalmonProps!$B$2:$B$10001)*($AP112 = [2]SalmonProps!$F$2:$F$10001) *($AR112 = [2]SalmonProps!$G$2:$G$10001),0), 19))</f>
        <v/>
      </c>
      <c r="M112" s="165" t="str" cm="1">
        <f t="array" ref="M112">IF(ISBLANK($AQ112), "", INDEX([2]SalmonProps!$A$2:$AA$10001,MATCH(1,($A112=[2]SalmonProps!$A$2:$A$10001)*(2=[2]SalmonProps!$C$2:$C$10001)*(3=[2]SalmonProps!$D$2:$D$10001)*("A1" = [2]SalmonProps!$B$2:$B$10001)*($AP112 = [2]SalmonProps!$F$2:$F$10001) *($AR112 = [2]SalmonProps!$G$2:$G$10001),0), 19))</f>
        <v/>
      </c>
      <c r="N112" s="181" t="str" cm="1">
        <f t="array" ref="N112">IF(ISBLANK($AQ112), "", INDEX([2]SalmonProps!$A$2:$AA$10001,MATCH(1,($A112=[2]SalmonProps!$A$2:$A$10001)*(3=[2]SalmonProps!$C$2:$C$10001)*(3=[2]SalmonProps!$D$2:$D$10001)*("A1" = [2]SalmonProps!$B$2:$B$10001)*($AP112 = [2]SalmonProps!$F$2:$F$10001) *($AR112 = [2]SalmonProps!$G$2:$G$10001),0), 19))</f>
        <v/>
      </c>
      <c r="O112" s="165" t="str" cm="1">
        <f t="array" ref="O112">IF(ISBLANK($AQ112), "", INDEX([2]SalmonProps!$A$2:$AA$10001,MATCH(1,($A112=[2]SalmonProps!$A$2:$A$10001)*(1=[2]SalmonProps!$C$2:$C$10001)*(1=[2]SalmonProps!$D$2:$D$10001)*("A2" = [2]SalmonProps!$B$2:$B$10001)*($AP112 = [2]SalmonProps!$F$2:$F$10001) *($AR112 = [2]SalmonProps!$G$2:$G$10001),0), 19))</f>
        <v/>
      </c>
      <c r="P112" s="165" t="str" cm="1">
        <f t="array" ref="P112">IF(ISBLANK($AQ112), "", INDEX([2]SalmonProps!$A$2:$AA$10001,MATCH(1,($A112=[2]SalmonProps!$A$2:$A$10001)*(2=[2]SalmonProps!$C$2:$C$10001)*(1=[2]SalmonProps!$D$2:$D$10001)*("A2" = [2]SalmonProps!$B$2:$B$10001)*($AP112 = [2]SalmonProps!$F$2:$F$10001) *($AR112 = [2]SalmonProps!$G$2:$G$10001),0), 19))</f>
        <v/>
      </c>
      <c r="Q112" s="168" t="str" cm="1">
        <f t="array" ref="Q112">IF(ISBLANK($AQ112), "", INDEX([2]SalmonProps!$A$2:$AA$10001,MATCH(1,($A112=[2]SalmonProps!$A$2:$A$10001)*(3=[2]SalmonProps!$C$2:$C$10001)*(1=[2]SalmonProps!$D$2:$D$10001)*("A2" = [2]SalmonProps!$B$2:$B$10001)*($AP112 = [2]SalmonProps!$F$2:$F$10001) *($AR112 = [2]SalmonProps!$G$2:$G$10001),0), 19))</f>
        <v/>
      </c>
      <c r="R112" s="164" t="str" cm="1">
        <f t="array" ref="R112">IF(ISBLANK($AQ112), "", INDEX([2]SalmonProps!$A$2:$AA$10001,MATCH(1,($A112=[2]SalmonProps!$A$2:$A$10001)*(1=[2]SalmonProps!$C$2:$C$10001)*(1=[2]SalmonProps!$D$2:$D$10001)*("A1" = [2]SalmonProps!$B$2:$B$10001)*($AP112 = [2]SalmonProps!$F$2:$F$10001) *($AR112 = [2]SalmonProps!$G$2:$G$10001),0), 18))</f>
        <v/>
      </c>
      <c r="S112" s="165" t="str" cm="1">
        <f t="array" ref="S112">IF(ISBLANK($AQ112), "", INDEX([2]SalmonProps!$A$2:$AA$10001,MATCH(1,($A112=[2]SalmonProps!$A$2:$A$10001)*(1=[2]SalmonProps!$C$2:$C$10001)*(2=[2]SalmonProps!$D$2:$D$10001)*("A1" = [2]SalmonProps!$B$2:$B$10001)*($AP112 = [2]SalmonProps!$F$2:$F$10001) *($AR112 = [2]SalmonProps!$G$2:$G$10001),0), 18))</f>
        <v/>
      </c>
      <c r="T112" s="165" t="str" cm="1">
        <f t="array" ref="T112">IF(ISBLANK($AQ112), "", INDEX([2]SalmonProps!$A$2:$AA$10001,MATCH(1,($A112=[2]SalmonProps!$A$2:$A$10001)*(1=[2]SalmonProps!$C$2:$C$10001)*("1&amp;2"=[2]SalmonProps!$D$2:$D$10001)*("A1" = [2]SalmonProps!$B$2:$B$10001)*($AP112 = [2]SalmonProps!$F$2:$F$10001) *($AR112 = [2]SalmonProps!$G$2:$G$10001),0), 18))</f>
        <v/>
      </c>
      <c r="U112" s="165" t="str" cm="1">
        <f t="array" ref="U112">IF(ISBLANK($AQ112), "", INDEX([2]SalmonProps!$A$2:$AA$10001,MATCH(1,($A112=[2]SalmonProps!$A$2:$A$10001)*(2=[2]SalmonProps!$C$2:$C$10001)*(3=[2]SalmonProps!$D$2:$D$10001)*("A1" = [2]SalmonProps!$B$2:$B$10001)*($AP112 = [2]SalmonProps!$F$2:$F$10001) *($AR112 = [2]SalmonProps!$G$2:$G$10001),0), 18))</f>
        <v/>
      </c>
      <c r="V112" s="181" t="str" cm="1">
        <f t="array" ref="V112">IF(ISBLANK($AQ112), "", INDEX([2]SalmonProps!$A$2:$AA$10001,MATCH(1,($A112=[2]SalmonProps!$A$2:$A$10001)*(3=[2]SalmonProps!$C$2:$C$10001)*(3=[2]SalmonProps!$D$2:$D$10001)*("A1" = [2]SalmonProps!$B$2:$B$10001)*($AP112 = [2]SalmonProps!$F$2:$F$10001) *($AR112 = [2]SalmonProps!$G$2:$G$10001),0), 18))</f>
        <v/>
      </c>
      <c r="W112" s="180" t="str" cm="1">
        <f t="array" ref="W112">IF(ISBLANK($AQ112), "", INDEX([2]SalmonProps!$A$2:$AA$10001,MATCH(1,($A112=[2]SalmonProps!$A$2:$A$10001)*(1=[2]SalmonProps!$C$2:$C$10001)*(1=[2]SalmonProps!$D$2:$D$10001)*("A2" = [2]SalmonProps!$B$2:$B$10001)*($AP112 = [2]SalmonProps!$F$2:$F$10001) *($AR112 = [2]SalmonProps!$G$2:$G$10001),0), 18))</f>
        <v/>
      </c>
      <c r="X112" s="165" t="str" cm="1">
        <f t="array" ref="X112">IF(ISBLANK($AQ112), "", INDEX([2]SalmonProps!$A$2:$AA$10001,MATCH(1,($A112=[2]SalmonProps!$A$2:$A$10001)*(2=[2]SalmonProps!$C$2:$C$10001)*(1=[2]SalmonProps!$D$2:$D$10001)*("A2" = [2]SalmonProps!$B$2:$B$10001)*($AP112 = [2]SalmonProps!$F$2:$F$10001) *($AR112 = [2]SalmonProps!$G$2:$G$10001),0), 18))</f>
        <v/>
      </c>
      <c r="Y112" s="168" t="str" cm="1">
        <f t="array" ref="Y112">IF(ISBLANK($AQ112), "", INDEX([2]SalmonProps!$A$2:$AA$10001,MATCH(1,($A112=[2]SalmonProps!$A$2:$A$10001)*(3=[2]SalmonProps!$C$2:$C$10001)*(1=[2]SalmonProps!$D$2:$D$10001)*("A2" = [2]SalmonProps!$B$2:$B$10001)*($AP112 = [2]SalmonProps!$F$2:$F$10001) *($AR112 = [2]SalmonProps!$G$2:$G$10001),0), 18))</f>
        <v/>
      </c>
      <c r="Z112" s="164" t="str" cm="1">
        <f t="array" ref="Z112">IF(ISBLANK($AQ112), "", INDEX([2]SalmonProps!$A$2:$AA$10001,MATCH(1,($A112=[2]SalmonProps!$A$2:$A$10001)*(1=[2]SalmonProps!$C$2:$C$10001)*(1=[2]SalmonProps!$D$2:$D$10001)*("A1" = [2]SalmonProps!$B$2:$B$10001)*($AP112 = [2]SalmonProps!$F$2:$F$10001) *($AR112 = [2]SalmonProps!$G$2:$G$10001),0), 15))</f>
        <v/>
      </c>
      <c r="AA112" s="165" t="str" cm="1">
        <f t="array" ref="AA112">IF(ISBLANK($AQ112), "", INDEX([2]SalmonProps!$A$2:$AA$10001,MATCH(1,($A112=[2]SalmonProps!$A$2:$A$10001)*(1=[2]SalmonProps!$C$2:$C$10001)*(2=[2]SalmonProps!$D$2:$D$10001)*("A1" = [2]SalmonProps!$B$2:$B$10001)*($AP112 = [2]SalmonProps!$F$2:$F$10001) *($AR112 = [2]SalmonProps!$G$2:$G$10001),0), 15))</f>
        <v/>
      </c>
      <c r="AB112" s="165" t="str" cm="1">
        <f t="array" ref="AB112">IF(ISBLANK($AQ112), "", INDEX([2]SalmonProps!$A$2:$AA$10001,MATCH(1,($A112=[2]SalmonProps!$A$2:$A$10001)*(1=[2]SalmonProps!$C$2:$C$10001)*("1&amp;2"=[2]SalmonProps!$D$2:$D$10001)*("A1" = [2]SalmonProps!$B$2:$B$10001)*($AP112 = [2]SalmonProps!$F$2:$F$10001) *($AR112 = [2]SalmonProps!$G$2:$G$10001),0), 15))</f>
        <v/>
      </c>
      <c r="AC112" s="165" t="str" cm="1">
        <f t="array" ref="AC112">IF(ISBLANK($AQ112), "", INDEX([2]SalmonProps!$A$2:$AA$10001,MATCH(1,($A112=[2]SalmonProps!$A$2:$A$10001)*(2=[2]SalmonProps!$C$2:$C$10001)*(3=[2]SalmonProps!$D$2:$D$10001)*("A1" = [2]SalmonProps!$B$2:$B$10001)*($AP112 = [2]SalmonProps!$F$2:$F$10001) *($AR112 = [2]SalmonProps!$G$2:$G$10001),0), 15))</f>
        <v/>
      </c>
      <c r="AD112" s="181" t="str" cm="1">
        <f t="array" ref="AD112">IF(ISBLANK($AQ112), "", INDEX([2]SalmonProps!$A$2:$AA$10001,MATCH(1,($A112=[2]SalmonProps!$A$2:$A$10001)*(3=[2]SalmonProps!$C$2:$C$10001)*(3=[2]SalmonProps!$D$2:$D$10001)*("A1" = [2]SalmonProps!$B$2:$B$10001)*($AP112 = [2]SalmonProps!$F$2:$F$10001) *($AR112 = [2]SalmonProps!$G$2:$G$10001),0), 15))</f>
        <v/>
      </c>
      <c r="AE112" s="166" t="str" cm="1">
        <f t="array" ref="AE112">IF(ISBLANK($AQ112), "", INDEX([2]SalmonProps!$A$2:$AA$10001,MATCH(1,($A112=[2]SalmonProps!$A$2:$A$10001)*(1=[2]SalmonProps!$C$2:$C$10001)*(1=[2]SalmonProps!$D$2:$D$10001)*("A2" = [2]SalmonProps!$B$2:$B$10001)*($AP112 = [2]SalmonProps!$F$2:$F$10001) *($AR112 = [2]SalmonProps!$G$2:$G$10001),0), 15))</f>
        <v/>
      </c>
      <c r="AF112" s="166" t="str" cm="1">
        <f t="array" ref="AF112">IF(ISBLANK($AQ112), "", INDEX([2]SalmonProps!$A$2:$AA$10001,MATCH(1,($A112=[2]SalmonProps!$A$2:$A$10001)*(2=[2]SalmonProps!$C$2:$C$10001)*(1=[2]SalmonProps!$D$2:$D$10001)*("A2" = [2]SalmonProps!$B$2:$B$10001)*($AP112 = [2]SalmonProps!$F$2:$F$10001) *($AR112 = [2]SalmonProps!$G$2:$G$10001),0), 15))</f>
        <v/>
      </c>
      <c r="AG112" s="167" t="str" cm="1">
        <f t="array" ref="AG112">IF(ISBLANK($AQ112), "", INDEX([2]SalmonProps!$A$2:$AA$10001,MATCH(1,($A112=[2]SalmonProps!$A$2:$A$10001)*(3=[2]SalmonProps!$C$2:$C$10001)*(1=[2]SalmonProps!$D$2:$D$10001)*("A2" = [2]SalmonProps!$B$2:$B$10001)*($AP112 = [2]SalmonProps!$F$2:$F$10001) *($AR112 = [2]SalmonProps!$G$2:$G$10001),0), 15))</f>
        <v/>
      </c>
      <c r="AH112" s="173" t="str" cm="1">
        <f t="array" ref="AH112">IF(ISBLANK($AQ112), "", INDEX([2]SalmonProps!$A$2:$AA$10001,MATCH(1,($A112=[2]SalmonProps!$A$2:$A$10001)*($AP112 = [2]SalmonProps!$F$2:$F$10001) *($AR112 = [2]SalmonProps!$G$2:$G$10001),0), 24))</f>
        <v/>
      </c>
      <c r="AI112" s="183" t="str" cm="1">
        <f t="array" ref="AI112">IF(ISBLANK($AQ112), "", INDEX([2]SalmonProps!$A$2:$AA$10001,MATCH(1,($A112=[2]SalmonProps!$A$2:$A$10001)*($AP112 = [2]SalmonProps!$F$2:$F$10001) *($AR112 = [2]SalmonProps!$G$2:$G$10001),0), 25))</f>
        <v/>
      </c>
      <c r="AJ112" s="174" t="str" cm="1">
        <f t="array" ref="AJ112">IF(ISBLANK($AQ112), "", INDEX([2]SalmonProps!$A$2:$AA$10001,MATCH(1,($A112=[2]SalmonProps!$A$2:$A$10001)*($AP112 = [2]SalmonProps!$F$2:$F$10001) *($AR112 = [2]SalmonProps!$G$2:$G$10001),0), 20))</f>
        <v/>
      </c>
      <c r="AK112" s="183" t="str" cm="1">
        <f t="array" ref="AK112">IF(ISBLANK($AQ112), "", INDEX([2]SalmonProps!$A$2:$AA$10001,MATCH(1,($A112=[2]SalmonProps!$A$2:$A$10001)*($AP112 = [2]SalmonProps!$F$2:$F$10001) *($AR112 = [2]SalmonProps!$G$2:$G$10001),0), 21))</f>
        <v/>
      </c>
      <c r="AL112" s="174" t="str" cm="1">
        <f t="array" ref="AL112">IF(ISBLANK($AQ112), "", INDEX([2]SalmonProps!$A$2:$AA$10001,MATCH(1,($A112=[2]SalmonProps!$A$2:$A$10001)*($AP112 = [2]SalmonProps!$F$2:$F$10001) *($AR112 = [2]SalmonProps!$G$2:$G$10001),0), 22))</f>
        <v/>
      </c>
      <c r="AM112" s="183" t="str" cm="1">
        <f t="array" ref="AM112">IF(ISBLANK($AQ112), "", INDEX([2]SalmonProps!$A$2:$AA$10001,MATCH(1,($A112=[2]SalmonProps!$A$2:$A$10001)*($AP112 = [2]SalmonProps!$F$2:$F$10001) *($AR112 = [2]SalmonProps!$G$2:$G$10001),0), 23))</f>
        <v/>
      </c>
      <c r="AN112" s="174" t="str" cm="1">
        <f t="array" ref="AN112">IF(ISBLANK($AQ112), "", INDEX([2]SalmonProps!$A$2:$AA$10001,MATCH(1,($A112=[2]SalmonProps!$A$2:$A$10001)*($AP112 = [2]SalmonProps!$F$2:$F$10001) *($AR112 = [2]SalmonProps!$G$2:$G$10001),0), 26))</f>
        <v/>
      </c>
      <c r="AO112" s="175" t="str" cm="1">
        <f t="array" ref="AO112">IF(ISBLANK($AQ112), "", INDEX([2]SalmonProps!$A$2:$AA$10001,MATCH(1,($A112=[2]SalmonProps!$A$2:$A$10001)*($AP112 = [2]SalmonProps!$F$2:$F$10001) *($AR112 = [2]SalmonProps!$G$2:$G$10001),0), 27))</f>
        <v/>
      </c>
      <c r="AP112" s="112"/>
      <c r="AQ112" s="112"/>
      <c r="AR112" s="112" t="e">
        <f t="shared" si="2"/>
        <v>#N/A</v>
      </c>
    </row>
    <row r="113" spans="1:44" x14ac:dyDescent="0.3">
      <c r="A113" s="20">
        <f>'[1]Passage Estimates'!$A113</f>
        <v>45215</v>
      </c>
      <c r="B113" s="164" t="str" cm="1">
        <f t="array" ref="B113">IF(ISBLANK($AQ113), "", INDEX([2]SalmonProps!$A$2:$AA$10001,MATCH(1,($A113=[2]SalmonProps!$A$2:$A$10001)*(1=[2]SalmonProps!$C$2:$C$10001)*(1=[2]SalmonProps!$D$2:$D$10001)*("A1" = [2]SalmonProps!$B$2:$B$10001)*($AP113 = [2]SalmonProps!$F$2:$F$10001) *($AR113 = [2]SalmonProps!$G$2:$G$10001),0), 17))</f>
        <v/>
      </c>
      <c r="C113" s="165" t="str" cm="1">
        <f t="array" ref="C113">IF(ISBLANK($AQ113), "", INDEX([2]SalmonProps!$A$2:$AA$10001,MATCH(1,($A113=[2]SalmonProps!$A$2:$A$10001)*(1=[2]SalmonProps!$C$2:$C$10001)*(2=[2]SalmonProps!$D$2:$D$10001)*("A1" = [2]SalmonProps!$B$2:$B$10001)*($AP113 = [2]SalmonProps!$F$2:$F$10001) *($AR113 = [2]SalmonProps!$G$2:$G$10001),0), 17))</f>
        <v/>
      </c>
      <c r="D113" s="165" t="str" cm="1">
        <f t="array" ref="D113">IF(ISBLANK($AQ113), "", INDEX([2]SalmonProps!$A$2:$AA$10001,MATCH(1,($A113=[2]SalmonProps!$A$2:$A$10001)*(1=[2]SalmonProps!$C$2:$C$10001)*("1&amp;2"=[2]SalmonProps!$D$2:$D$10001)*("A1" = [2]SalmonProps!$B$2:$B$10001)*($AP113 = [2]SalmonProps!$F$2:$F$10001) *($AR113 = [2]SalmonProps!$G$2:$G$10001),0), 17))</f>
        <v/>
      </c>
      <c r="E113" s="181" t="str" cm="1">
        <f t="array" ref="E113">IF(ISBLANK($AQ113), "", INDEX([2]SalmonProps!$A$2:$AA$10001,MATCH(1,($A113=[2]SalmonProps!$A$2:$A$10001)*(2=[2]SalmonProps!$C$2:$C$10001)*(3=[2]SalmonProps!$D$2:$D$10001)*("A1" = [2]SalmonProps!$B$2:$B$10001)*($AP113 = [2]SalmonProps!$F$2:$F$10001) *($AR113 = [2]SalmonProps!$G$2:$G$10001),0), 17))</f>
        <v/>
      </c>
      <c r="F113" s="165" t="str" cm="1">
        <f t="array" ref="F113">IF(ISBLANK($AQ113), "", INDEX([2]SalmonProps!$A$2:$AA$10001,MATCH(1,($A113=[2]SalmonProps!$A$2:$A$10001)*(3=[2]SalmonProps!$C$2:$C$10001)*(3=[2]SalmonProps!$D$2:$D$10001)*("A1" = [2]SalmonProps!$B$2:$B$10001)*($AP113 = [2]SalmonProps!$F$2:$F$10001) *($AR113 = [2]SalmonProps!$G$2:$G$10001),0), 17))</f>
        <v/>
      </c>
      <c r="G113" s="165" t="str" cm="1">
        <f t="array" ref="G113">IF(ISBLANK($AQ113), "", INDEX([2]SalmonProps!$A$2:$AA$10001,MATCH(1,($A113=[2]SalmonProps!$A$2:$A$10001)*(1=[2]SalmonProps!$C$2:$C$10001)*(1=[2]SalmonProps!$D$2:$D$10001)*("A2" = [2]SalmonProps!$B$2:$B$10001)*($AP113 = [2]SalmonProps!$F$2:$F$10001) *($AR113 = [2]SalmonProps!$G$2:$G$10001),0), 17))</f>
        <v/>
      </c>
      <c r="H113" s="166" t="str" cm="1">
        <f t="array" ref="H113">IF(ISBLANK($AQ113), "", INDEX([2]SalmonProps!$A$2:$AA$10001,MATCH(1,($A113=[2]SalmonProps!$A$2:$A$10001)*(2=[2]SalmonProps!$C$2:$C$10001)*(1=[2]SalmonProps!$D$2:$D$10001)*("A2" = [2]SalmonProps!$B$2:$B$10001)*($AP113 = [2]SalmonProps!$F$2:$F$10001) *($AR113 = [2]SalmonProps!$G$2:$G$10001),0), 17))</f>
        <v/>
      </c>
      <c r="I113" s="167" t="str" cm="1">
        <f t="array" ref="I113">IF(ISBLANK($AQ113), "", INDEX([2]SalmonProps!$A$2:$AA$10001,MATCH(1,($A113=[2]SalmonProps!$A$2:$A$10001)*(3=[2]SalmonProps!$C$2:$C$10001)*(1=[2]SalmonProps!$D$2:$D$10001)*("A2" = [2]SalmonProps!$B$2:$B$10001)*($AP113 = [2]SalmonProps!$F$2:$F$10001) *($AR113 = [2]SalmonProps!$G$2:$G$10001),0), 17))</f>
        <v/>
      </c>
      <c r="J113" s="164" t="str" cm="1">
        <f t="array" ref="J113">IF(ISBLANK($AQ113), "", INDEX([2]SalmonProps!$A$2:$AA$10001,MATCH(1,($A113=[2]SalmonProps!$A$2:$A$10001)*(1=[2]SalmonProps!$C$2:$C$10001)*(1=[2]SalmonProps!$D$2:$D$10001)*("A1" = [2]SalmonProps!$B$2:$B$10001)*($AP113 = [2]SalmonProps!$F$2:$F$10001) *($AR113 = [2]SalmonProps!$G$2:$G$10001),0), 19))</f>
        <v/>
      </c>
      <c r="K113" s="165" t="str" cm="1">
        <f t="array" ref="K113">IF(ISBLANK($AQ113), "", INDEX([2]SalmonProps!$A$2:$AA$10001,MATCH(1,($A113=[2]SalmonProps!$A$2:$A$10001)*(1=[2]SalmonProps!$C$2:$C$10001)*(2=[2]SalmonProps!$D$2:$D$10001)*("A1" = [2]SalmonProps!$B$2:$B$10001)*($AP113 = [2]SalmonProps!$F$2:$F$10001) *($AR113 = [2]SalmonProps!$G$2:$G$10001),0), 19))</f>
        <v/>
      </c>
      <c r="L113" s="165" t="str" cm="1">
        <f t="array" ref="L113">IF(ISBLANK($AQ113), "", INDEX([2]SalmonProps!$A$2:$AA$10001,MATCH(1,($A113=[2]SalmonProps!$A$2:$A$10001)*(1=[2]SalmonProps!$C$2:$C$10001)*("1&amp;2"=[2]SalmonProps!$D$2:$D$10001)*("A1" = [2]SalmonProps!$B$2:$B$10001)*($AP113 = [2]SalmonProps!$F$2:$F$10001) *($AR113 = [2]SalmonProps!$G$2:$G$10001),0), 19))</f>
        <v/>
      </c>
      <c r="M113" s="165" t="str" cm="1">
        <f t="array" ref="M113">IF(ISBLANK($AQ113), "", INDEX([2]SalmonProps!$A$2:$AA$10001,MATCH(1,($A113=[2]SalmonProps!$A$2:$A$10001)*(2=[2]SalmonProps!$C$2:$C$10001)*(3=[2]SalmonProps!$D$2:$D$10001)*("A1" = [2]SalmonProps!$B$2:$B$10001)*($AP113 = [2]SalmonProps!$F$2:$F$10001) *($AR113 = [2]SalmonProps!$G$2:$G$10001),0), 19))</f>
        <v/>
      </c>
      <c r="N113" s="181" t="str" cm="1">
        <f t="array" ref="N113">IF(ISBLANK($AQ113), "", INDEX([2]SalmonProps!$A$2:$AA$10001,MATCH(1,($A113=[2]SalmonProps!$A$2:$A$10001)*(3=[2]SalmonProps!$C$2:$C$10001)*(3=[2]SalmonProps!$D$2:$D$10001)*("A1" = [2]SalmonProps!$B$2:$B$10001)*($AP113 = [2]SalmonProps!$F$2:$F$10001) *($AR113 = [2]SalmonProps!$G$2:$G$10001),0), 19))</f>
        <v/>
      </c>
      <c r="O113" s="165" t="str" cm="1">
        <f t="array" ref="O113">IF(ISBLANK($AQ113), "", INDEX([2]SalmonProps!$A$2:$AA$10001,MATCH(1,($A113=[2]SalmonProps!$A$2:$A$10001)*(1=[2]SalmonProps!$C$2:$C$10001)*(1=[2]SalmonProps!$D$2:$D$10001)*("A2" = [2]SalmonProps!$B$2:$B$10001)*($AP113 = [2]SalmonProps!$F$2:$F$10001) *($AR113 = [2]SalmonProps!$G$2:$G$10001),0), 19))</f>
        <v/>
      </c>
      <c r="P113" s="165" t="str" cm="1">
        <f t="array" ref="P113">IF(ISBLANK($AQ113), "", INDEX([2]SalmonProps!$A$2:$AA$10001,MATCH(1,($A113=[2]SalmonProps!$A$2:$A$10001)*(2=[2]SalmonProps!$C$2:$C$10001)*(1=[2]SalmonProps!$D$2:$D$10001)*("A2" = [2]SalmonProps!$B$2:$B$10001)*($AP113 = [2]SalmonProps!$F$2:$F$10001) *($AR113 = [2]SalmonProps!$G$2:$G$10001),0), 19))</f>
        <v/>
      </c>
      <c r="Q113" s="168" t="str" cm="1">
        <f t="array" ref="Q113">IF(ISBLANK($AQ113), "", INDEX([2]SalmonProps!$A$2:$AA$10001,MATCH(1,($A113=[2]SalmonProps!$A$2:$A$10001)*(3=[2]SalmonProps!$C$2:$C$10001)*(1=[2]SalmonProps!$D$2:$D$10001)*("A2" = [2]SalmonProps!$B$2:$B$10001)*($AP113 = [2]SalmonProps!$F$2:$F$10001) *($AR113 = [2]SalmonProps!$G$2:$G$10001),0), 19))</f>
        <v/>
      </c>
      <c r="R113" s="164" t="str" cm="1">
        <f t="array" ref="R113">IF(ISBLANK($AQ113), "", INDEX([2]SalmonProps!$A$2:$AA$10001,MATCH(1,($A113=[2]SalmonProps!$A$2:$A$10001)*(1=[2]SalmonProps!$C$2:$C$10001)*(1=[2]SalmonProps!$D$2:$D$10001)*("A1" = [2]SalmonProps!$B$2:$B$10001)*($AP113 = [2]SalmonProps!$F$2:$F$10001) *($AR113 = [2]SalmonProps!$G$2:$G$10001),0), 18))</f>
        <v/>
      </c>
      <c r="S113" s="165" t="str" cm="1">
        <f t="array" ref="S113">IF(ISBLANK($AQ113), "", INDEX([2]SalmonProps!$A$2:$AA$10001,MATCH(1,($A113=[2]SalmonProps!$A$2:$A$10001)*(1=[2]SalmonProps!$C$2:$C$10001)*(2=[2]SalmonProps!$D$2:$D$10001)*("A1" = [2]SalmonProps!$B$2:$B$10001)*($AP113 = [2]SalmonProps!$F$2:$F$10001) *($AR113 = [2]SalmonProps!$G$2:$G$10001),0), 18))</f>
        <v/>
      </c>
      <c r="T113" s="165" t="str" cm="1">
        <f t="array" ref="T113">IF(ISBLANK($AQ113), "", INDEX([2]SalmonProps!$A$2:$AA$10001,MATCH(1,($A113=[2]SalmonProps!$A$2:$A$10001)*(1=[2]SalmonProps!$C$2:$C$10001)*("1&amp;2"=[2]SalmonProps!$D$2:$D$10001)*("A1" = [2]SalmonProps!$B$2:$B$10001)*($AP113 = [2]SalmonProps!$F$2:$F$10001) *($AR113 = [2]SalmonProps!$G$2:$G$10001),0), 18))</f>
        <v/>
      </c>
      <c r="U113" s="165" t="str" cm="1">
        <f t="array" ref="U113">IF(ISBLANK($AQ113), "", INDEX([2]SalmonProps!$A$2:$AA$10001,MATCH(1,($A113=[2]SalmonProps!$A$2:$A$10001)*(2=[2]SalmonProps!$C$2:$C$10001)*(3=[2]SalmonProps!$D$2:$D$10001)*("A1" = [2]SalmonProps!$B$2:$B$10001)*($AP113 = [2]SalmonProps!$F$2:$F$10001) *($AR113 = [2]SalmonProps!$G$2:$G$10001),0), 18))</f>
        <v/>
      </c>
      <c r="V113" s="181" t="str" cm="1">
        <f t="array" ref="V113">IF(ISBLANK($AQ113), "", INDEX([2]SalmonProps!$A$2:$AA$10001,MATCH(1,($A113=[2]SalmonProps!$A$2:$A$10001)*(3=[2]SalmonProps!$C$2:$C$10001)*(3=[2]SalmonProps!$D$2:$D$10001)*("A1" = [2]SalmonProps!$B$2:$B$10001)*($AP113 = [2]SalmonProps!$F$2:$F$10001) *($AR113 = [2]SalmonProps!$G$2:$G$10001),0), 18))</f>
        <v/>
      </c>
      <c r="W113" s="180" t="str" cm="1">
        <f t="array" ref="W113">IF(ISBLANK($AQ113), "", INDEX([2]SalmonProps!$A$2:$AA$10001,MATCH(1,($A113=[2]SalmonProps!$A$2:$A$10001)*(1=[2]SalmonProps!$C$2:$C$10001)*(1=[2]SalmonProps!$D$2:$D$10001)*("A2" = [2]SalmonProps!$B$2:$B$10001)*($AP113 = [2]SalmonProps!$F$2:$F$10001) *($AR113 = [2]SalmonProps!$G$2:$G$10001),0), 18))</f>
        <v/>
      </c>
      <c r="X113" s="165" t="str" cm="1">
        <f t="array" ref="X113">IF(ISBLANK($AQ113), "", INDEX([2]SalmonProps!$A$2:$AA$10001,MATCH(1,($A113=[2]SalmonProps!$A$2:$A$10001)*(2=[2]SalmonProps!$C$2:$C$10001)*(1=[2]SalmonProps!$D$2:$D$10001)*("A2" = [2]SalmonProps!$B$2:$B$10001)*($AP113 = [2]SalmonProps!$F$2:$F$10001) *($AR113 = [2]SalmonProps!$G$2:$G$10001),0), 18))</f>
        <v/>
      </c>
      <c r="Y113" s="168" t="str" cm="1">
        <f t="array" ref="Y113">IF(ISBLANK($AQ113), "", INDEX([2]SalmonProps!$A$2:$AA$10001,MATCH(1,($A113=[2]SalmonProps!$A$2:$A$10001)*(3=[2]SalmonProps!$C$2:$C$10001)*(1=[2]SalmonProps!$D$2:$D$10001)*("A2" = [2]SalmonProps!$B$2:$B$10001)*($AP113 = [2]SalmonProps!$F$2:$F$10001) *($AR113 = [2]SalmonProps!$G$2:$G$10001),0), 18))</f>
        <v/>
      </c>
      <c r="Z113" s="164" t="str" cm="1">
        <f t="array" ref="Z113">IF(ISBLANK($AQ113), "", INDEX([2]SalmonProps!$A$2:$AA$10001,MATCH(1,($A113=[2]SalmonProps!$A$2:$A$10001)*(1=[2]SalmonProps!$C$2:$C$10001)*(1=[2]SalmonProps!$D$2:$D$10001)*("A1" = [2]SalmonProps!$B$2:$B$10001)*($AP113 = [2]SalmonProps!$F$2:$F$10001) *($AR113 = [2]SalmonProps!$G$2:$G$10001),0), 15))</f>
        <v/>
      </c>
      <c r="AA113" s="165" t="str" cm="1">
        <f t="array" ref="AA113">IF(ISBLANK($AQ113), "", INDEX([2]SalmonProps!$A$2:$AA$10001,MATCH(1,($A113=[2]SalmonProps!$A$2:$A$10001)*(1=[2]SalmonProps!$C$2:$C$10001)*(2=[2]SalmonProps!$D$2:$D$10001)*("A1" = [2]SalmonProps!$B$2:$B$10001)*($AP113 = [2]SalmonProps!$F$2:$F$10001) *($AR113 = [2]SalmonProps!$G$2:$G$10001),0), 15))</f>
        <v/>
      </c>
      <c r="AB113" s="165" t="str" cm="1">
        <f t="array" ref="AB113">IF(ISBLANK($AQ113), "", INDEX([2]SalmonProps!$A$2:$AA$10001,MATCH(1,($A113=[2]SalmonProps!$A$2:$A$10001)*(1=[2]SalmonProps!$C$2:$C$10001)*("1&amp;2"=[2]SalmonProps!$D$2:$D$10001)*("A1" = [2]SalmonProps!$B$2:$B$10001)*($AP113 = [2]SalmonProps!$F$2:$F$10001) *($AR113 = [2]SalmonProps!$G$2:$G$10001),0), 15))</f>
        <v/>
      </c>
      <c r="AC113" s="165" t="str" cm="1">
        <f t="array" ref="AC113">IF(ISBLANK($AQ113), "", INDEX([2]SalmonProps!$A$2:$AA$10001,MATCH(1,($A113=[2]SalmonProps!$A$2:$A$10001)*(2=[2]SalmonProps!$C$2:$C$10001)*(3=[2]SalmonProps!$D$2:$D$10001)*("A1" = [2]SalmonProps!$B$2:$B$10001)*($AP113 = [2]SalmonProps!$F$2:$F$10001) *($AR113 = [2]SalmonProps!$G$2:$G$10001),0), 15))</f>
        <v/>
      </c>
      <c r="AD113" s="181" t="str" cm="1">
        <f t="array" ref="AD113">IF(ISBLANK($AQ113), "", INDEX([2]SalmonProps!$A$2:$AA$10001,MATCH(1,($A113=[2]SalmonProps!$A$2:$A$10001)*(3=[2]SalmonProps!$C$2:$C$10001)*(3=[2]SalmonProps!$D$2:$D$10001)*("A1" = [2]SalmonProps!$B$2:$B$10001)*($AP113 = [2]SalmonProps!$F$2:$F$10001) *($AR113 = [2]SalmonProps!$G$2:$G$10001),0), 15))</f>
        <v/>
      </c>
      <c r="AE113" s="166" t="str" cm="1">
        <f t="array" ref="AE113">IF(ISBLANK($AQ113), "", INDEX([2]SalmonProps!$A$2:$AA$10001,MATCH(1,($A113=[2]SalmonProps!$A$2:$A$10001)*(1=[2]SalmonProps!$C$2:$C$10001)*(1=[2]SalmonProps!$D$2:$D$10001)*("A2" = [2]SalmonProps!$B$2:$B$10001)*($AP113 = [2]SalmonProps!$F$2:$F$10001) *($AR113 = [2]SalmonProps!$G$2:$G$10001),0), 15))</f>
        <v/>
      </c>
      <c r="AF113" s="166" t="str" cm="1">
        <f t="array" ref="AF113">IF(ISBLANK($AQ113), "", INDEX([2]SalmonProps!$A$2:$AA$10001,MATCH(1,($A113=[2]SalmonProps!$A$2:$A$10001)*(2=[2]SalmonProps!$C$2:$C$10001)*(1=[2]SalmonProps!$D$2:$D$10001)*("A2" = [2]SalmonProps!$B$2:$B$10001)*($AP113 = [2]SalmonProps!$F$2:$F$10001) *($AR113 = [2]SalmonProps!$G$2:$G$10001),0), 15))</f>
        <v/>
      </c>
      <c r="AG113" s="167" t="str" cm="1">
        <f t="array" ref="AG113">IF(ISBLANK($AQ113), "", INDEX([2]SalmonProps!$A$2:$AA$10001,MATCH(1,($A113=[2]SalmonProps!$A$2:$A$10001)*(3=[2]SalmonProps!$C$2:$C$10001)*(1=[2]SalmonProps!$D$2:$D$10001)*("A2" = [2]SalmonProps!$B$2:$B$10001)*($AP113 = [2]SalmonProps!$F$2:$F$10001) *($AR113 = [2]SalmonProps!$G$2:$G$10001),0), 15))</f>
        <v/>
      </c>
      <c r="AH113" s="173" t="str" cm="1">
        <f t="array" ref="AH113">IF(ISBLANK($AQ113), "", INDEX([2]SalmonProps!$A$2:$AA$10001,MATCH(1,($A113=[2]SalmonProps!$A$2:$A$10001)*($AP113 = [2]SalmonProps!$F$2:$F$10001) *($AR113 = [2]SalmonProps!$G$2:$G$10001),0), 24))</f>
        <v/>
      </c>
      <c r="AI113" s="183" t="str" cm="1">
        <f t="array" ref="AI113">IF(ISBLANK($AQ113), "", INDEX([2]SalmonProps!$A$2:$AA$10001,MATCH(1,($A113=[2]SalmonProps!$A$2:$A$10001)*($AP113 = [2]SalmonProps!$F$2:$F$10001) *($AR113 = [2]SalmonProps!$G$2:$G$10001),0), 25))</f>
        <v/>
      </c>
      <c r="AJ113" s="174" t="str" cm="1">
        <f t="array" ref="AJ113">IF(ISBLANK($AQ113), "", INDEX([2]SalmonProps!$A$2:$AA$10001,MATCH(1,($A113=[2]SalmonProps!$A$2:$A$10001)*($AP113 = [2]SalmonProps!$F$2:$F$10001) *($AR113 = [2]SalmonProps!$G$2:$G$10001),0), 20))</f>
        <v/>
      </c>
      <c r="AK113" s="183" t="str" cm="1">
        <f t="array" ref="AK113">IF(ISBLANK($AQ113), "", INDEX([2]SalmonProps!$A$2:$AA$10001,MATCH(1,($A113=[2]SalmonProps!$A$2:$A$10001)*($AP113 = [2]SalmonProps!$F$2:$F$10001) *($AR113 = [2]SalmonProps!$G$2:$G$10001),0), 21))</f>
        <v/>
      </c>
      <c r="AL113" s="174" t="str" cm="1">
        <f t="array" ref="AL113">IF(ISBLANK($AQ113), "", INDEX([2]SalmonProps!$A$2:$AA$10001,MATCH(1,($A113=[2]SalmonProps!$A$2:$A$10001)*($AP113 = [2]SalmonProps!$F$2:$F$10001) *($AR113 = [2]SalmonProps!$G$2:$G$10001),0), 22))</f>
        <v/>
      </c>
      <c r="AM113" s="183" t="str" cm="1">
        <f t="array" ref="AM113">IF(ISBLANK($AQ113), "", INDEX([2]SalmonProps!$A$2:$AA$10001,MATCH(1,($A113=[2]SalmonProps!$A$2:$A$10001)*($AP113 = [2]SalmonProps!$F$2:$F$10001) *($AR113 = [2]SalmonProps!$G$2:$G$10001),0), 23))</f>
        <v/>
      </c>
      <c r="AN113" s="174" t="str" cm="1">
        <f t="array" ref="AN113">IF(ISBLANK($AQ113), "", INDEX([2]SalmonProps!$A$2:$AA$10001,MATCH(1,($A113=[2]SalmonProps!$A$2:$A$10001)*($AP113 = [2]SalmonProps!$F$2:$F$10001) *($AR113 = [2]SalmonProps!$G$2:$G$10001),0), 26))</f>
        <v/>
      </c>
      <c r="AO113" s="175" t="str" cm="1">
        <f t="array" ref="AO113">IF(ISBLANK($AQ113), "", INDEX([2]SalmonProps!$A$2:$AA$10001,MATCH(1,($A113=[2]SalmonProps!$A$2:$A$10001)*($AP113 = [2]SalmonProps!$F$2:$F$10001) *($AR113 = [2]SalmonProps!$G$2:$G$10001),0), 27))</f>
        <v/>
      </c>
      <c r="AP113" s="112"/>
      <c r="AQ113" s="112"/>
      <c r="AR113" s="112" t="e">
        <f t="shared" si="2"/>
        <v>#N/A</v>
      </c>
    </row>
    <row r="114" spans="1:44" x14ac:dyDescent="0.3">
      <c r="A114" s="20">
        <f>'[1]Passage Estimates'!$A114</f>
        <v>45216</v>
      </c>
      <c r="B114" s="164" t="str" cm="1">
        <f t="array" ref="B114">IF(ISBLANK($AQ114), "", INDEX([2]SalmonProps!$A$2:$AA$10001,MATCH(1,($A114=[2]SalmonProps!$A$2:$A$10001)*(1=[2]SalmonProps!$C$2:$C$10001)*(1=[2]SalmonProps!$D$2:$D$10001)*("A1" = [2]SalmonProps!$B$2:$B$10001)*($AP114 = [2]SalmonProps!$F$2:$F$10001) *($AR114 = [2]SalmonProps!$G$2:$G$10001),0), 17))</f>
        <v/>
      </c>
      <c r="C114" s="165" t="str" cm="1">
        <f t="array" ref="C114">IF(ISBLANK($AQ114), "", INDEX([2]SalmonProps!$A$2:$AA$10001,MATCH(1,($A114=[2]SalmonProps!$A$2:$A$10001)*(1=[2]SalmonProps!$C$2:$C$10001)*(2=[2]SalmonProps!$D$2:$D$10001)*("A1" = [2]SalmonProps!$B$2:$B$10001)*($AP114 = [2]SalmonProps!$F$2:$F$10001) *($AR114 = [2]SalmonProps!$G$2:$G$10001),0), 17))</f>
        <v/>
      </c>
      <c r="D114" s="165" t="str" cm="1">
        <f t="array" ref="D114">IF(ISBLANK($AQ114), "", INDEX([2]SalmonProps!$A$2:$AA$10001,MATCH(1,($A114=[2]SalmonProps!$A$2:$A$10001)*(1=[2]SalmonProps!$C$2:$C$10001)*("1&amp;2"=[2]SalmonProps!$D$2:$D$10001)*("A1" = [2]SalmonProps!$B$2:$B$10001)*($AP114 = [2]SalmonProps!$F$2:$F$10001) *($AR114 = [2]SalmonProps!$G$2:$G$10001),0), 17))</f>
        <v/>
      </c>
      <c r="E114" s="181" t="str" cm="1">
        <f t="array" ref="E114">IF(ISBLANK($AQ114), "", INDEX([2]SalmonProps!$A$2:$AA$10001,MATCH(1,($A114=[2]SalmonProps!$A$2:$A$10001)*(2=[2]SalmonProps!$C$2:$C$10001)*(3=[2]SalmonProps!$D$2:$D$10001)*("A1" = [2]SalmonProps!$B$2:$B$10001)*($AP114 = [2]SalmonProps!$F$2:$F$10001) *($AR114 = [2]SalmonProps!$G$2:$G$10001),0), 17))</f>
        <v/>
      </c>
      <c r="F114" s="165" t="str" cm="1">
        <f t="array" ref="F114">IF(ISBLANK($AQ114), "", INDEX([2]SalmonProps!$A$2:$AA$10001,MATCH(1,($A114=[2]SalmonProps!$A$2:$A$10001)*(3=[2]SalmonProps!$C$2:$C$10001)*(3=[2]SalmonProps!$D$2:$D$10001)*("A1" = [2]SalmonProps!$B$2:$B$10001)*($AP114 = [2]SalmonProps!$F$2:$F$10001) *($AR114 = [2]SalmonProps!$G$2:$G$10001),0), 17))</f>
        <v/>
      </c>
      <c r="G114" s="165" t="str" cm="1">
        <f t="array" ref="G114">IF(ISBLANK($AQ114), "", INDEX([2]SalmonProps!$A$2:$AA$10001,MATCH(1,($A114=[2]SalmonProps!$A$2:$A$10001)*(1=[2]SalmonProps!$C$2:$C$10001)*(1=[2]SalmonProps!$D$2:$D$10001)*("A2" = [2]SalmonProps!$B$2:$B$10001)*($AP114 = [2]SalmonProps!$F$2:$F$10001) *($AR114 = [2]SalmonProps!$G$2:$G$10001),0), 17))</f>
        <v/>
      </c>
      <c r="H114" s="166" t="str" cm="1">
        <f t="array" ref="H114">IF(ISBLANK($AQ114), "", INDEX([2]SalmonProps!$A$2:$AA$10001,MATCH(1,($A114=[2]SalmonProps!$A$2:$A$10001)*(2=[2]SalmonProps!$C$2:$C$10001)*(1=[2]SalmonProps!$D$2:$D$10001)*("A2" = [2]SalmonProps!$B$2:$B$10001)*($AP114 = [2]SalmonProps!$F$2:$F$10001) *($AR114 = [2]SalmonProps!$G$2:$G$10001),0), 17))</f>
        <v/>
      </c>
      <c r="I114" s="167" t="str" cm="1">
        <f t="array" ref="I114">IF(ISBLANK($AQ114), "", INDEX([2]SalmonProps!$A$2:$AA$10001,MATCH(1,($A114=[2]SalmonProps!$A$2:$A$10001)*(3=[2]SalmonProps!$C$2:$C$10001)*(1=[2]SalmonProps!$D$2:$D$10001)*("A2" = [2]SalmonProps!$B$2:$B$10001)*($AP114 = [2]SalmonProps!$F$2:$F$10001) *($AR114 = [2]SalmonProps!$G$2:$G$10001),0), 17))</f>
        <v/>
      </c>
      <c r="J114" s="164" t="str" cm="1">
        <f t="array" ref="J114">IF(ISBLANK($AQ114), "", INDEX([2]SalmonProps!$A$2:$AA$10001,MATCH(1,($A114=[2]SalmonProps!$A$2:$A$10001)*(1=[2]SalmonProps!$C$2:$C$10001)*(1=[2]SalmonProps!$D$2:$D$10001)*("A1" = [2]SalmonProps!$B$2:$B$10001)*($AP114 = [2]SalmonProps!$F$2:$F$10001) *($AR114 = [2]SalmonProps!$G$2:$G$10001),0), 19))</f>
        <v/>
      </c>
      <c r="K114" s="165" t="str" cm="1">
        <f t="array" ref="K114">IF(ISBLANK($AQ114), "", INDEX([2]SalmonProps!$A$2:$AA$10001,MATCH(1,($A114=[2]SalmonProps!$A$2:$A$10001)*(1=[2]SalmonProps!$C$2:$C$10001)*(2=[2]SalmonProps!$D$2:$D$10001)*("A1" = [2]SalmonProps!$B$2:$B$10001)*($AP114 = [2]SalmonProps!$F$2:$F$10001) *($AR114 = [2]SalmonProps!$G$2:$G$10001),0), 19))</f>
        <v/>
      </c>
      <c r="L114" s="165" t="str" cm="1">
        <f t="array" ref="L114">IF(ISBLANK($AQ114), "", INDEX([2]SalmonProps!$A$2:$AA$10001,MATCH(1,($A114=[2]SalmonProps!$A$2:$A$10001)*(1=[2]SalmonProps!$C$2:$C$10001)*("1&amp;2"=[2]SalmonProps!$D$2:$D$10001)*("A1" = [2]SalmonProps!$B$2:$B$10001)*($AP114 = [2]SalmonProps!$F$2:$F$10001) *($AR114 = [2]SalmonProps!$G$2:$G$10001),0), 19))</f>
        <v/>
      </c>
      <c r="M114" s="165" t="str" cm="1">
        <f t="array" ref="M114">IF(ISBLANK($AQ114), "", INDEX([2]SalmonProps!$A$2:$AA$10001,MATCH(1,($A114=[2]SalmonProps!$A$2:$A$10001)*(2=[2]SalmonProps!$C$2:$C$10001)*(3=[2]SalmonProps!$D$2:$D$10001)*("A1" = [2]SalmonProps!$B$2:$B$10001)*($AP114 = [2]SalmonProps!$F$2:$F$10001) *($AR114 = [2]SalmonProps!$G$2:$G$10001),0), 19))</f>
        <v/>
      </c>
      <c r="N114" s="181" t="str" cm="1">
        <f t="array" ref="N114">IF(ISBLANK($AQ114), "", INDEX([2]SalmonProps!$A$2:$AA$10001,MATCH(1,($A114=[2]SalmonProps!$A$2:$A$10001)*(3=[2]SalmonProps!$C$2:$C$10001)*(3=[2]SalmonProps!$D$2:$D$10001)*("A1" = [2]SalmonProps!$B$2:$B$10001)*($AP114 = [2]SalmonProps!$F$2:$F$10001) *($AR114 = [2]SalmonProps!$G$2:$G$10001),0), 19))</f>
        <v/>
      </c>
      <c r="O114" s="165" t="str" cm="1">
        <f t="array" ref="O114">IF(ISBLANK($AQ114), "", INDEX([2]SalmonProps!$A$2:$AA$10001,MATCH(1,($A114=[2]SalmonProps!$A$2:$A$10001)*(1=[2]SalmonProps!$C$2:$C$10001)*(1=[2]SalmonProps!$D$2:$D$10001)*("A2" = [2]SalmonProps!$B$2:$B$10001)*($AP114 = [2]SalmonProps!$F$2:$F$10001) *($AR114 = [2]SalmonProps!$G$2:$G$10001),0), 19))</f>
        <v/>
      </c>
      <c r="P114" s="165" t="str" cm="1">
        <f t="array" ref="P114">IF(ISBLANK($AQ114), "", INDEX([2]SalmonProps!$A$2:$AA$10001,MATCH(1,($A114=[2]SalmonProps!$A$2:$A$10001)*(2=[2]SalmonProps!$C$2:$C$10001)*(1=[2]SalmonProps!$D$2:$D$10001)*("A2" = [2]SalmonProps!$B$2:$B$10001)*($AP114 = [2]SalmonProps!$F$2:$F$10001) *($AR114 = [2]SalmonProps!$G$2:$G$10001),0), 19))</f>
        <v/>
      </c>
      <c r="Q114" s="168" t="str" cm="1">
        <f t="array" ref="Q114">IF(ISBLANK($AQ114), "", INDEX([2]SalmonProps!$A$2:$AA$10001,MATCH(1,($A114=[2]SalmonProps!$A$2:$A$10001)*(3=[2]SalmonProps!$C$2:$C$10001)*(1=[2]SalmonProps!$D$2:$D$10001)*("A2" = [2]SalmonProps!$B$2:$B$10001)*($AP114 = [2]SalmonProps!$F$2:$F$10001) *($AR114 = [2]SalmonProps!$G$2:$G$10001),0), 19))</f>
        <v/>
      </c>
      <c r="R114" s="164" t="str" cm="1">
        <f t="array" ref="R114">IF(ISBLANK($AQ114), "", INDEX([2]SalmonProps!$A$2:$AA$10001,MATCH(1,($A114=[2]SalmonProps!$A$2:$A$10001)*(1=[2]SalmonProps!$C$2:$C$10001)*(1=[2]SalmonProps!$D$2:$D$10001)*("A1" = [2]SalmonProps!$B$2:$B$10001)*($AP114 = [2]SalmonProps!$F$2:$F$10001) *($AR114 = [2]SalmonProps!$G$2:$G$10001),0), 18))</f>
        <v/>
      </c>
      <c r="S114" s="165" t="str" cm="1">
        <f t="array" ref="S114">IF(ISBLANK($AQ114), "", INDEX([2]SalmonProps!$A$2:$AA$10001,MATCH(1,($A114=[2]SalmonProps!$A$2:$A$10001)*(1=[2]SalmonProps!$C$2:$C$10001)*(2=[2]SalmonProps!$D$2:$D$10001)*("A1" = [2]SalmonProps!$B$2:$B$10001)*($AP114 = [2]SalmonProps!$F$2:$F$10001) *($AR114 = [2]SalmonProps!$G$2:$G$10001),0), 18))</f>
        <v/>
      </c>
      <c r="T114" s="165" t="str" cm="1">
        <f t="array" ref="T114">IF(ISBLANK($AQ114), "", INDEX([2]SalmonProps!$A$2:$AA$10001,MATCH(1,($A114=[2]SalmonProps!$A$2:$A$10001)*(1=[2]SalmonProps!$C$2:$C$10001)*("1&amp;2"=[2]SalmonProps!$D$2:$D$10001)*("A1" = [2]SalmonProps!$B$2:$B$10001)*($AP114 = [2]SalmonProps!$F$2:$F$10001) *($AR114 = [2]SalmonProps!$G$2:$G$10001),0), 18))</f>
        <v/>
      </c>
      <c r="U114" s="165" t="str" cm="1">
        <f t="array" ref="U114">IF(ISBLANK($AQ114), "", INDEX([2]SalmonProps!$A$2:$AA$10001,MATCH(1,($A114=[2]SalmonProps!$A$2:$A$10001)*(2=[2]SalmonProps!$C$2:$C$10001)*(3=[2]SalmonProps!$D$2:$D$10001)*("A1" = [2]SalmonProps!$B$2:$B$10001)*($AP114 = [2]SalmonProps!$F$2:$F$10001) *($AR114 = [2]SalmonProps!$G$2:$G$10001),0), 18))</f>
        <v/>
      </c>
      <c r="V114" s="181" t="str" cm="1">
        <f t="array" ref="V114">IF(ISBLANK($AQ114), "", INDEX([2]SalmonProps!$A$2:$AA$10001,MATCH(1,($A114=[2]SalmonProps!$A$2:$A$10001)*(3=[2]SalmonProps!$C$2:$C$10001)*(3=[2]SalmonProps!$D$2:$D$10001)*("A1" = [2]SalmonProps!$B$2:$B$10001)*($AP114 = [2]SalmonProps!$F$2:$F$10001) *($AR114 = [2]SalmonProps!$G$2:$G$10001),0), 18))</f>
        <v/>
      </c>
      <c r="W114" s="180" t="str" cm="1">
        <f t="array" ref="W114">IF(ISBLANK($AQ114), "", INDEX([2]SalmonProps!$A$2:$AA$10001,MATCH(1,($A114=[2]SalmonProps!$A$2:$A$10001)*(1=[2]SalmonProps!$C$2:$C$10001)*(1=[2]SalmonProps!$D$2:$D$10001)*("A2" = [2]SalmonProps!$B$2:$B$10001)*($AP114 = [2]SalmonProps!$F$2:$F$10001) *($AR114 = [2]SalmonProps!$G$2:$G$10001),0), 18))</f>
        <v/>
      </c>
      <c r="X114" s="165" t="str" cm="1">
        <f t="array" ref="X114">IF(ISBLANK($AQ114), "", INDEX([2]SalmonProps!$A$2:$AA$10001,MATCH(1,($A114=[2]SalmonProps!$A$2:$A$10001)*(2=[2]SalmonProps!$C$2:$C$10001)*(1=[2]SalmonProps!$D$2:$D$10001)*("A2" = [2]SalmonProps!$B$2:$B$10001)*($AP114 = [2]SalmonProps!$F$2:$F$10001) *($AR114 = [2]SalmonProps!$G$2:$G$10001),0), 18))</f>
        <v/>
      </c>
      <c r="Y114" s="168" t="str" cm="1">
        <f t="array" ref="Y114">IF(ISBLANK($AQ114), "", INDEX([2]SalmonProps!$A$2:$AA$10001,MATCH(1,($A114=[2]SalmonProps!$A$2:$A$10001)*(3=[2]SalmonProps!$C$2:$C$10001)*(1=[2]SalmonProps!$D$2:$D$10001)*("A2" = [2]SalmonProps!$B$2:$B$10001)*($AP114 = [2]SalmonProps!$F$2:$F$10001) *($AR114 = [2]SalmonProps!$G$2:$G$10001),0), 18))</f>
        <v/>
      </c>
      <c r="Z114" s="164" t="str" cm="1">
        <f t="array" ref="Z114">IF(ISBLANK($AQ114), "", INDEX([2]SalmonProps!$A$2:$AA$10001,MATCH(1,($A114=[2]SalmonProps!$A$2:$A$10001)*(1=[2]SalmonProps!$C$2:$C$10001)*(1=[2]SalmonProps!$D$2:$D$10001)*("A1" = [2]SalmonProps!$B$2:$B$10001)*($AP114 = [2]SalmonProps!$F$2:$F$10001) *($AR114 = [2]SalmonProps!$G$2:$G$10001),0), 15))</f>
        <v/>
      </c>
      <c r="AA114" s="165" t="str" cm="1">
        <f t="array" ref="AA114">IF(ISBLANK($AQ114), "", INDEX([2]SalmonProps!$A$2:$AA$10001,MATCH(1,($A114=[2]SalmonProps!$A$2:$A$10001)*(1=[2]SalmonProps!$C$2:$C$10001)*(2=[2]SalmonProps!$D$2:$D$10001)*("A1" = [2]SalmonProps!$B$2:$B$10001)*($AP114 = [2]SalmonProps!$F$2:$F$10001) *($AR114 = [2]SalmonProps!$G$2:$G$10001),0), 15))</f>
        <v/>
      </c>
      <c r="AB114" s="165" t="str" cm="1">
        <f t="array" ref="AB114">IF(ISBLANK($AQ114), "", INDEX([2]SalmonProps!$A$2:$AA$10001,MATCH(1,($A114=[2]SalmonProps!$A$2:$A$10001)*(1=[2]SalmonProps!$C$2:$C$10001)*("1&amp;2"=[2]SalmonProps!$D$2:$D$10001)*("A1" = [2]SalmonProps!$B$2:$B$10001)*($AP114 = [2]SalmonProps!$F$2:$F$10001) *($AR114 = [2]SalmonProps!$G$2:$G$10001),0), 15))</f>
        <v/>
      </c>
      <c r="AC114" s="165" t="str" cm="1">
        <f t="array" ref="AC114">IF(ISBLANK($AQ114), "", INDEX([2]SalmonProps!$A$2:$AA$10001,MATCH(1,($A114=[2]SalmonProps!$A$2:$A$10001)*(2=[2]SalmonProps!$C$2:$C$10001)*(3=[2]SalmonProps!$D$2:$D$10001)*("A1" = [2]SalmonProps!$B$2:$B$10001)*($AP114 = [2]SalmonProps!$F$2:$F$10001) *($AR114 = [2]SalmonProps!$G$2:$G$10001),0), 15))</f>
        <v/>
      </c>
      <c r="AD114" s="181" t="str" cm="1">
        <f t="array" ref="AD114">IF(ISBLANK($AQ114), "", INDEX([2]SalmonProps!$A$2:$AA$10001,MATCH(1,($A114=[2]SalmonProps!$A$2:$A$10001)*(3=[2]SalmonProps!$C$2:$C$10001)*(3=[2]SalmonProps!$D$2:$D$10001)*("A1" = [2]SalmonProps!$B$2:$B$10001)*($AP114 = [2]SalmonProps!$F$2:$F$10001) *($AR114 = [2]SalmonProps!$G$2:$G$10001),0), 15))</f>
        <v/>
      </c>
      <c r="AE114" s="166" t="str" cm="1">
        <f t="array" ref="AE114">IF(ISBLANK($AQ114), "", INDEX([2]SalmonProps!$A$2:$AA$10001,MATCH(1,($A114=[2]SalmonProps!$A$2:$A$10001)*(1=[2]SalmonProps!$C$2:$C$10001)*(1=[2]SalmonProps!$D$2:$D$10001)*("A2" = [2]SalmonProps!$B$2:$B$10001)*($AP114 = [2]SalmonProps!$F$2:$F$10001) *($AR114 = [2]SalmonProps!$G$2:$G$10001),0), 15))</f>
        <v/>
      </c>
      <c r="AF114" s="166" t="str" cm="1">
        <f t="array" ref="AF114">IF(ISBLANK($AQ114), "", INDEX([2]SalmonProps!$A$2:$AA$10001,MATCH(1,($A114=[2]SalmonProps!$A$2:$A$10001)*(2=[2]SalmonProps!$C$2:$C$10001)*(1=[2]SalmonProps!$D$2:$D$10001)*("A2" = [2]SalmonProps!$B$2:$B$10001)*($AP114 = [2]SalmonProps!$F$2:$F$10001) *($AR114 = [2]SalmonProps!$G$2:$G$10001),0), 15))</f>
        <v/>
      </c>
      <c r="AG114" s="167" t="str" cm="1">
        <f t="array" ref="AG114">IF(ISBLANK($AQ114), "", INDEX([2]SalmonProps!$A$2:$AA$10001,MATCH(1,($A114=[2]SalmonProps!$A$2:$A$10001)*(3=[2]SalmonProps!$C$2:$C$10001)*(1=[2]SalmonProps!$D$2:$D$10001)*("A2" = [2]SalmonProps!$B$2:$B$10001)*($AP114 = [2]SalmonProps!$F$2:$F$10001) *($AR114 = [2]SalmonProps!$G$2:$G$10001),0), 15))</f>
        <v/>
      </c>
      <c r="AH114" s="173" t="str" cm="1">
        <f t="array" ref="AH114">IF(ISBLANK($AQ114), "", INDEX([2]SalmonProps!$A$2:$AA$10001,MATCH(1,($A114=[2]SalmonProps!$A$2:$A$10001)*($AP114 = [2]SalmonProps!$F$2:$F$10001) *($AR114 = [2]SalmonProps!$G$2:$G$10001),0), 24))</f>
        <v/>
      </c>
      <c r="AI114" s="183" t="str" cm="1">
        <f t="array" ref="AI114">IF(ISBLANK($AQ114), "", INDEX([2]SalmonProps!$A$2:$AA$10001,MATCH(1,($A114=[2]SalmonProps!$A$2:$A$10001)*($AP114 = [2]SalmonProps!$F$2:$F$10001) *($AR114 = [2]SalmonProps!$G$2:$G$10001),0), 25))</f>
        <v/>
      </c>
      <c r="AJ114" s="174" t="str" cm="1">
        <f t="array" ref="AJ114">IF(ISBLANK($AQ114), "", INDEX([2]SalmonProps!$A$2:$AA$10001,MATCH(1,($A114=[2]SalmonProps!$A$2:$A$10001)*($AP114 = [2]SalmonProps!$F$2:$F$10001) *($AR114 = [2]SalmonProps!$G$2:$G$10001),0), 20))</f>
        <v/>
      </c>
      <c r="AK114" s="183" t="str" cm="1">
        <f t="array" ref="AK114">IF(ISBLANK($AQ114), "", INDEX([2]SalmonProps!$A$2:$AA$10001,MATCH(1,($A114=[2]SalmonProps!$A$2:$A$10001)*($AP114 = [2]SalmonProps!$F$2:$F$10001) *($AR114 = [2]SalmonProps!$G$2:$G$10001),0), 21))</f>
        <v/>
      </c>
      <c r="AL114" s="174" t="str" cm="1">
        <f t="array" ref="AL114">IF(ISBLANK($AQ114), "", INDEX([2]SalmonProps!$A$2:$AA$10001,MATCH(1,($A114=[2]SalmonProps!$A$2:$A$10001)*($AP114 = [2]SalmonProps!$F$2:$F$10001) *($AR114 = [2]SalmonProps!$G$2:$G$10001),0), 22))</f>
        <v/>
      </c>
      <c r="AM114" s="183" t="str" cm="1">
        <f t="array" ref="AM114">IF(ISBLANK($AQ114), "", INDEX([2]SalmonProps!$A$2:$AA$10001,MATCH(1,($A114=[2]SalmonProps!$A$2:$A$10001)*($AP114 = [2]SalmonProps!$F$2:$F$10001) *($AR114 = [2]SalmonProps!$G$2:$G$10001),0), 23))</f>
        <v/>
      </c>
      <c r="AN114" s="174" t="str" cm="1">
        <f t="array" ref="AN114">IF(ISBLANK($AQ114), "", INDEX([2]SalmonProps!$A$2:$AA$10001,MATCH(1,($A114=[2]SalmonProps!$A$2:$A$10001)*($AP114 = [2]SalmonProps!$F$2:$F$10001) *($AR114 = [2]SalmonProps!$G$2:$G$10001),0), 26))</f>
        <v/>
      </c>
      <c r="AO114" s="175" t="str" cm="1">
        <f t="array" ref="AO114">IF(ISBLANK($AQ114), "", INDEX([2]SalmonProps!$A$2:$AA$10001,MATCH(1,($A114=[2]SalmonProps!$A$2:$A$10001)*($AP114 = [2]SalmonProps!$F$2:$F$10001) *($AR114 = [2]SalmonProps!$G$2:$G$10001),0), 27))</f>
        <v/>
      </c>
      <c r="AP114" s="112"/>
      <c r="AQ114" s="112"/>
      <c r="AR114" s="112" t="e">
        <f t="shared" si="2"/>
        <v>#N/A</v>
      </c>
    </row>
    <row r="115" spans="1:44" x14ac:dyDescent="0.3">
      <c r="A115" s="20">
        <f>'[1]Passage Estimates'!$A115</f>
        <v>45217</v>
      </c>
      <c r="B115" s="164" t="str" cm="1">
        <f t="array" ref="B115">IF(ISBLANK($AQ115), "", INDEX([2]SalmonProps!$A$2:$AA$10001,MATCH(1,($A115=[2]SalmonProps!$A$2:$A$10001)*(1=[2]SalmonProps!$C$2:$C$10001)*(1=[2]SalmonProps!$D$2:$D$10001)*("A1" = [2]SalmonProps!$B$2:$B$10001)*($AP115 = [2]SalmonProps!$F$2:$F$10001) *($AR115 = [2]SalmonProps!$G$2:$G$10001),0), 17))</f>
        <v/>
      </c>
      <c r="C115" s="165" t="str" cm="1">
        <f t="array" ref="C115">IF(ISBLANK($AQ115), "", INDEX([2]SalmonProps!$A$2:$AA$10001,MATCH(1,($A115=[2]SalmonProps!$A$2:$A$10001)*(1=[2]SalmonProps!$C$2:$C$10001)*(2=[2]SalmonProps!$D$2:$D$10001)*("A1" = [2]SalmonProps!$B$2:$B$10001)*($AP115 = [2]SalmonProps!$F$2:$F$10001) *($AR115 = [2]SalmonProps!$G$2:$G$10001),0), 17))</f>
        <v/>
      </c>
      <c r="D115" s="165" t="str" cm="1">
        <f t="array" ref="D115">IF(ISBLANK($AQ115), "", INDEX([2]SalmonProps!$A$2:$AA$10001,MATCH(1,($A115=[2]SalmonProps!$A$2:$A$10001)*(1=[2]SalmonProps!$C$2:$C$10001)*("1&amp;2"=[2]SalmonProps!$D$2:$D$10001)*("A1" = [2]SalmonProps!$B$2:$B$10001)*($AP115 = [2]SalmonProps!$F$2:$F$10001) *($AR115 = [2]SalmonProps!$G$2:$G$10001),0), 17))</f>
        <v/>
      </c>
      <c r="E115" s="181" t="str" cm="1">
        <f t="array" ref="E115">IF(ISBLANK($AQ115), "", INDEX([2]SalmonProps!$A$2:$AA$10001,MATCH(1,($A115=[2]SalmonProps!$A$2:$A$10001)*(2=[2]SalmonProps!$C$2:$C$10001)*(3=[2]SalmonProps!$D$2:$D$10001)*("A1" = [2]SalmonProps!$B$2:$B$10001)*($AP115 = [2]SalmonProps!$F$2:$F$10001) *($AR115 = [2]SalmonProps!$G$2:$G$10001),0), 17))</f>
        <v/>
      </c>
      <c r="F115" s="165" t="str" cm="1">
        <f t="array" ref="F115">IF(ISBLANK($AQ115), "", INDEX([2]SalmonProps!$A$2:$AA$10001,MATCH(1,($A115=[2]SalmonProps!$A$2:$A$10001)*(3=[2]SalmonProps!$C$2:$C$10001)*(3=[2]SalmonProps!$D$2:$D$10001)*("A1" = [2]SalmonProps!$B$2:$B$10001)*($AP115 = [2]SalmonProps!$F$2:$F$10001) *($AR115 = [2]SalmonProps!$G$2:$G$10001),0), 17))</f>
        <v/>
      </c>
      <c r="G115" s="165" t="str" cm="1">
        <f t="array" ref="G115">IF(ISBLANK($AQ115), "", INDEX([2]SalmonProps!$A$2:$AA$10001,MATCH(1,($A115=[2]SalmonProps!$A$2:$A$10001)*(1=[2]SalmonProps!$C$2:$C$10001)*(1=[2]SalmonProps!$D$2:$D$10001)*("A2" = [2]SalmonProps!$B$2:$B$10001)*($AP115 = [2]SalmonProps!$F$2:$F$10001) *($AR115 = [2]SalmonProps!$G$2:$G$10001),0), 17))</f>
        <v/>
      </c>
      <c r="H115" s="166" t="str" cm="1">
        <f t="array" ref="H115">IF(ISBLANK($AQ115), "", INDEX([2]SalmonProps!$A$2:$AA$10001,MATCH(1,($A115=[2]SalmonProps!$A$2:$A$10001)*(2=[2]SalmonProps!$C$2:$C$10001)*(1=[2]SalmonProps!$D$2:$D$10001)*("A2" = [2]SalmonProps!$B$2:$B$10001)*($AP115 = [2]SalmonProps!$F$2:$F$10001) *($AR115 = [2]SalmonProps!$G$2:$G$10001),0), 17))</f>
        <v/>
      </c>
      <c r="I115" s="167" t="str" cm="1">
        <f t="array" ref="I115">IF(ISBLANK($AQ115), "", INDEX([2]SalmonProps!$A$2:$AA$10001,MATCH(1,($A115=[2]SalmonProps!$A$2:$A$10001)*(3=[2]SalmonProps!$C$2:$C$10001)*(1=[2]SalmonProps!$D$2:$D$10001)*("A2" = [2]SalmonProps!$B$2:$B$10001)*($AP115 = [2]SalmonProps!$F$2:$F$10001) *($AR115 = [2]SalmonProps!$G$2:$G$10001),0), 17))</f>
        <v/>
      </c>
      <c r="J115" s="164" t="str" cm="1">
        <f t="array" ref="J115">IF(ISBLANK($AQ115), "", INDEX([2]SalmonProps!$A$2:$AA$10001,MATCH(1,($A115=[2]SalmonProps!$A$2:$A$10001)*(1=[2]SalmonProps!$C$2:$C$10001)*(1=[2]SalmonProps!$D$2:$D$10001)*("A1" = [2]SalmonProps!$B$2:$B$10001)*($AP115 = [2]SalmonProps!$F$2:$F$10001) *($AR115 = [2]SalmonProps!$G$2:$G$10001),0), 19))</f>
        <v/>
      </c>
      <c r="K115" s="165" t="str" cm="1">
        <f t="array" ref="K115">IF(ISBLANK($AQ115), "", INDEX([2]SalmonProps!$A$2:$AA$10001,MATCH(1,($A115=[2]SalmonProps!$A$2:$A$10001)*(1=[2]SalmonProps!$C$2:$C$10001)*(2=[2]SalmonProps!$D$2:$D$10001)*("A1" = [2]SalmonProps!$B$2:$B$10001)*($AP115 = [2]SalmonProps!$F$2:$F$10001) *($AR115 = [2]SalmonProps!$G$2:$G$10001),0), 19))</f>
        <v/>
      </c>
      <c r="L115" s="165" t="str" cm="1">
        <f t="array" ref="L115">IF(ISBLANK($AQ115), "", INDEX([2]SalmonProps!$A$2:$AA$10001,MATCH(1,($A115=[2]SalmonProps!$A$2:$A$10001)*(1=[2]SalmonProps!$C$2:$C$10001)*("1&amp;2"=[2]SalmonProps!$D$2:$D$10001)*("A1" = [2]SalmonProps!$B$2:$B$10001)*($AP115 = [2]SalmonProps!$F$2:$F$10001) *($AR115 = [2]SalmonProps!$G$2:$G$10001),0), 19))</f>
        <v/>
      </c>
      <c r="M115" s="165" t="str" cm="1">
        <f t="array" ref="M115">IF(ISBLANK($AQ115), "", INDEX([2]SalmonProps!$A$2:$AA$10001,MATCH(1,($A115=[2]SalmonProps!$A$2:$A$10001)*(2=[2]SalmonProps!$C$2:$C$10001)*(3=[2]SalmonProps!$D$2:$D$10001)*("A1" = [2]SalmonProps!$B$2:$B$10001)*($AP115 = [2]SalmonProps!$F$2:$F$10001) *($AR115 = [2]SalmonProps!$G$2:$G$10001),0), 19))</f>
        <v/>
      </c>
      <c r="N115" s="181" t="str" cm="1">
        <f t="array" ref="N115">IF(ISBLANK($AQ115), "", INDEX([2]SalmonProps!$A$2:$AA$10001,MATCH(1,($A115=[2]SalmonProps!$A$2:$A$10001)*(3=[2]SalmonProps!$C$2:$C$10001)*(3=[2]SalmonProps!$D$2:$D$10001)*("A1" = [2]SalmonProps!$B$2:$B$10001)*($AP115 = [2]SalmonProps!$F$2:$F$10001) *($AR115 = [2]SalmonProps!$G$2:$G$10001),0), 19))</f>
        <v/>
      </c>
      <c r="O115" s="165" t="str" cm="1">
        <f t="array" ref="O115">IF(ISBLANK($AQ115), "", INDEX([2]SalmonProps!$A$2:$AA$10001,MATCH(1,($A115=[2]SalmonProps!$A$2:$A$10001)*(1=[2]SalmonProps!$C$2:$C$10001)*(1=[2]SalmonProps!$D$2:$D$10001)*("A2" = [2]SalmonProps!$B$2:$B$10001)*($AP115 = [2]SalmonProps!$F$2:$F$10001) *($AR115 = [2]SalmonProps!$G$2:$G$10001),0), 19))</f>
        <v/>
      </c>
      <c r="P115" s="165" t="str" cm="1">
        <f t="array" ref="P115">IF(ISBLANK($AQ115), "", INDEX([2]SalmonProps!$A$2:$AA$10001,MATCH(1,($A115=[2]SalmonProps!$A$2:$A$10001)*(2=[2]SalmonProps!$C$2:$C$10001)*(1=[2]SalmonProps!$D$2:$D$10001)*("A2" = [2]SalmonProps!$B$2:$B$10001)*($AP115 = [2]SalmonProps!$F$2:$F$10001) *($AR115 = [2]SalmonProps!$G$2:$G$10001),0), 19))</f>
        <v/>
      </c>
      <c r="Q115" s="168" t="str" cm="1">
        <f t="array" ref="Q115">IF(ISBLANK($AQ115), "", INDEX([2]SalmonProps!$A$2:$AA$10001,MATCH(1,($A115=[2]SalmonProps!$A$2:$A$10001)*(3=[2]SalmonProps!$C$2:$C$10001)*(1=[2]SalmonProps!$D$2:$D$10001)*("A2" = [2]SalmonProps!$B$2:$B$10001)*($AP115 = [2]SalmonProps!$F$2:$F$10001) *($AR115 = [2]SalmonProps!$G$2:$G$10001),0), 19))</f>
        <v/>
      </c>
      <c r="R115" s="164" t="str" cm="1">
        <f t="array" ref="R115">IF(ISBLANK($AQ115), "", INDEX([2]SalmonProps!$A$2:$AA$10001,MATCH(1,($A115=[2]SalmonProps!$A$2:$A$10001)*(1=[2]SalmonProps!$C$2:$C$10001)*(1=[2]SalmonProps!$D$2:$D$10001)*("A1" = [2]SalmonProps!$B$2:$B$10001)*($AP115 = [2]SalmonProps!$F$2:$F$10001) *($AR115 = [2]SalmonProps!$G$2:$G$10001),0), 18))</f>
        <v/>
      </c>
      <c r="S115" s="165" t="str" cm="1">
        <f t="array" ref="S115">IF(ISBLANK($AQ115), "", INDEX([2]SalmonProps!$A$2:$AA$10001,MATCH(1,($A115=[2]SalmonProps!$A$2:$A$10001)*(1=[2]SalmonProps!$C$2:$C$10001)*(2=[2]SalmonProps!$D$2:$D$10001)*("A1" = [2]SalmonProps!$B$2:$B$10001)*($AP115 = [2]SalmonProps!$F$2:$F$10001) *($AR115 = [2]SalmonProps!$G$2:$G$10001),0), 18))</f>
        <v/>
      </c>
      <c r="T115" s="165" t="str" cm="1">
        <f t="array" ref="T115">IF(ISBLANK($AQ115), "", INDEX([2]SalmonProps!$A$2:$AA$10001,MATCH(1,($A115=[2]SalmonProps!$A$2:$A$10001)*(1=[2]SalmonProps!$C$2:$C$10001)*("1&amp;2"=[2]SalmonProps!$D$2:$D$10001)*("A1" = [2]SalmonProps!$B$2:$B$10001)*($AP115 = [2]SalmonProps!$F$2:$F$10001) *($AR115 = [2]SalmonProps!$G$2:$G$10001),0), 18))</f>
        <v/>
      </c>
      <c r="U115" s="165" t="str" cm="1">
        <f t="array" ref="U115">IF(ISBLANK($AQ115), "", INDEX([2]SalmonProps!$A$2:$AA$10001,MATCH(1,($A115=[2]SalmonProps!$A$2:$A$10001)*(2=[2]SalmonProps!$C$2:$C$10001)*(3=[2]SalmonProps!$D$2:$D$10001)*("A1" = [2]SalmonProps!$B$2:$B$10001)*($AP115 = [2]SalmonProps!$F$2:$F$10001) *($AR115 = [2]SalmonProps!$G$2:$G$10001),0), 18))</f>
        <v/>
      </c>
      <c r="V115" s="181" t="str" cm="1">
        <f t="array" ref="V115">IF(ISBLANK($AQ115), "", INDEX([2]SalmonProps!$A$2:$AA$10001,MATCH(1,($A115=[2]SalmonProps!$A$2:$A$10001)*(3=[2]SalmonProps!$C$2:$C$10001)*(3=[2]SalmonProps!$D$2:$D$10001)*("A1" = [2]SalmonProps!$B$2:$B$10001)*($AP115 = [2]SalmonProps!$F$2:$F$10001) *($AR115 = [2]SalmonProps!$G$2:$G$10001),0), 18))</f>
        <v/>
      </c>
      <c r="W115" s="180" t="str" cm="1">
        <f t="array" ref="W115">IF(ISBLANK($AQ115), "", INDEX([2]SalmonProps!$A$2:$AA$10001,MATCH(1,($A115=[2]SalmonProps!$A$2:$A$10001)*(1=[2]SalmonProps!$C$2:$C$10001)*(1=[2]SalmonProps!$D$2:$D$10001)*("A2" = [2]SalmonProps!$B$2:$B$10001)*($AP115 = [2]SalmonProps!$F$2:$F$10001) *($AR115 = [2]SalmonProps!$G$2:$G$10001),0), 18))</f>
        <v/>
      </c>
      <c r="X115" s="165" t="str" cm="1">
        <f t="array" ref="X115">IF(ISBLANK($AQ115), "", INDEX([2]SalmonProps!$A$2:$AA$10001,MATCH(1,($A115=[2]SalmonProps!$A$2:$A$10001)*(2=[2]SalmonProps!$C$2:$C$10001)*(1=[2]SalmonProps!$D$2:$D$10001)*("A2" = [2]SalmonProps!$B$2:$B$10001)*($AP115 = [2]SalmonProps!$F$2:$F$10001) *($AR115 = [2]SalmonProps!$G$2:$G$10001),0), 18))</f>
        <v/>
      </c>
      <c r="Y115" s="168" t="str" cm="1">
        <f t="array" ref="Y115">IF(ISBLANK($AQ115), "", INDEX([2]SalmonProps!$A$2:$AA$10001,MATCH(1,($A115=[2]SalmonProps!$A$2:$A$10001)*(3=[2]SalmonProps!$C$2:$C$10001)*(1=[2]SalmonProps!$D$2:$D$10001)*("A2" = [2]SalmonProps!$B$2:$B$10001)*($AP115 = [2]SalmonProps!$F$2:$F$10001) *($AR115 = [2]SalmonProps!$G$2:$G$10001),0), 18))</f>
        <v/>
      </c>
      <c r="Z115" s="164" t="str" cm="1">
        <f t="array" ref="Z115">IF(ISBLANK($AQ115), "", INDEX([2]SalmonProps!$A$2:$AA$10001,MATCH(1,($A115=[2]SalmonProps!$A$2:$A$10001)*(1=[2]SalmonProps!$C$2:$C$10001)*(1=[2]SalmonProps!$D$2:$D$10001)*("A1" = [2]SalmonProps!$B$2:$B$10001)*($AP115 = [2]SalmonProps!$F$2:$F$10001) *($AR115 = [2]SalmonProps!$G$2:$G$10001),0), 15))</f>
        <v/>
      </c>
      <c r="AA115" s="165" t="str" cm="1">
        <f t="array" ref="AA115">IF(ISBLANK($AQ115), "", INDEX([2]SalmonProps!$A$2:$AA$10001,MATCH(1,($A115=[2]SalmonProps!$A$2:$A$10001)*(1=[2]SalmonProps!$C$2:$C$10001)*(2=[2]SalmonProps!$D$2:$D$10001)*("A1" = [2]SalmonProps!$B$2:$B$10001)*($AP115 = [2]SalmonProps!$F$2:$F$10001) *($AR115 = [2]SalmonProps!$G$2:$G$10001),0), 15))</f>
        <v/>
      </c>
      <c r="AB115" s="165" t="str" cm="1">
        <f t="array" ref="AB115">IF(ISBLANK($AQ115), "", INDEX([2]SalmonProps!$A$2:$AA$10001,MATCH(1,($A115=[2]SalmonProps!$A$2:$A$10001)*(1=[2]SalmonProps!$C$2:$C$10001)*("1&amp;2"=[2]SalmonProps!$D$2:$D$10001)*("A1" = [2]SalmonProps!$B$2:$B$10001)*($AP115 = [2]SalmonProps!$F$2:$F$10001) *($AR115 = [2]SalmonProps!$G$2:$G$10001),0), 15))</f>
        <v/>
      </c>
      <c r="AC115" s="165" t="str" cm="1">
        <f t="array" ref="AC115">IF(ISBLANK($AQ115), "", INDEX([2]SalmonProps!$A$2:$AA$10001,MATCH(1,($A115=[2]SalmonProps!$A$2:$A$10001)*(2=[2]SalmonProps!$C$2:$C$10001)*(3=[2]SalmonProps!$D$2:$D$10001)*("A1" = [2]SalmonProps!$B$2:$B$10001)*($AP115 = [2]SalmonProps!$F$2:$F$10001) *($AR115 = [2]SalmonProps!$G$2:$G$10001),0), 15))</f>
        <v/>
      </c>
      <c r="AD115" s="181" t="str" cm="1">
        <f t="array" ref="AD115">IF(ISBLANK($AQ115), "", INDEX([2]SalmonProps!$A$2:$AA$10001,MATCH(1,($A115=[2]SalmonProps!$A$2:$A$10001)*(3=[2]SalmonProps!$C$2:$C$10001)*(3=[2]SalmonProps!$D$2:$D$10001)*("A1" = [2]SalmonProps!$B$2:$B$10001)*($AP115 = [2]SalmonProps!$F$2:$F$10001) *($AR115 = [2]SalmonProps!$G$2:$G$10001),0), 15))</f>
        <v/>
      </c>
      <c r="AE115" s="166" t="str" cm="1">
        <f t="array" ref="AE115">IF(ISBLANK($AQ115), "", INDEX([2]SalmonProps!$A$2:$AA$10001,MATCH(1,($A115=[2]SalmonProps!$A$2:$A$10001)*(1=[2]SalmonProps!$C$2:$C$10001)*(1=[2]SalmonProps!$D$2:$D$10001)*("A2" = [2]SalmonProps!$B$2:$B$10001)*($AP115 = [2]SalmonProps!$F$2:$F$10001) *($AR115 = [2]SalmonProps!$G$2:$G$10001),0), 15))</f>
        <v/>
      </c>
      <c r="AF115" s="166" t="str" cm="1">
        <f t="array" ref="AF115">IF(ISBLANK($AQ115), "", INDEX([2]SalmonProps!$A$2:$AA$10001,MATCH(1,($A115=[2]SalmonProps!$A$2:$A$10001)*(2=[2]SalmonProps!$C$2:$C$10001)*(1=[2]SalmonProps!$D$2:$D$10001)*("A2" = [2]SalmonProps!$B$2:$B$10001)*($AP115 = [2]SalmonProps!$F$2:$F$10001) *($AR115 = [2]SalmonProps!$G$2:$G$10001),0), 15))</f>
        <v/>
      </c>
      <c r="AG115" s="167" t="str" cm="1">
        <f t="array" ref="AG115">IF(ISBLANK($AQ115), "", INDEX([2]SalmonProps!$A$2:$AA$10001,MATCH(1,($A115=[2]SalmonProps!$A$2:$A$10001)*(3=[2]SalmonProps!$C$2:$C$10001)*(1=[2]SalmonProps!$D$2:$D$10001)*("A2" = [2]SalmonProps!$B$2:$B$10001)*($AP115 = [2]SalmonProps!$F$2:$F$10001) *($AR115 = [2]SalmonProps!$G$2:$G$10001),0), 15))</f>
        <v/>
      </c>
      <c r="AH115" s="173" t="str" cm="1">
        <f t="array" ref="AH115">IF(ISBLANK($AQ115), "", INDEX([2]SalmonProps!$A$2:$AA$10001,MATCH(1,($A115=[2]SalmonProps!$A$2:$A$10001)*($AP115 = [2]SalmonProps!$F$2:$F$10001) *($AR115 = [2]SalmonProps!$G$2:$G$10001),0), 24))</f>
        <v/>
      </c>
      <c r="AI115" s="183" t="str" cm="1">
        <f t="array" ref="AI115">IF(ISBLANK($AQ115), "", INDEX([2]SalmonProps!$A$2:$AA$10001,MATCH(1,($A115=[2]SalmonProps!$A$2:$A$10001)*($AP115 = [2]SalmonProps!$F$2:$F$10001) *($AR115 = [2]SalmonProps!$G$2:$G$10001),0), 25))</f>
        <v/>
      </c>
      <c r="AJ115" s="174" t="str" cm="1">
        <f t="array" ref="AJ115">IF(ISBLANK($AQ115), "", INDEX([2]SalmonProps!$A$2:$AA$10001,MATCH(1,($A115=[2]SalmonProps!$A$2:$A$10001)*($AP115 = [2]SalmonProps!$F$2:$F$10001) *($AR115 = [2]SalmonProps!$G$2:$G$10001),0), 20))</f>
        <v/>
      </c>
      <c r="AK115" s="183" t="str" cm="1">
        <f t="array" ref="AK115">IF(ISBLANK($AQ115), "", INDEX([2]SalmonProps!$A$2:$AA$10001,MATCH(1,($A115=[2]SalmonProps!$A$2:$A$10001)*($AP115 = [2]SalmonProps!$F$2:$F$10001) *($AR115 = [2]SalmonProps!$G$2:$G$10001),0), 21))</f>
        <v/>
      </c>
      <c r="AL115" s="174" t="str" cm="1">
        <f t="array" ref="AL115">IF(ISBLANK($AQ115), "", INDEX([2]SalmonProps!$A$2:$AA$10001,MATCH(1,($A115=[2]SalmonProps!$A$2:$A$10001)*($AP115 = [2]SalmonProps!$F$2:$F$10001) *($AR115 = [2]SalmonProps!$G$2:$G$10001),0), 22))</f>
        <v/>
      </c>
      <c r="AM115" s="183" t="str" cm="1">
        <f t="array" ref="AM115">IF(ISBLANK($AQ115), "", INDEX([2]SalmonProps!$A$2:$AA$10001,MATCH(1,($A115=[2]SalmonProps!$A$2:$A$10001)*($AP115 = [2]SalmonProps!$F$2:$F$10001) *($AR115 = [2]SalmonProps!$G$2:$G$10001),0), 23))</f>
        <v/>
      </c>
      <c r="AN115" s="174" t="str" cm="1">
        <f t="array" ref="AN115">IF(ISBLANK($AQ115), "", INDEX([2]SalmonProps!$A$2:$AA$10001,MATCH(1,($A115=[2]SalmonProps!$A$2:$A$10001)*($AP115 = [2]SalmonProps!$F$2:$F$10001) *($AR115 = [2]SalmonProps!$G$2:$G$10001),0), 26))</f>
        <v/>
      </c>
      <c r="AO115" s="175" t="str" cm="1">
        <f t="array" ref="AO115">IF(ISBLANK($AQ115), "", INDEX([2]SalmonProps!$A$2:$AA$10001,MATCH(1,($A115=[2]SalmonProps!$A$2:$A$10001)*($AP115 = [2]SalmonProps!$F$2:$F$10001) *($AR115 = [2]SalmonProps!$G$2:$G$10001),0), 27))</f>
        <v/>
      </c>
      <c r="AP115" s="112"/>
      <c r="AQ115" s="112"/>
      <c r="AR115" s="112" t="e">
        <f t="shared" si="2"/>
        <v>#N/A</v>
      </c>
    </row>
    <row r="116" spans="1:44" x14ac:dyDescent="0.3">
      <c r="A116" s="20">
        <f>'[1]Passage Estimates'!$A116</f>
        <v>45218</v>
      </c>
      <c r="B116" s="164" t="str" cm="1">
        <f t="array" ref="B116">IF(ISBLANK($AQ116), "", INDEX([2]SalmonProps!$A$2:$AA$10001,MATCH(1,($A116=[2]SalmonProps!$A$2:$A$10001)*(1=[2]SalmonProps!$C$2:$C$10001)*(1=[2]SalmonProps!$D$2:$D$10001)*("A1" = [2]SalmonProps!$B$2:$B$10001)*($AP116 = [2]SalmonProps!$F$2:$F$10001) *($AR116 = [2]SalmonProps!$G$2:$G$10001),0), 17))</f>
        <v/>
      </c>
      <c r="C116" s="165" t="str" cm="1">
        <f t="array" ref="C116">IF(ISBLANK($AQ116), "", INDEX([2]SalmonProps!$A$2:$AA$10001,MATCH(1,($A116=[2]SalmonProps!$A$2:$A$10001)*(1=[2]SalmonProps!$C$2:$C$10001)*(2=[2]SalmonProps!$D$2:$D$10001)*("A1" = [2]SalmonProps!$B$2:$B$10001)*($AP116 = [2]SalmonProps!$F$2:$F$10001) *($AR116 = [2]SalmonProps!$G$2:$G$10001),0), 17))</f>
        <v/>
      </c>
      <c r="D116" s="165" t="str" cm="1">
        <f t="array" ref="D116">IF(ISBLANK($AQ116), "", INDEX([2]SalmonProps!$A$2:$AA$10001,MATCH(1,($A116=[2]SalmonProps!$A$2:$A$10001)*(1=[2]SalmonProps!$C$2:$C$10001)*("1&amp;2"=[2]SalmonProps!$D$2:$D$10001)*("A1" = [2]SalmonProps!$B$2:$B$10001)*($AP116 = [2]SalmonProps!$F$2:$F$10001) *($AR116 = [2]SalmonProps!$G$2:$G$10001),0), 17))</f>
        <v/>
      </c>
      <c r="E116" s="181" t="str" cm="1">
        <f t="array" ref="E116">IF(ISBLANK($AQ116), "", INDEX([2]SalmonProps!$A$2:$AA$10001,MATCH(1,($A116=[2]SalmonProps!$A$2:$A$10001)*(2=[2]SalmonProps!$C$2:$C$10001)*(3=[2]SalmonProps!$D$2:$D$10001)*("A1" = [2]SalmonProps!$B$2:$B$10001)*($AP116 = [2]SalmonProps!$F$2:$F$10001) *($AR116 = [2]SalmonProps!$G$2:$G$10001),0), 17))</f>
        <v/>
      </c>
      <c r="F116" s="165" t="str" cm="1">
        <f t="array" ref="F116">IF(ISBLANK($AQ116), "", INDEX([2]SalmonProps!$A$2:$AA$10001,MATCH(1,($A116=[2]SalmonProps!$A$2:$A$10001)*(3=[2]SalmonProps!$C$2:$C$10001)*(3=[2]SalmonProps!$D$2:$D$10001)*("A1" = [2]SalmonProps!$B$2:$B$10001)*($AP116 = [2]SalmonProps!$F$2:$F$10001) *($AR116 = [2]SalmonProps!$G$2:$G$10001),0), 17))</f>
        <v/>
      </c>
      <c r="G116" s="165" t="str" cm="1">
        <f t="array" ref="G116">IF(ISBLANK($AQ116), "", INDEX([2]SalmonProps!$A$2:$AA$10001,MATCH(1,($A116=[2]SalmonProps!$A$2:$A$10001)*(1=[2]SalmonProps!$C$2:$C$10001)*(1=[2]SalmonProps!$D$2:$D$10001)*("A2" = [2]SalmonProps!$B$2:$B$10001)*($AP116 = [2]SalmonProps!$F$2:$F$10001) *($AR116 = [2]SalmonProps!$G$2:$G$10001),0), 17))</f>
        <v/>
      </c>
      <c r="H116" s="166" t="str" cm="1">
        <f t="array" ref="H116">IF(ISBLANK($AQ116), "", INDEX([2]SalmonProps!$A$2:$AA$10001,MATCH(1,($A116=[2]SalmonProps!$A$2:$A$10001)*(2=[2]SalmonProps!$C$2:$C$10001)*(1=[2]SalmonProps!$D$2:$D$10001)*("A2" = [2]SalmonProps!$B$2:$B$10001)*($AP116 = [2]SalmonProps!$F$2:$F$10001) *($AR116 = [2]SalmonProps!$G$2:$G$10001),0), 17))</f>
        <v/>
      </c>
      <c r="I116" s="167" t="str" cm="1">
        <f t="array" ref="I116">IF(ISBLANK($AQ116), "", INDEX([2]SalmonProps!$A$2:$AA$10001,MATCH(1,($A116=[2]SalmonProps!$A$2:$A$10001)*(3=[2]SalmonProps!$C$2:$C$10001)*(1=[2]SalmonProps!$D$2:$D$10001)*("A2" = [2]SalmonProps!$B$2:$B$10001)*($AP116 = [2]SalmonProps!$F$2:$F$10001) *($AR116 = [2]SalmonProps!$G$2:$G$10001),0), 17))</f>
        <v/>
      </c>
      <c r="J116" s="164" t="str" cm="1">
        <f t="array" ref="J116">IF(ISBLANK($AQ116), "", INDEX([2]SalmonProps!$A$2:$AA$10001,MATCH(1,($A116=[2]SalmonProps!$A$2:$A$10001)*(1=[2]SalmonProps!$C$2:$C$10001)*(1=[2]SalmonProps!$D$2:$D$10001)*("A1" = [2]SalmonProps!$B$2:$B$10001)*($AP116 = [2]SalmonProps!$F$2:$F$10001) *($AR116 = [2]SalmonProps!$G$2:$G$10001),0), 19))</f>
        <v/>
      </c>
      <c r="K116" s="165" t="str" cm="1">
        <f t="array" ref="K116">IF(ISBLANK($AQ116), "", INDEX([2]SalmonProps!$A$2:$AA$10001,MATCH(1,($A116=[2]SalmonProps!$A$2:$A$10001)*(1=[2]SalmonProps!$C$2:$C$10001)*(2=[2]SalmonProps!$D$2:$D$10001)*("A1" = [2]SalmonProps!$B$2:$B$10001)*($AP116 = [2]SalmonProps!$F$2:$F$10001) *($AR116 = [2]SalmonProps!$G$2:$G$10001),0), 19))</f>
        <v/>
      </c>
      <c r="L116" s="165" t="str" cm="1">
        <f t="array" ref="L116">IF(ISBLANK($AQ116), "", INDEX([2]SalmonProps!$A$2:$AA$10001,MATCH(1,($A116=[2]SalmonProps!$A$2:$A$10001)*(1=[2]SalmonProps!$C$2:$C$10001)*("1&amp;2"=[2]SalmonProps!$D$2:$D$10001)*("A1" = [2]SalmonProps!$B$2:$B$10001)*($AP116 = [2]SalmonProps!$F$2:$F$10001) *($AR116 = [2]SalmonProps!$G$2:$G$10001),0), 19))</f>
        <v/>
      </c>
      <c r="M116" s="165" t="str" cm="1">
        <f t="array" ref="M116">IF(ISBLANK($AQ116), "", INDEX([2]SalmonProps!$A$2:$AA$10001,MATCH(1,($A116=[2]SalmonProps!$A$2:$A$10001)*(2=[2]SalmonProps!$C$2:$C$10001)*(3=[2]SalmonProps!$D$2:$D$10001)*("A1" = [2]SalmonProps!$B$2:$B$10001)*($AP116 = [2]SalmonProps!$F$2:$F$10001) *($AR116 = [2]SalmonProps!$G$2:$G$10001),0), 19))</f>
        <v/>
      </c>
      <c r="N116" s="181" t="str" cm="1">
        <f t="array" ref="N116">IF(ISBLANK($AQ116), "", INDEX([2]SalmonProps!$A$2:$AA$10001,MATCH(1,($A116=[2]SalmonProps!$A$2:$A$10001)*(3=[2]SalmonProps!$C$2:$C$10001)*(3=[2]SalmonProps!$D$2:$D$10001)*("A1" = [2]SalmonProps!$B$2:$B$10001)*($AP116 = [2]SalmonProps!$F$2:$F$10001) *($AR116 = [2]SalmonProps!$G$2:$G$10001),0), 19))</f>
        <v/>
      </c>
      <c r="O116" s="165" t="str" cm="1">
        <f t="array" ref="O116">IF(ISBLANK($AQ116), "", INDEX([2]SalmonProps!$A$2:$AA$10001,MATCH(1,($A116=[2]SalmonProps!$A$2:$A$10001)*(1=[2]SalmonProps!$C$2:$C$10001)*(1=[2]SalmonProps!$D$2:$D$10001)*("A2" = [2]SalmonProps!$B$2:$B$10001)*($AP116 = [2]SalmonProps!$F$2:$F$10001) *($AR116 = [2]SalmonProps!$G$2:$G$10001),0), 19))</f>
        <v/>
      </c>
      <c r="P116" s="165" t="str" cm="1">
        <f t="array" ref="P116">IF(ISBLANK($AQ116), "", INDEX([2]SalmonProps!$A$2:$AA$10001,MATCH(1,($A116=[2]SalmonProps!$A$2:$A$10001)*(2=[2]SalmonProps!$C$2:$C$10001)*(1=[2]SalmonProps!$D$2:$D$10001)*("A2" = [2]SalmonProps!$B$2:$B$10001)*($AP116 = [2]SalmonProps!$F$2:$F$10001) *($AR116 = [2]SalmonProps!$G$2:$G$10001),0), 19))</f>
        <v/>
      </c>
      <c r="Q116" s="168" t="str" cm="1">
        <f t="array" ref="Q116">IF(ISBLANK($AQ116), "", INDEX([2]SalmonProps!$A$2:$AA$10001,MATCH(1,($A116=[2]SalmonProps!$A$2:$A$10001)*(3=[2]SalmonProps!$C$2:$C$10001)*(1=[2]SalmonProps!$D$2:$D$10001)*("A2" = [2]SalmonProps!$B$2:$B$10001)*($AP116 = [2]SalmonProps!$F$2:$F$10001) *($AR116 = [2]SalmonProps!$G$2:$G$10001),0), 19))</f>
        <v/>
      </c>
      <c r="R116" s="164" t="str" cm="1">
        <f t="array" ref="R116">IF(ISBLANK($AQ116), "", INDEX([2]SalmonProps!$A$2:$AA$10001,MATCH(1,($A116=[2]SalmonProps!$A$2:$A$10001)*(1=[2]SalmonProps!$C$2:$C$10001)*(1=[2]SalmonProps!$D$2:$D$10001)*("A1" = [2]SalmonProps!$B$2:$B$10001)*($AP116 = [2]SalmonProps!$F$2:$F$10001) *($AR116 = [2]SalmonProps!$G$2:$G$10001),0), 18))</f>
        <v/>
      </c>
      <c r="S116" s="165" t="str" cm="1">
        <f t="array" ref="S116">IF(ISBLANK($AQ116), "", INDEX([2]SalmonProps!$A$2:$AA$10001,MATCH(1,($A116=[2]SalmonProps!$A$2:$A$10001)*(1=[2]SalmonProps!$C$2:$C$10001)*(2=[2]SalmonProps!$D$2:$D$10001)*("A1" = [2]SalmonProps!$B$2:$B$10001)*($AP116 = [2]SalmonProps!$F$2:$F$10001) *($AR116 = [2]SalmonProps!$G$2:$G$10001),0), 18))</f>
        <v/>
      </c>
      <c r="T116" s="165" t="str" cm="1">
        <f t="array" ref="T116">IF(ISBLANK($AQ116), "", INDEX([2]SalmonProps!$A$2:$AA$10001,MATCH(1,($A116=[2]SalmonProps!$A$2:$A$10001)*(1=[2]SalmonProps!$C$2:$C$10001)*("1&amp;2"=[2]SalmonProps!$D$2:$D$10001)*("A1" = [2]SalmonProps!$B$2:$B$10001)*($AP116 = [2]SalmonProps!$F$2:$F$10001) *($AR116 = [2]SalmonProps!$G$2:$G$10001),0), 18))</f>
        <v/>
      </c>
      <c r="U116" s="165" t="str" cm="1">
        <f t="array" ref="U116">IF(ISBLANK($AQ116), "", INDEX([2]SalmonProps!$A$2:$AA$10001,MATCH(1,($A116=[2]SalmonProps!$A$2:$A$10001)*(2=[2]SalmonProps!$C$2:$C$10001)*(3=[2]SalmonProps!$D$2:$D$10001)*("A1" = [2]SalmonProps!$B$2:$B$10001)*($AP116 = [2]SalmonProps!$F$2:$F$10001) *($AR116 = [2]SalmonProps!$G$2:$G$10001),0), 18))</f>
        <v/>
      </c>
      <c r="V116" s="181" t="str" cm="1">
        <f t="array" ref="V116">IF(ISBLANK($AQ116), "", INDEX([2]SalmonProps!$A$2:$AA$10001,MATCH(1,($A116=[2]SalmonProps!$A$2:$A$10001)*(3=[2]SalmonProps!$C$2:$C$10001)*(3=[2]SalmonProps!$D$2:$D$10001)*("A1" = [2]SalmonProps!$B$2:$B$10001)*($AP116 = [2]SalmonProps!$F$2:$F$10001) *($AR116 = [2]SalmonProps!$G$2:$G$10001),0), 18))</f>
        <v/>
      </c>
      <c r="W116" s="180" t="str" cm="1">
        <f t="array" ref="W116">IF(ISBLANK($AQ116), "", INDEX([2]SalmonProps!$A$2:$AA$10001,MATCH(1,($A116=[2]SalmonProps!$A$2:$A$10001)*(1=[2]SalmonProps!$C$2:$C$10001)*(1=[2]SalmonProps!$D$2:$D$10001)*("A2" = [2]SalmonProps!$B$2:$B$10001)*($AP116 = [2]SalmonProps!$F$2:$F$10001) *($AR116 = [2]SalmonProps!$G$2:$G$10001),0), 18))</f>
        <v/>
      </c>
      <c r="X116" s="165" t="str" cm="1">
        <f t="array" ref="X116">IF(ISBLANK($AQ116), "", INDEX([2]SalmonProps!$A$2:$AA$10001,MATCH(1,($A116=[2]SalmonProps!$A$2:$A$10001)*(2=[2]SalmonProps!$C$2:$C$10001)*(1=[2]SalmonProps!$D$2:$D$10001)*("A2" = [2]SalmonProps!$B$2:$B$10001)*($AP116 = [2]SalmonProps!$F$2:$F$10001) *($AR116 = [2]SalmonProps!$G$2:$G$10001),0), 18))</f>
        <v/>
      </c>
      <c r="Y116" s="168" t="str" cm="1">
        <f t="array" ref="Y116">IF(ISBLANK($AQ116), "", INDEX([2]SalmonProps!$A$2:$AA$10001,MATCH(1,($A116=[2]SalmonProps!$A$2:$A$10001)*(3=[2]SalmonProps!$C$2:$C$10001)*(1=[2]SalmonProps!$D$2:$D$10001)*("A2" = [2]SalmonProps!$B$2:$B$10001)*($AP116 = [2]SalmonProps!$F$2:$F$10001) *($AR116 = [2]SalmonProps!$G$2:$G$10001),0), 18))</f>
        <v/>
      </c>
      <c r="Z116" s="164" t="str" cm="1">
        <f t="array" ref="Z116">IF(ISBLANK($AQ116), "", INDEX([2]SalmonProps!$A$2:$AA$10001,MATCH(1,($A116=[2]SalmonProps!$A$2:$A$10001)*(1=[2]SalmonProps!$C$2:$C$10001)*(1=[2]SalmonProps!$D$2:$D$10001)*("A1" = [2]SalmonProps!$B$2:$B$10001)*($AP116 = [2]SalmonProps!$F$2:$F$10001) *($AR116 = [2]SalmonProps!$G$2:$G$10001),0), 15))</f>
        <v/>
      </c>
      <c r="AA116" s="165" t="str" cm="1">
        <f t="array" ref="AA116">IF(ISBLANK($AQ116), "", INDEX([2]SalmonProps!$A$2:$AA$10001,MATCH(1,($A116=[2]SalmonProps!$A$2:$A$10001)*(1=[2]SalmonProps!$C$2:$C$10001)*(2=[2]SalmonProps!$D$2:$D$10001)*("A1" = [2]SalmonProps!$B$2:$B$10001)*($AP116 = [2]SalmonProps!$F$2:$F$10001) *($AR116 = [2]SalmonProps!$G$2:$G$10001),0), 15))</f>
        <v/>
      </c>
      <c r="AB116" s="165" t="str" cm="1">
        <f t="array" ref="AB116">IF(ISBLANK($AQ116), "", INDEX([2]SalmonProps!$A$2:$AA$10001,MATCH(1,($A116=[2]SalmonProps!$A$2:$A$10001)*(1=[2]SalmonProps!$C$2:$C$10001)*("1&amp;2"=[2]SalmonProps!$D$2:$D$10001)*("A1" = [2]SalmonProps!$B$2:$B$10001)*($AP116 = [2]SalmonProps!$F$2:$F$10001) *($AR116 = [2]SalmonProps!$G$2:$G$10001),0), 15))</f>
        <v/>
      </c>
      <c r="AC116" s="165" t="str" cm="1">
        <f t="array" ref="AC116">IF(ISBLANK($AQ116), "", INDEX([2]SalmonProps!$A$2:$AA$10001,MATCH(1,($A116=[2]SalmonProps!$A$2:$A$10001)*(2=[2]SalmonProps!$C$2:$C$10001)*(3=[2]SalmonProps!$D$2:$D$10001)*("A1" = [2]SalmonProps!$B$2:$B$10001)*($AP116 = [2]SalmonProps!$F$2:$F$10001) *($AR116 = [2]SalmonProps!$G$2:$G$10001),0), 15))</f>
        <v/>
      </c>
      <c r="AD116" s="181" t="str" cm="1">
        <f t="array" ref="AD116">IF(ISBLANK($AQ116), "", INDEX([2]SalmonProps!$A$2:$AA$10001,MATCH(1,($A116=[2]SalmonProps!$A$2:$A$10001)*(3=[2]SalmonProps!$C$2:$C$10001)*(3=[2]SalmonProps!$D$2:$D$10001)*("A1" = [2]SalmonProps!$B$2:$B$10001)*($AP116 = [2]SalmonProps!$F$2:$F$10001) *($AR116 = [2]SalmonProps!$G$2:$G$10001),0), 15))</f>
        <v/>
      </c>
      <c r="AE116" s="166" t="str" cm="1">
        <f t="array" ref="AE116">IF(ISBLANK($AQ116), "", INDEX([2]SalmonProps!$A$2:$AA$10001,MATCH(1,($A116=[2]SalmonProps!$A$2:$A$10001)*(1=[2]SalmonProps!$C$2:$C$10001)*(1=[2]SalmonProps!$D$2:$D$10001)*("A2" = [2]SalmonProps!$B$2:$B$10001)*($AP116 = [2]SalmonProps!$F$2:$F$10001) *($AR116 = [2]SalmonProps!$G$2:$G$10001),0), 15))</f>
        <v/>
      </c>
      <c r="AF116" s="166" t="str" cm="1">
        <f t="array" ref="AF116">IF(ISBLANK($AQ116), "", INDEX([2]SalmonProps!$A$2:$AA$10001,MATCH(1,($A116=[2]SalmonProps!$A$2:$A$10001)*(2=[2]SalmonProps!$C$2:$C$10001)*(1=[2]SalmonProps!$D$2:$D$10001)*("A2" = [2]SalmonProps!$B$2:$B$10001)*($AP116 = [2]SalmonProps!$F$2:$F$10001) *($AR116 = [2]SalmonProps!$G$2:$G$10001),0), 15))</f>
        <v/>
      </c>
      <c r="AG116" s="167" t="str" cm="1">
        <f t="array" ref="AG116">IF(ISBLANK($AQ116), "", INDEX([2]SalmonProps!$A$2:$AA$10001,MATCH(1,($A116=[2]SalmonProps!$A$2:$A$10001)*(3=[2]SalmonProps!$C$2:$C$10001)*(1=[2]SalmonProps!$D$2:$D$10001)*("A2" = [2]SalmonProps!$B$2:$B$10001)*($AP116 = [2]SalmonProps!$F$2:$F$10001) *($AR116 = [2]SalmonProps!$G$2:$G$10001),0), 15))</f>
        <v/>
      </c>
      <c r="AH116" s="173" t="str" cm="1">
        <f t="array" ref="AH116">IF(ISBLANK($AQ116), "", INDEX([2]SalmonProps!$A$2:$AA$10001,MATCH(1,($A116=[2]SalmonProps!$A$2:$A$10001)*($AP116 = [2]SalmonProps!$F$2:$F$10001) *($AR116 = [2]SalmonProps!$G$2:$G$10001),0), 24))</f>
        <v/>
      </c>
      <c r="AI116" s="183" t="str" cm="1">
        <f t="array" ref="AI116">IF(ISBLANK($AQ116), "", INDEX([2]SalmonProps!$A$2:$AA$10001,MATCH(1,($A116=[2]SalmonProps!$A$2:$A$10001)*($AP116 = [2]SalmonProps!$F$2:$F$10001) *($AR116 = [2]SalmonProps!$G$2:$G$10001),0), 25))</f>
        <v/>
      </c>
      <c r="AJ116" s="174" t="str" cm="1">
        <f t="array" ref="AJ116">IF(ISBLANK($AQ116), "", INDEX([2]SalmonProps!$A$2:$AA$10001,MATCH(1,($A116=[2]SalmonProps!$A$2:$A$10001)*($AP116 = [2]SalmonProps!$F$2:$F$10001) *($AR116 = [2]SalmonProps!$G$2:$G$10001),0), 20))</f>
        <v/>
      </c>
      <c r="AK116" s="183" t="str" cm="1">
        <f t="array" ref="AK116">IF(ISBLANK($AQ116), "", INDEX([2]SalmonProps!$A$2:$AA$10001,MATCH(1,($A116=[2]SalmonProps!$A$2:$A$10001)*($AP116 = [2]SalmonProps!$F$2:$F$10001) *($AR116 = [2]SalmonProps!$G$2:$G$10001),0), 21))</f>
        <v/>
      </c>
      <c r="AL116" s="174" t="str" cm="1">
        <f t="array" ref="AL116">IF(ISBLANK($AQ116), "", INDEX([2]SalmonProps!$A$2:$AA$10001,MATCH(1,($A116=[2]SalmonProps!$A$2:$A$10001)*($AP116 = [2]SalmonProps!$F$2:$F$10001) *($AR116 = [2]SalmonProps!$G$2:$G$10001),0), 22))</f>
        <v/>
      </c>
      <c r="AM116" s="183" t="str" cm="1">
        <f t="array" ref="AM116">IF(ISBLANK($AQ116), "", INDEX([2]SalmonProps!$A$2:$AA$10001,MATCH(1,($A116=[2]SalmonProps!$A$2:$A$10001)*($AP116 = [2]SalmonProps!$F$2:$F$10001) *($AR116 = [2]SalmonProps!$G$2:$G$10001),0), 23))</f>
        <v/>
      </c>
      <c r="AN116" s="174" t="str" cm="1">
        <f t="array" ref="AN116">IF(ISBLANK($AQ116), "", INDEX([2]SalmonProps!$A$2:$AA$10001,MATCH(1,($A116=[2]SalmonProps!$A$2:$A$10001)*($AP116 = [2]SalmonProps!$F$2:$F$10001) *($AR116 = [2]SalmonProps!$G$2:$G$10001),0), 26))</f>
        <v/>
      </c>
      <c r="AO116" s="175" t="str" cm="1">
        <f t="array" ref="AO116">IF(ISBLANK($AQ116), "", INDEX([2]SalmonProps!$A$2:$AA$10001,MATCH(1,($A116=[2]SalmonProps!$A$2:$A$10001)*($AP116 = [2]SalmonProps!$F$2:$F$10001) *($AR116 = [2]SalmonProps!$G$2:$G$10001),0), 27))</f>
        <v/>
      </c>
      <c r="AP116" s="112"/>
      <c r="AQ116" s="112"/>
      <c r="AR116" s="112" t="e">
        <f t="shared" si="2"/>
        <v>#N/A</v>
      </c>
    </row>
    <row r="117" spans="1:44" x14ac:dyDescent="0.3">
      <c r="A117" s="20">
        <f>'[1]Passage Estimates'!$A117</f>
        <v>45219</v>
      </c>
      <c r="B117" s="164" t="str" cm="1">
        <f t="array" ref="B117">IF(ISBLANK($AQ117), "", INDEX([2]SalmonProps!$A$2:$AA$10001,MATCH(1,($A117=[2]SalmonProps!$A$2:$A$10001)*(1=[2]SalmonProps!$C$2:$C$10001)*(1=[2]SalmonProps!$D$2:$D$10001)*("A1" = [2]SalmonProps!$B$2:$B$10001)*($AP117 = [2]SalmonProps!$F$2:$F$10001) *($AR117 = [2]SalmonProps!$G$2:$G$10001),0), 17))</f>
        <v/>
      </c>
      <c r="C117" s="165" t="str" cm="1">
        <f t="array" ref="C117">IF(ISBLANK($AQ117), "", INDEX([2]SalmonProps!$A$2:$AA$10001,MATCH(1,($A117=[2]SalmonProps!$A$2:$A$10001)*(1=[2]SalmonProps!$C$2:$C$10001)*(2=[2]SalmonProps!$D$2:$D$10001)*("A1" = [2]SalmonProps!$B$2:$B$10001)*($AP117 = [2]SalmonProps!$F$2:$F$10001) *($AR117 = [2]SalmonProps!$G$2:$G$10001),0), 17))</f>
        <v/>
      </c>
      <c r="D117" s="165" t="str" cm="1">
        <f t="array" ref="D117">IF(ISBLANK($AQ117), "", INDEX([2]SalmonProps!$A$2:$AA$10001,MATCH(1,($A117=[2]SalmonProps!$A$2:$A$10001)*(1=[2]SalmonProps!$C$2:$C$10001)*("1&amp;2"=[2]SalmonProps!$D$2:$D$10001)*("A1" = [2]SalmonProps!$B$2:$B$10001)*($AP117 = [2]SalmonProps!$F$2:$F$10001) *($AR117 = [2]SalmonProps!$G$2:$G$10001),0), 17))</f>
        <v/>
      </c>
      <c r="E117" s="181" t="str" cm="1">
        <f t="array" ref="E117">IF(ISBLANK($AQ117), "", INDEX([2]SalmonProps!$A$2:$AA$10001,MATCH(1,($A117=[2]SalmonProps!$A$2:$A$10001)*(2=[2]SalmonProps!$C$2:$C$10001)*(3=[2]SalmonProps!$D$2:$D$10001)*("A1" = [2]SalmonProps!$B$2:$B$10001)*($AP117 = [2]SalmonProps!$F$2:$F$10001) *($AR117 = [2]SalmonProps!$G$2:$G$10001),0), 17))</f>
        <v/>
      </c>
      <c r="F117" s="165" t="str" cm="1">
        <f t="array" ref="F117">IF(ISBLANK($AQ117), "", INDEX([2]SalmonProps!$A$2:$AA$10001,MATCH(1,($A117=[2]SalmonProps!$A$2:$A$10001)*(3=[2]SalmonProps!$C$2:$C$10001)*(3=[2]SalmonProps!$D$2:$D$10001)*("A1" = [2]SalmonProps!$B$2:$B$10001)*($AP117 = [2]SalmonProps!$F$2:$F$10001) *($AR117 = [2]SalmonProps!$G$2:$G$10001),0), 17))</f>
        <v/>
      </c>
      <c r="G117" s="165" t="str" cm="1">
        <f t="array" ref="G117">IF(ISBLANK($AQ117), "", INDEX([2]SalmonProps!$A$2:$AA$10001,MATCH(1,($A117=[2]SalmonProps!$A$2:$A$10001)*(1=[2]SalmonProps!$C$2:$C$10001)*(1=[2]SalmonProps!$D$2:$D$10001)*("A2" = [2]SalmonProps!$B$2:$B$10001)*($AP117 = [2]SalmonProps!$F$2:$F$10001) *($AR117 = [2]SalmonProps!$G$2:$G$10001),0), 17))</f>
        <v/>
      </c>
      <c r="H117" s="166" t="str" cm="1">
        <f t="array" ref="H117">IF(ISBLANK($AQ117), "", INDEX([2]SalmonProps!$A$2:$AA$10001,MATCH(1,($A117=[2]SalmonProps!$A$2:$A$10001)*(2=[2]SalmonProps!$C$2:$C$10001)*(1=[2]SalmonProps!$D$2:$D$10001)*("A2" = [2]SalmonProps!$B$2:$B$10001)*($AP117 = [2]SalmonProps!$F$2:$F$10001) *($AR117 = [2]SalmonProps!$G$2:$G$10001),0), 17))</f>
        <v/>
      </c>
      <c r="I117" s="167" t="str" cm="1">
        <f t="array" ref="I117">IF(ISBLANK($AQ117), "", INDEX([2]SalmonProps!$A$2:$AA$10001,MATCH(1,($A117=[2]SalmonProps!$A$2:$A$10001)*(3=[2]SalmonProps!$C$2:$C$10001)*(1=[2]SalmonProps!$D$2:$D$10001)*("A2" = [2]SalmonProps!$B$2:$B$10001)*($AP117 = [2]SalmonProps!$F$2:$F$10001) *($AR117 = [2]SalmonProps!$G$2:$G$10001),0), 17))</f>
        <v/>
      </c>
      <c r="J117" s="164" t="str" cm="1">
        <f t="array" ref="J117">IF(ISBLANK($AQ117), "", INDEX([2]SalmonProps!$A$2:$AA$10001,MATCH(1,($A117=[2]SalmonProps!$A$2:$A$10001)*(1=[2]SalmonProps!$C$2:$C$10001)*(1=[2]SalmonProps!$D$2:$D$10001)*("A1" = [2]SalmonProps!$B$2:$B$10001)*($AP117 = [2]SalmonProps!$F$2:$F$10001) *($AR117 = [2]SalmonProps!$G$2:$G$10001),0), 19))</f>
        <v/>
      </c>
      <c r="K117" s="165" t="str" cm="1">
        <f t="array" ref="K117">IF(ISBLANK($AQ117), "", INDEX([2]SalmonProps!$A$2:$AA$10001,MATCH(1,($A117=[2]SalmonProps!$A$2:$A$10001)*(1=[2]SalmonProps!$C$2:$C$10001)*(2=[2]SalmonProps!$D$2:$D$10001)*("A1" = [2]SalmonProps!$B$2:$B$10001)*($AP117 = [2]SalmonProps!$F$2:$F$10001) *($AR117 = [2]SalmonProps!$G$2:$G$10001),0), 19))</f>
        <v/>
      </c>
      <c r="L117" s="165" t="str" cm="1">
        <f t="array" ref="L117">IF(ISBLANK($AQ117), "", INDEX([2]SalmonProps!$A$2:$AA$10001,MATCH(1,($A117=[2]SalmonProps!$A$2:$A$10001)*(1=[2]SalmonProps!$C$2:$C$10001)*("1&amp;2"=[2]SalmonProps!$D$2:$D$10001)*("A1" = [2]SalmonProps!$B$2:$B$10001)*($AP117 = [2]SalmonProps!$F$2:$F$10001) *($AR117 = [2]SalmonProps!$G$2:$G$10001),0), 19))</f>
        <v/>
      </c>
      <c r="M117" s="165" t="str" cm="1">
        <f t="array" ref="M117">IF(ISBLANK($AQ117), "", INDEX([2]SalmonProps!$A$2:$AA$10001,MATCH(1,($A117=[2]SalmonProps!$A$2:$A$10001)*(2=[2]SalmonProps!$C$2:$C$10001)*(3=[2]SalmonProps!$D$2:$D$10001)*("A1" = [2]SalmonProps!$B$2:$B$10001)*($AP117 = [2]SalmonProps!$F$2:$F$10001) *($AR117 = [2]SalmonProps!$G$2:$G$10001),0), 19))</f>
        <v/>
      </c>
      <c r="N117" s="181" t="str" cm="1">
        <f t="array" ref="N117">IF(ISBLANK($AQ117), "", INDEX([2]SalmonProps!$A$2:$AA$10001,MATCH(1,($A117=[2]SalmonProps!$A$2:$A$10001)*(3=[2]SalmonProps!$C$2:$C$10001)*(3=[2]SalmonProps!$D$2:$D$10001)*("A1" = [2]SalmonProps!$B$2:$B$10001)*($AP117 = [2]SalmonProps!$F$2:$F$10001) *($AR117 = [2]SalmonProps!$G$2:$G$10001),0), 19))</f>
        <v/>
      </c>
      <c r="O117" s="165" t="str" cm="1">
        <f t="array" ref="O117">IF(ISBLANK($AQ117), "", INDEX([2]SalmonProps!$A$2:$AA$10001,MATCH(1,($A117=[2]SalmonProps!$A$2:$A$10001)*(1=[2]SalmonProps!$C$2:$C$10001)*(1=[2]SalmonProps!$D$2:$D$10001)*("A2" = [2]SalmonProps!$B$2:$B$10001)*($AP117 = [2]SalmonProps!$F$2:$F$10001) *($AR117 = [2]SalmonProps!$G$2:$G$10001),0), 19))</f>
        <v/>
      </c>
      <c r="P117" s="165" t="str" cm="1">
        <f t="array" ref="P117">IF(ISBLANK($AQ117), "", INDEX([2]SalmonProps!$A$2:$AA$10001,MATCH(1,($A117=[2]SalmonProps!$A$2:$A$10001)*(2=[2]SalmonProps!$C$2:$C$10001)*(1=[2]SalmonProps!$D$2:$D$10001)*("A2" = [2]SalmonProps!$B$2:$B$10001)*($AP117 = [2]SalmonProps!$F$2:$F$10001) *($AR117 = [2]SalmonProps!$G$2:$G$10001),0), 19))</f>
        <v/>
      </c>
      <c r="Q117" s="168" t="str" cm="1">
        <f t="array" ref="Q117">IF(ISBLANK($AQ117), "", INDEX([2]SalmonProps!$A$2:$AA$10001,MATCH(1,($A117=[2]SalmonProps!$A$2:$A$10001)*(3=[2]SalmonProps!$C$2:$C$10001)*(1=[2]SalmonProps!$D$2:$D$10001)*("A2" = [2]SalmonProps!$B$2:$B$10001)*($AP117 = [2]SalmonProps!$F$2:$F$10001) *($AR117 = [2]SalmonProps!$G$2:$G$10001),0), 19))</f>
        <v/>
      </c>
      <c r="R117" s="164" t="str" cm="1">
        <f t="array" ref="R117">IF(ISBLANK($AQ117), "", INDEX([2]SalmonProps!$A$2:$AA$10001,MATCH(1,($A117=[2]SalmonProps!$A$2:$A$10001)*(1=[2]SalmonProps!$C$2:$C$10001)*(1=[2]SalmonProps!$D$2:$D$10001)*("A1" = [2]SalmonProps!$B$2:$B$10001)*($AP117 = [2]SalmonProps!$F$2:$F$10001) *($AR117 = [2]SalmonProps!$G$2:$G$10001),0), 18))</f>
        <v/>
      </c>
      <c r="S117" s="165" t="str" cm="1">
        <f t="array" ref="S117">IF(ISBLANK($AQ117), "", INDEX([2]SalmonProps!$A$2:$AA$10001,MATCH(1,($A117=[2]SalmonProps!$A$2:$A$10001)*(1=[2]SalmonProps!$C$2:$C$10001)*(2=[2]SalmonProps!$D$2:$D$10001)*("A1" = [2]SalmonProps!$B$2:$B$10001)*($AP117 = [2]SalmonProps!$F$2:$F$10001) *($AR117 = [2]SalmonProps!$G$2:$G$10001),0), 18))</f>
        <v/>
      </c>
      <c r="T117" s="165" t="str" cm="1">
        <f t="array" ref="T117">IF(ISBLANK($AQ117), "", INDEX([2]SalmonProps!$A$2:$AA$10001,MATCH(1,($A117=[2]SalmonProps!$A$2:$A$10001)*(1=[2]SalmonProps!$C$2:$C$10001)*("1&amp;2"=[2]SalmonProps!$D$2:$D$10001)*("A1" = [2]SalmonProps!$B$2:$B$10001)*($AP117 = [2]SalmonProps!$F$2:$F$10001) *($AR117 = [2]SalmonProps!$G$2:$G$10001),0), 18))</f>
        <v/>
      </c>
      <c r="U117" s="165" t="str" cm="1">
        <f t="array" ref="U117">IF(ISBLANK($AQ117), "", INDEX([2]SalmonProps!$A$2:$AA$10001,MATCH(1,($A117=[2]SalmonProps!$A$2:$A$10001)*(2=[2]SalmonProps!$C$2:$C$10001)*(3=[2]SalmonProps!$D$2:$D$10001)*("A1" = [2]SalmonProps!$B$2:$B$10001)*($AP117 = [2]SalmonProps!$F$2:$F$10001) *($AR117 = [2]SalmonProps!$G$2:$G$10001),0), 18))</f>
        <v/>
      </c>
      <c r="V117" s="181" t="str" cm="1">
        <f t="array" ref="V117">IF(ISBLANK($AQ117), "", INDEX([2]SalmonProps!$A$2:$AA$10001,MATCH(1,($A117=[2]SalmonProps!$A$2:$A$10001)*(3=[2]SalmonProps!$C$2:$C$10001)*(3=[2]SalmonProps!$D$2:$D$10001)*("A1" = [2]SalmonProps!$B$2:$B$10001)*($AP117 = [2]SalmonProps!$F$2:$F$10001) *($AR117 = [2]SalmonProps!$G$2:$G$10001),0), 18))</f>
        <v/>
      </c>
      <c r="W117" s="180" t="str" cm="1">
        <f t="array" ref="W117">IF(ISBLANK($AQ117), "", INDEX([2]SalmonProps!$A$2:$AA$10001,MATCH(1,($A117=[2]SalmonProps!$A$2:$A$10001)*(1=[2]SalmonProps!$C$2:$C$10001)*(1=[2]SalmonProps!$D$2:$D$10001)*("A2" = [2]SalmonProps!$B$2:$B$10001)*($AP117 = [2]SalmonProps!$F$2:$F$10001) *($AR117 = [2]SalmonProps!$G$2:$G$10001),0), 18))</f>
        <v/>
      </c>
      <c r="X117" s="165" t="str" cm="1">
        <f t="array" ref="X117">IF(ISBLANK($AQ117), "", INDEX([2]SalmonProps!$A$2:$AA$10001,MATCH(1,($A117=[2]SalmonProps!$A$2:$A$10001)*(2=[2]SalmonProps!$C$2:$C$10001)*(1=[2]SalmonProps!$D$2:$D$10001)*("A2" = [2]SalmonProps!$B$2:$B$10001)*($AP117 = [2]SalmonProps!$F$2:$F$10001) *($AR117 = [2]SalmonProps!$G$2:$G$10001),0), 18))</f>
        <v/>
      </c>
      <c r="Y117" s="168" t="str" cm="1">
        <f t="array" ref="Y117">IF(ISBLANK($AQ117), "", INDEX([2]SalmonProps!$A$2:$AA$10001,MATCH(1,($A117=[2]SalmonProps!$A$2:$A$10001)*(3=[2]SalmonProps!$C$2:$C$10001)*(1=[2]SalmonProps!$D$2:$D$10001)*("A2" = [2]SalmonProps!$B$2:$B$10001)*($AP117 = [2]SalmonProps!$F$2:$F$10001) *($AR117 = [2]SalmonProps!$G$2:$G$10001),0), 18))</f>
        <v/>
      </c>
      <c r="Z117" s="164" t="str" cm="1">
        <f t="array" ref="Z117">IF(ISBLANK($AQ117), "", INDEX([2]SalmonProps!$A$2:$AA$10001,MATCH(1,($A117=[2]SalmonProps!$A$2:$A$10001)*(1=[2]SalmonProps!$C$2:$C$10001)*(1=[2]SalmonProps!$D$2:$D$10001)*("A1" = [2]SalmonProps!$B$2:$B$10001)*($AP117 = [2]SalmonProps!$F$2:$F$10001) *($AR117 = [2]SalmonProps!$G$2:$G$10001),0), 15))</f>
        <v/>
      </c>
      <c r="AA117" s="165" t="str" cm="1">
        <f t="array" ref="AA117">IF(ISBLANK($AQ117), "", INDEX([2]SalmonProps!$A$2:$AA$10001,MATCH(1,($A117=[2]SalmonProps!$A$2:$A$10001)*(1=[2]SalmonProps!$C$2:$C$10001)*(2=[2]SalmonProps!$D$2:$D$10001)*("A1" = [2]SalmonProps!$B$2:$B$10001)*($AP117 = [2]SalmonProps!$F$2:$F$10001) *($AR117 = [2]SalmonProps!$G$2:$G$10001),0), 15))</f>
        <v/>
      </c>
      <c r="AB117" s="165" t="str" cm="1">
        <f t="array" ref="AB117">IF(ISBLANK($AQ117), "", INDEX([2]SalmonProps!$A$2:$AA$10001,MATCH(1,($A117=[2]SalmonProps!$A$2:$A$10001)*(1=[2]SalmonProps!$C$2:$C$10001)*("1&amp;2"=[2]SalmonProps!$D$2:$D$10001)*("A1" = [2]SalmonProps!$B$2:$B$10001)*($AP117 = [2]SalmonProps!$F$2:$F$10001) *($AR117 = [2]SalmonProps!$G$2:$G$10001),0), 15))</f>
        <v/>
      </c>
      <c r="AC117" s="165" t="str" cm="1">
        <f t="array" ref="AC117">IF(ISBLANK($AQ117), "", INDEX([2]SalmonProps!$A$2:$AA$10001,MATCH(1,($A117=[2]SalmonProps!$A$2:$A$10001)*(2=[2]SalmonProps!$C$2:$C$10001)*(3=[2]SalmonProps!$D$2:$D$10001)*("A1" = [2]SalmonProps!$B$2:$B$10001)*($AP117 = [2]SalmonProps!$F$2:$F$10001) *($AR117 = [2]SalmonProps!$G$2:$G$10001),0), 15))</f>
        <v/>
      </c>
      <c r="AD117" s="181" t="str" cm="1">
        <f t="array" ref="AD117">IF(ISBLANK($AQ117), "", INDEX([2]SalmonProps!$A$2:$AA$10001,MATCH(1,($A117=[2]SalmonProps!$A$2:$A$10001)*(3=[2]SalmonProps!$C$2:$C$10001)*(3=[2]SalmonProps!$D$2:$D$10001)*("A1" = [2]SalmonProps!$B$2:$B$10001)*($AP117 = [2]SalmonProps!$F$2:$F$10001) *($AR117 = [2]SalmonProps!$G$2:$G$10001),0), 15))</f>
        <v/>
      </c>
      <c r="AE117" s="166" t="str" cm="1">
        <f t="array" ref="AE117">IF(ISBLANK($AQ117), "", INDEX([2]SalmonProps!$A$2:$AA$10001,MATCH(1,($A117=[2]SalmonProps!$A$2:$A$10001)*(1=[2]SalmonProps!$C$2:$C$10001)*(1=[2]SalmonProps!$D$2:$D$10001)*("A2" = [2]SalmonProps!$B$2:$B$10001)*($AP117 = [2]SalmonProps!$F$2:$F$10001) *($AR117 = [2]SalmonProps!$G$2:$G$10001),0), 15))</f>
        <v/>
      </c>
      <c r="AF117" s="166" t="str" cm="1">
        <f t="array" ref="AF117">IF(ISBLANK($AQ117), "", INDEX([2]SalmonProps!$A$2:$AA$10001,MATCH(1,($A117=[2]SalmonProps!$A$2:$A$10001)*(2=[2]SalmonProps!$C$2:$C$10001)*(1=[2]SalmonProps!$D$2:$D$10001)*("A2" = [2]SalmonProps!$B$2:$B$10001)*($AP117 = [2]SalmonProps!$F$2:$F$10001) *($AR117 = [2]SalmonProps!$G$2:$G$10001),0), 15))</f>
        <v/>
      </c>
      <c r="AG117" s="167" t="str" cm="1">
        <f t="array" ref="AG117">IF(ISBLANK($AQ117), "", INDEX([2]SalmonProps!$A$2:$AA$10001,MATCH(1,($A117=[2]SalmonProps!$A$2:$A$10001)*(3=[2]SalmonProps!$C$2:$C$10001)*(1=[2]SalmonProps!$D$2:$D$10001)*("A2" = [2]SalmonProps!$B$2:$B$10001)*($AP117 = [2]SalmonProps!$F$2:$F$10001) *($AR117 = [2]SalmonProps!$G$2:$G$10001),0), 15))</f>
        <v/>
      </c>
      <c r="AH117" s="173" t="str" cm="1">
        <f t="array" ref="AH117">IF(ISBLANK($AQ117), "", INDEX([2]SalmonProps!$A$2:$AA$10001,MATCH(1,($A117=[2]SalmonProps!$A$2:$A$10001)*($AP117 = [2]SalmonProps!$F$2:$F$10001) *($AR117 = [2]SalmonProps!$G$2:$G$10001),0), 24))</f>
        <v/>
      </c>
      <c r="AI117" s="183" t="str" cm="1">
        <f t="array" ref="AI117">IF(ISBLANK($AQ117), "", INDEX([2]SalmonProps!$A$2:$AA$10001,MATCH(1,($A117=[2]SalmonProps!$A$2:$A$10001)*($AP117 = [2]SalmonProps!$F$2:$F$10001) *($AR117 = [2]SalmonProps!$G$2:$G$10001),0), 25))</f>
        <v/>
      </c>
      <c r="AJ117" s="174" t="str" cm="1">
        <f t="array" ref="AJ117">IF(ISBLANK($AQ117), "", INDEX([2]SalmonProps!$A$2:$AA$10001,MATCH(1,($A117=[2]SalmonProps!$A$2:$A$10001)*($AP117 = [2]SalmonProps!$F$2:$F$10001) *($AR117 = [2]SalmonProps!$G$2:$G$10001),0), 20))</f>
        <v/>
      </c>
      <c r="AK117" s="183" t="str" cm="1">
        <f t="array" ref="AK117">IF(ISBLANK($AQ117), "", INDEX([2]SalmonProps!$A$2:$AA$10001,MATCH(1,($A117=[2]SalmonProps!$A$2:$A$10001)*($AP117 = [2]SalmonProps!$F$2:$F$10001) *($AR117 = [2]SalmonProps!$G$2:$G$10001),0), 21))</f>
        <v/>
      </c>
      <c r="AL117" s="174" t="str" cm="1">
        <f t="array" ref="AL117">IF(ISBLANK($AQ117), "", INDEX([2]SalmonProps!$A$2:$AA$10001,MATCH(1,($A117=[2]SalmonProps!$A$2:$A$10001)*($AP117 = [2]SalmonProps!$F$2:$F$10001) *($AR117 = [2]SalmonProps!$G$2:$G$10001),0), 22))</f>
        <v/>
      </c>
      <c r="AM117" s="183" t="str" cm="1">
        <f t="array" ref="AM117">IF(ISBLANK($AQ117), "", INDEX([2]SalmonProps!$A$2:$AA$10001,MATCH(1,($A117=[2]SalmonProps!$A$2:$A$10001)*($AP117 = [2]SalmonProps!$F$2:$F$10001) *($AR117 = [2]SalmonProps!$G$2:$G$10001),0), 23))</f>
        <v/>
      </c>
      <c r="AN117" s="174" t="str" cm="1">
        <f t="array" ref="AN117">IF(ISBLANK($AQ117), "", INDEX([2]SalmonProps!$A$2:$AA$10001,MATCH(1,($A117=[2]SalmonProps!$A$2:$A$10001)*($AP117 = [2]SalmonProps!$F$2:$F$10001) *($AR117 = [2]SalmonProps!$G$2:$G$10001),0), 26))</f>
        <v/>
      </c>
      <c r="AO117" s="175" t="str" cm="1">
        <f t="array" ref="AO117">IF(ISBLANK($AQ117), "", INDEX([2]SalmonProps!$A$2:$AA$10001,MATCH(1,($A117=[2]SalmonProps!$A$2:$A$10001)*($AP117 = [2]SalmonProps!$F$2:$F$10001) *($AR117 = [2]SalmonProps!$G$2:$G$10001),0), 27))</f>
        <v/>
      </c>
      <c r="AP117" s="112"/>
      <c r="AQ117" s="112"/>
      <c r="AR117" s="112" t="e">
        <f t="shared" si="2"/>
        <v>#N/A</v>
      </c>
    </row>
    <row r="118" spans="1:44" x14ac:dyDescent="0.3">
      <c r="A118" s="20">
        <f>'[1]Passage Estimates'!$A118</f>
        <v>45220</v>
      </c>
      <c r="B118" s="164" t="str" cm="1">
        <f t="array" ref="B118">IF(ISBLANK($AQ118), "", INDEX([2]SalmonProps!$A$2:$AA$10001,MATCH(1,($A118=[2]SalmonProps!$A$2:$A$10001)*(1=[2]SalmonProps!$C$2:$C$10001)*(1=[2]SalmonProps!$D$2:$D$10001)*("A1" = [2]SalmonProps!$B$2:$B$10001)*($AP118 = [2]SalmonProps!$F$2:$F$10001) *($AR118 = [2]SalmonProps!$G$2:$G$10001),0), 17))</f>
        <v/>
      </c>
      <c r="C118" s="165" t="str" cm="1">
        <f t="array" ref="C118">IF(ISBLANK($AQ118), "", INDEX([2]SalmonProps!$A$2:$AA$10001,MATCH(1,($A118=[2]SalmonProps!$A$2:$A$10001)*(1=[2]SalmonProps!$C$2:$C$10001)*(2=[2]SalmonProps!$D$2:$D$10001)*("A1" = [2]SalmonProps!$B$2:$B$10001)*($AP118 = [2]SalmonProps!$F$2:$F$10001) *($AR118 = [2]SalmonProps!$G$2:$G$10001),0), 17))</f>
        <v/>
      </c>
      <c r="D118" s="165" t="str" cm="1">
        <f t="array" ref="D118">IF(ISBLANK($AQ118), "", INDEX([2]SalmonProps!$A$2:$AA$10001,MATCH(1,($A118=[2]SalmonProps!$A$2:$A$10001)*(1=[2]SalmonProps!$C$2:$C$10001)*("1&amp;2"=[2]SalmonProps!$D$2:$D$10001)*("A1" = [2]SalmonProps!$B$2:$B$10001)*($AP118 = [2]SalmonProps!$F$2:$F$10001) *($AR118 = [2]SalmonProps!$G$2:$G$10001),0), 17))</f>
        <v/>
      </c>
      <c r="E118" s="181" t="str" cm="1">
        <f t="array" ref="E118">IF(ISBLANK($AQ118), "", INDEX([2]SalmonProps!$A$2:$AA$10001,MATCH(1,($A118=[2]SalmonProps!$A$2:$A$10001)*(2=[2]SalmonProps!$C$2:$C$10001)*(3=[2]SalmonProps!$D$2:$D$10001)*("A1" = [2]SalmonProps!$B$2:$B$10001)*($AP118 = [2]SalmonProps!$F$2:$F$10001) *($AR118 = [2]SalmonProps!$G$2:$G$10001),0), 17))</f>
        <v/>
      </c>
      <c r="F118" s="165" t="str" cm="1">
        <f t="array" ref="F118">IF(ISBLANK($AQ118), "", INDEX([2]SalmonProps!$A$2:$AA$10001,MATCH(1,($A118=[2]SalmonProps!$A$2:$A$10001)*(3=[2]SalmonProps!$C$2:$C$10001)*(3=[2]SalmonProps!$D$2:$D$10001)*("A1" = [2]SalmonProps!$B$2:$B$10001)*($AP118 = [2]SalmonProps!$F$2:$F$10001) *($AR118 = [2]SalmonProps!$G$2:$G$10001),0), 17))</f>
        <v/>
      </c>
      <c r="G118" s="165" t="str" cm="1">
        <f t="array" ref="G118">IF(ISBLANK($AQ118), "", INDEX([2]SalmonProps!$A$2:$AA$10001,MATCH(1,($A118=[2]SalmonProps!$A$2:$A$10001)*(1=[2]SalmonProps!$C$2:$C$10001)*(1=[2]SalmonProps!$D$2:$D$10001)*("A2" = [2]SalmonProps!$B$2:$B$10001)*($AP118 = [2]SalmonProps!$F$2:$F$10001) *($AR118 = [2]SalmonProps!$G$2:$G$10001),0), 17))</f>
        <v/>
      </c>
      <c r="H118" s="166" t="str" cm="1">
        <f t="array" ref="H118">IF(ISBLANK($AQ118), "", INDEX([2]SalmonProps!$A$2:$AA$10001,MATCH(1,($A118=[2]SalmonProps!$A$2:$A$10001)*(2=[2]SalmonProps!$C$2:$C$10001)*(1=[2]SalmonProps!$D$2:$D$10001)*("A2" = [2]SalmonProps!$B$2:$B$10001)*($AP118 = [2]SalmonProps!$F$2:$F$10001) *($AR118 = [2]SalmonProps!$G$2:$G$10001),0), 17))</f>
        <v/>
      </c>
      <c r="I118" s="167" t="str" cm="1">
        <f t="array" ref="I118">IF(ISBLANK($AQ118), "", INDEX([2]SalmonProps!$A$2:$AA$10001,MATCH(1,($A118=[2]SalmonProps!$A$2:$A$10001)*(3=[2]SalmonProps!$C$2:$C$10001)*(1=[2]SalmonProps!$D$2:$D$10001)*("A2" = [2]SalmonProps!$B$2:$B$10001)*($AP118 = [2]SalmonProps!$F$2:$F$10001) *($AR118 = [2]SalmonProps!$G$2:$G$10001),0), 17))</f>
        <v/>
      </c>
      <c r="J118" s="164" t="str" cm="1">
        <f t="array" ref="J118">IF(ISBLANK($AQ118), "", INDEX([2]SalmonProps!$A$2:$AA$10001,MATCH(1,($A118=[2]SalmonProps!$A$2:$A$10001)*(1=[2]SalmonProps!$C$2:$C$10001)*(1=[2]SalmonProps!$D$2:$D$10001)*("A1" = [2]SalmonProps!$B$2:$B$10001)*($AP118 = [2]SalmonProps!$F$2:$F$10001) *($AR118 = [2]SalmonProps!$G$2:$G$10001),0), 19))</f>
        <v/>
      </c>
      <c r="K118" s="165" t="str" cm="1">
        <f t="array" ref="K118">IF(ISBLANK($AQ118), "", INDEX([2]SalmonProps!$A$2:$AA$10001,MATCH(1,($A118=[2]SalmonProps!$A$2:$A$10001)*(1=[2]SalmonProps!$C$2:$C$10001)*(2=[2]SalmonProps!$D$2:$D$10001)*("A1" = [2]SalmonProps!$B$2:$B$10001)*($AP118 = [2]SalmonProps!$F$2:$F$10001) *($AR118 = [2]SalmonProps!$G$2:$G$10001),0), 19))</f>
        <v/>
      </c>
      <c r="L118" s="165" t="str" cm="1">
        <f t="array" ref="L118">IF(ISBLANK($AQ118), "", INDEX([2]SalmonProps!$A$2:$AA$10001,MATCH(1,($A118=[2]SalmonProps!$A$2:$A$10001)*(1=[2]SalmonProps!$C$2:$C$10001)*("1&amp;2"=[2]SalmonProps!$D$2:$D$10001)*("A1" = [2]SalmonProps!$B$2:$B$10001)*($AP118 = [2]SalmonProps!$F$2:$F$10001) *($AR118 = [2]SalmonProps!$G$2:$G$10001),0), 19))</f>
        <v/>
      </c>
      <c r="M118" s="165" t="str" cm="1">
        <f t="array" ref="M118">IF(ISBLANK($AQ118), "", INDEX([2]SalmonProps!$A$2:$AA$10001,MATCH(1,($A118=[2]SalmonProps!$A$2:$A$10001)*(2=[2]SalmonProps!$C$2:$C$10001)*(3=[2]SalmonProps!$D$2:$D$10001)*("A1" = [2]SalmonProps!$B$2:$B$10001)*($AP118 = [2]SalmonProps!$F$2:$F$10001) *($AR118 = [2]SalmonProps!$G$2:$G$10001),0), 19))</f>
        <v/>
      </c>
      <c r="N118" s="181" t="str" cm="1">
        <f t="array" ref="N118">IF(ISBLANK($AQ118), "", INDEX([2]SalmonProps!$A$2:$AA$10001,MATCH(1,($A118=[2]SalmonProps!$A$2:$A$10001)*(3=[2]SalmonProps!$C$2:$C$10001)*(3=[2]SalmonProps!$D$2:$D$10001)*("A1" = [2]SalmonProps!$B$2:$B$10001)*($AP118 = [2]SalmonProps!$F$2:$F$10001) *($AR118 = [2]SalmonProps!$G$2:$G$10001),0), 19))</f>
        <v/>
      </c>
      <c r="O118" s="165" t="str" cm="1">
        <f t="array" ref="O118">IF(ISBLANK($AQ118), "", INDEX([2]SalmonProps!$A$2:$AA$10001,MATCH(1,($A118=[2]SalmonProps!$A$2:$A$10001)*(1=[2]SalmonProps!$C$2:$C$10001)*(1=[2]SalmonProps!$D$2:$D$10001)*("A2" = [2]SalmonProps!$B$2:$B$10001)*($AP118 = [2]SalmonProps!$F$2:$F$10001) *($AR118 = [2]SalmonProps!$G$2:$G$10001),0), 19))</f>
        <v/>
      </c>
      <c r="P118" s="165" t="str" cm="1">
        <f t="array" ref="P118">IF(ISBLANK($AQ118), "", INDEX([2]SalmonProps!$A$2:$AA$10001,MATCH(1,($A118=[2]SalmonProps!$A$2:$A$10001)*(2=[2]SalmonProps!$C$2:$C$10001)*(1=[2]SalmonProps!$D$2:$D$10001)*("A2" = [2]SalmonProps!$B$2:$B$10001)*($AP118 = [2]SalmonProps!$F$2:$F$10001) *($AR118 = [2]SalmonProps!$G$2:$G$10001),0), 19))</f>
        <v/>
      </c>
      <c r="Q118" s="168" t="str" cm="1">
        <f t="array" ref="Q118">IF(ISBLANK($AQ118), "", INDEX([2]SalmonProps!$A$2:$AA$10001,MATCH(1,($A118=[2]SalmonProps!$A$2:$A$10001)*(3=[2]SalmonProps!$C$2:$C$10001)*(1=[2]SalmonProps!$D$2:$D$10001)*("A2" = [2]SalmonProps!$B$2:$B$10001)*($AP118 = [2]SalmonProps!$F$2:$F$10001) *($AR118 = [2]SalmonProps!$G$2:$G$10001),0), 19))</f>
        <v/>
      </c>
      <c r="R118" s="164" t="str" cm="1">
        <f t="array" ref="R118">IF(ISBLANK($AQ118), "", INDEX([2]SalmonProps!$A$2:$AA$10001,MATCH(1,($A118=[2]SalmonProps!$A$2:$A$10001)*(1=[2]SalmonProps!$C$2:$C$10001)*(1=[2]SalmonProps!$D$2:$D$10001)*("A1" = [2]SalmonProps!$B$2:$B$10001)*($AP118 = [2]SalmonProps!$F$2:$F$10001) *($AR118 = [2]SalmonProps!$G$2:$G$10001),0), 18))</f>
        <v/>
      </c>
      <c r="S118" s="165" t="str" cm="1">
        <f t="array" ref="S118">IF(ISBLANK($AQ118), "", INDEX([2]SalmonProps!$A$2:$AA$10001,MATCH(1,($A118=[2]SalmonProps!$A$2:$A$10001)*(1=[2]SalmonProps!$C$2:$C$10001)*(2=[2]SalmonProps!$D$2:$D$10001)*("A1" = [2]SalmonProps!$B$2:$B$10001)*($AP118 = [2]SalmonProps!$F$2:$F$10001) *($AR118 = [2]SalmonProps!$G$2:$G$10001),0), 18))</f>
        <v/>
      </c>
      <c r="T118" s="165" t="str" cm="1">
        <f t="array" ref="T118">IF(ISBLANK($AQ118), "", INDEX([2]SalmonProps!$A$2:$AA$10001,MATCH(1,($A118=[2]SalmonProps!$A$2:$A$10001)*(1=[2]SalmonProps!$C$2:$C$10001)*("1&amp;2"=[2]SalmonProps!$D$2:$D$10001)*("A1" = [2]SalmonProps!$B$2:$B$10001)*($AP118 = [2]SalmonProps!$F$2:$F$10001) *($AR118 = [2]SalmonProps!$G$2:$G$10001),0), 18))</f>
        <v/>
      </c>
      <c r="U118" s="165" t="str" cm="1">
        <f t="array" ref="U118">IF(ISBLANK($AQ118), "", INDEX([2]SalmonProps!$A$2:$AA$10001,MATCH(1,($A118=[2]SalmonProps!$A$2:$A$10001)*(2=[2]SalmonProps!$C$2:$C$10001)*(3=[2]SalmonProps!$D$2:$D$10001)*("A1" = [2]SalmonProps!$B$2:$B$10001)*($AP118 = [2]SalmonProps!$F$2:$F$10001) *($AR118 = [2]SalmonProps!$G$2:$G$10001),0), 18))</f>
        <v/>
      </c>
      <c r="V118" s="181" t="str" cm="1">
        <f t="array" ref="V118">IF(ISBLANK($AQ118), "", INDEX([2]SalmonProps!$A$2:$AA$10001,MATCH(1,($A118=[2]SalmonProps!$A$2:$A$10001)*(3=[2]SalmonProps!$C$2:$C$10001)*(3=[2]SalmonProps!$D$2:$D$10001)*("A1" = [2]SalmonProps!$B$2:$B$10001)*($AP118 = [2]SalmonProps!$F$2:$F$10001) *($AR118 = [2]SalmonProps!$G$2:$G$10001),0), 18))</f>
        <v/>
      </c>
      <c r="W118" s="180" t="str" cm="1">
        <f t="array" ref="W118">IF(ISBLANK($AQ118), "", INDEX([2]SalmonProps!$A$2:$AA$10001,MATCH(1,($A118=[2]SalmonProps!$A$2:$A$10001)*(1=[2]SalmonProps!$C$2:$C$10001)*(1=[2]SalmonProps!$D$2:$D$10001)*("A2" = [2]SalmonProps!$B$2:$B$10001)*($AP118 = [2]SalmonProps!$F$2:$F$10001) *($AR118 = [2]SalmonProps!$G$2:$G$10001),0), 18))</f>
        <v/>
      </c>
      <c r="X118" s="165" t="str" cm="1">
        <f t="array" ref="X118">IF(ISBLANK($AQ118), "", INDEX([2]SalmonProps!$A$2:$AA$10001,MATCH(1,($A118=[2]SalmonProps!$A$2:$A$10001)*(2=[2]SalmonProps!$C$2:$C$10001)*(1=[2]SalmonProps!$D$2:$D$10001)*("A2" = [2]SalmonProps!$B$2:$B$10001)*($AP118 = [2]SalmonProps!$F$2:$F$10001) *($AR118 = [2]SalmonProps!$G$2:$G$10001),0), 18))</f>
        <v/>
      </c>
      <c r="Y118" s="168" t="str" cm="1">
        <f t="array" ref="Y118">IF(ISBLANK($AQ118), "", INDEX([2]SalmonProps!$A$2:$AA$10001,MATCH(1,($A118=[2]SalmonProps!$A$2:$A$10001)*(3=[2]SalmonProps!$C$2:$C$10001)*(1=[2]SalmonProps!$D$2:$D$10001)*("A2" = [2]SalmonProps!$B$2:$B$10001)*($AP118 = [2]SalmonProps!$F$2:$F$10001) *($AR118 = [2]SalmonProps!$G$2:$G$10001),0), 18))</f>
        <v/>
      </c>
      <c r="Z118" s="164" t="str" cm="1">
        <f t="array" ref="Z118">IF(ISBLANK($AQ118), "", INDEX([2]SalmonProps!$A$2:$AA$10001,MATCH(1,($A118=[2]SalmonProps!$A$2:$A$10001)*(1=[2]SalmonProps!$C$2:$C$10001)*(1=[2]SalmonProps!$D$2:$D$10001)*("A1" = [2]SalmonProps!$B$2:$B$10001)*($AP118 = [2]SalmonProps!$F$2:$F$10001) *($AR118 = [2]SalmonProps!$G$2:$G$10001),0), 15))</f>
        <v/>
      </c>
      <c r="AA118" s="165" t="str" cm="1">
        <f t="array" ref="AA118">IF(ISBLANK($AQ118), "", INDEX([2]SalmonProps!$A$2:$AA$10001,MATCH(1,($A118=[2]SalmonProps!$A$2:$A$10001)*(1=[2]SalmonProps!$C$2:$C$10001)*(2=[2]SalmonProps!$D$2:$D$10001)*("A1" = [2]SalmonProps!$B$2:$B$10001)*($AP118 = [2]SalmonProps!$F$2:$F$10001) *($AR118 = [2]SalmonProps!$G$2:$G$10001),0), 15))</f>
        <v/>
      </c>
      <c r="AB118" s="165" t="str" cm="1">
        <f t="array" ref="AB118">IF(ISBLANK($AQ118), "", INDEX([2]SalmonProps!$A$2:$AA$10001,MATCH(1,($A118=[2]SalmonProps!$A$2:$A$10001)*(1=[2]SalmonProps!$C$2:$C$10001)*("1&amp;2"=[2]SalmonProps!$D$2:$D$10001)*("A1" = [2]SalmonProps!$B$2:$B$10001)*($AP118 = [2]SalmonProps!$F$2:$F$10001) *($AR118 = [2]SalmonProps!$G$2:$G$10001),0), 15))</f>
        <v/>
      </c>
      <c r="AC118" s="165" t="str" cm="1">
        <f t="array" ref="AC118">IF(ISBLANK($AQ118), "", INDEX([2]SalmonProps!$A$2:$AA$10001,MATCH(1,($A118=[2]SalmonProps!$A$2:$A$10001)*(2=[2]SalmonProps!$C$2:$C$10001)*(3=[2]SalmonProps!$D$2:$D$10001)*("A1" = [2]SalmonProps!$B$2:$B$10001)*($AP118 = [2]SalmonProps!$F$2:$F$10001) *($AR118 = [2]SalmonProps!$G$2:$G$10001),0), 15))</f>
        <v/>
      </c>
      <c r="AD118" s="181" t="str" cm="1">
        <f t="array" ref="AD118">IF(ISBLANK($AQ118), "", INDEX([2]SalmonProps!$A$2:$AA$10001,MATCH(1,($A118=[2]SalmonProps!$A$2:$A$10001)*(3=[2]SalmonProps!$C$2:$C$10001)*(3=[2]SalmonProps!$D$2:$D$10001)*("A1" = [2]SalmonProps!$B$2:$B$10001)*($AP118 = [2]SalmonProps!$F$2:$F$10001) *($AR118 = [2]SalmonProps!$G$2:$G$10001),0), 15))</f>
        <v/>
      </c>
      <c r="AE118" s="166" t="str" cm="1">
        <f t="array" ref="AE118">IF(ISBLANK($AQ118), "", INDEX([2]SalmonProps!$A$2:$AA$10001,MATCH(1,($A118=[2]SalmonProps!$A$2:$A$10001)*(1=[2]SalmonProps!$C$2:$C$10001)*(1=[2]SalmonProps!$D$2:$D$10001)*("A2" = [2]SalmonProps!$B$2:$B$10001)*($AP118 = [2]SalmonProps!$F$2:$F$10001) *($AR118 = [2]SalmonProps!$G$2:$G$10001),0), 15))</f>
        <v/>
      </c>
      <c r="AF118" s="166" t="str" cm="1">
        <f t="array" ref="AF118">IF(ISBLANK($AQ118), "", INDEX([2]SalmonProps!$A$2:$AA$10001,MATCH(1,($A118=[2]SalmonProps!$A$2:$A$10001)*(2=[2]SalmonProps!$C$2:$C$10001)*(1=[2]SalmonProps!$D$2:$D$10001)*("A2" = [2]SalmonProps!$B$2:$B$10001)*($AP118 = [2]SalmonProps!$F$2:$F$10001) *($AR118 = [2]SalmonProps!$G$2:$G$10001),0), 15))</f>
        <v/>
      </c>
      <c r="AG118" s="167" t="str" cm="1">
        <f t="array" ref="AG118">IF(ISBLANK($AQ118), "", INDEX([2]SalmonProps!$A$2:$AA$10001,MATCH(1,($A118=[2]SalmonProps!$A$2:$A$10001)*(3=[2]SalmonProps!$C$2:$C$10001)*(1=[2]SalmonProps!$D$2:$D$10001)*("A2" = [2]SalmonProps!$B$2:$B$10001)*($AP118 = [2]SalmonProps!$F$2:$F$10001) *($AR118 = [2]SalmonProps!$G$2:$G$10001),0), 15))</f>
        <v/>
      </c>
      <c r="AH118" s="173" t="str" cm="1">
        <f t="array" ref="AH118">IF(ISBLANK($AQ118), "", INDEX([2]SalmonProps!$A$2:$AA$10001,MATCH(1,($A118=[2]SalmonProps!$A$2:$A$10001)*($AP118 = [2]SalmonProps!$F$2:$F$10001) *($AR118 = [2]SalmonProps!$G$2:$G$10001),0), 24))</f>
        <v/>
      </c>
      <c r="AI118" s="183" t="str" cm="1">
        <f t="array" ref="AI118">IF(ISBLANK($AQ118), "", INDEX([2]SalmonProps!$A$2:$AA$10001,MATCH(1,($A118=[2]SalmonProps!$A$2:$A$10001)*($AP118 = [2]SalmonProps!$F$2:$F$10001) *($AR118 = [2]SalmonProps!$G$2:$G$10001),0), 25))</f>
        <v/>
      </c>
      <c r="AJ118" s="174" t="str" cm="1">
        <f t="array" ref="AJ118">IF(ISBLANK($AQ118), "", INDEX([2]SalmonProps!$A$2:$AA$10001,MATCH(1,($A118=[2]SalmonProps!$A$2:$A$10001)*($AP118 = [2]SalmonProps!$F$2:$F$10001) *($AR118 = [2]SalmonProps!$G$2:$G$10001),0), 20))</f>
        <v/>
      </c>
      <c r="AK118" s="183" t="str" cm="1">
        <f t="array" ref="AK118">IF(ISBLANK($AQ118), "", INDEX([2]SalmonProps!$A$2:$AA$10001,MATCH(1,($A118=[2]SalmonProps!$A$2:$A$10001)*($AP118 = [2]SalmonProps!$F$2:$F$10001) *($AR118 = [2]SalmonProps!$G$2:$G$10001),0), 21))</f>
        <v/>
      </c>
      <c r="AL118" s="174" t="str" cm="1">
        <f t="array" ref="AL118">IF(ISBLANK($AQ118), "", INDEX([2]SalmonProps!$A$2:$AA$10001,MATCH(1,($A118=[2]SalmonProps!$A$2:$A$10001)*($AP118 = [2]SalmonProps!$F$2:$F$10001) *($AR118 = [2]SalmonProps!$G$2:$G$10001),0), 22))</f>
        <v/>
      </c>
      <c r="AM118" s="183" t="str" cm="1">
        <f t="array" ref="AM118">IF(ISBLANK($AQ118), "", INDEX([2]SalmonProps!$A$2:$AA$10001,MATCH(1,($A118=[2]SalmonProps!$A$2:$A$10001)*($AP118 = [2]SalmonProps!$F$2:$F$10001) *($AR118 = [2]SalmonProps!$G$2:$G$10001),0), 23))</f>
        <v/>
      </c>
      <c r="AN118" s="174" t="str" cm="1">
        <f t="array" ref="AN118">IF(ISBLANK($AQ118), "", INDEX([2]SalmonProps!$A$2:$AA$10001,MATCH(1,($A118=[2]SalmonProps!$A$2:$A$10001)*($AP118 = [2]SalmonProps!$F$2:$F$10001) *($AR118 = [2]SalmonProps!$G$2:$G$10001),0), 26))</f>
        <v/>
      </c>
      <c r="AO118" s="175" t="str" cm="1">
        <f t="array" ref="AO118">IF(ISBLANK($AQ118), "", INDEX([2]SalmonProps!$A$2:$AA$10001,MATCH(1,($A118=[2]SalmonProps!$A$2:$A$10001)*($AP118 = [2]SalmonProps!$F$2:$F$10001) *($AR118 = [2]SalmonProps!$G$2:$G$10001),0), 27))</f>
        <v/>
      </c>
      <c r="AP118" s="112"/>
      <c r="AQ118" s="112"/>
      <c r="AR118" s="112" t="e">
        <f t="shared" si="2"/>
        <v>#N/A</v>
      </c>
    </row>
    <row r="119" spans="1:44" x14ac:dyDescent="0.3">
      <c r="A119" s="20">
        <f>'[1]Passage Estimates'!$A119</f>
        <v>45221</v>
      </c>
      <c r="B119" s="164" t="str" cm="1">
        <f t="array" ref="B119">IF(ISBLANK($AQ119), "", INDEX([2]SalmonProps!$A$2:$AA$10001,MATCH(1,($A119=[2]SalmonProps!$A$2:$A$10001)*(1=[2]SalmonProps!$C$2:$C$10001)*(1=[2]SalmonProps!$D$2:$D$10001)*("A1" = [2]SalmonProps!$B$2:$B$10001)*($AP119 = [2]SalmonProps!$F$2:$F$10001) *($AR119 = [2]SalmonProps!$G$2:$G$10001),0), 17))</f>
        <v/>
      </c>
      <c r="C119" s="165" t="str" cm="1">
        <f t="array" ref="C119">IF(ISBLANK($AQ119), "", INDEX([2]SalmonProps!$A$2:$AA$10001,MATCH(1,($A119=[2]SalmonProps!$A$2:$A$10001)*(1=[2]SalmonProps!$C$2:$C$10001)*(2=[2]SalmonProps!$D$2:$D$10001)*("A1" = [2]SalmonProps!$B$2:$B$10001)*($AP119 = [2]SalmonProps!$F$2:$F$10001) *($AR119 = [2]SalmonProps!$G$2:$G$10001),0), 17))</f>
        <v/>
      </c>
      <c r="D119" s="165" t="str" cm="1">
        <f t="array" ref="D119">IF(ISBLANK($AQ119), "", INDEX([2]SalmonProps!$A$2:$AA$10001,MATCH(1,($A119=[2]SalmonProps!$A$2:$A$10001)*(1=[2]SalmonProps!$C$2:$C$10001)*("1&amp;2"=[2]SalmonProps!$D$2:$D$10001)*("A1" = [2]SalmonProps!$B$2:$B$10001)*($AP119 = [2]SalmonProps!$F$2:$F$10001) *($AR119 = [2]SalmonProps!$G$2:$G$10001),0), 17))</f>
        <v/>
      </c>
      <c r="E119" s="181" t="str" cm="1">
        <f t="array" ref="E119">IF(ISBLANK($AQ119), "", INDEX([2]SalmonProps!$A$2:$AA$10001,MATCH(1,($A119=[2]SalmonProps!$A$2:$A$10001)*(2=[2]SalmonProps!$C$2:$C$10001)*(3=[2]SalmonProps!$D$2:$D$10001)*("A1" = [2]SalmonProps!$B$2:$B$10001)*($AP119 = [2]SalmonProps!$F$2:$F$10001) *($AR119 = [2]SalmonProps!$G$2:$G$10001),0), 17))</f>
        <v/>
      </c>
      <c r="F119" s="165" t="str" cm="1">
        <f t="array" ref="F119">IF(ISBLANK($AQ119), "", INDEX([2]SalmonProps!$A$2:$AA$10001,MATCH(1,($A119=[2]SalmonProps!$A$2:$A$10001)*(3=[2]SalmonProps!$C$2:$C$10001)*(3=[2]SalmonProps!$D$2:$D$10001)*("A1" = [2]SalmonProps!$B$2:$B$10001)*($AP119 = [2]SalmonProps!$F$2:$F$10001) *($AR119 = [2]SalmonProps!$G$2:$G$10001),0), 17))</f>
        <v/>
      </c>
      <c r="G119" s="165" t="str" cm="1">
        <f t="array" ref="G119">IF(ISBLANK($AQ119), "", INDEX([2]SalmonProps!$A$2:$AA$10001,MATCH(1,($A119=[2]SalmonProps!$A$2:$A$10001)*(1=[2]SalmonProps!$C$2:$C$10001)*(1=[2]SalmonProps!$D$2:$D$10001)*("A2" = [2]SalmonProps!$B$2:$B$10001)*($AP119 = [2]SalmonProps!$F$2:$F$10001) *($AR119 = [2]SalmonProps!$G$2:$G$10001),0), 17))</f>
        <v/>
      </c>
      <c r="H119" s="166" t="str" cm="1">
        <f t="array" ref="H119">IF(ISBLANK($AQ119), "", INDEX([2]SalmonProps!$A$2:$AA$10001,MATCH(1,($A119=[2]SalmonProps!$A$2:$A$10001)*(2=[2]SalmonProps!$C$2:$C$10001)*(1=[2]SalmonProps!$D$2:$D$10001)*("A2" = [2]SalmonProps!$B$2:$B$10001)*($AP119 = [2]SalmonProps!$F$2:$F$10001) *($AR119 = [2]SalmonProps!$G$2:$G$10001),0), 17))</f>
        <v/>
      </c>
      <c r="I119" s="167" t="str" cm="1">
        <f t="array" ref="I119">IF(ISBLANK($AQ119), "", INDEX([2]SalmonProps!$A$2:$AA$10001,MATCH(1,($A119=[2]SalmonProps!$A$2:$A$10001)*(3=[2]SalmonProps!$C$2:$C$10001)*(1=[2]SalmonProps!$D$2:$D$10001)*("A2" = [2]SalmonProps!$B$2:$B$10001)*($AP119 = [2]SalmonProps!$F$2:$F$10001) *($AR119 = [2]SalmonProps!$G$2:$G$10001),0), 17))</f>
        <v/>
      </c>
      <c r="J119" s="164" t="str" cm="1">
        <f t="array" ref="J119">IF(ISBLANK($AQ119), "", INDEX([2]SalmonProps!$A$2:$AA$10001,MATCH(1,($A119=[2]SalmonProps!$A$2:$A$10001)*(1=[2]SalmonProps!$C$2:$C$10001)*(1=[2]SalmonProps!$D$2:$D$10001)*("A1" = [2]SalmonProps!$B$2:$B$10001)*($AP119 = [2]SalmonProps!$F$2:$F$10001) *($AR119 = [2]SalmonProps!$G$2:$G$10001),0), 19))</f>
        <v/>
      </c>
      <c r="K119" s="165" t="str" cm="1">
        <f t="array" ref="K119">IF(ISBLANK($AQ119), "", INDEX([2]SalmonProps!$A$2:$AA$10001,MATCH(1,($A119=[2]SalmonProps!$A$2:$A$10001)*(1=[2]SalmonProps!$C$2:$C$10001)*(2=[2]SalmonProps!$D$2:$D$10001)*("A1" = [2]SalmonProps!$B$2:$B$10001)*($AP119 = [2]SalmonProps!$F$2:$F$10001) *($AR119 = [2]SalmonProps!$G$2:$G$10001),0), 19))</f>
        <v/>
      </c>
      <c r="L119" s="165" t="str" cm="1">
        <f t="array" ref="L119">IF(ISBLANK($AQ119), "", INDEX([2]SalmonProps!$A$2:$AA$10001,MATCH(1,($A119=[2]SalmonProps!$A$2:$A$10001)*(1=[2]SalmonProps!$C$2:$C$10001)*("1&amp;2"=[2]SalmonProps!$D$2:$D$10001)*("A1" = [2]SalmonProps!$B$2:$B$10001)*($AP119 = [2]SalmonProps!$F$2:$F$10001) *($AR119 = [2]SalmonProps!$G$2:$G$10001),0), 19))</f>
        <v/>
      </c>
      <c r="M119" s="165" t="str" cm="1">
        <f t="array" ref="M119">IF(ISBLANK($AQ119), "", INDEX([2]SalmonProps!$A$2:$AA$10001,MATCH(1,($A119=[2]SalmonProps!$A$2:$A$10001)*(2=[2]SalmonProps!$C$2:$C$10001)*(3=[2]SalmonProps!$D$2:$D$10001)*("A1" = [2]SalmonProps!$B$2:$B$10001)*($AP119 = [2]SalmonProps!$F$2:$F$10001) *($AR119 = [2]SalmonProps!$G$2:$G$10001),0), 19))</f>
        <v/>
      </c>
      <c r="N119" s="181" t="str" cm="1">
        <f t="array" ref="N119">IF(ISBLANK($AQ119), "", INDEX([2]SalmonProps!$A$2:$AA$10001,MATCH(1,($A119=[2]SalmonProps!$A$2:$A$10001)*(3=[2]SalmonProps!$C$2:$C$10001)*(3=[2]SalmonProps!$D$2:$D$10001)*("A1" = [2]SalmonProps!$B$2:$B$10001)*($AP119 = [2]SalmonProps!$F$2:$F$10001) *($AR119 = [2]SalmonProps!$G$2:$G$10001),0), 19))</f>
        <v/>
      </c>
      <c r="O119" s="165" t="str" cm="1">
        <f t="array" ref="O119">IF(ISBLANK($AQ119), "", INDEX([2]SalmonProps!$A$2:$AA$10001,MATCH(1,($A119=[2]SalmonProps!$A$2:$A$10001)*(1=[2]SalmonProps!$C$2:$C$10001)*(1=[2]SalmonProps!$D$2:$D$10001)*("A2" = [2]SalmonProps!$B$2:$B$10001)*($AP119 = [2]SalmonProps!$F$2:$F$10001) *($AR119 = [2]SalmonProps!$G$2:$G$10001),0), 19))</f>
        <v/>
      </c>
      <c r="P119" s="165" t="str" cm="1">
        <f t="array" ref="P119">IF(ISBLANK($AQ119), "", INDEX([2]SalmonProps!$A$2:$AA$10001,MATCH(1,($A119=[2]SalmonProps!$A$2:$A$10001)*(2=[2]SalmonProps!$C$2:$C$10001)*(1=[2]SalmonProps!$D$2:$D$10001)*("A2" = [2]SalmonProps!$B$2:$B$10001)*($AP119 = [2]SalmonProps!$F$2:$F$10001) *($AR119 = [2]SalmonProps!$G$2:$G$10001),0), 19))</f>
        <v/>
      </c>
      <c r="Q119" s="168" t="str" cm="1">
        <f t="array" ref="Q119">IF(ISBLANK($AQ119), "", INDEX([2]SalmonProps!$A$2:$AA$10001,MATCH(1,($A119=[2]SalmonProps!$A$2:$A$10001)*(3=[2]SalmonProps!$C$2:$C$10001)*(1=[2]SalmonProps!$D$2:$D$10001)*("A2" = [2]SalmonProps!$B$2:$B$10001)*($AP119 = [2]SalmonProps!$F$2:$F$10001) *($AR119 = [2]SalmonProps!$G$2:$G$10001),0), 19))</f>
        <v/>
      </c>
      <c r="R119" s="164" t="str" cm="1">
        <f t="array" ref="R119">IF(ISBLANK($AQ119), "", INDEX([2]SalmonProps!$A$2:$AA$10001,MATCH(1,($A119=[2]SalmonProps!$A$2:$A$10001)*(1=[2]SalmonProps!$C$2:$C$10001)*(1=[2]SalmonProps!$D$2:$D$10001)*("A1" = [2]SalmonProps!$B$2:$B$10001)*($AP119 = [2]SalmonProps!$F$2:$F$10001) *($AR119 = [2]SalmonProps!$G$2:$G$10001),0), 18))</f>
        <v/>
      </c>
      <c r="S119" s="165" t="str" cm="1">
        <f t="array" ref="S119">IF(ISBLANK($AQ119), "", INDEX([2]SalmonProps!$A$2:$AA$10001,MATCH(1,($A119=[2]SalmonProps!$A$2:$A$10001)*(1=[2]SalmonProps!$C$2:$C$10001)*(2=[2]SalmonProps!$D$2:$D$10001)*("A1" = [2]SalmonProps!$B$2:$B$10001)*($AP119 = [2]SalmonProps!$F$2:$F$10001) *($AR119 = [2]SalmonProps!$G$2:$G$10001),0), 18))</f>
        <v/>
      </c>
      <c r="T119" s="165" t="str" cm="1">
        <f t="array" ref="T119">IF(ISBLANK($AQ119), "", INDEX([2]SalmonProps!$A$2:$AA$10001,MATCH(1,($A119=[2]SalmonProps!$A$2:$A$10001)*(1=[2]SalmonProps!$C$2:$C$10001)*("1&amp;2"=[2]SalmonProps!$D$2:$D$10001)*("A1" = [2]SalmonProps!$B$2:$B$10001)*($AP119 = [2]SalmonProps!$F$2:$F$10001) *($AR119 = [2]SalmonProps!$G$2:$G$10001),0), 18))</f>
        <v/>
      </c>
      <c r="U119" s="165" t="str" cm="1">
        <f t="array" ref="U119">IF(ISBLANK($AQ119), "", INDEX([2]SalmonProps!$A$2:$AA$10001,MATCH(1,($A119=[2]SalmonProps!$A$2:$A$10001)*(2=[2]SalmonProps!$C$2:$C$10001)*(3=[2]SalmonProps!$D$2:$D$10001)*("A1" = [2]SalmonProps!$B$2:$B$10001)*($AP119 = [2]SalmonProps!$F$2:$F$10001) *($AR119 = [2]SalmonProps!$G$2:$G$10001),0), 18))</f>
        <v/>
      </c>
      <c r="V119" s="181" t="str" cm="1">
        <f t="array" ref="V119">IF(ISBLANK($AQ119), "", INDEX([2]SalmonProps!$A$2:$AA$10001,MATCH(1,($A119=[2]SalmonProps!$A$2:$A$10001)*(3=[2]SalmonProps!$C$2:$C$10001)*(3=[2]SalmonProps!$D$2:$D$10001)*("A1" = [2]SalmonProps!$B$2:$B$10001)*($AP119 = [2]SalmonProps!$F$2:$F$10001) *($AR119 = [2]SalmonProps!$G$2:$G$10001),0), 18))</f>
        <v/>
      </c>
      <c r="W119" s="180" t="str" cm="1">
        <f t="array" ref="W119">IF(ISBLANK($AQ119), "", INDEX([2]SalmonProps!$A$2:$AA$10001,MATCH(1,($A119=[2]SalmonProps!$A$2:$A$10001)*(1=[2]SalmonProps!$C$2:$C$10001)*(1=[2]SalmonProps!$D$2:$D$10001)*("A2" = [2]SalmonProps!$B$2:$B$10001)*($AP119 = [2]SalmonProps!$F$2:$F$10001) *($AR119 = [2]SalmonProps!$G$2:$G$10001),0), 18))</f>
        <v/>
      </c>
      <c r="X119" s="165" t="str" cm="1">
        <f t="array" ref="X119">IF(ISBLANK($AQ119), "", INDEX([2]SalmonProps!$A$2:$AA$10001,MATCH(1,($A119=[2]SalmonProps!$A$2:$A$10001)*(2=[2]SalmonProps!$C$2:$C$10001)*(1=[2]SalmonProps!$D$2:$D$10001)*("A2" = [2]SalmonProps!$B$2:$B$10001)*($AP119 = [2]SalmonProps!$F$2:$F$10001) *($AR119 = [2]SalmonProps!$G$2:$G$10001),0), 18))</f>
        <v/>
      </c>
      <c r="Y119" s="168" t="str" cm="1">
        <f t="array" ref="Y119">IF(ISBLANK($AQ119), "", INDEX([2]SalmonProps!$A$2:$AA$10001,MATCH(1,($A119=[2]SalmonProps!$A$2:$A$10001)*(3=[2]SalmonProps!$C$2:$C$10001)*(1=[2]SalmonProps!$D$2:$D$10001)*("A2" = [2]SalmonProps!$B$2:$B$10001)*($AP119 = [2]SalmonProps!$F$2:$F$10001) *($AR119 = [2]SalmonProps!$G$2:$G$10001),0), 18))</f>
        <v/>
      </c>
      <c r="Z119" s="164" t="str" cm="1">
        <f t="array" ref="Z119">IF(ISBLANK($AQ119), "", INDEX([2]SalmonProps!$A$2:$AA$10001,MATCH(1,($A119=[2]SalmonProps!$A$2:$A$10001)*(1=[2]SalmonProps!$C$2:$C$10001)*(1=[2]SalmonProps!$D$2:$D$10001)*("A1" = [2]SalmonProps!$B$2:$B$10001)*($AP119 = [2]SalmonProps!$F$2:$F$10001) *($AR119 = [2]SalmonProps!$G$2:$G$10001),0), 15))</f>
        <v/>
      </c>
      <c r="AA119" s="165" t="str" cm="1">
        <f t="array" ref="AA119">IF(ISBLANK($AQ119), "", INDEX([2]SalmonProps!$A$2:$AA$10001,MATCH(1,($A119=[2]SalmonProps!$A$2:$A$10001)*(1=[2]SalmonProps!$C$2:$C$10001)*(2=[2]SalmonProps!$D$2:$D$10001)*("A1" = [2]SalmonProps!$B$2:$B$10001)*($AP119 = [2]SalmonProps!$F$2:$F$10001) *($AR119 = [2]SalmonProps!$G$2:$G$10001),0), 15))</f>
        <v/>
      </c>
      <c r="AB119" s="165" t="str" cm="1">
        <f t="array" ref="AB119">IF(ISBLANK($AQ119), "", INDEX([2]SalmonProps!$A$2:$AA$10001,MATCH(1,($A119=[2]SalmonProps!$A$2:$A$10001)*(1=[2]SalmonProps!$C$2:$C$10001)*("1&amp;2"=[2]SalmonProps!$D$2:$D$10001)*("A1" = [2]SalmonProps!$B$2:$B$10001)*($AP119 = [2]SalmonProps!$F$2:$F$10001) *($AR119 = [2]SalmonProps!$G$2:$G$10001),0), 15))</f>
        <v/>
      </c>
      <c r="AC119" s="165" t="str" cm="1">
        <f t="array" ref="AC119">IF(ISBLANK($AQ119), "", INDEX([2]SalmonProps!$A$2:$AA$10001,MATCH(1,($A119=[2]SalmonProps!$A$2:$A$10001)*(2=[2]SalmonProps!$C$2:$C$10001)*(3=[2]SalmonProps!$D$2:$D$10001)*("A1" = [2]SalmonProps!$B$2:$B$10001)*($AP119 = [2]SalmonProps!$F$2:$F$10001) *($AR119 = [2]SalmonProps!$G$2:$G$10001),0), 15))</f>
        <v/>
      </c>
      <c r="AD119" s="181" t="str" cm="1">
        <f t="array" ref="AD119">IF(ISBLANK($AQ119), "", INDEX([2]SalmonProps!$A$2:$AA$10001,MATCH(1,($A119=[2]SalmonProps!$A$2:$A$10001)*(3=[2]SalmonProps!$C$2:$C$10001)*(3=[2]SalmonProps!$D$2:$D$10001)*("A1" = [2]SalmonProps!$B$2:$B$10001)*($AP119 = [2]SalmonProps!$F$2:$F$10001) *($AR119 = [2]SalmonProps!$G$2:$G$10001),0), 15))</f>
        <v/>
      </c>
      <c r="AE119" s="166" t="str" cm="1">
        <f t="array" ref="AE119">IF(ISBLANK($AQ119), "", INDEX([2]SalmonProps!$A$2:$AA$10001,MATCH(1,($A119=[2]SalmonProps!$A$2:$A$10001)*(1=[2]SalmonProps!$C$2:$C$10001)*(1=[2]SalmonProps!$D$2:$D$10001)*("A2" = [2]SalmonProps!$B$2:$B$10001)*($AP119 = [2]SalmonProps!$F$2:$F$10001) *($AR119 = [2]SalmonProps!$G$2:$G$10001),0), 15))</f>
        <v/>
      </c>
      <c r="AF119" s="166" t="str" cm="1">
        <f t="array" ref="AF119">IF(ISBLANK($AQ119), "", INDEX([2]SalmonProps!$A$2:$AA$10001,MATCH(1,($A119=[2]SalmonProps!$A$2:$A$10001)*(2=[2]SalmonProps!$C$2:$C$10001)*(1=[2]SalmonProps!$D$2:$D$10001)*("A2" = [2]SalmonProps!$B$2:$B$10001)*($AP119 = [2]SalmonProps!$F$2:$F$10001) *($AR119 = [2]SalmonProps!$G$2:$G$10001),0), 15))</f>
        <v/>
      </c>
      <c r="AG119" s="167" t="str" cm="1">
        <f t="array" ref="AG119">IF(ISBLANK($AQ119), "", INDEX([2]SalmonProps!$A$2:$AA$10001,MATCH(1,($A119=[2]SalmonProps!$A$2:$A$10001)*(3=[2]SalmonProps!$C$2:$C$10001)*(1=[2]SalmonProps!$D$2:$D$10001)*("A2" = [2]SalmonProps!$B$2:$B$10001)*($AP119 = [2]SalmonProps!$F$2:$F$10001) *($AR119 = [2]SalmonProps!$G$2:$G$10001),0), 15))</f>
        <v/>
      </c>
      <c r="AH119" s="173" t="str" cm="1">
        <f t="array" ref="AH119">IF(ISBLANK($AQ119), "", INDEX([2]SalmonProps!$A$2:$AA$10001,MATCH(1,($A119=[2]SalmonProps!$A$2:$A$10001)*($AP119 = [2]SalmonProps!$F$2:$F$10001) *($AR119 = [2]SalmonProps!$G$2:$G$10001),0), 24))</f>
        <v/>
      </c>
      <c r="AI119" s="183" t="str" cm="1">
        <f t="array" ref="AI119">IF(ISBLANK($AQ119), "", INDEX([2]SalmonProps!$A$2:$AA$10001,MATCH(1,($A119=[2]SalmonProps!$A$2:$A$10001)*($AP119 = [2]SalmonProps!$F$2:$F$10001) *($AR119 = [2]SalmonProps!$G$2:$G$10001),0), 25))</f>
        <v/>
      </c>
      <c r="AJ119" s="174" t="str" cm="1">
        <f t="array" ref="AJ119">IF(ISBLANK($AQ119), "", INDEX([2]SalmonProps!$A$2:$AA$10001,MATCH(1,($A119=[2]SalmonProps!$A$2:$A$10001)*($AP119 = [2]SalmonProps!$F$2:$F$10001) *($AR119 = [2]SalmonProps!$G$2:$G$10001),0), 20))</f>
        <v/>
      </c>
      <c r="AK119" s="183" t="str" cm="1">
        <f t="array" ref="AK119">IF(ISBLANK($AQ119), "", INDEX([2]SalmonProps!$A$2:$AA$10001,MATCH(1,($A119=[2]SalmonProps!$A$2:$A$10001)*($AP119 = [2]SalmonProps!$F$2:$F$10001) *($AR119 = [2]SalmonProps!$G$2:$G$10001),0), 21))</f>
        <v/>
      </c>
      <c r="AL119" s="174" t="str" cm="1">
        <f t="array" ref="AL119">IF(ISBLANK($AQ119), "", INDEX([2]SalmonProps!$A$2:$AA$10001,MATCH(1,($A119=[2]SalmonProps!$A$2:$A$10001)*($AP119 = [2]SalmonProps!$F$2:$F$10001) *($AR119 = [2]SalmonProps!$G$2:$G$10001),0), 22))</f>
        <v/>
      </c>
      <c r="AM119" s="183" t="str" cm="1">
        <f t="array" ref="AM119">IF(ISBLANK($AQ119), "", INDEX([2]SalmonProps!$A$2:$AA$10001,MATCH(1,($A119=[2]SalmonProps!$A$2:$A$10001)*($AP119 = [2]SalmonProps!$F$2:$F$10001) *($AR119 = [2]SalmonProps!$G$2:$G$10001),0), 23))</f>
        <v/>
      </c>
      <c r="AN119" s="174" t="str" cm="1">
        <f t="array" ref="AN119">IF(ISBLANK($AQ119), "", INDEX([2]SalmonProps!$A$2:$AA$10001,MATCH(1,($A119=[2]SalmonProps!$A$2:$A$10001)*($AP119 = [2]SalmonProps!$F$2:$F$10001) *($AR119 = [2]SalmonProps!$G$2:$G$10001),0), 26))</f>
        <v/>
      </c>
      <c r="AO119" s="175" t="str" cm="1">
        <f t="array" ref="AO119">IF(ISBLANK($AQ119), "", INDEX([2]SalmonProps!$A$2:$AA$10001,MATCH(1,($A119=[2]SalmonProps!$A$2:$A$10001)*($AP119 = [2]SalmonProps!$F$2:$F$10001) *($AR119 = [2]SalmonProps!$G$2:$G$10001),0), 27))</f>
        <v/>
      </c>
      <c r="AP119" s="112"/>
      <c r="AQ119" s="112"/>
      <c r="AR119" s="112" t="e">
        <f t="shared" si="2"/>
        <v>#N/A</v>
      </c>
    </row>
    <row r="120" spans="1:44" x14ac:dyDescent="0.3">
      <c r="A120" s="20">
        <f>'[1]Passage Estimates'!$A120</f>
        <v>45222</v>
      </c>
      <c r="B120" s="164" t="str" cm="1">
        <f t="array" ref="B120">IF(ISBLANK($AQ120), "", INDEX([2]SalmonProps!$A$2:$AA$10001,MATCH(1,($A120=[2]SalmonProps!$A$2:$A$10001)*(1=[2]SalmonProps!$C$2:$C$10001)*(1=[2]SalmonProps!$D$2:$D$10001)*("A1" = [2]SalmonProps!$B$2:$B$10001)*($AP120 = [2]SalmonProps!$F$2:$F$10001) *($AR120 = [2]SalmonProps!$G$2:$G$10001),0), 17))</f>
        <v/>
      </c>
      <c r="C120" s="165" t="str" cm="1">
        <f t="array" ref="C120">IF(ISBLANK($AQ120), "", INDEX([2]SalmonProps!$A$2:$AA$10001,MATCH(1,($A120=[2]SalmonProps!$A$2:$A$10001)*(1=[2]SalmonProps!$C$2:$C$10001)*(2=[2]SalmonProps!$D$2:$D$10001)*("A1" = [2]SalmonProps!$B$2:$B$10001)*($AP120 = [2]SalmonProps!$F$2:$F$10001) *($AR120 = [2]SalmonProps!$G$2:$G$10001),0), 17))</f>
        <v/>
      </c>
      <c r="D120" s="165" t="str" cm="1">
        <f t="array" ref="D120">IF(ISBLANK($AQ120), "", INDEX([2]SalmonProps!$A$2:$AA$10001,MATCH(1,($A120=[2]SalmonProps!$A$2:$A$10001)*(1=[2]SalmonProps!$C$2:$C$10001)*("1&amp;2"=[2]SalmonProps!$D$2:$D$10001)*("A1" = [2]SalmonProps!$B$2:$B$10001)*($AP120 = [2]SalmonProps!$F$2:$F$10001) *($AR120 = [2]SalmonProps!$G$2:$G$10001),0), 17))</f>
        <v/>
      </c>
      <c r="E120" s="181" t="str" cm="1">
        <f t="array" ref="E120">IF(ISBLANK($AQ120), "", INDEX([2]SalmonProps!$A$2:$AA$10001,MATCH(1,($A120=[2]SalmonProps!$A$2:$A$10001)*(2=[2]SalmonProps!$C$2:$C$10001)*(3=[2]SalmonProps!$D$2:$D$10001)*("A1" = [2]SalmonProps!$B$2:$B$10001)*($AP120 = [2]SalmonProps!$F$2:$F$10001) *($AR120 = [2]SalmonProps!$G$2:$G$10001),0), 17))</f>
        <v/>
      </c>
      <c r="F120" s="165" t="str" cm="1">
        <f t="array" ref="F120">IF(ISBLANK($AQ120), "", INDEX([2]SalmonProps!$A$2:$AA$10001,MATCH(1,($A120=[2]SalmonProps!$A$2:$A$10001)*(3=[2]SalmonProps!$C$2:$C$10001)*(3=[2]SalmonProps!$D$2:$D$10001)*("A1" = [2]SalmonProps!$B$2:$B$10001)*($AP120 = [2]SalmonProps!$F$2:$F$10001) *($AR120 = [2]SalmonProps!$G$2:$G$10001),0), 17))</f>
        <v/>
      </c>
      <c r="G120" s="165" t="str" cm="1">
        <f t="array" ref="G120">IF(ISBLANK($AQ120), "", INDEX([2]SalmonProps!$A$2:$AA$10001,MATCH(1,($A120=[2]SalmonProps!$A$2:$A$10001)*(1=[2]SalmonProps!$C$2:$C$10001)*(1=[2]SalmonProps!$D$2:$D$10001)*("A2" = [2]SalmonProps!$B$2:$B$10001)*($AP120 = [2]SalmonProps!$F$2:$F$10001) *($AR120 = [2]SalmonProps!$G$2:$G$10001),0), 17))</f>
        <v/>
      </c>
      <c r="H120" s="166" t="str" cm="1">
        <f t="array" ref="H120">IF(ISBLANK($AQ120), "", INDEX([2]SalmonProps!$A$2:$AA$10001,MATCH(1,($A120=[2]SalmonProps!$A$2:$A$10001)*(2=[2]SalmonProps!$C$2:$C$10001)*(1=[2]SalmonProps!$D$2:$D$10001)*("A2" = [2]SalmonProps!$B$2:$B$10001)*($AP120 = [2]SalmonProps!$F$2:$F$10001) *($AR120 = [2]SalmonProps!$G$2:$G$10001),0), 17))</f>
        <v/>
      </c>
      <c r="I120" s="167" t="str" cm="1">
        <f t="array" ref="I120">IF(ISBLANK($AQ120), "", INDEX([2]SalmonProps!$A$2:$AA$10001,MATCH(1,($A120=[2]SalmonProps!$A$2:$A$10001)*(3=[2]SalmonProps!$C$2:$C$10001)*(1=[2]SalmonProps!$D$2:$D$10001)*("A2" = [2]SalmonProps!$B$2:$B$10001)*($AP120 = [2]SalmonProps!$F$2:$F$10001) *($AR120 = [2]SalmonProps!$G$2:$G$10001),0), 17))</f>
        <v/>
      </c>
      <c r="J120" s="164" t="str" cm="1">
        <f t="array" ref="J120">IF(ISBLANK($AQ120), "", INDEX([2]SalmonProps!$A$2:$AA$10001,MATCH(1,($A120=[2]SalmonProps!$A$2:$A$10001)*(1=[2]SalmonProps!$C$2:$C$10001)*(1=[2]SalmonProps!$D$2:$D$10001)*("A1" = [2]SalmonProps!$B$2:$B$10001)*($AP120 = [2]SalmonProps!$F$2:$F$10001) *($AR120 = [2]SalmonProps!$G$2:$G$10001),0), 19))</f>
        <v/>
      </c>
      <c r="K120" s="165" t="str" cm="1">
        <f t="array" ref="K120">IF(ISBLANK($AQ120), "", INDEX([2]SalmonProps!$A$2:$AA$10001,MATCH(1,($A120=[2]SalmonProps!$A$2:$A$10001)*(1=[2]SalmonProps!$C$2:$C$10001)*(2=[2]SalmonProps!$D$2:$D$10001)*("A1" = [2]SalmonProps!$B$2:$B$10001)*($AP120 = [2]SalmonProps!$F$2:$F$10001) *($AR120 = [2]SalmonProps!$G$2:$G$10001),0), 19))</f>
        <v/>
      </c>
      <c r="L120" s="165" t="str" cm="1">
        <f t="array" ref="L120">IF(ISBLANK($AQ120), "", INDEX([2]SalmonProps!$A$2:$AA$10001,MATCH(1,($A120=[2]SalmonProps!$A$2:$A$10001)*(1=[2]SalmonProps!$C$2:$C$10001)*("1&amp;2"=[2]SalmonProps!$D$2:$D$10001)*("A1" = [2]SalmonProps!$B$2:$B$10001)*($AP120 = [2]SalmonProps!$F$2:$F$10001) *($AR120 = [2]SalmonProps!$G$2:$G$10001),0), 19))</f>
        <v/>
      </c>
      <c r="M120" s="165" t="str" cm="1">
        <f t="array" ref="M120">IF(ISBLANK($AQ120), "", INDEX([2]SalmonProps!$A$2:$AA$10001,MATCH(1,($A120=[2]SalmonProps!$A$2:$A$10001)*(2=[2]SalmonProps!$C$2:$C$10001)*(3=[2]SalmonProps!$D$2:$D$10001)*("A1" = [2]SalmonProps!$B$2:$B$10001)*($AP120 = [2]SalmonProps!$F$2:$F$10001) *($AR120 = [2]SalmonProps!$G$2:$G$10001),0), 19))</f>
        <v/>
      </c>
      <c r="N120" s="181" t="str" cm="1">
        <f t="array" ref="N120">IF(ISBLANK($AQ120), "", INDEX([2]SalmonProps!$A$2:$AA$10001,MATCH(1,($A120=[2]SalmonProps!$A$2:$A$10001)*(3=[2]SalmonProps!$C$2:$C$10001)*(3=[2]SalmonProps!$D$2:$D$10001)*("A1" = [2]SalmonProps!$B$2:$B$10001)*($AP120 = [2]SalmonProps!$F$2:$F$10001) *($AR120 = [2]SalmonProps!$G$2:$G$10001),0), 19))</f>
        <v/>
      </c>
      <c r="O120" s="165" t="str" cm="1">
        <f t="array" ref="O120">IF(ISBLANK($AQ120), "", INDEX([2]SalmonProps!$A$2:$AA$10001,MATCH(1,($A120=[2]SalmonProps!$A$2:$A$10001)*(1=[2]SalmonProps!$C$2:$C$10001)*(1=[2]SalmonProps!$D$2:$D$10001)*("A2" = [2]SalmonProps!$B$2:$B$10001)*($AP120 = [2]SalmonProps!$F$2:$F$10001) *($AR120 = [2]SalmonProps!$G$2:$G$10001),0), 19))</f>
        <v/>
      </c>
      <c r="P120" s="165" t="str" cm="1">
        <f t="array" ref="P120">IF(ISBLANK($AQ120), "", INDEX([2]SalmonProps!$A$2:$AA$10001,MATCH(1,($A120=[2]SalmonProps!$A$2:$A$10001)*(2=[2]SalmonProps!$C$2:$C$10001)*(1=[2]SalmonProps!$D$2:$D$10001)*("A2" = [2]SalmonProps!$B$2:$B$10001)*($AP120 = [2]SalmonProps!$F$2:$F$10001) *($AR120 = [2]SalmonProps!$G$2:$G$10001),0), 19))</f>
        <v/>
      </c>
      <c r="Q120" s="168" t="str" cm="1">
        <f t="array" ref="Q120">IF(ISBLANK($AQ120), "", INDEX([2]SalmonProps!$A$2:$AA$10001,MATCH(1,($A120=[2]SalmonProps!$A$2:$A$10001)*(3=[2]SalmonProps!$C$2:$C$10001)*(1=[2]SalmonProps!$D$2:$D$10001)*("A2" = [2]SalmonProps!$B$2:$B$10001)*($AP120 = [2]SalmonProps!$F$2:$F$10001) *($AR120 = [2]SalmonProps!$G$2:$G$10001),0), 19))</f>
        <v/>
      </c>
      <c r="R120" s="164" t="str" cm="1">
        <f t="array" ref="R120">IF(ISBLANK($AQ120), "", INDEX([2]SalmonProps!$A$2:$AA$10001,MATCH(1,($A120=[2]SalmonProps!$A$2:$A$10001)*(1=[2]SalmonProps!$C$2:$C$10001)*(1=[2]SalmonProps!$D$2:$D$10001)*("A1" = [2]SalmonProps!$B$2:$B$10001)*($AP120 = [2]SalmonProps!$F$2:$F$10001) *($AR120 = [2]SalmonProps!$G$2:$G$10001),0), 18))</f>
        <v/>
      </c>
      <c r="S120" s="165" t="str" cm="1">
        <f t="array" ref="S120">IF(ISBLANK($AQ120), "", INDEX([2]SalmonProps!$A$2:$AA$10001,MATCH(1,($A120=[2]SalmonProps!$A$2:$A$10001)*(1=[2]SalmonProps!$C$2:$C$10001)*(2=[2]SalmonProps!$D$2:$D$10001)*("A1" = [2]SalmonProps!$B$2:$B$10001)*($AP120 = [2]SalmonProps!$F$2:$F$10001) *($AR120 = [2]SalmonProps!$G$2:$G$10001),0), 18))</f>
        <v/>
      </c>
      <c r="T120" s="165" t="str" cm="1">
        <f t="array" ref="T120">IF(ISBLANK($AQ120), "", INDEX([2]SalmonProps!$A$2:$AA$10001,MATCH(1,($A120=[2]SalmonProps!$A$2:$A$10001)*(1=[2]SalmonProps!$C$2:$C$10001)*("1&amp;2"=[2]SalmonProps!$D$2:$D$10001)*("A1" = [2]SalmonProps!$B$2:$B$10001)*($AP120 = [2]SalmonProps!$F$2:$F$10001) *($AR120 = [2]SalmonProps!$G$2:$G$10001),0), 18))</f>
        <v/>
      </c>
      <c r="U120" s="165" t="str" cm="1">
        <f t="array" ref="U120">IF(ISBLANK($AQ120), "", INDEX([2]SalmonProps!$A$2:$AA$10001,MATCH(1,($A120=[2]SalmonProps!$A$2:$A$10001)*(2=[2]SalmonProps!$C$2:$C$10001)*(3=[2]SalmonProps!$D$2:$D$10001)*("A1" = [2]SalmonProps!$B$2:$B$10001)*($AP120 = [2]SalmonProps!$F$2:$F$10001) *($AR120 = [2]SalmonProps!$G$2:$G$10001),0), 18))</f>
        <v/>
      </c>
      <c r="V120" s="181" t="str" cm="1">
        <f t="array" ref="V120">IF(ISBLANK($AQ120), "", INDEX([2]SalmonProps!$A$2:$AA$10001,MATCH(1,($A120=[2]SalmonProps!$A$2:$A$10001)*(3=[2]SalmonProps!$C$2:$C$10001)*(3=[2]SalmonProps!$D$2:$D$10001)*("A1" = [2]SalmonProps!$B$2:$B$10001)*($AP120 = [2]SalmonProps!$F$2:$F$10001) *($AR120 = [2]SalmonProps!$G$2:$G$10001),0), 18))</f>
        <v/>
      </c>
      <c r="W120" s="180" t="str" cm="1">
        <f t="array" ref="W120">IF(ISBLANK($AQ120), "", INDEX([2]SalmonProps!$A$2:$AA$10001,MATCH(1,($A120=[2]SalmonProps!$A$2:$A$10001)*(1=[2]SalmonProps!$C$2:$C$10001)*(1=[2]SalmonProps!$D$2:$D$10001)*("A2" = [2]SalmonProps!$B$2:$B$10001)*($AP120 = [2]SalmonProps!$F$2:$F$10001) *($AR120 = [2]SalmonProps!$G$2:$G$10001),0), 18))</f>
        <v/>
      </c>
      <c r="X120" s="165" t="str" cm="1">
        <f t="array" ref="X120">IF(ISBLANK($AQ120), "", INDEX([2]SalmonProps!$A$2:$AA$10001,MATCH(1,($A120=[2]SalmonProps!$A$2:$A$10001)*(2=[2]SalmonProps!$C$2:$C$10001)*(1=[2]SalmonProps!$D$2:$D$10001)*("A2" = [2]SalmonProps!$B$2:$B$10001)*($AP120 = [2]SalmonProps!$F$2:$F$10001) *($AR120 = [2]SalmonProps!$G$2:$G$10001),0), 18))</f>
        <v/>
      </c>
      <c r="Y120" s="168" t="str" cm="1">
        <f t="array" ref="Y120">IF(ISBLANK($AQ120), "", INDEX([2]SalmonProps!$A$2:$AA$10001,MATCH(1,($A120=[2]SalmonProps!$A$2:$A$10001)*(3=[2]SalmonProps!$C$2:$C$10001)*(1=[2]SalmonProps!$D$2:$D$10001)*("A2" = [2]SalmonProps!$B$2:$B$10001)*($AP120 = [2]SalmonProps!$F$2:$F$10001) *($AR120 = [2]SalmonProps!$G$2:$G$10001),0), 18))</f>
        <v/>
      </c>
      <c r="Z120" s="164" t="str" cm="1">
        <f t="array" ref="Z120">IF(ISBLANK($AQ120), "", INDEX([2]SalmonProps!$A$2:$AA$10001,MATCH(1,($A120=[2]SalmonProps!$A$2:$A$10001)*(1=[2]SalmonProps!$C$2:$C$10001)*(1=[2]SalmonProps!$D$2:$D$10001)*("A1" = [2]SalmonProps!$B$2:$B$10001)*($AP120 = [2]SalmonProps!$F$2:$F$10001) *($AR120 = [2]SalmonProps!$G$2:$G$10001),0), 15))</f>
        <v/>
      </c>
      <c r="AA120" s="165" t="str" cm="1">
        <f t="array" ref="AA120">IF(ISBLANK($AQ120), "", INDEX([2]SalmonProps!$A$2:$AA$10001,MATCH(1,($A120=[2]SalmonProps!$A$2:$A$10001)*(1=[2]SalmonProps!$C$2:$C$10001)*(2=[2]SalmonProps!$D$2:$D$10001)*("A1" = [2]SalmonProps!$B$2:$B$10001)*($AP120 = [2]SalmonProps!$F$2:$F$10001) *($AR120 = [2]SalmonProps!$G$2:$G$10001),0), 15))</f>
        <v/>
      </c>
      <c r="AB120" s="165" t="str" cm="1">
        <f t="array" ref="AB120">IF(ISBLANK($AQ120), "", INDEX([2]SalmonProps!$A$2:$AA$10001,MATCH(1,($A120=[2]SalmonProps!$A$2:$A$10001)*(1=[2]SalmonProps!$C$2:$C$10001)*("1&amp;2"=[2]SalmonProps!$D$2:$D$10001)*("A1" = [2]SalmonProps!$B$2:$B$10001)*($AP120 = [2]SalmonProps!$F$2:$F$10001) *($AR120 = [2]SalmonProps!$G$2:$G$10001),0), 15))</f>
        <v/>
      </c>
      <c r="AC120" s="165" t="str" cm="1">
        <f t="array" ref="AC120">IF(ISBLANK($AQ120), "", INDEX([2]SalmonProps!$A$2:$AA$10001,MATCH(1,($A120=[2]SalmonProps!$A$2:$A$10001)*(2=[2]SalmonProps!$C$2:$C$10001)*(3=[2]SalmonProps!$D$2:$D$10001)*("A1" = [2]SalmonProps!$B$2:$B$10001)*($AP120 = [2]SalmonProps!$F$2:$F$10001) *($AR120 = [2]SalmonProps!$G$2:$G$10001),0), 15))</f>
        <v/>
      </c>
      <c r="AD120" s="181" t="str" cm="1">
        <f t="array" ref="AD120">IF(ISBLANK($AQ120), "", INDEX([2]SalmonProps!$A$2:$AA$10001,MATCH(1,($A120=[2]SalmonProps!$A$2:$A$10001)*(3=[2]SalmonProps!$C$2:$C$10001)*(3=[2]SalmonProps!$D$2:$D$10001)*("A1" = [2]SalmonProps!$B$2:$B$10001)*($AP120 = [2]SalmonProps!$F$2:$F$10001) *($AR120 = [2]SalmonProps!$G$2:$G$10001),0), 15))</f>
        <v/>
      </c>
      <c r="AE120" s="166" t="str" cm="1">
        <f t="array" ref="AE120">IF(ISBLANK($AQ120), "", INDEX([2]SalmonProps!$A$2:$AA$10001,MATCH(1,($A120=[2]SalmonProps!$A$2:$A$10001)*(1=[2]SalmonProps!$C$2:$C$10001)*(1=[2]SalmonProps!$D$2:$D$10001)*("A2" = [2]SalmonProps!$B$2:$B$10001)*($AP120 = [2]SalmonProps!$F$2:$F$10001) *($AR120 = [2]SalmonProps!$G$2:$G$10001),0), 15))</f>
        <v/>
      </c>
      <c r="AF120" s="166" t="str" cm="1">
        <f t="array" ref="AF120">IF(ISBLANK($AQ120), "", INDEX([2]SalmonProps!$A$2:$AA$10001,MATCH(1,($A120=[2]SalmonProps!$A$2:$A$10001)*(2=[2]SalmonProps!$C$2:$C$10001)*(1=[2]SalmonProps!$D$2:$D$10001)*("A2" = [2]SalmonProps!$B$2:$B$10001)*($AP120 = [2]SalmonProps!$F$2:$F$10001) *($AR120 = [2]SalmonProps!$G$2:$G$10001),0), 15))</f>
        <v/>
      </c>
      <c r="AG120" s="167" t="str" cm="1">
        <f t="array" ref="AG120">IF(ISBLANK($AQ120), "", INDEX([2]SalmonProps!$A$2:$AA$10001,MATCH(1,($A120=[2]SalmonProps!$A$2:$A$10001)*(3=[2]SalmonProps!$C$2:$C$10001)*(1=[2]SalmonProps!$D$2:$D$10001)*("A2" = [2]SalmonProps!$B$2:$B$10001)*($AP120 = [2]SalmonProps!$F$2:$F$10001) *($AR120 = [2]SalmonProps!$G$2:$G$10001),0), 15))</f>
        <v/>
      </c>
      <c r="AH120" s="173" t="str" cm="1">
        <f t="array" ref="AH120">IF(ISBLANK($AQ120), "", INDEX([2]SalmonProps!$A$2:$AA$10001,MATCH(1,($A120=[2]SalmonProps!$A$2:$A$10001)*($AP120 = [2]SalmonProps!$F$2:$F$10001) *($AR120 = [2]SalmonProps!$G$2:$G$10001),0), 24))</f>
        <v/>
      </c>
      <c r="AI120" s="183" t="str" cm="1">
        <f t="array" ref="AI120">IF(ISBLANK($AQ120), "", INDEX([2]SalmonProps!$A$2:$AA$10001,MATCH(1,($A120=[2]SalmonProps!$A$2:$A$10001)*($AP120 = [2]SalmonProps!$F$2:$F$10001) *($AR120 = [2]SalmonProps!$G$2:$G$10001),0), 25))</f>
        <v/>
      </c>
      <c r="AJ120" s="174" t="str" cm="1">
        <f t="array" ref="AJ120">IF(ISBLANK($AQ120), "", INDEX([2]SalmonProps!$A$2:$AA$10001,MATCH(1,($A120=[2]SalmonProps!$A$2:$A$10001)*($AP120 = [2]SalmonProps!$F$2:$F$10001) *($AR120 = [2]SalmonProps!$G$2:$G$10001),0), 20))</f>
        <v/>
      </c>
      <c r="AK120" s="183" t="str" cm="1">
        <f t="array" ref="AK120">IF(ISBLANK($AQ120), "", INDEX([2]SalmonProps!$A$2:$AA$10001,MATCH(1,($A120=[2]SalmonProps!$A$2:$A$10001)*($AP120 = [2]SalmonProps!$F$2:$F$10001) *($AR120 = [2]SalmonProps!$G$2:$G$10001),0), 21))</f>
        <v/>
      </c>
      <c r="AL120" s="174" t="str" cm="1">
        <f t="array" ref="AL120">IF(ISBLANK($AQ120), "", INDEX([2]SalmonProps!$A$2:$AA$10001,MATCH(1,($A120=[2]SalmonProps!$A$2:$A$10001)*($AP120 = [2]SalmonProps!$F$2:$F$10001) *($AR120 = [2]SalmonProps!$G$2:$G$10001),0), 22))</f>
        <v/>
      </c>
      <c r="AM120" s="183" t="str" cm="1">
        <f t="array" ref="AM120">IF(ISBLANK($AQ120), "", INDEX([2]SalmonProps!$A$2:$AA$10001,MATCH(1,($A120=[2]SalmonProps!$A$2:$A$10001)*($AP120 = [2]SalmonProps!$F$2:$F$10001) *($AR120 = [2]SalmonProps!$G$2:$G$10001),0), 23))</f>
        <v/>
      </c>
      <c r="AN120" s="174" t="str" cm="1">
        <f t="array" ref="AN120">IF(ISBLANK($AQ120), "", INDEX([2]SalmonProps!$A$2:$AA$10001,MATCH(1,($A120=[2]SalmonProps!$A$2:$A$10001)*($AP120 = [2]SalmonProps!$F$2:$F$10001) *($AR120 = [2]SalmonProps!$G$2:$G$10001),0), 26))</f>
        <v/>
      </c>
      <c r="AO120" s="175" t="str" cm="1">
        <f t="array" ref="AO120">IF(ISBLANK($AQ120), "", INDEX([2]SalmonProps!$A$2:$AA$10001,MATCH(1,($A120=[2]SalmonProps!$A$2:$A$10001)*($AP120 = [2]SalmonProps!$F$2:$F$10001) *($AR120 = [2]SalmonProps!$G$2:$G$10001),0), 27))</f>
        <v/>
      </c>
      <c r="AP120" s="112"/>
      <c r="AQ120" s="112"/>
      <c r="AR120" s="112" t="e">
        <f t="shared" si="2"/>
        <v>#N/A</v>
      </c>
    </row>
    <row r="121" spans="1:44" x14ac:dyDescent="0.3">
      <c r="A121" s="20">
        <f>'[1]Passage Estimates'!$A121</f>
        <v>45223</v>
      </c>
      <c r="B121" s="164" t="str" cm="1">
        <f t="array" ref="B121">IF(ISBLANK($AQ121), "", INDEX([2]SalmonProps!$A$2:$AA$10001,MATCH(1,($A121=[2]SalmonProps!$A$2:$A$10001)*(1=[2]SalmonProps!$C$2:$C$10001)*(1=[2]SalmonProps!$D$2:$D$10001)*("A1" = [2]SalmonProps!$B$2:$B$10001)*($AP121 = [2]SalmonProps!$F$2:$F$10001) *($AR121 = [2]SalmonProps!$G$2:$G$10001),0), 17))</f>
        <v/>
      </c>
      <c r="C121" s="165" t="str" cm="1">
        <f t="array" ref="C121">IF(ISBLANK($AQ121), "", INDEX([2]SalmonProps!$A$2:$AA$10001,MATCH(1,($A121=[2]SalmonProps!$A$2:$A$10001)*(1=[2]SalmonProps!$C$2:$C$10001)*(2=[2]SalmonProps!$D$2:$D$10001)*("A1" = [2]SalmonProps!$B$2:$B$10001)*($AP121 = [2]SalmonProps!$F$2:$F$10001) *($AR121 = [2]SalmonProps!$G$2:$G$10001),0), 17))</f>
        <v/>
      </c>
      <c r="D121" s="165" t="str" cm="1">
        <f t="array" ref="D121">IF(ISBLANK($AQ121), "", INDEX([2]SalmonProps!$A$2:$AA$10001,MATCH(1,($A121=[2]SalmonProps!$A$2:$A$10001)*(1=[2]SalmonProps!$C$2:$C$10001)*("1&amp;2"=[2]SalmonProps!$D$2:$D$10001)*("A1" = [2]SalmonProps!$B$2:$B$10001)*($AP121 = [2]SalmonProps!$F$2:$F$10001) *($AR121 = [2]SalmonProps!$G$2:$G$10001),0), 17))</f>
        <v/>
      </c>
      <c r="E121" s="181" t="str" cm="1">
        <f t="array" ref="E121">IF(ISBLANK($AQ121), "", INDEX([2]SalmonProps!$A$2:$AA$10001,MATCH(1,($A121=[2]SalmonProps!$A$2:$A$10001)*(2=[2]SalmonProps!$C$2:$C$10001)*(3=[2]SalmonProps!$D$2:$D$10001)*("A1" = [2]SalmonProps!$B$2:$B$10001)*($AP121 = [2]SalmonProps!$F$2:$F$10001) *($AR121 = [2]SalmonProps!$G$2:$G$10001),0), 17))</f>
        <v/>
      </c>
      <c r="F121" s="165" t="str" cm="1">
        <f t="array" ref="F121">IF(ISBLANK($AQ121), "", INDEX([2]SalmonProps!$A$2:$AA$10001,MATCH(1,($A121=[2]SalmonProps!$A$2:$A$10001)*(3=[2]SalmonProps!$C$2:$C$10001)*(3=[2]SalmonProps!$D$2:$D$10001)*("A1" = [2]SalmonProps!$B$2:$B$10001)*($AP121 = [2]SalmonProps!$F$2:$F$10001) *($AR121 = [2]SalmonProps!$G$2:$G$10001),0), 17))</f>
        <v/>
      </c>
      <c r="G121" s="165" t="str" cm="1">
        <f t="array" ref="G121">IF(ISBLANK($AQ121), "", INDEX([2]SalmonProps!$A$2:$AA$10001,MATCH(1,($A121=[2]SalmonProps!$A$2:$A$10001)*(1=[2]SalmonProps!$C$2:$C$10001)*(1=[2]SalmonProps!$D$2:$D$10001)*("A2" = [2]SalmonProps!$B$2:$B$10001)*($AP121 = [2]SalmonProps!$F$2:$F$10001) *($AR121 = [2]SalmonProps!$G$2:$G$10001),0), 17))</f>
        <v/>
      </c>
      <c r="H121" s="166" t="str" cm="1">
        <f t="array" ref="H121">IF(ISBLANK($AQ121), "", INDEX([2]SalmonProps!$A$2:$AA$10001,MATCH(1,($A121=[2]SalmonProps!$A$2:$A$10001)*(2=[2]SalmonProps!$C$2:$C$10001)*(1=[2]SalmonProps!$D$2:$D$10001)*("A2" = [2]SalmonProps!$B$2:$B$10001)*($AP121 = [2]SalmonProps!$F$2:$F$10001) *($AR121 = [2]SalmonProps!$G$2:$G$10001),0), 17))</f>
        <v/>
      </c>
      <c r="I121" s="167" t="str" cm="1">
        <f t="array" ref="I121">IF(ISBLANK($AQ121), "", INDEX([2]SalmonProps!$A$2:$AA$10001,MATCH(1,($A121=[2]SalmonProps!$A$2:$A$10001)*(3=[2]SalmonProps!$C$2:$C$10001)*(1=[2]SalmonProps!$D$2:$D$10001)*("A2" = [2]SalmonProps!$B$2:$B$10001)*($AP121 = [2]SalmonProps!$F$2:$F$10001) *($AR121 = [2]SalmonProps!$G$2:$G$10001),0), 17))</f>
        <v/>
      </c>
      <c r="J121" s="164" t="str" cm="1">
        <f t="array" ref="J121">IF(ISBLANK($AQ121), "", INDEX([2]SalmonProps!$A$2:$AA$10001,MATCH(1,($A121=[2]SalmonProps!$A$2:$A$10001)*(1=[2]SalmonProps!$C$2:$C$10001)*(1=[2]SalmonProps!$D$2:$D$10001)*("A1" = [2]SalmonProps!$B$2:$B$10001)*($AP121 = [2]SalmonProps!$F$2:$F$10001) *($AR121 = [2]SalmonProps!$G$2:$G$10001),0), 19))</f>
        <v/>
      </c>
      <c r="K121" s="165" t="str" cm="1">
        <f t="array" ref="K121">IF(ISBLANK($AQ121), "", INDEX([2]SalmonProps!$A$2:$AA$10001,MATCH(1,($A121=[2]SalmonProps!$A$2:$A$10001)*(1=[2]SalmonProps!$C$2:$C$10001)*(2=[2]SalmonProps!$D$2:$D$10001)*("A1" = [2]SalmonProps!$B$2:$B$10001)*($AP121 = [2]SalmonProps!$F$2:$F$10001) *($AR121 = [2]SalmonProps!$G$2:$G$10001),0), 19))</f>
        <v/>
      </c>
      <c r="L121" s="165" t="str" cm="1">
        <f t="array" ref="L121">IF(ISBLANK($AQ121), "", INDEX([2]SalmonProps!$A$2:$AA$10001,MATCH(1,($A121=[2]SalmonProps!$A$2:$A$10001)*(1=[2]SalmonProps!$C$2:$C$10001)*("1&amp;2"=[2]SalmonProps!$D$2:$D$10001)*("A1" = [2]SalmonProps!$B$2:$B$10001)*($AP121 = [2]SalmonProps!$F$2:$F$10001) *($AR121 = [2]SalmonProps!$G$2:$G$10001),0), 19))</f>
        <v/>
      </c>
      <c r="M121" s="165" t="str" cm="1">
        <f t="array" ref="M121">IF(ISBLANK($AQ121), "", INDEX([2]SalmonProps!$A$2:$AA$10001,MATCH(1,($A121=[2]SalmonProps!$A$2:$A$10001)*(2=[2]SalmonProps!$C$2:$C$10001)*(3=[2]SalmonProps!$D$2:$D$10001)*("A1" = [2]SalmonProps!$B$2:$B$10001)*($AP121 = [2]SalmonProps!$F$2:$F$10001) *($AR121 = [2]SalmonProps!$G$2:$G$10001),0), 19))</f>
        <v/>
      </c>
      <c r="N121" s="181" t="str" cm="1">
        <f t="array" ref="N121">IF(ISBLANK($AQ121), "", INDEX([2]SalmonProps!$A$2:$AA$10001,MATCH(1,($A121=[2]SalmonProps!$A$2:$A$10001)*(3=[2]SalmonProps!$C$2:$C$10001)*(3=[2]SalmonProps!$D$2:$D$10001)*("A1" = [2]SalmonProps!$B$2:$B$10001)*($AP121 = [2]SalmonProps!$F$2:$F$10001) *($AR121 = [2]SalmonProps!$G$2:$G$10001),0), 19))</f>
        <v/>
      </c>
      <c r="O121" s="165" t="str" cm="1">
        <f t="array" ref="O121">IF(ISBLANK($AQ121), "", INDEX([2]SalmonProps!$A$2:$AA$10001,MATCH(1,($A121=[2]SalmonProps!$A$2:$A$10001)*(1=[2]SalmonProps!$C$2:$C$10001)*(1=[2]SalmonProps!$D$2:$D$10001)*("A2" = [2]SalmonProps!$B$2:$B$10001)*($AP121 = [2]SalmonProps!$F$2:$F$10001) *($AR121 = [2]SalmonProps!$G$2:$G$10001),0), 19))</f>
        <v/>
      </c>
      <c r="P121" s="165" t="str" cm="1">
        <f t="array" ref="P121">IF(ISBLANK($AQ121), "", INDEX([2]SalmonProps!$A$2:$AA$10001,MATCH(1,($A121=[2]SalmonProps!$A$2:$A$10001)*(2=[2]SalmonProps!$C$2:$C$10001)*(1=[2]SalmonProps!$D$2:$D$10001)*("A2" = [2]SalmonProps!$B$2:$B$10001)*($AP121 = [2]SalmonProps!$F$2:$F$10001) *($AR121 = [2]SalmonProps!$G$2:$G$10001),0), 19))</f>
        <v/>
      </c>
      <c r="Q121" s="168" t="str" cm="1">
        <f t="array" ref="Q121">IF(ISBLANK($AQ121), "", INDEX([2]SalmonProps!$A$2:$AA$10001,MATCH(1,($A121=[2]SalmonProps!$A$2:$A$10001)*(3=[2]SalmonProps!$C$2:$C$10001)*(1=[2]SalmonProps!$D$2:$D$10001)*("A2" = [2]SalmonProps!$B$2:$B$10001)*($AP121 = [2]SalmonProps!$F$2:$F$10001) *($AR121 = [2]SalmonProps!$G$2:$G$10001),0), 19))</f>
        <v/>
      </c>
      <c r="R121" s="164" t="str" cm="1">
        <f t="array" ref="R121">IF(ISBLANK($AQ121), "", INDEX([2]SalmonProps!$A$2:$AA$10001,MATCH(1,($A121=[2]SalmonProps!$A$2:$A$10001)*(1=[2]SalmonProps!$C$2:$C$10001)*(1=[2]SalmonProps!$D$2:$D$10001)*("A1" = [2]SalmonProps!$B$2:$B$10001)*($AP121 = [2]SalmonProps!$F$2:$F$10001) *($AR121 = [2]SalmonProps!$G$2:$G$10001),0), 18))</f>
        <v/>
      </c>
      <c r="S121" s="165" t="str" cm="1">
        <f t="array" ref="S121">IF(ISBLANK($AQ121), "", INDEX([2]SalmonProps!$A$2:$AA$10001,MATCH(1,($A121=[2]SalmonProps!$A$2:$A$10001)*(1=[2]SalmonProps!$C$2:$C$10001)*(2=[2]SalmonProps!$D$2:$D$10001)*("A1" = [2]SalmonProps!$B$2:$B$10001)*($AP121 = [2]SalmonProps!$F$2:$F$10001) *($AR121 = [2]SalmonProps!$G$2:$G$10001),0), 18))</f>
        <v/>
      </c>
      <c r="T121" s="165" t="str" cm="1">
        <f t="array" ref="T121">IF(ISBLANK($AQ121), "", INDEX([2]SalmonProps!$A$2:$AA$10001,MATCH(1,($A121=[2]SalmonProps!$A$2:$A$10001)*(1=[2]SalmonProps!$C$2:$C$10001)*("1&amp;2"=[2]SalmonProps!$D$2:$D$10001)*("A1" = [2]SalmonProps!$B$2:$B$10001)*($AP121 = [2]SalmonProps!$F$2:$F$10001) *($AR121 = [2]SalmonProps!$G$2:$G$10001),0), 18))</f>
        <v/>
      </c>
      <c r="U121" s="165" t="str" cm="1">
        <f t="array" ref="U121">IF(ISBLANK($AQ121), "", INDEX([2]SalmonProps!$A$2:$AA$10001,MATCH(1,($A121=[2]SalmonProps!$A$2:$A$10001)*(2=[2]SalmonProps!$C$2:$C$10001)*(3=[2]SalmonProps!$D$2:$D$10001)*("A1" = [2]SalmonProps!$B$2:$B$10001)*($AP121 = [2]SalmonProps!$F$2:$F$10001) *($AR121 = [2]SalmonProps!$G$2:$G$10001),0), 18))</f>
        <v/>
      </c>
      <c r="V121" s="181" t="str" cm="1">
        <f t="array" ref="V121">IF(ISBLANK($AQ121), "", INDEX([2]SalmonProps!$A$2:$AA$10001,MATCH(1,($A121=[2]SalmonProps!$A$2:$A$10001)*(3=[2]SalmonProps!$C$2:$C$10001)*(3=[2]SalmonProps!$D$2:$D$10001)*("A1" = [2]SalmonProps!$B$2:$B$10001)*($AP121 = [2]SalmonProps!$F$2:$F$10001) *($AR121 = [2]SalmonProps!$G$2:$G$10001),0), 18))</f>
        <v/>
      </c>
      <c r="W121" s="180" t="str" cm="1">
        <f t="array" ref="W121">IF(ISBLANK($AQ121), "", INDEX([2]SalmonProps!$A$2:$AA$10001,MATCH(1,($A121=[2]SalmonProps!$A$2:$A$10001)*(1=[2]SalmonProps!$C$2:$C$10001)*(1=[2]SalmonProps!$D$2:$D$10001)*("A2" = [2]SalmonProps!$B$2:$B$10001)*($AP121 = [2]SalmonProps!$F$2:$F$10001) *($AR121 = [2]SalmonProps!$G$2:$G$10001),0), 18))</f>
        <v/>
      </c>
      <c r="X121" s="165" t="str" cm="1">
        <f t="array" ref="X121">IF(ISBLANK($AQ121), "", INDEX([2]SalmonProps!$A$2:$AA$10001,MATCH(1,($A121=[2]SalmonProps!$A$2:$A$10001)*(2=[2]SalmonProps!$C$2:$C$10001)*(1=[2]SalmonProps!$D$2:$D$10001)*("A2" = [2]SalmonProps!$B$2:$B$10001)*($AP121 = [2]SalmonProps!$F$2:$F$10001) *($AR121 = [2]SalmonProps!$G$2:$G$10001),0), 18))</f>
        <v/>
      </c>
      <c r="Y121" s="168" t="str" cm="1">
        <f t="array" ref="Y121">IF(ISBLANK($AQ121), "", INDEX([2]SalmonProps!$A$2:$AA$10001,MATCH(1,($A121=[2]SalmonProps!$A$2:$A$10001)*(3=[2]SalmonProps!$C$2:$C$10001)*(1=[2]SalmonProps!$D$2:$D$10001)*("A2" = [2]SalmonProps!$B$2:$B$10001)*($AP121 = [2]SalmonProps!$F$2:$F$10001) *($AR121 = [2]SalmonProps!$G$2:$G$10001),0), 18))</f>
        <v/>
      </c>
      <c r="Z121" s="164" t="str" cm="1">
        <f t="array" ref="Z121">IF(ISBLANK($AQ121), "", INDEX([2]SalmonProps!$A$2:$AA$10001,MATCH(1,($A121=[2]SalmonProps!$A$2:$A$10001)*(1=[2]SalmonProps!$C$2:$C$10001)*(1=[2]SalmonProps!$D$2:$D$10001)*("A1" = [2]SalmonProps!$B$2:$B$10001)*($AP121 = [2]SalmonProps!$F$2:$F$10001) *($AR121 = [2]SalmonProps!$G$2:$G$10001),0), 15))</f>
        <v/>
      </c>
      <c r="AA121" s="165" t="str" cm="1">
        <f t="array" ref="AA121">IF(ISBLANK($AQ121), "", INDEX([2]SalmonProps!$A$2:$AA$10001,MATCH(1,($A121=[2]SalmonProps!$A$2:$A$10001)*(1=[2]SalmonProps!$C$2:$C$10001)*(2=[2]SalmonProps!$D$2:$D$10001)*("A1" = [2]SalmonProps!$B$2:$B$10001)*($AP121 = [2]SalmonProps!$F$2:$F$10001) *($AR121 = [2]SalmonProps!$G$2:$G$10001),0), 15))</f>
        <v/>
      </c>
      <c r="AB121" s="165" t="str" cm="1">
        <f t="array" ref="AB121">IF(ISBLANK($AQ121), "", INDEX([2]SalmonProps!$A$2:$AA$10001,MATCH(1,($A121=[2]SalmonProps!$A$2:$A$10001)*(1=[2]SalmonProps!$C$2:$C$10001)*("1&amp;2"=[2]SalmonProps!$D$2:$D$10001)*("A1" = [2]SalmonProps!$B$2:$B$10001)*($AP121 = [2]SalmonProps!$F$2:$F$10001) *($AR121 = [2]SalmonProps!$G$2:$G$10001),0), 15))</f>
        <v/>
      </c>
      <c r="AC121" s="165" t="str" cm="1">
        <f t="array" ref="AC121">IF(ISBLANK($AQ121), "", INDEX([2]SalmonProps!$A$2:$AA$10001,MATCH(1,($A121=[2]SalmonProps!$A$2:$A$10001)*(2=[2]SalmonProps!$C$2:$C$10001)*(3=[2]SalmonProps!$D$2:$D$10001)*("A1" = [2]SalmonProps!$B$2:$B$10001)*($AP121 = [2]SalmonProps!$F$2:$F$10001) *($AR121 = [2]SalmonProps!$G$2:$G$10001),0), 15))</f>
        <v/>
      </c>
      <c r="AD121" s="181" t="str" cm="1">
        <f t="array" ref="AD121">IF(ISBLANK($AQ121), "", INDEX([2]SalmonProps!$A$2:$AA$10001,MATCH(1,($A121=[2]SalmonProps!$A$2:$A$10001)*(3=[2]SalmonProps!$C$2:$C$10001)*(3=[2]SalmonProps!$D$2:$D$10001)*("A1" = [2]SalmonProps!$B$2:$B$10001)*($AP121 = [2]SalmonProps!$F$2:$F$10001) *($AR121 = [2]SalmonProps!$G$2:$G$10001),0), 15))</f>
        <v/>
      </c>
      <c r="AE121" s="166" t="str" cm="1">
        <f t="array" ref="AE121">IF(ISBLANK($AQ121), "", INDEX([2]SalmonProps!$A$2:$AA$10001,MATCH(1,($A121=[2]SalmonProps!$A$2:$A$10001)*(1=[2]SalmonProps!$C$2:$C$10001)*(1=[2]SalmonProps!$D$2:$D$10001)*("A2" = [2]SalmonProps!$B$2:$B$10001)*($AP121 = [2]SalmonProps!$F$2:$F$10001) *($AR121 = [2]SalmonProps!$G$2:$G$10001),0), 15))</f>
        <v/>
      </c>
      <c r="AF121" s="166" t="str" cm="1">
        <f t="array" ref="AF121">IF(ISBLANK($AQ121), "", INDEX([2]SalmonProps!$A$2:$AA$10001,MATCH(1,($A121=[2]SalmonProps!$A$2:$A$10001)*(2=[2]SalmonProps!$C$2:$C$10001)*(1=[2]SalmonProps!$D$2:$D$10001)*("A2" = [2]SalmonProps!$B$2:$B$10001)*($AP121 = [2]SalmonProps!$F$2:$F$10001) *($AR121 = [2]SalmonProps!$G$2:$G$10001),0), 15))</f>
        <v/>
      </c>
      <c r="AG121" s="167" t="str" cm="1">
        <f t="array" ref="AG121">IF(ISBLANK($AQ121), "", INDEX([2]SalmonProps!$A$2:$AA$10001,MATCH(1,($A121=[2]SalmonProps!$A$2:$A$10001)*(3=[2]SalmonProps!$C$2:$C$10001)*(1=[2]SalmonProps!$D$2:$D$10001)*("A2" = [2]SalmonProps!$B$2:$B$10001)*($AP121 = [2]SalmonProps!$F$2:$F$10001) *($AR121 = [2]SalmonProps!$G$2:$G$10001),0), 15))</f>
        <v/>
      </c>
      <c r="AH121" s="173" t="str" cm="1">
        <f t="array" ref="AH121">IF(ISBLANK($AQ121), "", INDEX([2]SalmonProps!$A$2:$AA$10001,MATCH(1,($A121=[2]SalmonProps!$A$2:$A$10001)*($AP121 = [2]SalmonProps!$F$2:$F$10001) *($AR121 = [2]SalmonProps!$G$2:$G$10001),0), 24))</f>
        <v/>
      </c>
      <c r="AI121" s="183" t="str" cm="1">
        <f t="array" ref="AI121">IF(ISBLANK($AQ121), "", INDEX([2]SalmonProps!$A$2:$AA$10001,MATCH(1,($A121=[2]SalmonProps!$A$2:$A$10001)*($AP121 = [2]SalmonProps!$F$2:$F$10001) *($AR121 = [2]SalmonProps!$G$2:$G$10001),0), 25))</f>
        <v/>
      </c>
      <c r="AJ121" s="174" t="str" cm="1">
        <f t="array" ref="AJ121">IF(ISBLANK($AQ121), "", INDEX([2]SalmonProps!$A$2:$AA$10001,MATCH(1,($A121=[2]SalmonProps!$A$2:$A$10001)*($AP121 = [2]SalmonProps!$F$2:$F$10001) *($AR121 = [2]SalmonProps!$G$2:$G$10001),0), 20))</f>
        <v/>
      </c>
      <c r="AK121" s="183" t="str" cm="1">
        <f t="array" ref="AK121">IF(ISBLANK($AQ121), "", INDEX([2]SalmonProps!$A$2:$AA$10001,MATCH(1,($A121=[2]SalmonProps!$A$2:$A$10001)*($AP121 = [2]SalmonProps!$F$2:$F$10001) *($AR121 = [2]SalmonProps!$G$2:$G$10001),0), 21))</f>
        <v/>
      </c>
      <c r="AL121" s="174" t="str" cm="1">
        <f t="array" ref="AL121">IF(ISBLANK($AQ121), "", INDEX([2]SalmonProps!$A$2:$AA$10001,MATCH(1,($A121=[2]SalmonProps!$A$2:$A$10001)*($AP121 = [2]SalmonProps!$F$2:$F$10001) *($AR121 = [2]SalmonProps!$G$2:$G$10001),0), 22))</f>
        <v/>
      </c>
      <c r="AM121" s="183" t="str" cm="1">
        <f t="array" ref="AM121">IF(ISBLANK($AQ121), "", INDEX([2]SalmonProps!$A$2:$AA$10001,MATCH(1,($A121=[2]SalmonProps!$A$2:$A$10001)*($AP121 = [2]SalmonProps!$F$2:$F$10001) *($AR121 = [2]SalmonProps!$G$2:$G$10001),0), 23))</f>
        <v/>
      </c>
      <c r="AN121" s="174" t="str" cm="1">
        <f t="array" ref="AN121">IF(ISBLANK($AQ121), "", INDEX([2]SalmonProps!$A$2:$AA$10001,MATCH(1,($A121=[2]SalmonProps!$A$2:$A$10001)*($AP121 = [2]SalmonProps!$F$2:$F$10001) *($AR121 = [2]SalmonProps!$G$2:$G$10001),0), 26))</f>
        <v/>
      </c>
      <c r="AO121" s="175" t="str" cm="1">
        <f t="array" ref="AO121">IF(ISBLANK($AQ121), "", INDEX([2]SalmonProps!$A$2:$AA$10001,MATCH(1,($A121=[2]SalmonProps!$A$2:$A$10001)*($AP121 = [2]SalmonProps!$F$2:$F$10001) *($AR121 = [2]SalmonProps!$G$2:$G$10001),0), 27))</f>
        <v/>
      </c>
      <c r="AP121" s="112"/>
      <c r="AQ121" s="112"/>
      <c r="AR121" s="112" t="e">
        <f t="shared" si="2"/>
        <v>#N/A</v>
      </c>
    </row>
    <row r="122" spans="1:44" x14ac:dyDescent="0.3">
      <c r="A122" s="20">
        <f>'[1]Passage Estimates'!$A122</f>
        <v>45224</v>
      </c>
      <c r="B122" s="164" t="str" cm="1">
        <f t="array" ref="B122">IF(ISBLANK($AQ122), "", INDEX([2]SalmonProps!$A$2:$AA$10001,MATCH(1,($A122=[2]SalmonProps!$A$2:$A$10001)*(1=[2]SalmonProps!$C$2:$C$10001)*(1=[2]SalmonProps!$D$2:$D$10001)*("A1" = [2]SalmonProps!$B$2:$B$10001)*($AP122 = [2]SalmonProps!$F$2:$F$10001) *($AR122 = [2]SalmonProps!$G$2:$G$10001),0), 17))</f>
        <v/>
      </c>
      <c r="C122" s="165" t="str" cm="1">
        <f t="array" ref="C122">IF(ISBLANK($AQ122), "", INDEX([2]SalmonProps!$A$2:$AA$10001,MATCH(1,($A122=[2]SalmonProps!$A$2:$A$10001)*(1=[2]SalmonProps!$C$2:$C$10001)*(2=[2]SalmonProps!$D$2:$D$10001)*("A1" = [2]SalmonProps!$B$2:$B$10001)*($AP122 = [2]SalmonProps!$F$2:$F$10001) *($AR122 = [2]SalmonProps!$G$2:$G$10001),0), 17))</f>
        <v/>
      </c>
      <c r="D122" s="165" t="str" cm="1">
        <f t="array" ref="D122">IF(ISBLANK($AQ122), "", INDEX([2]SalmonProps!$A$2:$AA$10001,MATCH(1,($A122=[2]SalmonProps!$A$2:$A$10001)*(1=[2]SalmonProps!$C$2:$C$10001)*("1&amp;2"=[2]SalmonProps!$D$2:$D$10001)*("A1" = [2]SalmonProps!$B$2:$B$10001)*($AP122 = [2]SalmonProps!$F$2:$F$10001) *($AR122 = [2]SalmonProps!$G$2:$G$10001),0), 17))</f>
        <v/>
      </c>
      <c r="E122" s="181" t="str" cm="1">
        <f t="array" ref="E122">IF(ISBLANK($AQ122), "", INDEX([2]SalmonProps!$A$2:$AA$10001,MATCH(1,($A122=[2]SalmonProps!$A$2:$A$10001)*(2=[2]SalmonProps!$C$2:$C$10001)*(3=[2]SalmonProps!$D$2:$D$10001)*("A1" = [2]SalmonProps!$B$2:$B$10001)*($AP122 = [2]SalmonProps!$F$2:$F$10001) *($AR122 = [2]SalmonProps!$G$2:$G$10001),0), 17))</f>
        <v/>
      </c>
      <c r="F122" s="165" t="str" cm="1">
        <f t="array" ref="F122">IF(ISBLANK($AQ122), "", INDEX([2]SalmonProps!$A$2:$AA$10001,MATCH(1,($A122=[2]SalmonProps!$A$2:$A$10001)*(3=[2]SalmonProps!$C$2:$C$10001)*(3=[2]SalmonProps!$D$2:$D$10001)*("A1" = [2]SalmonProps!$B$2:$B$10001)*($AP122 = [2]SalmonProps!$F$2:$F$10001) *($AR122 = [2]SalmonProps!$G$2:$G$10001),0), 17))</f>
        <v/>
      </c>
      <c r="G122" s="165" t="str" cm="1">
        <f t="array" ref="G122">IF(ISBLANK($AQ122), "", INDEX([2]SalmonProps!$A$2:$AA$10001,MATCH(1,($A122=[2]SalmonProps!$A$2:$A$10001)*(1=[2]SalmonProps!$C$2:$C$10001)*(1=[2]SalmonProps!$D$2:$D$10001)*("A2" = [2]SalmonProps!$B$2:$B$10001)*($AP122 = [2]SalmonProps!$F$2:$F$10001) *($AR122 = [2]SalmonProps!$G$2:$G$10001),0), 17))</f>
        <v/>
      </c>
      <c r="H122" s="166" t="str" cm="1">
        <f t="array" ref="H122">IF(ISBLANK($AQ122), "", INDEX([2]SalmonProps!$A$2:$AA$10001,MATCH(1,($A122=[2]SalmonProps!$A$2:$A$10001)*(2=[2]SalmonProps!$C$2:$C$10001)*(1=[2]SalmonProps!$D$2:$D$10001)*("A2" = [2]SalmonProps!$B$2:$B$10001)*($AP122 = [2]SalmonProps!$F$2:$F$10001) *($AR122 = [2]SalmonProps!$G$2:$G$10001),0), 17))</f>
        <v/>
      </c>
      <c r="I122" s="167" t="str" cm="1">
        <f t="array" ref="I122">IF(ISBLANK($AQ122), "", INDEX([2]SalmonProps!$A$2:$AA$10001,MATCH(1,($A122=[2]SalmonProps!$A$2:$A$10001)*(3=[2]SalmonProps!$C$2:$C$10001)*(1=[2]SalmonProps!$D$2:$D$10001)*("A2" = [2]SalmonProps!$B$2:$B$10001)*($AP122 = [2]SalmonProps!$F$2:$F$10001) *($AR122 = [2]SalmonProps!$G$2:$G$10001),0), 17))</f>
        <v/>
      </c>
      <c r="J122" s="164" t="str" cm="1">
        <f t="array" ref="J122">IF(ISBLANK($AQ122), "", INDEX([2]SalmonProps!$A$2:$AA$10001,MATCH(1,($A122=[2]SalmonProps!$A$2:$A$10001)*(1=[2]SalmonProps!$C$2:$C$10001)*(1=[2]SalmonProps!$D$2:$D$10001)*("A1" = [2]SalmonProps!$B$2:$B$10001)*($AP122 = [2]SalmonProps!$F$2:$F$10001) *($AR122 = [2]SalmonProps!$G$2:$G$10001),0), 19))</f>
        <v/>
      </c>
      <c r="K122" s="165" t="str" cm="1">
        <f t="array" ref="K122">IF(ISBLANK($AQ122), "", INDEX([2]SalmonProps!$A$2:$AA$10001,MATCH(1,($A122=[2]SalmonProps!$A$2:$A$10001)*(1=[2]SalmonProps!$C$2:$C$10001)*(2=[2]SalmonProps!$D$2:$D$10001)*("A1" = [2]SalmonProps!$B$2:$B$10001)*($AP122 = [2]SalmonProps!$F$2:$F$10001) *($AR122 = [2]SalmonProps!$G$2:$G$10001),0), 19))</f>
        <v/>
      </c>
      <c r="L122" s="165" t="str" cm="1">
        <f t="array" ref="L122">IF(ISBLANK($AQ122), "", INDEX([2]SalmonProps!$A$2:$AA$10001,MATCH(1,($A122=[2]SalmonProps!$A$2:$A$10001)*(1=[2]SalmonProps!$C$2:$C$10001)*("1&amp;2"=[2]SalmonProps!$D$2:$D$10001)*("A1" = [2]SalmonProps!$B$2:$B$10001)*($AP122 = [2]SalmonProps!$F$2:$F$10001) *($AR122 = [2]SalmonProps!$G$2:$G$10001),0), 19))</f>
        <v/>
      </c>
      <c r="M122" s="165" t="str" cm="1">
        <f t="array" ref="M122">IF(ISBLANK($AQ122), "", INDEX([2]SalmonProps!$A$2:$AA$10001,MATCH(1,($A122=[2]SalmonProps!$A$2:$A$10001)*(2=[2]SalmonProps!$C$2:$C$10001)*(3=[2]SalmonProps!$D$2:$D$10001)*("A1" = [2]SalmonProps!$B$2:$B$10001)*($AP122 = [2]SalmonProps!$F$2:$F$10001) *($AR122 = [2]SalmonProps!$G$2:$G$10001),0), 19))</f>
        <v/>
      </c>
      <c r="N122" s="181" t="str" cm="1">
        <f t="array" ref="N122">IF(ISBLANK($AQ122), "", INDEX([2]SalmonProps!$A$2:$AA$10001,MATCH(1,($A122=[2]SalmonProps!$A$2:$A$10001)*(3=[2]SalmonProps!$C$2:$C$10001)*(3=[2]SalmonProps!$D$2:$D$10001)*("A1" = [2]SalmonProps!$B$2:$B$10001)*($AP122 = [2]SalmonProps!$F$2:$F$10001) *($AR122 = [2]SalmonProps!$G$2:$G$10001),0), 19))</f>
        <v/>
      </c>
      <c r="O122" s="165" t="str" cm="1">
        <f t="array" ref="O122">IF(ISBLANK($AQ122), "", INDEX([2]SalmonProps!$A$2:$AA$10001,MATCH(1,($A122=[2]SalmonProps!$A$2:$A$10001)*(1=[2]SalmonProps!$C$2:$C$10001)*(1=[2]SalmonProps!$D$2:$D$10001)*("A2" = [2]SalmonProps!$B$2:$B$10001)*($AP122 = [2]SalmonProps!$F$2:$F$10001) *($AR122 = [2]SalmonProps!$G$2:$G$10001),0), 19))</f>
        <v/>
      </c>
      <c r="P122" s="165" t="str" cm="1">
        <f t="array" ref="P122">IF(ISBLANK($AQ122), "", INDEX([2]SalmonProps!$A$2:$AA$10001,MATCH(1,($A122=[2]SalmonProps!$A$2:$A$10001)*(2=[2]SalmonProps!$C$2:$C$10001)*(1=[2]SalmonProps!$D$2:$D$10001)*("A2" = [2]SalmonProps!$B$2:$B$10001)*($AP122 = [2]SalmonProps!$F$2:$F$10001) *($AR122 = [2]SalmonProps!$G$2:$G$10001),0), 19))</f>
        <v/>
      </c>
      <c r="Q122" s="168" t="str" cm="1">
        <f t="array" ref="Q122">IF(ISBLANK($AQ122), "", INDEX([2]SalmonProps!$A$2:$AA$10001,MATCH(1,($A122=[2]SalmonProps!$A$2:$A$10001)*(3=[2]SalmonProps!$C$2:$C$10001)*(1=[2]SalmonProps!$D$2:$D$10001)*("A2" = [2]SalmonProps!$B$2:$B$10001)*($AP122 = [2]SalmonProps!$F$2:$F$10001) *($AR122 = [2]SalmonProps!$G$2:$G$10001),0), 19))</f>
        <v/>
      </c>
      <c r="R122" s="164" t="str" cm="1">
        <f t="array" ref="R122">IF(ISBLANK($AQ122), "", INDEX([2]SalmonProps!$A$2:$AA$10001,MATCH(1,($A122=[2]SalmonProps!$A$2:$A$10001)*(1=[2]SalmonProps!$C$2:$C$10001)*(1=[2]SalmonProps!$D$2:$D$10001)*("A1" = [2]SalmonProps!$B$2:$B$10001)*($AP122 = [2]SalmonProps!$F$2:$F$10001) *($AR122 = [2]SalmonProps!$G$2:$G$10001),0), 18))</f>
        <v/>
      </c>
      <c r="S122" s="165" t="str" cm="1">
        <f t="array" ref="S122">IF(ISBLANK($AQ122), "", INDEX([2]SalmonProps!$A$2:$AA$10001,MATCH(1,($A122=[2]SalmonProps!$A$2:$A$10001)*(1=[2]SalmonProps!$C$2:$C$10001)*(2=[2]SalmonProps!$D$2:$D$10001)*("A1" = [2]SalmonProps!$B$2:$B$10001)*($AP122 = [2]SalmonProps!$F$2:$F$10001) *($AR122 = [2]SalmonProps!$G$2:$G$10001),0), 18))</f>
        <v/>
      </c>
      <c r="T122" s="165" t="str" cm="1">
        <f t="array" ref="T122">IF(ISBLANK($AQ122), "", INDEX([2]SalmonProps!$A$2:$AA$10001,MATCH(1,($A122=[2]SalmonProps!$A$2:$A$10001)*(1=[2]SalmonProps!$C$2:$C$10001)*("1&amp;2"=[2]SalmonProps!$D$2:$D$10001)*("A1" = [2]SalmonProps!$B$2:$B$10001)*($AP122 = [2]SalmonProps!$F$2:$F$10001) *($AR122 = [2]SalmonProps!$G$2:$G$10001),0), 18))</f>
        <v/>
      </c>
      <c r="U122" s="165" t="str" cm="1">
        <f t="array" ref="U122">IF(ISBLANK($AQ122), "", INDEX([2]SalmonProps!$A$2:$AA$10001,MATCH(1,($A122=[2]SalmonProps!$A$2:$A$10001)*(2=[2]SalmonProps!$C$2:$C$10001)*(3=[2]SalmonProps!$D$2:$D$10001)*("A1" = [2]SalmonProps!$B$2:$B$10001)*($AP122 = [2]SalmonProps!$F$2:$F$10001) *($AR122 = [2]SalmonProps!$G$2:$G$10001),0), 18))</f>
        <v/>
      </c>
      <c r="V122" s="181" t="str" cm="1">
        <f t="array" ref="V122">IF(ISBLANK($AQ122), "", INDEX([2]SalmonProps!$A$2:$AA$10001,MATCH(1,($A122=[2]SalmonProps!$A$2:$A$10001)*(3=[2]SalmonProps!$C$2:$C$10001)*(3=[2]SalmonProps!$D$2:$D$10001)*("A1" = [2]SalmonProps!$B$2:$B$10001)*($AP122 = [2]SalmonProps!$F$2:$F$10001) *($AR122 = [2]SalmonProps!$G$2:$G$10001),0), 18))</f>
        <v/>
      </c>
      <c r="W122" s="180" t="str" cm="1">
        <f t="array" ref="W122">IF(ISBLANK($AQ122), "", INDEX([2]SalmonProps!$A$2:$AA$10001,MATCH(1,($A122=[2]SalmonProps!$A$2:$A$10001)*(1=[2]SalmonProps!$C$2:$C$10001)*(1=[2]SalmonProps!$D$2:$D$10001)*("A2" = [2]SalmonProps!$B$2:$B$10001)*($AP122 = [2]SalmonProps!$F$2:$F$10001) *($AR122 = [2]SalmonProps!$G$2:$G$10001),0), 18))</f>
        <v/>
      </c>
      <c r="X122" s="165" t="str" cm="1">
        <f t="array" ref="X122">IF(ISBLANK($AQ122), "", INDEX([2]SalmonProps!$A$2:$AA$10001,MATCH(1,($A122=[2]SalmonProps!$A$2:$A$10001)*(2=[2]SalmonProps!$C$2:$C$10001)*(1=[2]SalmonProps!$D$2:$D$10001)*("A2" = [2]SalmonProps!$B$2:$B$10001)*($AP122 = [2]SalmonProps!$F$2:$F$10001) *($AR122 = [2]SalmonProps!$G$2:$G$10001),0), 18))</f>
        <v/>
      </c>
      <c r="Y122" s="168" t="str" cm="1">
        <f t="array" ref="Y122">IF(ISBLANK($AQ122), "", INDEX([2]SalmonProps!$A$2:$AA$10001,MATCH(1,($A122=[2]SalmonProps!$A$2:$A$10001)*(3=[2]SalmonProps!$C$2:$C$10001)*(1=[2]SalmonProps!$D$2:$D$10001)*("A2" = [2]SalmonProps!$B$2:$B$10001)*($AP122 = [2]SalmonProps!$F$2:$F$10001) *($AR122 = [2]SalmonProps!$G$2:$G$10001),0), 18))</f>
        <v/>
      </c>
      <c r="Z122" s="164" t="str" cm="1">
        <f t="array" ref="Z122">IF(ISBLANK($AQ122), "", INDEX([2]SalmonProps!$A$2:$AA$10001,MATCH(1,($A122=[2]SalmonProps!$A$2:$A$10001)*(1=[2]SalmonProps!$C$2:$C$10001)*(1=[2]SalmonProps!$D$2:$D$10001)*("A1" = [2]SalmonProps!$B$2:$B$10001)*($AP122 = [2]SalmonProps!$F$2:$F$10001) *($AR122 = [2]SalmonProps!$G$2:$G$10001),0), 15))</f>
        <v/>
      </c>
      <c r="AA122" s="165" t="str" cm="1">
        <f t="array" ref="AA122">IF(ISBLANK($AQ122), "", INDEX([2]SalmonProps!$A$2:$AA$10001,MATCH(1,($A122=[2]SalmonProps!$A$2:$A$10001)*(1=[2]SalmonProps!$C$2:$C$10001)*(2=[2]SalmonProps!$D$2:$D$10001)*("A1" = [2]SalmonProps!$B$2:$B$10001)*($AP122 = [2]SalmonProps!$F$2:$F$10001) *($AR122 = [2]SalmonProps!$G$2:$G$10001),0), 15))</f>
        <v/>
      </c>
      <c r="AB122" s="165" t="str" cm="1">
        <f t="array" ref="AB122">IF(ISBLANK($AQ122), "", INDEX([2]SalmonProps!$A$2:$AA$10001,MATCH(1,($A122=[2]SalmonProps!$A$2:$A$10001)*(1=[2]SalmonProps!$C$2:$C$10001)*("1&amp;2"=[2]SalmonProps!$D$2:$D$10001)*("A1" = [2]SalmonProps!$B$2:$B$10001)*($AP122 = [2]SalmonProps!$F$2:$F$10001) *($AR122 = [2]SalmonProps!$G$2:$G$10001),0), 15))</f>
        <v/>
      </c>
      <c r="AC122" s="165" t="str" cm="1">
        <f t="array" ref="AC122">IF(ISBLANK($AQ122), "", INDEX([2]SalmonProps!$A$2:$AA$10001,MATCH(1,($A122=[2]SalmonProps!$A$2:$A$10001)*(2=[2]SalmonProps!$C$2:$C$10001)*(3=[2]SalmonProps!$D$2:$D$10001)*("A1" = [2]SalmonProps!$B$2:$B$10001)*($AP122 = [2]SalmonProps!$F$2:$F$10001) *($AR122 = [2]SalmonProps!$G$2:$G$10001),0), 15))</f>
        <v/>
      </c>
      <c r="AD122" s="181" t="str" cm="1">
        <f t="array" ref="AD122">IF(ISBLANK($AQ122), "", INDEX([2]SalmonProps!$A$2:$AA$10001,MATCH(1,($A122=[2]SalmonProps!$A$2:$A$10001)*(3=[2]SalmonProps!$C$2:$C$10001)*(3=[2]SalmonProps!$D$2:$D$10001)*("A1" = [2]SalmonProps!$B$2:$B$10001)*($AP122 = [2]SalmonProps!$F$2:$F$10001) *($AR122 = [2]SalmonProps!$G$2:$G$10001),0), 15))</f>
        <v/>
      </c>
      <c r="AE122" s="166" t="str" cm="1">
        <f t="array" ref="AE122">IF(ISBLANK($AQ122), "", INDEX([2]SalmonProps!$A$2:$AA$10001,MATCH(1,($A122=[2]SalmonProps!$A$2:$A$10001)*(1=[2]SalmonProps!$C$2:$C$10001)*(1=[2]SalmonProps!$D$2:$D$10001)*("A2" = [2]SalmonProps!$B$2:$B$10001)*($AP122 = [2]SalmonProps!$F$2:$F$10001) *($AR122 = [2]SalmonProps!$G$2:$G$10001),0), 15))</f>
        <v/>
      </c>
      <c r="AF122" s="166" t="str" cm="1">
        <f t="array" ref="AF122">IF(ISBLANK($AQ122), "", INDEX([2]SalmonProps!$A$2:$AA$10001,MATCH(1,($A122=[2]SalmonProps!$A$2:$A$10001)*(2=[2]SalmonProps!$C$2:$C$10001)*(1=[2]SalmonProps!$D$2:$D$10001)*("A2" = [2]SalmonProps!$B$2:$B$10001)*($AP122 = [2]SalmonProps!$F$2:$F$10001) *($AR122 = [2]SalmonProps!$G$2:$G$10001),0), 15))</f>
        <v/>
      </c>
      <c r="AG122" s="167" t="str" cm="1">
        <f t="array" ref="AG122">IF(ISBLANK($AQ122), "", INDEX([2]SalmonProps!$A$2:$AA$10001,MATCH(1,($A122=[2]SalmonProps!$A$2:$A$10001)*(3=[2]SalmonProps!$C$2:$C$10001)*(1=[2]SalmonProps!$D$2:$D$10001)*("A2" = [2]SalmonProps!$B$2:$B$10001)*($AP122 = [2]SalmonProps!$F$2:$F$10001) *($AR122 = [2]SalmonProps!$G$2:$G$10001),0), 15))</f>
        <v/>
      </c>
      <c r="AH122" s="173" t="str" cm="1">
        <f t="array" ref="AH122">IF(ISBLANK($AQ122), "", INDEX([2]SalmonProps!$A$2:$AA$10001,MATCH(1,($A122=[2]SalmonProps!$A$2:$A$10001)*($AP122 = [2]SalmonProps!$F$2:$F$10001) *($AR122 = [2]SalmonProps!$G$2:$G$10001),0), 24))</f>
        <v/>
      </c>
      <c r="AI122" s="183" t="str" cm="1">
        <f t="array" ref="AI122">IF(ISBLANK($AQ122), "", INDEX([2]SalmonProps!$A$2:$AA$10001,MATCH(1,($A122=[2]SalmonProps!$A$2:$A$10001)*($AP122 = [2]SalmonProps!$F$2:$F$10001) *($AR122 = [2]SalmonProps!$G$2:$G$10001),0), 25))</f>
        <v/>
      </c>
      <c r="AJ122" s="174" t="str" cm="1">
        <f t="array" ref="AJ122">IF(ISBLANK($AQ122), "", INDEX([2]SalmonProps!$A$2:$AA$10001,MATCH(1,($A122=[2]SalmonProps!$A$2:$A$10001)*($AP122 = [2]SalmonProps!$F$2:$F$10001) *($AR122 = [2]SalmonProps!$G$2:$G$10001),0), 20))</f>
        <v/>
      </c>
      <c r="AK122" s="183" t="str" cm="1">
        <f t="array" ref="AK122">IF(ISBLANK($AQ122), "", INDEX([2]SalmonProps!$A$2:$AA$10001,MATCH(1,($A122=[2]SalmonProps!$A$2:$A$10001)*($AP122 = [2]SalmonProps!$F$2:$F$10001) *($AR122 = [2]SalmonProps!$G$2:$G$10001),0), 21))</f>
        <v/>
      </c>
      <c r="AL122" s="174" t="str" cm="1">
        <f t="array" ref="AL122">IF(ISBLANK($AQ122), "", INDEX([2]SalmonProps!$A$2:$AA$10001,MATCH(1,($A122=[2]SalmonProps!$A$2:$A$10001)*($AP122 = [2]SalmonProps!$F$2:$F$10001) *($AR122 = [2]SalmonProps!$G$2:$G$10001),0), 22))</f>
        <v/>
      </c>
      <c r="AM122" s="183" t="str" cm="1">
        <f t="array" ref="AM122">IF(ISBLANK($AQ122), "", INDEX([2]SalmonProps!$A$2:$AA$10001,MATCH(1,($A122=[2]SalmonProps!$A$2:$A$10001)*($AP122 = [2]SalmonProps!$F$2:$F$10001) *($AR122 = [2]SalmonProps!$G$2:$G$10001),0), 23))</f>
        <v/>
      </c>
      <c r="AN122" s="174" t="str" cm="1">
        <f t="array" ref="AN122">IF(ISBLANK($AQ122), "", INDEX([2]SalmonProps!$A$2:$AA$10001,MATCH(1,($A122=[2]SalmonProps!$A$2:$A$10001)*($AP122 = [2]SalmonProps!$F$2:$F$10001) *($AR122 = [2]SalmonProps!$G$2:$G$10001),0), 26))</f>
        <v/>
      </c>
      <c r="AO122" s="175" t="str" cm="1">
        <f t="array" ref="AO122">IF(ISBLANK($AQ122), "", INDEX([2]SalmonProps!$A$2:$AA$10001,MATCH(1,($A122=[2]SalmonProps!$A$2:$A$10001)*($AP122 = [2]SalmonProps!$F$2:$F$10001) *($AR122 = [2]SalmonProps!$G$2:$G$10001),0), 27))</f>
        <v/>
      </c>
      <c r="AP122" s="112"/>
      <c r="AQ122" s="112"/>
      <c r="AR122" s="112" t="e">
        <f t="shared" si="2"/>
        <v>#N/A</v>
      </c>
    </row>
    <row r="123" spans="1:44" x14ac:dyDescent="0.3">
      <c r="A123" s="20">
        <f>'[1]Passage Estimates'!$A123</f>
        <v>45225</v>
      </c>
      <c r="B123" s="164" t="str" cm="1">
        <f t="array" ref="B123">IF(ISBLANK($AQ123), "", INDEX([2]SalmonProps!$A$2:$AA$10001,MATCH(1,($A123=[2]SalmonProps!$A$2:$A$10001)*(1=[2]SalmonProps!$C$2:$C$10001)*(1=[2]SalmonProps!$D$2:$D$10001)*("A1" = [2]SalmonProps!$B$2:$B$10001)*($AP123 = [2]SalmonProps!$F$2:$F$10001) *($AR123 = [2]SalmonProps!$G$2:$G$10001),0), 17))</f>
        <v/>
      </c>
      <c r="C123" s="165" t="str" cm="1">
        <f t="array" ref="C123">IF(ISBLANK($AQ123), "", INDEX([2]SalmonProps!$A$2:$AA$10001,MATCH(1,($A123=[2]SalmonProps!$A$2:$A$10001)*(1=[2]SalmonProps!$C$2:$C$10001)*(2=[2]SalmonProps!$D$2:$D$10001)*("A1" = [2]SalmonProps!$B$2:$B$10001)*($AP123 = [2]SalmonProps!$F$2:$F$10001) *($AR123 = [2]SalmonProps!$G$2:$G$10001),0), 17))</f>
        <v/>
      </c>
      <c r="D123" s="165" t="str" cm="1">
        <f t="array" ref="D123">IF(ISBLANK($AQ123), "", INDEX([2]SalmonProps!$A$2:$AA$10001,MATCH(1,($A123=[2]SalmonProps!$A$2:$A$10001)*(1=[2]SalmonProps!$C$2:$C$10001)*("1&amp;2"=[2]SalmonProps!$D$2:$D$10001)*("A1" = [2]SalmonProps!$B$2:$B$10001)*($AP123 = [2]SalmonProps!$F$2:$F$10001) *($AR123 = [2]SalmonProps!$G$2:$G$10001),0), 17))</f>
        <v/>
      </c>
      <c r="E123" s="181" t="str" cm="1">
        <f t="array" ref="E123">IF(ISBLANK($AQ123), "", INDEX([2]SalmonProps!$A$2:$AA$10001,MATCH(1,($A123=[2]SalmonProps!$A$2:$A$10001)*(2=[2]SalmonProps!$C$2:$C$10001)*(3=[2]SalmonProps!$D$2:$D$10001)*("A1" = [2]SalmonProps!$B$2:$B$10001)*($AP123 = [2]SalmonProps!$F$2:$F$10001) *($AR123 = [2]SalmonProps!$G$2:$G$10001),0), 17))</f>
        <v/>
      </c>
      <c r="F123" s="165" t="str" cm="1">
        <f t="array" ref="F123">IF(ISBLANK($AQ123), "", INDEX([2]SalmonProps!$A$2:$AA$10001,MATCH(1,($A123=[2]SalmonProps!$A$2:$A$10001)*(3=[2]SalmonProps!$C$2:$C$10001)*(3=[2]SalmonProps!$D$2:$D$10001)*("A1" = [2]SalmonProps!$B$2:$B$10001)*($AP123 = [2]SalmonProps!$F$2:$F$10001) *($AR123 = [2]SalmonProps!$G$2:$G$10001),0), 17))</f>
        <v/>
      </c>
      <c r="G123" s="165" t="str" cm="1">
        <f t="array" ref="G123">IF(ISBLANK($AQ123), "", INDEX([2]SalmonProps!$A$2:$AA$10001,MATCH(1,($A123=[2]SalmonProps!$A$2:$A$10001)*(1=[2]SalmonProps!$C$2:$C$10001)*(1=[2]SalmonProps!$D$2:$D$10001)*("A2" = [2]SalmonProps!$B$2:$B$10001)*($AP123 = [2]SalmonProps!$F$2:$F$10001) *($AR123 = [2]SalmonProps!$G$2:$G$10001),0), 17))</f>
        <v/>
      </c>
      <c r="H123" s="166" t="str" cm="1">
        <f t="array" ref="H123">IF(ISBLANK($AQ123), "", INDEX([2]SalmonProps!$A$2:$AA$10001,MATCH(1,($A123=[2]SalmonProps!$A$2:$A$10001)*(2=[2]SalmonProps!$C$2:$C$10001)*(1=[2]SalmonProps!$D$2:$D$10001)*("A2" = [2]SalmonProps!$B$2:$B$10001)*($AP123 = [2]SalmonProps!$F$2:$F$10001) *($AR123 = [2]SalmonProps!$G$2:$G$10001),0), 17))</f>
        <v/>
      </c>
      <c r="I123" s="167" t="str" cm="1">
        <f t="array" ref="I123">IF(ISBLANK($AQ123), "", INDEX([2]SalmonProps!$A$2:$AA$10001,MATCH(1,($A123=[2]SalmonProps!$A$2:$A$10001)*(3=[2]SalmonProps!$C$2:$C$10001)*(1=[2]SalmonProps!$D$2:$D$10001)*("A2" = [2]SalmonProps!$B$2:$B$10001)*($AP123 = [2]SalmonProps!$F$2:$F$10001) *($AR123 = [2]SalmonProps!$G$2:$G$10001),0), 17))</f>
        <v/>
      </c>
      <c r="J123" s="164" t="str" cm="1">
        <f t="array" ref="J123">IF(ISBLANK($AQ123), "", INDEX([2]SalmonProps!$A$2:$AA$10001,MATCH(1,($A123=[2]SalmonProps!$A$2:$A$10001)*(1=[2]SalmonProps!$C$2:$C$10001)*(1=[2]SalmonProps!$D$2:$D$10001)*("A1" = [2]SalmonProps!$B$2:$B$10001)*($AP123 = [2]SalmonProps!$F$2:$F$10001) *($AR123 = [2]SalmonProps!$G$2:$G$10001),0), 19))</f>
        <v/>
      </c>
      <c r="K123" s="165" t="str" cm="1">
        <f t="array" ref="K123">IF(ISBLANK($AQ123), "", INDEX([2]SalmonProps!$A$2:$AA$10001,MATCH(1,($A123=[2]SalmonProps!$A$2:$A$10001)*(1=[2]SalmonProps!$C$2:$C$10001)*(2=[2]SalmonProps!$D$2:$D$10001)*("A1" = [2]SalmonProps!$B$2:$B$10001)*($AP123 = [2]SalmonProps!$F$2:$F$10001) *($AR123 = [2]SalmonProps!$G$2:$G$10001),0), 19))</f>
        <v/>
      </c>
      <c r="L123" s="165" t="str" cm="1">
        <f t="array" ref="L123">IF(ISBLANK($AQ123), "", INDEX([2]SalmonProps!$A$2:$AA$10001,MATCH(1,($A123=[2]SalmonProps!$A$2:$A$10001)*(1=[2]SalmonProps!$C$2:$C$10001)*("1&amp;2"=[2]SalmonProps!$D$2:$D$10001)*("A1" = [2]SalmonProps!$B$2:$B$10001)*($AP123 = [2]SalmonProps!$F$2:$F$10001) *($AR123 = [2]SalmonProps!$G$2:$G$10001),0), 19))</f>
        <v/>
      </c>
      <c r="M123" s="165" t="str" cm="1">
        <f t="array" ref="M123">IF(ISBLANK($AQ123), "", INDEX([2]SalmonProps!$A$2:$AA$10001,MATCH(1,($A123=[2]SalmonProps!$A$2:$A$10001)*(2=[2]SalmonProps!$C$2:$C$10001)*(3=[2]SalmonProps!$D$2:$D$10001)*("A1" = [2]SalmonProps!$B$2:$B$10001)*($AP123 = [2]SalmonProps!$F$2:$F$10001) *($AR123 = [2]SalmonProps!$G$2:$G$10001),0), 19))</f>
        <v/>
      </c>
      <c r="N123" s="181" t="str" cm="1">
        <f t="array" ref="N123">IF(ISBLANK($AQ123), "", INDEX([2]SalmonProps!$A$2:$AA$10001,MATCH(1,($A123=[2]SalmonProps!$A$2:$A$10001)*(3=[2]SalmonProps!$C$2:$C$10001)*(3=[2]SalmonProps!$D$2:$D$10001)*("A1" = [2]SalmonProps!$B$2:$B$10001)*($AP123 = [2]SalmonProps!$F$2:$F$10001) *($AR123 = [2]SalmonProps!$G$2:$G$10001),0), 19))</f>
        <v/>
      </c>
      <c r="O123" s="165" t="str" cm="1">
        <f t="array" ref="O123">IF(ISBLANK($AQ123), "", INDEX([2]SalmonProps!$A$2:$AA$10001,MATCH(1,($A123=[2]SalmonProps!$A$2:$A$10001)*(1=[2]SalmonProps!$C$2:$C$10001)*(1=[2]SalmonProps!$D$2:$D$10001)*("A2" = [2]SalmonProps!$B$2:$B$10001)*($AP123 = [2]SalmonProps!$F$2:$F$10001) *($AR123 = [2]SalmonProps!$G$2:$G$10001),0), 19))</f>
        <v/>
      </c>
      <c r="P123" s="165" t="str" cm="1">
        <f t="array" ref="P123">IF(ISBLANK($AQ123), "", INDEX([2]SalmonProps!$A$2:$AA$10001,MATCH(1,($A123=[2]SalmonProps!$A$2:$A$10001)*(2=[2]SalmonProps!$C$2:$C$10001)*(1=[2]SalmonProps!$D$2:$D$10001)*("A2" = [2]SalmonProps!$B$2:$B$10001)*($AP123 = [2]SalmonProps!$F$2:$F$10001) *($AR123 = [2]SalmonProps!$G$2:$G$10001),0), 19))</f>
        <v/>
      </c>
      <c r="Q123" s="168" t="str" cm="1">
        <f t="array" ref="Q123">IF(ISBLANK($AQ123), "", INDEX([2]SalmonProps!$A$2:$AA$10001,MATCH(1,($A123=[2]SalmonProps!$A$2:$A$10001)*(3=[2]SalmonProps!$C$2:$C$10001)*(1=[2]SalmonProps!$D$2:$D$10001)*("A2" = [2]SalmonProps!$B$2:$B$10001)*($AP123 = [2]SalmonProps!$F$2:$F$10001) *($AR123 = [2]SalmonProps!$G$2:$G$10001),0), 19))</f>
        <v/>
      </c>
      <c r="R123" s="164" t="str" cm="1">
        <f t="array" ref="R123">IF(ISBLANK($AQ123), "", INDEX([2]SalmonProps!$A$2:$AA$10001,MATCH(1,($A123=[2]SalmonProps!$A$2:$A$10001)*(1=[2]SalmonProps!$C$2:$C$10001)*(1=[2]SalmonProps!$D$2:$D$10001)*("A1" = [2]SalmonProps!$B$2:$B$10001)*($AP123 = [2]SalmonProps!$F$2:$F$10001) *($AR123 = [2]SalmonProps!$G$2:$G$10001),0), 18))</f>
        <v/>
      </c>
      <c r="S123" s="165" t="str" cm="1">
        <f t="array" ref="S123">IF(ISBLANK($AQ123), "", INDEX([2]SalmonProps!$A$2:$AA$10001,MATCH(1,($A123=[2]SalmonProps!$A$2:$A$10001)*(1=[2]SalmonProps!$C$2:$C$10001)*(2=[2]SalmonProps!$D$2:$D$10001)*("A1" = [2]SalmonProps!$B$2:$B$10001)*($AP123 = [2]SalmonProps!$F$2:$F$10001) *($AR123 = [2]SalmonProps!$G$2:$G$10001),0), 18))</f>
        <v/>
      </c>
      <c r="T123" s="165" t="str" cm="1">
        <f t="array" ref="T123">IF(ISBLANK($AQ123), "", INDEX([2]SalmonProps!$A$2:$AA$10001,MATCH(1,($A123=[2]SalmonProps!$A$2:$A$10001)*(1=[2]SalmonProps!$C$2:$C$10001)*("1&amp;2"=[2]SalmonProps!$D$2:$D$10001)*("A1" = [2]SalmonProps!$B$2:$B$10001)*($AP123 = [2]SalmonProps!$F$2:$F$10001) *($AR123 = [2]SalmonProps!$G$2:$G$10001),0), 18))</f>
        <v/>
      </c>
      <c r="U123" s="165" t="str" cm="1">
        <f t="array" ref="U123">IF(ISBLANK($AQ123), "", INDEX([2]SalmonProps!$A$2:$AA$10001,MATCH(1,($A123=[2]SalmonProps!$A$2:$A$10001)*(2=[2]SalmonProps!$C$2:$C$10001)*(3=[2]SalmonProps!$D$2:$D$10001)*("A1" = [2]SalmonProps!$B$2:$B$10001)*($AP123 = [2]SalmonProps!$F$2:$F$10001) *($AR123 = [2]SalmonProps!$G$2:$G$10001),0), 18))</f>
        <v/>
      </c>
      <c r="V123" s="181" t="str" cm="1">
        <f t="array" ref="V123">IF(ISBLANK($AQ123), "", INDEX([2]SalmonProps!$A$2:$AA$10001,MATCH(1,($A123=[2]SalmonProps!$A$2:$A$10001)*(3=[2]SalmonProps!$C$2:$C$10001)*(3=[2]SalmonProps!$D$2:$D$10001)*("A1" = [2]SalmonProps!$B$2:$B$10001)*($AP123 = [2]SalmonProps!$F$2:$F$10001) *($AR123 = [2]SalmonProps!$G$2:$G$10001),0), 18))</f>
        <v/>
      </c>
      <c r="W123" s="180" t="str" cm="1">
        <f t="array" ref="W123">IF(ISBLANK($AQ123), "", INDEX([2]SalmonProps!$A$2:$AA$10001,MATCH(1,($A123=[2]SalmonProps!$A$2:$A$10001)*(1=[2]SalmonProps!$C$2:$C$10001)*(1=[2]SalmonProps!$D$2:$D$10001)*("A2" = [2]SalmonProps!$B$2:$B$10001)*($AP123 = [2]SalmonProps!$F$2:$F$10001) *($AR123 = [2]SalmonProps!$G$2:$G$10001),0), 18))</f>
        <v/>
      </c>
      <c r="X123" s="165" t="str" cm="1">
        <f t="array" ref="X123">IF(ISBLANK($AQ123), "", INDEX([2]SalmonProps!$A$2:$AA$10001,MATCH(1,($A123=[2]SalmonProps!$A$2:$A$10001)*(2=[2]SalmonProps!$C$2:$C$10001)*(1=[2]SalmonProps!$D$2:$D$10001)*("A2" = [2]SalmonProps!$B$2:$B$10001)*($AP123 = [2]SalmonProps!$F$2:$F$10001) *($AR123 = [2]SalmonProps!$G$2:$G$10001),0), 18))</f>
        <v/>
      </c>
      <c r="Y123" s="168" t="str" cm="1">
        <f t="array" ref="Y123">IF(ISBLANK($AQ123), "", INDEX([2]SalmonProps!$A$2:$AA$10001,MATCH(1,($A123=[2]SalmonProps!$A$2:$A$10001)*(3=[2]SalmonProps!$C$2:$C$10001)*(1=[2]SalmonProps!$D$2:$D$10001)*("A2" = [2]SalmonProps!$B$2:$B$10001)*($AP123 = [2]SalmonProps!$F$2:$F$10001) *($AR123 = [2]SalmonProps!$G$2:$G$10001),0), 18))</f>
        <v/>
      </c>
      <c r="Z123" s="164" t="str" cm="1">
        <f t="array" ref="Z123">IF(ISBLANK($AQ123), "", INDEX([2]SalmonProps!$A$2:$AA$10001,MATCH(1,($A123=[2]SalmonProps!$A$2:$A$10001)*(1=[2]SalmonProps!$C$2:$C$10001)*(1=[2]SalmonProps!$D$2:$D$10001)*("A1" = [2]SalmonProps!$B$2:$B$10001)*($AP123 = [2]SalmonProps!$F$2:$F$10001) *($AR123 = [2]SalmonProps!$G$2:$G$10001),0), 15))</f>
        <v/>
      </c>
      <c r="AA123" s="165" t="str" cm="1">
        <f t="array" ref="AA123">IF(ISBLANK($AQ123), "", INDEX([2]SalmonProps!$A$2:$AA$10001,MATCH(1,($A123=[2]SalmonProps!$A$2:$A$10001)*(1=[2]SalmonProps!$C$2:$C$10001)*(2=[2]SalmonProps!$D$2:$D$10001)*("A1" = [2]SalmonProps!$B$2:$B$10001)*($AP123 = [2]SalmonProps!$F$2:$F$10001) *($AR123 = [2]SalmonProps!$G$2:$G$10001),0), 15))</f>
        <v/>
      </c>
      <c r="AB123" s="165" t="str" cm="1">
        <f t="array" ref="AB123">IF(ISBLANK($AQ123), "", INDEX([2]SalmonProps!$A$2:$AA$10001,MATCH(1,($A123=[2]SalmonProps!$A$2:$A$10001)*(1=[2]SalmonProps!$C$2:$C$10001)*("1&amp;2"=[2]SalmonProps!$D$2:$D$10001)*("A1" = [2]SalmonProps!$B$2:$B$10001)*($AP123 = [2]SalmonProps!$F$2:$F$10001) *($AR123 = [2]SalmonProps!$G$2:$G$10001),0), 15))</f>
        <v/>
      </c>
      <c r="AC123" s="165" t="str" cm="1">
        <f t="array" ref="AC123">IF(ISBLANK($AQ123), "", INDEX([2]SalmonProps!$A$2:$AA$10001,MATCH(1,($A123=[2]SalmonProps!$A$2:$A$10001)*(2=[2]SalmonProps!$C$2:$C$10001)*(3=[2]SalmonProps!$D$2:$D$10001)*("A1" = [2]SalmonProps!$B$2:$B$10001)*($AP123 = [2]SalmonProps!$F$2:$F$10001) *($AR123 = [2]SalmonProps!$G$2:$G$10001),0), 15))</f>
        <v/>
      </c>
      <c r="AD123" s="181" t="str" cm="1">
        <f t="array" ref="AD123">IF(ISBLANK($AQ123), "", INDEX([2]SalmonProps!$A$2:$AA$10001,MATCH(1,($A123=[2]SalmonProps!$A$2:$A$10001)*(3=[2]SalmonProps!$C$2:$C$10001)*(3=[2]SalmonProps!$D$2:$D$10001)*("A1" = [2]SalmonProps!$B$2:$B$10001)*($AP123 = [2]SalmonProps!$F$2:$F$10001) *($AR123 = [2]SalmonProps!$G$2:$G$10001),0), 15))</f>
        <v/>
      </c>
      <c r="AE123" s="166" t="str" cm="1">
        <f t="array" ref="AE123">IF(ISBLANK($AQ123), "", INDEX([2]SalmonProps!$A$2:$AA$10001,MATCH(1,($A123=[2]SalmonProps!$A$2:$A$10001)*(1=[2]SalmonProps!$C$2:$C$10001)*(1=[2]SalmonProps!$D$2:$D$10001)*("A2" = [2]SalmonProps!$B$2:$B$10001)*($AP123 = [2]SalmonProps!$F$2:$F$10001) *($AR123 = [2]SalmonProps!$G$2:$G$10001),0), 15))</f>
        <v/>
      </c>
      <c r="AF123" s="166" t="str" cm="1">
        <f t="array" ref="AF123">IF(ISBLANK($AQ123), "", INDEX([2]SalmonProps!$A$2:$AA$10001,MATCH(1,($A123=[2]SalmonProps!$A$2:$A$10001)*(2=[2]SalmonProps!$C$2:$C$10001)*(1=[2]SalmonProps!$D$2:$D$10001)*("A2" = [2]SalmonProps!$B$2:$B$10001)*($AP123 = [2]SalmonProps!$F$2:$F$10001) *($AR123 = [2]SalmonProps!$G$2:$G$10001),0), 15))</f>
        <v/>
      </c>
      <c r="AG123" s="167" t="str" cm="1">
        <f t="array" ref="AG123">IF(ISBLANK($AQ123), "", INDEX([2]SalmonProps!$A$2:$AA$10001,MATCH(1,($A123=[2]SalmonProps!$A$2:$A$10001)*(3=[2]SalmonProps!$C$2:$C$10001)*(1=[2]SalmonProps!$D$2:$D$10001)*("A2" = [2]SalmonProps!$B$2:$B$10001)*($AP123 = [2]SalmonProps!$F$2:$F$10001) *($AR123 = [2]SalmonProps!$G$2:$G$10001),0), 15))</f>
        <v/>
      </c>
      <c r="AH123" s="173" t="str" cm="1">
        <f t="array" ref="AH123">IF(ISBLANK($AQ123), "", INDEX([2]SalmonProps!$A$2:$AA$10001,MATCH(1,($A123=[2]SalmonProps!$A$2:$A$10001)*($AP123 = [2]SalmonProps!$F$2:$F$10001) *($AR123 = [2]SalmonProps!$G$2:$G$10001),0), 24))</f>
        <v/>
      </c>
      <c r="AI123" s="183" t="str" cm="1">
        <f t="array" ref="AI123">IF(ISBLANK($AQ123), "", INDEX([2]SalmonProps!$A$2:$AA$10001,MATCH(1,($A123=[2]SalmonProps!$A$2:$A$10001)*($AP123 = [2]SalmonProps!$F$2:$F$10001) *($AR123 = [2]SalmonProps!$G$2:$G$10001),0), 25))</f>
        <v/>
      </c>
      <c r="AJ123" s="174" t="str" cm="1">
        <f t="array" ref="AJ123">IF(ISBLANK($AQ123), "", INDEX([2]SalmonProps!$A$2:$AA$10001,MATCH(1,($A123=[2]SalmonProps!$A$2:$A$10001)*($AP123 = [2]SalmonProps!$F$2:$F$10001) *($AR123 = [2]SalmonProps!$G$2:$G$10001),0), 20))</f>
        <v/>
      </c>
      <c r="AK123" s="183" t="str" cm="1">
        <f t="array" ref="AK123">IF(ISBLANK($AQ123), "", INDEX([2]SalmonProps!$A$2:$AA$10001,MATCH(1,($A123=[2]SalmonProps!$A$2:$A$10001)*($AP123 = [2]SalmonProps!$F$2:$F$10001) *($AR123 = [2]SalmonProps!$G$2:$G$10001),0), 21))</f>
        <v/>
      </c>
      <c r="AL123" s="174" t="str" cm="1">
        <f t="array" ref="AL123">IF(ISBLANK($AQ123), "", INDEX([2]SalmonProps!$A$2:$AA$10001,MATCH(1,($A123=[2]SalmonProps!$A$2:$A$10001)*($AP123 = [2]SalmonProps!$F$2:$F$10001) *($AR123 = [2]SalmonProps!$G$2:$G$10001),0), 22))</f>
        <v/>
      </c>
      <c r="AM123" s="183" t="str" cm="1">
        <f t="array" ref="AM123">IF(ISBLANK($AQ123), "", INDEX([2]SalmonProps!$A$2:$AA$10001,MATCH(1,($A123=[2]SalmonProps!$A$2:$A$10001)*($AP123 = [2]SalmonProps!$F$2:$F$10001) *($AR123 = [2]SalmonProps!$G$2:$G$10001),0), 23))</f>
        <v/>
      </c>
      <c r="AN123" s="174" t="str" cm="1">
        <f t="array" ref="AN123">IF(ISBLANK($AQ123), "", INDEX([2]SalmonProps!$A$2:$AA$10001,MATCH(1,($A123=[2]SalmonProps!$A$2:$A$10001)*($AP123 = [2]SalmonProps!$F$2:$F$10001) *($AR123 = [2]SalmonProps!$G$2:$G$10001),0), 26))</f>
        <v/>
      </c>
      <c r="AO123" s="175" t="str" cm="1">
        <f t="array" ref="AO123">IF(ISBLANK($AQ123), "", INDEX([2]SalmonProps!$A$2:$AA$10001,MATCH(1,($A123=[2]SalmonProps!$A$2:$A$10001)*($AP123 = [2]SalmonProps!$F$2:$F$10001) *($AR123 = [2]SalmonProps!$G$2:$G$10001),0), 27))</f>
        <v/>
      </c>
      <c r="AP123" s="112"/>
      <c r="AQ123" s="112"/>
      <c r="AR123" s="112" t="e">
        <f t="shared" si="2"/>
        <v>#N/A</v>
      </c>
    </row>
    <row r="124" spans="1:44" x14ac:dyDescent="0.3">
      <c r="A124" s="20">
        <f>'[1]Passage Estimates'!$A124</f>
        <v>45226</v>
      </c>
      <c r="B124" s="164" t="str" cm="1">
        <f t="array" ref="B124">IF(ISBLANK($AQ124), "", INDEX([2]SalmonProps!$A$2:$AA$10001,MATCH(1,($A124=[2]SalmonProps!$A$2:$A$10001)*(1=[2]SalmonProps!$C$2:$C$10001)*(1=[2]SalmonProps!$D$2:$D$10001)*("A1" = [2]SalmonProps!$B$2:$B$10001)*($AP124 = [2]SalmonProps!$F$2:$F$10001) *($AR124 = [2]SalmonProps!$G$2:$G$10001),0), 17))</f>
        <v/>
      </c>
      <c r="C124" s="165" t="str" cm="1">
        <f t="array" ref="C124">IF(ISBLANK($AQ124), "", INDEX([2]SalmonProps!$A$2:$AA$10001,MATCH(1,($A124=[2]SalmonProps!$A$2:$A$10001)*(1=[2]SalmonProps!$C$2:$C$10001)*(2=[2]SalmonProps!$D$2:$D$10001)*("A1" = [2]SalmonProps!$B$2:$B$10001)*($AP124 = [2]SalmonProps!$F$2:$F$10001) *($AR124 = [2]SalmonProps!$G$2:$G$10001),0), 17))</f>
        <v/>
      </c>
      <c r="D124" s="165" t="str" cm="1">
        <f t="array" ref="D124">IF(ISBLANK($AQ124), "", INDEX([2]SalmonProps!$A$2:$AA$10001,MATCH(1,($A124=[2]SalmonProps!$A$2:$A$10001)*(1=[2]SalmonProps!$C$2:$C$10001)*("1&amp;2"=[2]SalmonProps!$D$2:$D$10001)*("A1" = [2]SalmonProps!$B$2:$B$10001)*($AP124 = [2]SalmonProps!$F$2:$F$10001) *($AR124 = [2]SalmonProps!$G$2:$G$10001),0), 17))</f>
        <v/>
      </c>
      <c r="E124" s="181" t="str" cm="1">
        <f t="array" ref="E124">IF(ISBLANK($AQ124), "", INDEX([2]SalmonProps!$A$2:$AA$10001,MATCH(1,($A124=[2]SalmonProps!$A$2:$A$10001)*(2=[2]SalmonProps!$C$2:$C$10001)*(3=[2]SalmonProps!$D$2:$D$10001)*("A1" = [2]SalmonProps!$B$2:$B$10001)*($AP124 = [2]SalmonProps!$F$2:$F$10001) *($AR124 = [2]SalmonProps!$G$2:$G$10001),0), 17))</f>
        <v/>
      </c>
      <c r="F124" s="165" t="str" cm="1">
        <f t="array" ref="F124">IF(ISBLANK($AQ124), "", INDEX([2]SalmonProps!$A$2:$AA$10001,MATCH(1,($A124=[2]SalmonProps!$A$2:$A$10001)*(3=[2]SalmonProps!$C$2:$C$10001)*(3=[2]SalmonProps!$D$2:$D$10001)*("A1" = [2]SalmonProps!$B$2:$B$10001)*($AP124 = [2]SalmonProps!$F$2:$F$10001) *($AR124 = [2]SalmonProps!$G$2:$G$10001),0), 17))</f>
        <v/>
      </c>
      <c r="G124" s="165" t="str" cm="1">
        <f t="array" ref="G124">IF(ISBLANK($AQ124), "", INDEX([2]SalmonProps!$A$2:$AA$10001,MATCH(1,($A124=[2]SalmonProps!$A$2:$A$10001)*(1=[2]SalmonProps!$C$2:$C$10001)*(1=[2]SalmonProps!$D$2:$D$10001)*("A2" = [2]SalmonProps!$B$2:$B$10001)*($AP124 = [2]SalmonProps!$F$2:$F$10001) *($AR124 = [2]SalmonProps!$G$2:$G$10001),0), 17))</f>
        <v/>
      </c>
      <c r="H124" s="166" t="str" cm="1">
        <f t="array" ref="H124">IF(ISBLANK($AQ124), "", INDEX([2]SalmonProps!$A$2:$AA$10001,MATCH(1,($A124=[2]SalmonProps!$A$2:$A$10001)*(2=[2]SalmonProps!$C$2:$C$10001)*(1=[2]SalmonProps!$D$2:$D$10001)*("A2" = [2]SalmonProps!$B$2:$B$10001)*($AP124 = [2]SalmonProps!$F$2:$F$10001) *($AR124 = [2]SalmonProps!$G$2:$G$10001),0), 17))</f>
        <v/>
      </c>
      <c r="I124" s="167" t="str" cm="1">
        <f t="array" ref="I124">IF(ISBLANK($AQ124), "", INDEX([2]SalmonProps!$A$2:$AA$10001,MATCH(1,($A124=[2]SalmonProps!$A$2:$A$10001)*(3=[2]SalmonProps!$C$2:$C$10001)*(1=[2]SalmonProps!$D$2:$D$10001)*("A2" = [2]SalmonProps!$B$2:$B$10001)*($AP124 = [2]SalmonProps!$F$2:$F$10001) *($AR124 = [2]SalmonProps!$G$2:$G$10001),0), 17))</f>
        <v/>
      </c>
      <c r="J124" s="164" t="str" cm="1">
        <f t="array" ref="J124">IF(ISBLANK($AQ124), "", INDEX([2]SalmonProps!$A$2:$AA$10001,MATCH(1,($A124=[2]SalmonProps!$A$2:$A$10001)*(1=[2]SalmonProps!$C$2:$C$10001)*(1=[2]SalmonProps!$D$2:$D$10001)*("A1" = [2]SalmonProps!$B$2:$B$10001)*($AP124 = [2]SalmonProps!$F$2:$F$10001) *($AR124 = [2]SalmonProps!$G$2:$G$10001),0), 19))</f>
        <v/>
      </c>
      <c r="K124" s="165" t="str" cm="1">
        <f t="array" ref="K124">IF(ISBLANK($AQ124), "", INDEX([2]SalmonProps!$A$2:$AA$10001,MATCH(1,($A124=[2]SalmonProps!$A$2:$A$10001)*(1=[2]SalmonProps!$C$2:$C$10001)*(2=[2]SalmonProps!$D$2:$D$10001)*("A1" = [2]SalmonProps!$B$2:$B$10001)*($AP124 = [2]SalmonProps!$F$2:$F$10001) *($AR124 = [2]SalmonProps!$G$2:$G$10001),0), 19))</f>
        <v/>
      </c>
      <c r="L124" s="165" t="str" cm="1">
        <f t="array" ref="L124">IF(ISBLANK($AQ124), "", INDEX([2]SalmonProps!$A$2:$AA$10001,MATCH(1,($A124=[2]SalmonProps!$A$2:$A$10001)*(1=[2]SalmonProps!$C$2:$C$10001)*("1&amp;2"=[2]SalmonProps!$D$2:$D$10001)*("A1" = [2]SalmonProps!$B$2:$B$10001)*($AP124 = [2]SalmonProps!$F$2:$F$10001) *($AR124 = [2]SalmonProps!$G$2:$G$10001),0), 19))</f>
        <v/>
      </c>
      <c r="M124" s="165" t="str" cm="1">
        <f t="array" ref="M124">IF(ISBLANK($AQ124), "", INDEX([2]SalmonProps!$A$2:$AA$10001,MATCH(1,($A124=[2]SalmonProps!$A$2:$A$10001)*(2=[2]SalmonProps!$C$2:$C$10001)*(3=[2]SalmonProps!$D$2:$D$10001)*("A1" = [2]SalmonProps!$B$2:$B$10001)*($AP124 = [2]SalmonProps!$F$2:$F$10001) *($AR124 = [2]SalmonProps!$G$2:$G$10001),0), 19))</f>
        <v/>
      </c>
      <c r="N124" s="181" t="str" cm="1">
        <f t="array" ref="N124">IF(ISBLANK($AQ124), "", INDEX([2]SalmonProps!$A$2:$AA$10001,MATCH(1,($A124=[2]SalmonProps!$A$2:$A$10001)*(3=[2]SalmonProps!$C$2:$C$10001)*(3=[2]SalmonProps!$D$2:$D$10001)*("A1" = [2]SalmonProps!$B$2:$B$10001)*($AP124 = [2]SalmonProps!$F$2:$F$10001) *($AR124 = [2]SalmonProps!$G$2:$G$10001),0), 19))</f>
        <v/>
      </c>
      <c r="O124" s="165" t="str" cm="1">
        <f t="array" ref="O124">IF(ISBLANK($AQ124), "", INDEX([2]SalmonProps!$A$2:$AA$10001,MATCH(1,($A124=[2]SalmonProps!$A$2:$A$10001)*(1=[2]SalmonProps!$C$2:$C$10001)*(1=[2]SalmonProps!$D$2:$D$10001)*("A2" = [2]SalmonProps!$B$2:$B$10001)*($AP124 = [2]SalmonProps!$F$2:$F$10001) *($AR124 = [2]SalmonProps!$G$2:$G$10001),0), 19))</f>
        <v/>
      </c>
      <c r="P124" s="165" t="str" cm="1">
        <f t="array" ref="P124">IF(ISBLANK($AQ124), "", INDEX([2]SalmonProps!$A$2:$AA$10001,MATCH(1,($A124=[2]SalmonProps!$A$2:$A$10001)*(2=[2]SalmonProps!$C$2:$C$10001)*(1=[2]SalmonProps!$D$2:$D$10001)*("A2" = [2]SalmonProps!$B$2:$B$10001)*($AP124 = [2]SalmonProps!$F$2:$F$10001) *($AR124 = [2]SalmonProps!$G$2:$G$10001),0), 19))</f>
        <v/>
      </c>
      <c r="Q124" s="168" t="str" cm="1">
        <f t="array" ref="Q124">IF(ISBLANK($AQ124), "", INDEX([2]SalmonProps!$A$2:$AA$10001,MATCH(1,($A124=[2]SalmonProps!$A$2:$A$10001)*(3=[2]SalmonProps!$C$2:$C$10001)*(1=[2]SalmonProps!$D$2:$D$10001)*("A2" = [2]SalmonProps!$B$2:$B$10001)*($AP124 = [2]SalmonProps!$F$2:$F$10001) *($AR124 = [2]SalmonProps!$G$2:$G$10001),0), 19))</f>
        <v/>
      </c>
      <c r="R124" s="164" t="str" cm="1">
        <f t="array" ref="R124">IF(ISBLANK($AQ124), "", INDEX([2]SalmonProps!$A$2:$AA$10001,MATCH(1,($A124=[2]SalmonProps!$A$2:$A$10001)*(1=[2]SalmonProps!$C$2:$C$10001)*(1=[2]SalmonProps!$D$2:$D$10001)*("A1" = [2]SalmonProps!$B$2:$B$10001)*($AP124 = [2]SalmonProps!$F$2:$F$10001) *($AR124 = [2]SalmonProps!$G$2:$G$10001),0), 18))</f>
        <v/>
      </c>
      <c r="S124" s="165" t="str" cm="1">
        <f t="array" ref="S124">IF(ISBLANK($AQ124), "", INDEX([2]SalmonProps!$A$2:$AA$10001,MATCH(1,($A124=[2]SalmonProps!$A$2:$A$10001)*(1=[2]SalmonProps!$C$2:$C$10001)*(2=[2]SalmonProps!$D$2:$D$10001)*("A1" = [2]SalmonProps!$B$2:$B$10001)*($AP124 = [2]SalmonProps!$F$2:$F$10001) *($AR124 = [2]SalmonProps!$G$2:$G$10001),0), 18))</f>
        <v/>
      </c>
      <c r="T124" s="165" t="str" cm="1">
        <f t="array" ref="T124">IF(ISBLANK($AQ124), "", INDEX([2]SalmonProps!$A$2:$AA$10001,MATCH(1,($A124=[2]SalmonProps!$A$2:$A$10001)*(1=[2]SalmonProps!$C$2:$C$10001)*("1&amp;2"=[2]SalmonProps!$D$2:$D$10001)*("A1" = [2]SalmonProps!$B$2:$B$10001)*($AP124 = [2]SalmonProps!$F$2:$F$10001) *($AR124 = [2]SalmonProps!$G$2:$G$10001),0), 18))</f>
        <v/>
      </c>
      <c r="U124" s="165" t="str" cm="1">
        <f t="array" ref="U124">IF(ISBLANK($AQ124), "", INDEX([2]SalmonProps!$A$2:$AA$10001,MATCH(1,($A124=[2]SalmonProps!$A$2:$A$10001)*(2=[2]SalmonProps!$C$2:$C$10001)*(3=[2]SalmonProps!$D$2:$D$10001)*("A1" = [2]SalmonProps!$B$2:$B$10001)*($AP124 = [2]SalmonProps!$F$2:$F$10001) *($AR124 = [2]SalmonProps!$G$2:$G$10001),0), 18))</f>
        <v/>
      </c>
      <c r="V124" s="181" t="str" cm="1">
        <f t="array" ref="V124">IF(ISBLANK($AQ124), "", INDEX([2]SalmonProps!$A$2:$AA$10001,MATCH(1,($A124=[2]SalmonProps!$A$2:$A$10001)*(3=[2]SalmonProps!$C$2:$C$10001)*(3=[2]SalmonProps!$D$2:$D$10001)*("A1" = [2]SalmonProps!$B$2:$B$10001)*($AP124 = [2]SalmonProps!$F$2:$F$10001) *($AR124 = [2]SalmonProps!$G$2:$G$10001),0), 18))</f>
        <v/>
      </c>
      <c r="W124" s="180" t="str" cm="1">
        <f t="array" ref="W124">IF(ISBLANK($AQ124), "", INDEX([2]SalmonProps!$A$2:$AA$10001,MATCH(1,($A124=[2]SalmonProps!$A$2:$A$10001)*(1=[2]SalmonProps!$C$2:$C$10001)*(1=[2]SalmonProps!$D$2:$D$10001)*("A2" = [2]SalmonProps!$B$2:$B$10001)*($AP124 = [2]SalmonProps!$F$2:$F$10001) *($AR124 = [2]SalmonProps!$G$2:$G$10001),0), 18))</f>
        <v/>
      </c>
      <c r="X124" s="165" t="str" cm="1">
        <f t="array" ref="X124">IF(ISBLANK($AQ124), "", INDEX([2]SalmonProps!$A$2:$AA$10001,MATCH(1,($A124=[2]SalmonProps!$A$2:$A$10001)*(2=[2]SalmonProps!$C$2:$C$10001)*(1=[2]SalmonProps!$D$2:$D$10001)*("A2" = [2]SalmonProps!$B$2:$B$10001)*($AP124 = [2]SalmonProps!$F$2:$F$10001) *($AR124 = [2]SalmonProps!$G$2:$G$10001),0), 18))</f>
        <v/>
      </c>
      <c r="Y124" s="168" t="str" cm="1">
        <f t="array" ref="Y124">IF(ISBLANK($AQ124), "", INDEX([2]SalmonProps!$A$2:$AA$10001,MATCH(1,($A124=[2]SalmonProps!$A$2:$A$10001)*(3=[2]SalmonProps!$C$2:$C$10001)*(1=[2]SalmonProps!$D$2:$D$10001)*("A2" = [2]SalmonProps!$B$2:$B$10001)*($AP124 = [2]SalmonProps!$F$2:$F$10001) *($AR124 = [2]SalmonProps!$G$2:$G$10001),0), 18))</f>
        <v/>
      </c>
      <c r="Z124" s="164" t="str" cm="1">
        <f t="array" ref="Z124">IF(ISBLANK($AQ124), "", INDEX([2]SalmonProps!$A$2:$AA$10001,MATCH(1,($A124=[2]SalmonProps!$A$2:$A$10001)*(1=[2]SalmonProps!$C$2:$C$10001)*(1=[2]SalmonProps!$D$2:$D$10001)*("A1" = [2]SalmonProps!$B$2:$B$10001)*($AP124 = [2]SalmonProps!$F$2:$F$10001) *($AR124 = [2]SalmonProps!$G$2:$G$10001),0), 15))</f>
        <v/>
      </c>
      <c r="AA124" s="165" t="str" cm="1">
        <f t="array" ref="AA124">IF(ISBLANK($AQ124), "", INDEX([2]SalmonProps!$A$2:$AA$10001,MATCH(1,($A124=[2]SalmonProps!$A$2:$A$10001)*(1=[2]SalmonProps!$C$2:$C$10001)*(2=[2]SalmonProps!$D$2:$D$10001)*("A1" = [2]SalmonProps!$B$2:$B$10001)*($AP124 = [2]SalmonProps!$F$2:$F$10001) *($AR124 = [2]SalmonProps!$G$2:$G$10001),0), 15))</f>
        <v/>
      </c>
      <c r="AB124" s="165" t="str" cm="1">
        <f t="array" ref="AB124">IF(ISBLANK($AQ124), "", INDEX([2]SalmonProps!$A$2:$AA$10001,MATCH(1,($A124=[2]SalmonProps!$A$2:$A$10001)*(1=[2]SalmonProps!$C$2:$C$10001)*("1&amp;2"=[2]SalmonProps!$D$2:$D$10001)*("A1" = [2]SalmonProps!$B$2:$B$10001)*($AP124 = [2]SalmonProps!$F$2:$F$10001) *($AR124 = [2]SalmonProps!$G$2:$G$10001),0), 15))</f>
        <v/>
      </c>
      <c r="AC124" s="165" t="str" cm="1">
        <f t="array" ref="AC124">IF(ISBLANK($AQ124), "", INDEX([2]SalmonProps!$A$2:$AA$10001,MATCH(1,($A124=[2]SalmonProps!$A$2:$A$10001)*(2=[2]SalmonProps!$C$2:$C$10001)*(3=[2]SalmonProps!$D$2:$D$10001)*("A1" = [2]SalmonProps!$B$2:$B$10001)*($AP124 = [2]SalmonProps!$F$2:$F$10001) *($AR124 = [2]SalmonProps!$G$2:$G$10001),0), 15))</f>
        <v/>
      </c>
      <c r="AD124" s="181" t="str" cm="1">
        <f t="array" ref="AD124">IF(ISBLANK($AQ124), "", INDEX([2]SalmonProps!$A$2:$AA$10001,MATCH(1,($A124=[2]SalmonProps!$A$2:$A$10001)*(3=[2]SalmonProps!$C$2:$C$10001)*(3=[2]SalmonProps!$D$2:$D$10001)*("A1" = [2]SalmonProps!$B$2:$B$10001)*($AP124 = [2]SalmonProps!$F$2:$F$10001) *($AR124 = [2]SalmonProps!$G$2:$G$10001),0), 15))</f>
        <v/>
      </c>
      <c r="AE124" s="166" t="str" cm="1">
        <f t="array" ref="AE124">IF(ISBLANK($AQ124), "", INDEX([2]SalmonProps!$A$2:$AA$10001,MATCH(1,($A124=[2]SalmonProps!$A$2:$A$10001)*(1=[2]SalmonProps!$C$2:$C$10001)*(1=[2]SalmonProps!$D$2:$D$10001)*("A2" = [2]SalmonProps!$B$2:$B$10001)*($AP124 = [2]SalmonProps!$F$2:$F$10001) *($AR124 = [2]SalmonProps!$G$2:$G$10001),0), 15))</f>
        <v/>
      </c>
      <c r="AF124" s="166" t="str" cm="1">
        <f t="array" ref="AF124">IF(ISBLANK($AQ124), "", INDEX([2]SalmonProps!$A$2:$AA$10001,MATCH(1,($A124=[2]SalmonProps!$A$2:$A$10001)*(2=[2]SalmonProps!$C$2:$C$10001)*(1=[2]SalmonProps!$D$2:$D$10001)*("A2" = [2]SalmonProps!$B$2:$B$10001)*($AP124 = [2]SalmonProps!$F$2:$F$10001) *($AR124 = [2]SalmonProps!$G$2:$G$10001),0), 15))</f>
        <v/>
      </c>
      <c r="AG124" s="167" t="str" cm="1">
        <f t="array" ref="AG124">IF(ISBLANK($AQ124), "", INDEX([2]SalmonProps!$A$2:$AA$10001,MATCH(1,($A124=[2]SalmonProps!$A$2:$A$10001)*(3=[2]SalmonProps!$C$2:$C$10001)*(1=[2]SalmonProps!$D$2:$D$10001)*("A2" = [2]SalmonProps!$B$2:$B$10001)*($AP124 = [2]SalmonProps!$F$2:$F$10001) *($AR124 = [2]SalmonProps!$G$2:$G$10001),0), 15))</f>
        <v/>
      </c>
      <c r="AH124" s="173" t="str" cm="1">
        <f t="array" ref="AH124">IF(ISBLANK($AQ124), "", INDEX([2]SalmonProps!$A$2:$AA$10001,MATCH(1,($A124=[2]SalmonProps!$A$2:$A$10001)*($AP124 = [2]SalmonProps!$F$2:$F$10001) *($AR124 = [2]SalmonProps!$G$2:$G$10001),0), 24))</f>
        <v/>
      </c>
      <c r="AI124" s="183" t="str" cm="1">
        <f t="array" ref="AI124">IF(ISBLANK($AQ124), "", INDEX([2]SalmonProps!$A$2:$AA$10001,MATCH(1,($A124=[2]SalmonProps!$A$2:$A$10001)*($AP124 = [2]SalmonProps!$F$2:$F$10001) *($AR124 = [2]SalmonProps!$G$2:$G$10001),0), 25))</f>
        <v/>
      </c>
      <c r="AJ124" s="174" t="str" cm="1">
        <f t="array" ref="AJ124">IF(ISBLANK($AQ124), "", INDEX([2]SalmonProps!$A$2:$AA$10001,MATCH(1,($A124=[2]SalmonProps!$A$2:$A$10001)*($AP124 = [2]SalmonProps!$F$2:$F$10001) *($AR124 = [2]SalmonProps!$G$2:$G$10001),0), 20))</f>
        <v/>
      </c>
      <c r="AK124" s="183" t="str" cm="1">
        <f t="array" ref="AK124">IF(ISBLANK($AQ124), "", INDEX([2]SalmonProps!$A$2:$AA$10001,MATCH(1,($A124=[2]SalmonProps!$A$2:$A$10001)*($AP124 = [2]SalmonProps!$F$2:$F$10001) *($AR124 = [2]SalmonProps!$G$2:$G$10001),0), 21))</f>
        <v/>
      </c>
      <c r="AL124" s="174" t="str" cm="1">
        <f t="array" ref="AL124">IF(ISBLANK($AQ124), "", INDEX([2]SalmonProps!$A$2:$AA$10001,MATCH(1,($A124=[2]SalmonProps!$A$2:$A$10001)*($AP124 = [2]SalmonProps!$F$2:$F$10001) *($AR124 = [2]SalmonProps!$G$2:$G$10001),0), 22))</f>
        <v/>
      </c>
      <c r="AM124" s="183" t="str" cm="1">
        <f t="array" ref="AM124">IF(ISBLANK($AQ124), "", INDEX([2]SalmonProps!$A$2:$AA$10001,MATCH(1,($A124=[2]SalmonProps!$A$2:$A$10001)*($AP124 = [2]SalmonProps!$F$2:$F$10001) *($AR124 = [2]SalmonProps!$G$2:$G$10001),0), 23))</f>
        <v/>
      </c>
      <c r="AN124" s="174" t="str" cm="1">
        <f t="array" ref="AN124">IF(ISBLANK($AQ124), "", INDEX([2]SalmonProps!$A$2:$AA$10001,MATCH(1,($A124=[2]SalmonProps!$A$2:$A$10001)*($AP124 = [2]SalmonProps!$F$2:$F$10001) *($AR124 = [2]SalmonProps!$G$2:$G$10001),0), 26))</f>
        <v/>
      </c>
      <c r="AO124" s="175" t="str" cm="1">
        <f t="array" ref="AO124">IF(ISBLANK($AQ124), "", INDEX([2]SalmonProps!$A$2:$AA$10001,MATCH(1,($A124=[2]SalmonProps!$A$2:$A$10001)*($AP124 = [2]SalmonProps!$F$2:$F$10001) *($AR124 = [2]SalmonProps!$G$2:$G$10001),0), 27))</f>
        <v/>
      </c>
      <c r="AP124" s="112"/>
      <c r="AQ124" s="112"/>
      <c r="AR124" s="112" t="e">
        <f t="shared" si="2"/>
        <v>#N/A</v>
      </c>
    </row>
    <row r="125" spans="1:44" x14ac:dyDescent="0.3">
      <c r="A125" s="20">
        <f>'[1]Passage Estimates'!$A125</f>
        <v>45227</v>
      </c>
      <c r="B125" s="164" t="str" cm="1">
        <f t="array" ref="B125">IF(ISBLANK($AQ125), "", INDEX([2]SalmonProps!$A$2:$AA$10001,MATCH(1,($A125=[2]SalmonProps!$A$2:$A$10001)*(1=[2]SalmonProps!$C$2:$C$10001)*(1=[2]SalmonProps!$D$2:$D$10001)*("A1" = [2]SalmonProps!$B$2:$B$10001)*($AP125 = [2]SalmonProps!$F$2:$F$10001) *($AR125 = [2]SalmonProps!$G$2:$G$10001),0), 17))</f>
        <v/>
      </c>
      <c r="C125" s="165" t="str" cm="1">
        <f t="array" ref="C125">IF(ISBLANK($AQ125), "", INDEX([2]SalmonProps!$A$2:$AA$10001,MATCH(1,($A125=[2]SalmonProps!$A$2:$A$10001)*(1=[2]SalmonProps!$C$2:$C$10001)*(2=[2]SalmonProps!$D$2:$D$10001)*("A1" = [2]SalmonProps!$B$2:$B$10001)*($AP125 = [2]SalmonProps!$F$2:$F$10001) *($AR125 = [2]SalmonProps!$G$2:$G$10001),0), 17))</f>
        <v/>
      </c>
      <c r="D125" s="165" t="str" cm="1">
        <f t="array" ref="D125">IF(ISBLANK($AQ125), "", INDEX([2]SalmonProps!$A$2:$AA$10001,MATCH(1,($A125=[2]SalmonProps!$A$2:$A$10001)*(1=[2]SalmonProps!$C$2:$C$10001)*("1&amp;2"=[2]SalmonProps!$D$2:$D$10001)*("A1" = [2]SalmonProps!$B$2:$B$10001)*($AP125 = [2]SalmonProps!$F$2:$F$10001) *($AR125 = [2]SalmonProps!$G$2:$G$10001),0), 17))</f>
        <v/>
      </c>
      <c r="E125" s="181" t="str" cm="1">
        <f t="array" ref="E125">IF(ISBLANK($AQ125), "", INDEX([2]SalmonProps!$A$2:$AA$10001,MATCH(1,($A125=[2]SalmonProps!$A$2:$A$10001)*(2=[2]SalmonProps!$C$2:$C$10001)*(3=[2]SalmonProps!$D$2:$D$10001)*("A1" = [2]SalmonProps!$B$2:$B$10001)*($AP125 = [2]SalmonProps!$F$2:$F$10001) *($AR125 = [2]SalmonProps!$G$2:$G$10001),0), 17))</f>
        <v/>
      </c>
      <c r="F125" s="165" t="str" cm="1">
        <f t="array" ref="F125">IF(ISBLANK($AQ125), "", INDEX([2]SalmonProps!$A$2:$AA$10001,MATCH(1,($A125=[2]SalmonProps!$A$2:$A$10001)*(3=[2]SalmonProps!$C$2:$C$10001)*(3=[2]SalmonProps!$D$2:$D$10001)*("A1" = [2]SalmonProps!$B$2:$B$10001)*($AP125 = [2]SalmonProps!$F$2:$F$10001) *($AR125 = [2]SalmonProps!$G$2:$G$10001),0), 17))</f>
        <v/>
      </c>
      <c r="G125" s="165" t="str" cm="1">
        <f t="array" ref="G125">IF(ISBLANK($AQ125), "", INDEX([2]SalmonProps!$A$2:$AA$10001,MATCH(1,($A125=[2]SalmonProps!$A$2:$A$10001)*(1=[2]SalmonProps!$C$2:$C$10001)*(1=[2]SalmonProps!$D$2:$D$10001)*("A2" = [2]SalmonProps!$B$2:$B$10001)*($AP125 = [2]SalmonProps!$F$2:$F$10001) *($AR125 = [2]SalmonProps!$G$2:$G$10001),0), 17))</f>
        <v/>
      </c>
      <c r="H125" s="166" t="str" cm="1">
        <f t="array" ref="H125">IF(ISBLANK($AQ125), "", INDEX([2]SalmonProps!$A$2:$AA$10001,MATCH(1,($A125=[2]SalmonProps!$A$2:$A$10001)*(2=[2]SalmonProps!$C$2:$C$10001)*(1=[2]SalmonProps!$D$2:$D$10001)*("A2" = [2]SalmonProps!$B$2:$B$10001)*($AP125 = [2]SalmonProps!$F$2:$F$10001) *($AR125 = [2]SalmonProps!$G$2:$G$10001),0), 17))</f>
        <v/>
      </c>
      <c r="I125" s="167" t="str" cm="1">
        <f t="array" ref="I125">IF(ISBLANK($AQ125), "", INDEX([2]SalmonProps!$A$2:$AA$10001,MATCH(1,($A125=[2]SalmonProps!$A$2:$A$10001)*(3=[2]SalmonProps!$C$2:$C$10001)*(1=[2]SalmonProps!$D$2:$D$10001)*("A2" = [2]SalmonProps!$B$2:$B$10001)*($AP125 = [2]SalmonProps!$F$2:$F$10001) *($AR125 = [2]SalmonProps!$G$2:$G$10001),0), 17))</f>
        <v/>
      </c>
      <c r="J125" s="164" t="str" cm="1">
        <f t="array" ref="J125">IF(ISBLANK($AQ125), "", INDEX([2]SalmonProps!$A$2:$AA$10001,MATCH(1,($A125=[2]SalmonProps!$A$2:$A$10001)*(1=[2]SalmonProps!$C$2:$C$10001)*(1=[2]SalmonProps!$D$2:$D$10001)*("A1" = [2]SalmonProps!$B$2:$B$10001)*($AP125 = [2]SalmonProps!$F$2:$F$10001) *($AR125 = [2]SalmonProps!$G$2:$G$10001),0), 19))</f>
        <v/>
      </c>
      <c r="K125" s="165" t="str" cm="1">
        <f t="array" ref="K125">IF(ISBLANK($AQ125), "", INDEX([2]SalmonProps!$A$2:$AA$10001,MATCH(1,($A125=[2]SalmonProps!$A$2:$A$10001)*(1=[2]SalmonProps!$C$2:$C$10001)*(2=[2]SalmonProps!$D$2:$D$10001)*("A1" = [2]SalmonProps!$B$2:$B$10001)*($AP125 = [2]SalmonProps!$F$2:$F$10001) *($AR125 = [2]SalmonProps!$G$2:$G$10001),0), 19))</f>
        <v/>
      </c>
      <c r="L125" s="165" t="str" cm="1">
        <f t="array" ref="L125">IF(ISBLANK($AQ125), "", INDEX([2]SalmonProps!$A$2:$AA$10001,MATCH(1,($A125=[2]SalmonProps!$A$2:$A$10001)*(1=[2]SalmonProps!$C$2:$C$10001)*("1&amp;2"=[2]SalmonProps!$D$2:$D$10001)*("A1" = [2]SalmonProps!$B$2:$B$10001)*($AP125 = [2]SalmonProps!$F$2:$F$10001) *($AR125 = [2]SalmonProps!$G$2:$G$10001),0), 19))</f>
        <v/>
      </c>
      <c r="M125" s="165" t="str" cm="1">
        <f t="array" ref="M125">IF(ISBLANK($AQ125), "", INDEX([2]SalmonProps!$A$2:$AA$10001,MATCH(1,($A125=[2]SalmonProps!$A$2:$A$10001)*(2=[2]SalmonProps!$C$2:$C$10001)*(3=[2]SalmonProps!$D$2:$D$10001)*("A1" = [2]SalmonProps!$B$2:$B$10001)*($AP125 = [2]SalmonProps!$F$2:$F$10001) *($AR125 = [2]SalmonProps!$G$2:$G$10001),0), 19))</f>
        <v/>
      </c>
      <c r="N125" s="181" t="str" cm="1">
        <f t="array" ref="N125">IF(ISBLANK($AQ125), "", INDEX([2]SalmonProps!$A$2:$AA$10001,MATCH(1,($A125=[2]SalmonProps!$A$2:$A$10001)*(3=[2]SalmonProps!$C$2:$C$10001)*(3=[2]SalmonProps!$D$2:$D$10001)*("A1" = [2]SalmonProps!$B$2:$B$10001)*($AP125 = [2]SalmonProps!$F$2:$F$10001) *($AR125 = [2]SalmonProps!$G$2:$G$10001),0), 19))</f>
        <v/>
      </c>
      <c r="O125" s="165" t="str" cm="1">
        <f t="array" ref="O125">IF(ISBLANK($AQ125), "", INDEX([2]SalmonProps!$A$2:$AA$10001,MATCH(1,($A125=[2]SalmonProps!$A$2:$A$10001)*(1=[2]SalmonProps!$C$2:$C$10001)*(1=[2]SalmonProps!$D$2:$D$10001)*("A2" = [2]SalmonProps!$B$2:$B$10001)*($AP125 = [2]SalmonProps!$F$2:$F$10001) *($AR125 = [2]SalmonProps!$G$2:$G$10001),0), 19))</f>
        <v/>
      </c>
      <c r="P125" s="165" t="str" cm="1">
        <f t="array" ref="P125">IF(ISBLANK($AQ125), "", INDEX([2]SalmonProps!$A$2:$AA$10001,MATCH(1,($A125=[2]SalmonProps!$A$2:$A$10001)*(2=[2]SalmonProps!$C$2:$C$10001)*(1=[2]SalmonProps!$D$2:$D$10001)*("A2" = [2]SalmonProps!$B$2:$B$10001)*($AP125 = [2]SalmonProps!$F$2:$F$10001) *($AR125 = [2]SalmonProps!$G$2:$G$10001),0), 19))</f>
        <v/>
      </c>
      <c r="Q125" s="168" t="str" cm="1">
        <f t="array" ref="Q125">IF(ISBLANK($AQ125), "", INDEX([2]SalmonProps!$A$2:$AA$10001,MATCH(1,($A125=[2]SalmonProps!$A$2:$A$10001)*(3=[2]SalmonProps!$C$2:$C$10001)*(1=[2]SalmonProps!$D$2:$D$10001)*("A2" = [2]SalmonProps!$B$2:$B$10001)*($AP125 = [2]SalmonProps!$F$2:$F$10001) *($AR125 = [2]SalmonProps!$G$2:$G$10001),0), 19))</f>
        <v/>
      </c>
      <c r="R125" s="164" t="str" cm="1">
        <f t="array" ref="R125">IF(ISBLANK($AQ125), "", INDEX([2]SalmonProps!$A$2:$AA$10001,MATCH(1,($A125=[2]SalmonProps!$A$2:$A$10001)*(1=[2]SalmonProps!$C$2:$C$10001)*(1=[2]SalmonProps!$D$2:$D$10001)*("A1" = [2]SalmonProps!$B$2:$B$10001)*($AP125 = [2]SalmonProps!$F$2:$F$10001) *($AR125 = [2]SalmonProps!$G$2:$G$10001),0), 18))</f>
        <v/>
      </c>
      <c r="S125" s="165" t="str" cm="1">
        <f t="array" ref="S125">IF(ISBLANK($AQ125), "", INDEX([2]SalmonProps!$A$2:$AA$10001,MATCH(1,($A125=[2]SalmonProps!$A$2:$A$10001)*(1=[2]SalmonProps!$C$2:$C$10001)*(2=[2]SalmonProps!$D$2:$D$10001)*("A1" = [2]SalmonProps!$B$2:$B$10001)*($AP125 = [2]SalmonProps!$F$2:$F$10001) *($AR125 = [2]SalmonProps!$G$2:$G$10001),0), 18))</f>
        <v/>
      </c>
      <c r="T125" s="165" t="str" cm="1">
        <f t="array" ref="T125">IF(ISBLANK($AQ125), "", INDEX([2]SalmonProps!$A$2:$AA$10001,MATCH(1,($A125=[2]SalmonProps!$A$2:$A$10001)*(1=[2]SalmonProps!$C$2:$C$10001)*("1&amp;2"=[2]SalmonProps!$D$2:$D$10001)*("A1" = [2]SalmonProps!$B$2:$B$10001)*($AP125 = [2]SalmonProps!$F$2:$F$10001) *($AR125 = [2]SalmonProps!$G$2:$G$10001),0), 18))</f>
        <v/>
      </c>
      <c r="U125" s="165" t="str" cm="1">
        <f t="array" ref="U125">IF(ISBLANK($AQ125), "", INDEX([2]SalmonProps!$A$2:$AA$10001,MATCH(1,($A125=[2]SalmonProps!$A$2:$A$10001)*(2=[2]SalmonProps!$C$2:$C$10001)*(3=[2]SalmonProps!$D$2:$D$10001)*("A1" = [2]SalmonProps!$B$2:$B$10001)*($AP125 = [2]SalmonProps!$F$2:$F$10001) *($AR125 = [2]SalmonProps!$G$2:$G$10001),0), 18))</f>
        <v/>
      </c>
      <c r="V125" s="181" t="str" cm="1">
        <f t="array" ref="V125">IF(ISBLANK($AQ125), "", INDEX([2]SalmonProps!$A$2:$AA$10001,MATCH(1,($A125=[2]SalmonProps!$A$2:$A$10001)*(3=[2]SalmonProps!$C$2:$C$10001)*(3=[2]SalmonProps!$D$2:$D$10001)*("A1" = [2]SalmonProps!$B$2:$B$10001)*($AP125 = [2]SalmonProps!$F$2:$F$10001) *($AR125 = [2]SalmonProps!$G$2:$G$10001),0), 18))</f>
        <v/>
      </c>
      <c r="W125" s="180" t="str" cm="1">
        <f t="array" ref="W125">IF(ISBLANK($AQ125), "", INDEX([2]SalmonProps!$A$2:$AA$10001,MATCH(1,($A125=[2]SalmonProps!$A$2:$A$10001)*(1=[2]SalmonProps!$C$2:$C$10001)*(1=[2]SalmonProps!$D$2:$D$10001)*("A2" = [2]SalmonProps!$B$2:$B$10001)*($AP125 = [2]SalmonProps!$F$2:$F$10001) *($AR125 = [2]SalmonProps!$G$2:$G$10001),0), 18))</f>
        <v/>
      </c>
      <c r="X125" s="165" t="str" cm="1">
        <f t="array" ref="X125">IF(ISBLANK($AQ125), "", INDEX([2]SalmonProps!$A$2:$AA$10001,MATCH(1,($A125=[2]SalmonProps!$A$2:$A$10001)*(2=[2]SalmonProps!$C$2:$C$10001)*(1=[2]SalmonProps!$D$2:$D$10001)*("A2" = [2]SalmonProps!$B$2:$B$10001)*($AP125 = [2]SalmonProps!$F$2:$F$10001) *($AR125 = [2]SalmonProps!$G$2:$G$10001),0), 18))</f>
        <v/>
      </c>
      <c r="Y125" s="168" t="str" cm="1">
        <f t="array" ref="Y125">IF(ISBLANK($AQ125), "", INDEX([2]SalmonProps!$A$2:$AA$10001,MATCH(1,($A125=[2]SalmonProps!$A$2:$A$10001)*(3=[2]SalmonProps!$C$2:$C$10001)*(1=[2]SalmonProps!$D$2:$D$10001)*("A2" = [2]SalmonProps!$B$2:$B$10001)*($AP125 = [2]SalmonProps!$F$2:$F$10001) *($AR125 = [2]SalmonProps!$G$2:$G$10001),0), 18))</f>
        <v/>
      </c>
      <c r="Z125" s="164" t="str" cm="1">
        <f t="array" ref="Z125">IF(ISBLANK($AQ125), "", INDEX([2]SalmonProps!$A$2:$AA$10001,MATCH(1,($A125=[2]SalmonProps!$A$2:$A$10001)*(1=[2]SalmonProps!$C$2:$C$10001)*(1=[2]SalmonProps!$D$2:$D$10001)*("A1" = [2]SalmonProps!$B$2:$B$10001)*($AP125 = [2]SalmonProps!$F$2:$F$10001) *($AR125 = [2]SalmonProps!$G$2:$G$10001),0), 15))</f>
        <v/>
      </c>
      <c r="AA125" s="165" t="str" cm="1">
        <f t="array" ref="AA125">IF(ISBLANK($AQ125), "", INDEX([2]SalmonProps!$A$2:$AA$10001,MATCH(1,($A125=[2]SalmonProps!$A$2:$A$10001)*(1=[2]SalmonProps!$C$2:$C$10001)*(2=[2]SalmonProps!$D$2:$D$10001)*("A1" = [2]SalmonProps!$B$2:$B$10001)*($AP125 = [2]SalmonProps!$F$2:$F$10001) *($AR125 = [2]SalmonProps!$G$2:$G$10001),0), 15))</f>
        <v/>
      </c>
      <c r="AB125" s="165" t="str" cm="1">
        <f t="array" ref="AB125">IF(ISBLANK($AQ125), "", INDEX([2]SalmonProps!$A$2:$AA$10001,MATCH(1,($A125=[2]SalmonProps!$A$2:$A$10001)*(1=[2]SalmonProps!$C$2:$C$10001)*("1&amp;2"=[2]SalmonProps!$D$2:$D$10001)*("A1" = [2]SalmonProps!$B$2:$B$10001)*($AP125 = [2]SalmonProps!$F$2:$F$10001) *($AR125 = [2]SalmonProps!$G$2:$G$10001),0), 15))</f>
        <v/>
      </c>
      <c r="AC125" s="165" t="str" cm="1">
        <f t="array" ref="AC125">IF(ISBLANK($AQ125), "", INDEX([2]SalmonProps!$A$2:$AA$10001,MATCH(1,($A125=[2]SalmonProps!$A$2:$A$10001)*(2=[2]SalmonProps!$C$2:$C$10001)*(3=[2]SalmonProps!$D$2:$D$10001)*("A1" = [2]SalmonProps!$B$2:$B$10001)*($AP125 = [2]SalmonProps!$F$2:$F$10001) *($AR125 = [2]SalmonProps!$G$2:$G$10001),0), 15))</f>
        <v/>
      </c>
      <c r="AD125" s="181" t="str" cm="1">
        <f t="array" ref="AD125">IF(ISBLANK($AQ125), "", INDEX([2]SalmonProps!$A$2:$AA$10001,MATCH(1,($A125=[2]SalmonProps!$A$2:$A$10001)*(3=[2]SalmonProps!$C$2:$C$10001)*(3=[2]SalmonProps!$D$2:$D$10001)*("A1" = [2]SalmonProps!$B$2:$B$10001)*($AP125 = [2]SalmonProps!$F$2:$F$10001) *($AR125 = [2]SalmonProps!$G$2:$G$10001),0), 15))</f>
        <v/>
      </c>
      <c r="AE125" s="166" t="str" cm="1">
        <f t="array" ref="AE125">IF(ISBLANK($AQ125), "", INDEX([2]SalmonProps!$A$2:$AA$10001,MATCH(1,($A125=[2]SalmonProps!$A$2:$A$10001)*(1=[2]SalmonProps!$C$2:$C$10001)*(1=[2]SalmonProps!$D$2:$D$10001)*("A2" = [2]SalmonProps!$B$2:$B$10001)*($AP125 = [2]SalmonProps!$F$2:$F$10001) *($AR125 = [2]SalmonProps!$G$2:$G$10001),0), 15))</f>
        <v/>
      </c>
      <c r="AF125" s="166" t="str" cm="1">
        <f t="array" ref="AF125">IF(ISBLANK($AQ125), "", INDEX([2]SalmonProps!$A$2:$AA$10001,MATCH(1,($A125=[2]SalmonProps!$A$2:$A$10001)*(2=[2]SalmonProps!$C$2:$C$10001)*(1=[2]SalmonProps!$D$2:$D$10001)*("A2" = [2]SalmonProps!$B$2:$B$10001)*($AP125 = [2]SalmonProps!$F$2:$F$10001) *($AR125 = [2]SalmonProps!$G$2:$G$10001),0), 15))</f>
        <v/>
      </c>
      <c r="AG125" s="167" t="str" cm="1">
        <f t="array" ref="AG125">IF(ISBLANK($AQ125), "", INDEX([2]SalmonProps!$A$2:$AA$10001,MATCH(1,($A125=[2]SalmonProps!$A$2:$A$10001)*(3=[2]SalmonProps!$C$2:$C$10001)*(1=[2]SalmonProps!$D$2:$D$10001)*("A2" = [2]SalmonProps!$B$2:$B$10001)*($AP125 = [2]SalmonProps!$F$2:$F$10001) *($AR125 = [2]SalmonProps!$G$2:$G$10001),0), 15))</f>
        <v/>
      </c>
      <c r="AH125" s="173" t="str" cm="1">
        <f t="array" ref="AH125">IF(ISBLANK($AQ125), "", INDEX([2]SalmonProps!$A$2:$AA$10001,MATCH(1,($A125=[2]SalmonProps!$A$2:$A$10001)*($AP125 = [2]SalmonProps!$F$2:$F$10001) *($AR125 = [2]SalmonProps!$G$2:$G$10001),0), 24))</f>
        <v/>
      </c>
      <c r="AI125" s="183" t="str" cm="1">
        <f t="array" ref="AI125">IF(ISBLANK($AQ125), "", INDEX([2]SalmonProps!$A$2:$AA$10001,MATCH(1,($A125=[2]SalmonProps!$A$2:$A$10001)*($AP125 = [2]SalmonProps!$F$2:$F$10001) *($AR125 = [2]SalmonProps!$G$2:$G$10001),0), 25))</f>
        <v/>
      </c>
      <c r="AJ125" s="174" t="str" cm="1">
        <f t="array" ref="AJ125">IF(ISBLANK($AQ125), "", INDEX([2]SalmonProps!$A$2:$AA$10001,MATCH(1,($A125=[2]SalmonProps!$A$2:$A$10001)*($AP125 = [2]SalmonProps!$F$2:$F$10001) *($AR125 = [2]SalmonProps!$G$2:$G$10001),0), 20))</f>
        <v/>
      </c>
      <c r="AK125" s="183" t="str" cm="1">
        <f t="array" ref="AK125">IF(ISBLANK($AQ125), "", INDEX([2]SalmonProps!$A$2:$AA$10001,MATCH(1,($A125=[2]SalmonProps!$A$2:$A$10001)*($AP125 = [2]SalmonProps!$F$2:$F$10001) *($AR125 = [2]SalmonProps!$G$2:$G$10001),0), 21))</f>
        <v/>
      </c>
      <c r="AL125" s="174" t="str" cm="1">
        <f t="array" ref="AL125">IF(ISBLANK($AQ125), "", INDEX([2]SalmonProps!$A$2:$AA$10001,MATCH(1,($A125=[2]SalmonProps!$A$2:$A$10001)*($AP125 = [2]SalmonProps!$F$2:$F$10001) *($AR125 = [2]SalmonProps!$G$2:$G$10001),0), 22))</f>
        <v/>
      </c>
      <c r="AM125" s="183" t="str" cm="1">
        <f t="array" ref="AM125">IF(ISBLANK($AQ125), "", INDEX([2]SalmonProps!$A$2:$AA$10001,MATCH(1,($A125=[2]SalmonProps!$A$2:$A$10001)*($AP125 = [2]SalmonProps!$F$2:$F$10001) *($AR125 = [2]SalmonProps!$G$2:$G$10001),0), 23))</f>
        <v/>
      </c>
      <c r="AN125" s="174" t="str" cm="1">
        <f t="array" ref="AN125">IF(ISBLANK($AQ125), "", INDEX([2]SalmonProps!$A$2:$AA$10001,MATCH(1,($A125=[2]SalmonProps!$A$2:$A$10001)*($AP125 = [2]SalmonProps!$F$2:$F$10001) *($AR125 = [2]SalmonProps!$G$2:$G$10001),0), 26))</f>
        <v/>
      </c>
      <c r="AO125" s="175" t="str" cm="1">
        <f t="array" ref="AO125">IF(ISBLANK($AQ125), "", INDEX([2]SalmonProps!$A$2:$AA$10001,MATCH(1,($A125=[2]SalmonProps!$A$2:$A$10001)*($AP125 = [2]SalmonProps!$F$2:$F$10001) *($AR125 = [2]SalmonProps!$G$2:$G$10001),0), 27))</f>
        <v/>
      </c>
      <c r="AP125" s="112"/>
      <c r="AQ125" s="112"/>
      <c r="AR125" s="112" t="e">
        <f t="shared" si="2"/>
        <v>#N/A</v>
      </c>
    </row>
    <row r="126" spans="1:44" x14ac:dyDescent="0.3">
      <c r="A126" s="20">
        <f>'[1]Passage Estimates'!$A126</f>
        <v>45228</v>
      </c>
      <c r="B126" s="164" t="str" cm="1">
        <f t="array" ref="B126">IF(ISBLANK($AQ126), "", INDEX([2]SalmonProps!$A$2:$AA$10001,MATCH(1,($A126=[2]SalmonProps!$A$2:$A$10001)*(1=[2]SalmonProps!$C$2:$C$10001)*(1=[2]SalmonProps!$D$2:$D$10001)*("A1" = [2]SalmonProps!$B$2:$B$10001)*($AP126 = [2]SalmonProps!$F$2:$F$10001) *($AR126 = [2]SalmonProps!$G$2:$G$10001),0), 17))</f>
        <v/>
      </c>
      <c r="C126" s="165" t="str" cm="1">
        <f t="array" ref="C126">IF(ISBLANK($AQ126), "", INDEX([2]SalmonProps!$A$2:$AA$10001,MATCH(1,($A126=[2]SalmonProps!$A$2:$A$10001)*(1=[2]SalmonProps!$C$2:$C$10001)*(2=[2]SalmonProps!$D$2:$D$10001)*("A1" = [2]SalmonProps!$B$2:$B$10001)*($AP126 = [2]SalmonProps!$F$2:$F$10001) *($AR126 = [2]SalmonProps!$G$2:$G$10001),0), 17))</f>
        <v/>
      </c>
      <c r="D126" s="165" t="str" cm="1">
        <f t="array" ref="D126">IF(ISBLANK($AQ126), "", INDEX([2]SalmonProps!$A$2:$AA$10001,MATCH(1,($A126=[2]SalmonProps!$A$2:$A$10001)*(1=[2]SalmonProps!$C$2:$C$10001)*("1&amp;2"=[2]SalmonProps!$D$2:$D$10001)*("A1" = [2]SalmonProps!$B$2:$B$10001)*($AP126 = [2]SalmonProps!$F$2:$F$10001) *($AR126 = [2]SalmonProps!$G$2:$G$10001),0), 17))</f>
        <v/>
      </c>
      <c r="E126" s="181" t="str" cm="1">
        <f t="array" ref="E126">IF(ISBLANK($AQ126), "", INDEX([2]SalmonProps!$A$2:$AA$10001,MATCH(1,($A126=[2]SalmonProps!$A$2:$A$10001)*(2=[2]SalmonProps!$C$2:$C$10001)*(3=[2]SalmonProps!$D$2:$D$10001)*("A1" = [2]SalmonProps!$B$2:$B$10001)*($AP126 = [2]SalmonProps!$F$2:$F$10001) *($AR126 = [2]SalmonProps!$G$2:$G$10001),0), 17))</f>
        <v/>
      </c>
      <c r="F126" s="165" t="str" cm="1">
        <f t="array" ref="F126">IF(ISBLANK($AQ126), "", INDEX([2]SalmonProps!$A$2:$AA$10001,MATCH(1,($A126=[2]SalmonProps!$A$2:$A$10001)*(3=[2]SalmonProps!$C$2:$C$10001)*(3=[2]SalmonProps!$D$2:$D$10001)*("A1" = [2]SalmonProps!$B$2:$B$10001)*($AP126 = [2]SalmonProps!$F$2:$F$10001) *($AR126 = [2]SalmonProps!$G$2:$G$10001),0), 17))</f>
        <v/>
      </c>
      <c r="G126" s="165" t="str" cm="1">
        <f t="array" ref="G126">IF(ISBLANK($AQ126), "", INDEX([2]SalmonProps!$A$2:$AA$10001,MATCH(1,($A126=[2]SalmonProps!$A$2:$A$10001)*(1=[2]SalmonProps!$C$2:$C$10001)*(1=[2]SalmonProps!$D$2:$D$10001)*("A2" = [2]SalmonProps!$B$2:$B$10001)*($AP126 = [2]SalmonProps!$F$2:$F$10001) *($AR126 = [2]SalmonProps!$G$2:$G$10001),0), 17))</f>
        <v/>
      </c>
      <c r="H126" s="166" t="str" cm="1">
        <f t="array" ref="H126">IF(ISBLANK($AQ126), "", INDEX([2]SalmonProps!$A$2:$AA$10001,MATCH(1,($A126=[2]SalmonProps!$A$2:$A$10001)*(2=[2]SalmonProps!$C$2:$C$10001)*(1=[2]SalmonProps!$D$2:$D$10001)*("A2" = [2]SalmonProps!$B$2:$B$10001)*($AP126 = [2]SalmonProps!$F$2:$F$10001) *($AR126 = [2]SalmonProps!$G$2:$G$10001),0), 17))</f>
        <v/>
      </c>
      <c r="I126" s="167" t="str" cm="1">
        <f t="array" ref="I126">IF(ISBLANK($AQ126), "", INDEX([2]SalmonProps!$A$2:$AA$10001,MATCH(1,($A126=[2]SalmonProps!$A$2:$A$10001)*(3=[2]SalmonProps!$C$2:$C$10001)*(1=[2]SalmonProps!$D$2:$D$10001)*("A2" = [2]SalmonProps!$B$2:$B$10001)*($AP126 = [2]SalmonProps!$F$2:$F$10001) *($AR126 = [2]SalmonProps!$G$2:$G$10001),0), 17))</f>
        <v/>
      </c>
      <c r="J126" s="164" t="str" cm="1">
        <f t="array" ref="J126">IF(ISBLANK($AQ126), "", INDEX([2]SalmonProps!$A$2:$AA$10001,MATCH(1,($A126=[2]SalmonProps!$A$2:$A$10001)*(1=[2]SalmonProps!$C$2:$C$10001)*(1=[2]SalmonProps!$D$2:$D$10001)*("A1" = [2]SalmonProps!$B$2:$B$10001)*($AP126 = [2]SalmonProps!$F$2:$F$10001) *($AR126 = [2]SalmonProps!$G$2:$G$10001),0), 19))</f>
        <v/>
      </c>
      <c r="K126" s="165" t="str" cm="1">
        <f t="array" ref="K126">IF(ISBLANK($AQ126), "", INDEX([2]SalmonProps!$A$2:$AA$10001,MATCH(1,($A126=[2]SalmonProps!$A$2:$A$10001)*(1=[2]SalmonProps!$C$2:$C$10001)*(2=[2]SalmonProps!$D$2:$D$10001)*("A1" = [2]SalmonProps!$B$2:$B$10001)*($AP126 = [2]SalmonProps!$F$2:$F$10001) *($AR126 = [2]SalmonProps!$G$2:$G$10001),0), 19))</f>
        <v/>
      </c>
      <c r="L126" s="165" t="str" cm="1">
        <f t="array" ref="L126">IF(ISBLANK($AQ126), "", INDEX([2]SalmonProps!$A$2:$AA$10001,MATCH(1,($A126=[2]SalmonProps!$A$2:$A$10001)*(1=[2]SalmonProps!$C$2:$C$10001)*("1&amp;2"=[2]SalmonProps!$D$2:$D$10001)*("A1" = [2]SalmonProps!$B$2:$B$10001)*($AP126 = [2]SalmonProps!$F$2:$F$10001) *($AR126 = [2]SalmonProps!$G$2:$G$10001),0), 19))</f>
        <v/>
      </c>
      <c r="M126" s="165" t="str" cm="1">
        <f t="array" ref="M126">IF(ISBLANK($AQ126), "", INDEX([2]SalmonProps!$A$2:$AA$10001,MATCH(1,($A126=[2]SalmonProps!$A$2:$A$10001)*(2=[2]SalmonProps!$C$2:$C$10001)*(3=[2]SalmonProps!$D$2:$D$10001)*("A1" = [2]SalmonProps!$B$2:$B$10001)*($AP126 = [2]SalmonProps!$F$2:$F$10001) *($AR126 = [2]SalmonProps!$G$2:$G$10001),0), 19))</f>
        <v/>
      </c>
      <c r="N126" s="181" t="str" cm="1">
        <f t="array" ref="N126">IF(ISBLANK($AQ126), "", INDEX([2]SalmonProps!$A$2:$AA$10001,MATCH(1,($A126=[2]SalmonProps!$A$2:$A$10001)*(3=[2]SalmonProps!$C$2:$C$10001)*(3=[2]SalmonProps!$D$2:$D$10001)*("A1" = [2]SalmonProps!$B$2:$B$10001)*($AP126 = [2]SalmonProps!$F$2:$F$10001) *($AR126 = [2]SalmonProps!$G$2:$G$10001),0), 19))</f>
        <v/>
      </c>
      <c r="O126" s="165" t="str" cm="1">
        <f t="array" ref="O126">IF(ISBLANK($AQ126), "", INDEX([2]SalmonProps!$A$2:$AA$10001,MATCH(1,($A126=[2]SalmonProps!$A$2:$A$10001)*(1=[2]SalmonProps!$C$2:$C$10001)*(1=[2]SalmonProps!$D$2:$D$10001)*("A2" = [2]SalmonProps!$B$2:$B$10001)*($AP126 = [2]SalmonProps!$F$2:$F$10001) *($AR126 = [2]SalmonProps!$G$2:$G$10001),0), 19))</f>
        <v/>
      </c>
      <c r="P126" s="165" t="str" cm="1">
        <f t="array" ref="P126">IF(ISBLANK($AQ126), "", INDEX([2]SalmonProps!$A$2:$AA$10001,MATCH(1,($A126=[2]SalmonProps!$A$2:$A$10001)*(2=[2]SalmonProps!$C$2:$C$10001)*(1=[2]SalmonProps!$D$2:$D$10001)*("A2" = [2]SalmonProps!$B$2:$B$10001)*($AP126 = [2]SalmonProps!$F$2:$F$10001) *($AR126 = [2]SalmonProps!$G$2:$G$10001),0), 19))</f>
        <v/>
      </c>
      <c r="Q126" s="168" t="str" cm="1">
        <f t="array" ref="Q126">IF(ISBLANK($AQ126), "", INDEX([2]SalmonProps!$A$2:$AA$10001,MATCH(1,($A126=[2]SalmonProps!$A$2:$A$10001)*(3=[2]SalmonProps!$C$2:$C$10001)*(1=[2]SalmonProps!$D$2:$D$10001)*("A2" = [2]SalmonProps!$B$2:$B$10001)*($AP126 = [2]SalmonProps!$F$2:$F$10001) *($AR126 = [2]SalmonProps!$G$2:$G$10001),0), 19))</f>
        <v/>
      </c>
      <c r="R126" s="164" t="str" cm="1">
        <f t="array" ref="R126">IF(ISBLANK($AQ126), "", INDEX([2]SalmonProps!$A$2:$AA$10001,MATCH(1,($A126=[2]SalmonProps!$A$2:$A$10001)*(1=[2]SalmonProps!$C$2:$C$10001)*(1=[2]SalmonProps!$D$2:$D$10001)*("A1" = [2]SalmonProps!$B$2:$B$10001)*($AP126 = [2]SalmonProps!$F$2:$F$10001) *($AR126 = [2]SalmonProps!$G$2:$G$10001),0), 18))</f>
        <v/>
      </c>
      <c r="S126" s="165" t="str" cm="1">
        <f t="array" ref="S126">IF(ISBLANK($AQ126), "", INDEX([2]SalmonProps!$A$2:$AA$10001,MATCH(1,($A126=[2]SalmonProps!$A$2:$A$10001)*(1=[2]SalmonProps!$C$2:$C$10001)*(2=[2]SalmonProps!$D$2:$D$10001)*("A1" = [2]SalmonProps!$B$2:$B$10001)*($AP126 = [2]SalmonProps!$F$2:$F$10001) *($AR126 = [2]SalmonProps!$G$2:$G$10001),0), 18))</f>
        <v/>
      </c>
      <c r="T126" s="165" t="str" cm="1">
        <f t="array" ref="T126">IF(ISBLANK($AQ126), "", INDEX([2]SalmonProps!$A$2:$AA$10001,MATCH(1,($A126=[2]SalmonProps!$A$2:$A$10001)*(1=[2]SalmonProps!$C$2:$C$10001)*("1&amp;2"=[2]SalmonProps!$D$2:$D$10001)*("A1" = [2]SalmonProps!$B$2:$B$10001)*($AP126 = [2]SalmonProps!$F$2:$F$10001) *($AR126 = [2]SalmonProps!$G$2:$G$10001),0), 18))</f>
        <v/>
      </c>
      <c r="U126" s="165" t="str" cm="1">
        <f t="array" ref="U126">IF(ISBLANK($AQ126), "", INDEX([2]SalmonProps!$A$2:$AA$10001,MATCH(1,($A126=[2]SalmonProps!$A$2:$A$10001)*(2=[2]SalmonProps!$C$2:$C$10001)*(3=[2]SalmonProps!$D$2:$D$10001)*("A1" = [2]SalmonProps!$B$2:$B$10001)*($AP126 = [2]SalmonProps!$F$2:$F$10001) *($AR126 = [2]SalmonProps!$G$2:$G$10001),0), 18))</f>
        <v/>
      </c>
      <c r="V126" s="181" t="str" cm="1">
        <f t="array" ref="V126">IF(ISBLANK($AQ126), "", INDEX([2]SalmonProps!$A$2:$AA$10001,MATCH(1,($A126=[2]SalmonProps!$A$2:$A$10001)*(3=[2]SalmonProps!$C$2:$C$10001)*(3=[2]SalmonProps!$D$2:$D$10001)*("A1" = [2]SalmonProps!$B$2:$B$10001)*($AP126 = [2]SalmonProps!$F$2:$F$10001) *($AR126 = [2]SalmonProps!$G$2:$G$10001),0), 18))</f>
        <v/>
      </c>
      <c r="W126" s="180" t="str" cm="1">
        <f t="array" ref="W126">IF(ISBLANK($AQ126), "", INDEX([2]SalmonProps!$A$2:$AA$10001,MATCH(1,($A126=[2]SalmonProps!$A$2:$A$10001)*(1=[2]SalmonProps!$C$2:$C$10001)*(1=[2]SalmonProps!$D$2:$D$10001)*("A2" = [2]SalmonProps!$B$2:$B$10001)*($AP126 = [2]SalmonProps!$F$2:$F$10001) *($AR126 = [2]SalmonProps!$G$2:$G$10001),0), 18))</f>
        <v/>
      </c>
      <c r="X126" s="165" t="str" cm="1">
        <f t="array" ref="X126">IF(ISBLANK($AQ126), "", INDEX([2]SalmonProps!$A$2:$AA$10001,MATCH(1,($A126=[2]SalmonProps!$A$2:$A$10001)*(2=[2]SalmonProps!$C$2:$C$10001)*(1=[2]SalmonProps!$D$2:$D$10001)*("A2" = [2]SalmonProps!$B$2:$B$10001)*($AP126 = [2]SalmonProps!$F$2:$F$10001) *($AR126 = [2]SalmonProps!$G$2:$G$10001),0), 18))</f>
        <v/>
      </c>
      <c r="Y126" s="168" t="str" cm="1">
        <f t="array" ref="Y126">IF(ISBLANK($AQ126), "", INDEX([2]SalmonProps!$A$2:$AA$10001,MATCH(1,($A126=[2]SalmonProps!$A$2:$A$10001)*(3=[2]SalmonProps!$C$2:$C$10001)*(1=[2]SalmonProps!$D$2:$D$10001)*("A2" = [2]SalmonProps!$B$2:$B$10001)*($AP126 = [2]SalmonProps!$F$2:$F$10001) *($AR126 = [2]SalmonProps!$G$2:$G$10001),0), 18))</f>
        <v/>
      </c>
      <c r="Z126" s="164" t="str" cm="1">
        <f t="array" ref="Z126">IF(ISBLANK($AQ126), "", INDEX([2]SalmonProps!$A$2:$AA$10001,MATCH(1,($A126=[2]SalmonProps!$A$2:$A$10001)*(1=[2]SalmonProps!$C$2:$C$10001)*(1=[2]SalmonProps!$D$2:$D$10001)*("A1" = [2]SalmonProps!$B$2:$B$10001)*($AP126 = [2]SalmonProps!$F$2:$F$10001) *($AR126 = [2]SalmonProps!$G$2:$G$10001),0), 15))</f>
        <v/>
      </c>
      <c r="AA126" s="165" t="str" cm="1">
        <f t="array" ref="AA126">IF(ISBLANK($AQ126), "", INDEX([2]SalmonProps!$A$2:$AA$10001,MATCH(1,($A126=[2]SalmonProps!$A$2:$A$10001)*(1=[2]SalmonProps!$C$2:$C$10001)*(2=[2]SalmonProps!$D$2:$D$10001)*("A1" = [2]SalmonProps!$B$2:$B$10001)*($AP126 = [2]SalmonProps!$F$2:$F$10001) *($AR126 = [2]SalmonProps!$G$2:$G$10001),0), 15))</f>
        <v/>
      </c>
      <c r="AB126" s="165" t="str" cm="1">
        <f t="array" ref="AB126">IF(ISBLANK($AQ126), "", INDEX([2]SalmonProps!$A$2:$AA$10001,MATCH(1,($A126=[2]SalmonProps!$A$2:$A$10001)*(1=[2]SalmonProps!$C$2:$C$10001)*("1&amp;2"=[2]SalmonProps!$D$2:$D$10001)*("A1" = [2]SalmonProps!$B$2:$B$10001)*($AP126 = [2]SalmonProps!$F$2:$F$10001) *($AR126 = [2]SalmonProps!$G$2:$G$10001),0), 15))</f>
        <v/>
      </c>
      <c r="AC126" s="165" t="str" cm="1">
        <f t="array" ref="AC126">IF(ISBLANK($AQ126), "", INDEX([2]SalmonProps!$A$2:$AA$10001,MATCH(1,($A126=[2]SalmonProps!$A$2:$A$10001)*(2=[2]SalmonProps!$C$2:$C$10001)*(3=[2]SalmonProps!$D$2:$D$10001)*("A1" = [2]SalmonProps!$B$2:$B$10001)*($AP126 = [2]SalmonProps!$F$2:$F$10001) *($AR126 = [2]SalmonProps!$G$2:$G$10001),0), 15))</f>
        <v/>
      </c>
      <c r="AD126" s="181" t="str" cm="1">
        <f t="array" ref="AD126">IF(ISBLANK($AQ126), "", INDEX([2]SalmonProps!$A$2:$AA$10001,MATCH(1,($A126=[2]SalmonProps!$A$2:$A$10001)*(3=[2]SalmonProps!$C$2:$C$10001)*(3=[2]SalmonProps!$D$2:$D$10001)*("A1" = [2]SalmonProps!$B$2:$B$10001)*($AP126 = [2]SalmonProps!$F$2:$F$10001) *($AR126 = [2]SalmonProps!$G$2:$G$10001),0), 15))</f>
        <v/>
      </c>
      <c r="AE126" s="166" t="str" cm="1">
        <f t="array" ref="AE126">IF(ISBLANK($AQ126), "", INDEX([2]SalmonProps!$A$2:$AA$10001,MATCH(1,($A126=[2]SalmonProps!$A$2:$A$10001)*(1=[2]SalmonProps!$C$2:$C$10001)*(1=[2]SalmonProps!$D$2:$D$10001)*("A2" = [2]SalmonProps!$B$2:$B$10001)*($AP126 = [2]SalmonProps!$F$2:$F$10001) *($AR126 = [2]SalmonProps!$G$2:$G$10001),0), 15))</f>
        <v/>
      </c>
      <c r="AF126" s="166" t="str" cm="1">
        <f t="array" ref="AF126">IF(ISBLANK($AQ126), "", INDEX([2]SalmonProps!$A$2:$AA$10001,MATCH(1,($A126=[2]SalmonProps!$A$2:$A$10001)*(2=[2]SalmonProps!$C$2:$C$10001)*(1=[2]SalmonProps!$D$2:$D$10001)*("A2" = [2]SalmonProps!$B$2:$B$10001)*($AP126 = [2]SalmonProps!$F$2:$F$10001) *($AR126 = [2]SalmonProps!$G$2:$G$10001),0), 15))</f>
        <v/>
      </c>
      <c r="AG126" s="167" t="str" cm="1">
        <f t="array" ref="AG126">IF(ISBLANK($AQ126), "", INDEX([2]SalmonProps!$A$2:$AA$10001,MATCH(1,($A126=[2]SalmonProps!$A$2:$A$10001)*(3=[2]SalmonProps!$C$2:$C$10001)*(1=[2]SalmonProps!$D$2:$D$10001)*("A2" = [2]SalmonProps!$B$2:$B$10001)*($AP126 = [2]SalmonProps!$F$2:$F$10001) *($AR126 = [2]SalmonProps!$G$2:$G$10001),0), 15))</f>
        <v/>
      </c>
      <c r="AH126" s="173" t="str" cm="1">
        <f t="array" ref="AH126">IF(ISBLANK($AQ126), "", INDEX([2]SalmonProps!$A$2:$AA$10001,MATCH(1,($A126=[2]SalmonProps!$A$2:$A$10001)*($AP126 = [2]SalmonProps!$F$2:$F$10001) *($AR126 = [2]SalmonProps!$G$2:$G$10001),0), 24))</f>
        <v/>
      </c>
      <c r="AI126" s="183" t="str" cm="1">
        <f t="array" ref="AI126">IF(ISBLANK($AQ126), "", INDEX([2]SalmonProps!$A$2:$AA$10001,MATCH(1,($A126=[2]SalmonProps!$A$2:$A$10001)*($AP126 = [2]SalmonProps!$F$2:$F$10001) *($AR126 = [2]SalmonProps!$G$2:$G$10001),0), 25))</f>
        <v/>
      </c>
      <c r="AJ126" s="174" t="str" cm="1">
        <f t="array" ref="AJ126">IF(ISBLANK($AQ126), "", INDEX([2]SalmonProps!$A$2:$AA$10001,MATCH(1,($A126=[2]SalmonProps!$A$2:$A$10001)*($AP126 = [2]SalmonProps!$F$2:$F$10001) *($AR126 = [2]SalmonProps!$G$2:$G$10001),0), 20))</f>
        <v/>
      </c>
      <c r="AK126" s="183" t="str" cm="1">
        <f t="array" ref="AK126">IF(ISBLANK($AQ126), "", INDEX([2]SalmonProps!$A$2:$AA$10001,MATCH(1,($A126=[2]SalmonProps!$A$2:$A$10001)*($AP126 = [2]SalmonProps!$F$2:$F$10001) *($AR126 = [2]SalmonProps!$G$2:$G$10001),0), 21))</f>
        <v/>
      </c>
      <c r="AL126" s="174" t="str" cm="1">
        <f t="array" ref="AL126">IF(ISBLANK($AQ126), "", INDEX([2]SalmonProps!$A$2:$AA$10001,MATCH(1,($A126=[2]SalmonProps!$A$2:$A$10001)*($AP126 = [2]SalmonProps!$F$2:$F$10001) *($AR126 = [2]SalmonProps!$G$2:$G$10001),0), 22))</f>
        <v/>
      </c>
      <c r="AM126" s="183" t="str" cm="1">
        <f t="array" ref="AM126">IF(ISBLANK($AQ126), "", INDEX([2]SalmonProps!$A$2:$AA$10001,MATCH(1,($A126=[2]SalmonProps!$A$2:$A$10001)*($AP126 = [2]SalmonProps!$F$2:$F$10001) *($AR126 = [2]SalmonProps!$G$2:$G$10001),0), 23))</f>
        <v/>
      </c>
      <c r="AN126" s="174" t="str" cm="1">
        <f t="array" ref="AN126">IF(ISBLANK($AQ126), "", INDEX([2]SalmonProps!$A$2:$AA$10001,MATCH(1,($A126=[2]SalmonProps!$A$2:$A$10001)*($AP126 = [2]SalmonProps!$F$2:$F$10001) *($AR126 = [2]SalmonProps!$G$2:$G$10001),0), 26))</f>
        <v/>
      </c>
      <c r="AO126" s="175" t="str" cm="1">
        <f t="array" ref="AO126">IF(ISBLANK($AQ126), "", INDEX([2]SalmonProps!$A$2:$AA$10001,MATCH(1,($A126=[2]SalmonProps!$A$2:$A$10001)*($AP126 = [2]SalmonProps!$F$2:$F$10001) *($AR126 = [2]SalmonProps!$G$2:$G$10001),0), 27))</f>
        <v/>
      </c>
      <c r="AP126" s="112"/>
      <c r="AQ126" s="112"/>
      <c r="AR126" s="112" t="e">
        <f t="shared" si="2"/>
        <v>#N/A</v>
      </c>
    </row>
    <row r="127" spans="1:44" x14ac:dyDescent="0.3">
      <c r="A127" s="20">
        <f>'[1]Passage Estimates'!$A127</f>
        <v>45229</v>
      </c>
      <c r="B127" s="164" t="str" cm="1">
        <f t="array" ref="B127">IF(ISBLANK($AQ127), "", INDEX([2]SalmonProps!$A$2:$AA$10001,MATCH(1,($A127=[2]SalmonProps!$A$2:$A$10001)*(1=[2]SalmonProps!$C$2:$C$10001)*(1=[2]SalmonProps!$D$2:$D$10001)*("A1" = [2]SalmonProps!$B$2:$B$10001)*($AP127 = [2]SalmonProps!$F$2:$F$10001) *($AR127 = [2]SalmonProps!$G$2:$G$10001),0), 17))</f>
        <v/>
      </c>
      <c r="C127" s="165" t="str" cm="1">
        <f t="array" ref="C127">IF(ISBLANK($AQ127), "", INDEX([2]SalmonProps!$A$2:$AA$10001,MATCH(1,($A127=[2]SalmonProps!$A$2:$A$10001)*(1=[2]SalmonProps!$C$2:$C$10001)*(2=[2]SalmonProps!$D$2:$D$10001)*("A1" = [2]SalmonProps!$B$2:$B$10001)*($AP127 = [2]SalmonProps!$F$2:$F$10001) *($AR127 = [2]SalmonProps!$G$2:$G$10001),0), 17))</f>
        <v/>
      </c>
      <c r="D127" s="165" t="str" cm="1">
        <f t="array" ref="D127">IF(ISBLANK($AQ127), "", INDEX([2]SalmonProps!$A$2:$AA$10001,MATCH(1,($A127=[2]SalmonProps!$A$2:$A$10001)*(1=[2]SalmonProps!$C$2:$C$10001)*("1&amp;2"=[2]SalmonProps!$D$2:$D$10001)*("A1" = [2]SalmonProps!$B$2:$B$10001)*($AP127 = [2]SalmonProps!$F$2:$F$10001) *($AR127 = [2]SalmonProps!$G$2:$G$10001),0), 17))</f>
        <v/>
      </c>
      <c r="E127" s="181" t="str" cm="1">
        <f t="array" ref="E127">IF(ISBLANK($AQ127), "", INDEX([2]SalmonProps!$A$2:$AA$10001,MATCH(1,($A127=[2]SalmonProps!$A$2:$A$10001)*(2=[2]SalmonProps!$C$2:$C$10001)*(3=[2]SalmonProps!$D$2:$D$10001)*("A1" = [2]SalmonProps!$B$2:$B$10001)*($AP127 = [2]SalmonProps!$F$2:$F$10001) *($AR127 = [2]SalmonProps!$G$2:$G$10001),0), 17))</f>
        <v/>
      </c>
      <c r="F127" s="165" t="str" cm="1">
        <f t="array" ref="F127">IF(ISBLANK($AQ127), "", INDEX([2]SalmonProps!$A$2:$AA$10001,MATCH(1,($A127=[2]SalmonProps!$A$2:$A$10001)*(3=[2]SalmonProps!$C$2:$C$10001)*(3=[2]SalmonProps!$D$2:$D$10001)*("A1" = [2]SalmonProps!$B$2:$B$10001)*($AP127 = [2]SalmonProps!$F$2:$F$10001) *($AR127 = [2]SalmonProps!$G$2:$G$10001),0), 17))</f>
        <v/>
      </c>
      <c r="G127" s="165" t="str" cm="1">
        <f t="array" ref="G127">IF(ISBLANK($AQ127), "", INDEX([2]SalmonProps!$A$2:$AA$10001,MATCH(1,($A127=[2]SalmonProps!$A$2:$A$10001)*(1=[2]SalmonProps!$C$2:$C$10001)*(1=[2]SalmonProps!$D$2:$D$10001)*("A2" = [2]SalmonProps!$B$2:$B$10001)*($AP127 = [2]SalmonProps!$F$2:$F$10001) *($AR127 = [2]SalmonProps!$G$2:$G$10001),0), 17))</f>
        <v/>
      </c>
      <c r="H127" s="166" t="str" cm="1">
        <f t="array" ref="H127">IF(ISBLANK($AQ127), "", INDEX([2]SalmonProps!$A$2:$AA$10001,MATCH(1,($A127=[2]SalmonProps!$A$2:$A$10001)*(2=[2]SalmonProps!$C$2:$C$10001)*(1=[2]SalmonProps!$D$2:$D$10001)*("A2" = [2]SalmonProps!$B$2:$B$10001)*($AP127 = [2]SalmonProps!$F$2:$F$10001) *($AR127 = [2]SalmonProps!$G$2:$G$10001),0), 17))</f>
        <v/>
      </c>
      <c r="I127" s="167" t="str" cm="1">
        <f t="array" ref="I127">IF(ISBLANK($AQ127), "", INDEX([2]SalmonProps!$A$2:$AA$10001,MATCH(1,($A127=[2]SalmonProps!$A$2:$A$10001)*(3=[2]SalmonProps!$C$2:$C$10001)*(1=[2]SalmonProps!$D$2:$D$10001)*("A2" = [2]SalmonProps!$B$2:$B$10001)*($AP127 = [2]SalmonProps!$F$2:$F$10001) *($AR127 = [2]SalmonProps!$G$2:$G$10001),0), 17))</f>
        <v/>
      </c>
      <c r="J127" s="164" t="str" cm="1">
        <f t="array" ref="J127">IF(ISBLANK($AQ127), "", INDEX([2]SalmonProps!$A$2:$AA$10001,MATCH(1,($A127=[2]SalmonProps!$A$2:$A$10001)*(1=[2]SalmonProps!$C$2:$C$10001)*(1=[2]SalmonProps!$D$2:$D$10001)*("A1" = [2]SalmonProps!$B$2:$B$10001)*($AP127 = [2]SalmonProps!$F$2:$F$10001) *($AR127 = [2]SalmonProps!$G$2:$G$10001),0), 19))</f>
        <v/>
      </c>
      <c r="K127" s="165" t="str" cm="1">
        <f t="array" ref="K127">IF(ISBLANK($AQ127), "", INDEX([2]SalmonProps!$A$2:$AA$10001,MATCH(1,($A127=[2]SalmonProps!$A$2:$A$10001)*(1=[2]SalmonProps!$C$2:$C$10001)*(2=[2]SalmonProps!$D$2:$D$10001)*("A1" = [2]SalmonProps!$B$2:$B$10001)*($AP127 = [2]SalmonProps!$F$2:$F$10001) *($AR127 = [2]SalmonProps!$G$2:$G$10001),0), 19))</f>
        <v/>
      </c>
      <c r="L127" s="165" t="str" cm="1">
        <f t="array" ref="L127">IF(ISBLANK($AQ127), "", INDEX([2]SalmonProps!$A$2:$AA$10001,MATCH(1,($A127=[2]SalmonProps!$A$2:$A$10001)*(1=[2]SalmonProps!$C$2:$C$10001)*("1&amp;2"=[2]SalmonProps!$D$2:$D$10001)*("A1" = [2]SalmonProps!$B$2:$B$10001)*($AP127 = [2]SalmonProps!$F$2:$F$10001) *($AR127 = [2]SalmonProps!$G$2:$G$10001),0), 19))</f>
        <v/>
      </c>
      <c r="M127" s="165" t="str" cm="1">
        <f t="array" ref="M127">IF(ISBLANK($AQ127), "", INDEX([2]SalmonProps!$A$2:$AA$10001,MATCH(1,($A127=[2]SalmonProps!$A$2:$A$10001)*(2=[2]SalmonProps!$C$2:$C$10001)*(3=[2]SalmonProps!$D$2:$D$10001)*("A1" = [2]SalmonProps!$B$2:$B$10001)*($AP127 = [2]SalmonProps!$F$2:$F$10001) *($AR127 = [2]SalmonProps!$G$2:$G$10001),0), 19))</f>
        <v/>
      </c>
      <c r="N127" s="181" t="str" cm="1">
        <f t="array" ref="N127">IF(ISBLANK($AQ127), "", INDEX([2]SalmonProps!$A$2:$AA$10001,MATCH(1,($A127=[2]SalmonProps!$A$2:$A$10001)*(3=[2]SalmonProps!$C$2:$C$10001)*(3=[2]SalmonProps!$D$2:$D$10001)*("A1" = [2]SalmonProps!$B$2:$B$10001)*($AP127 = [2]SalmonProps!$F$2:$F$10001) *($AR127 = [2]SalmonProps!$G$2:$G$10001),0), 19))</f>
        <v/>
      </c>
      <c r="O127" s="165" t="str" cm="1">
        <f t="array" ref="O127">IF(ISBLANK($AQ127), "", INDEX([2]SalmonProps!$A$2:$AA$10001,MATCH(1,($A127=[2]SalmonProps!$A$2:$A$10001)*(1=[2]SalmonProps!$C$2:$C$10001)*(1=[2]SalmonProps!$D$2:$D$10001)*("A2" = [2]SalmonProps!$B$2:$B$10001)*($AP127 = [2]SalmonProps!$F$2:$F$10001) *($AR127 = [2]SalmonProps!$G$2:$G$10001),0), 19))</f>
        <v/>
      </c>
      <c r="P127" s="165" t="str" cm="1">
        <f t="array" ref="P127">IF(ISBLANK($AQ127), "", INDEX([2]SalmonProps!$A$2:$AA$10001,MATCH(1,($A127=[2]SalmonProps!$A$2:$A$10001)*(2=[2]SalmonProps!$C$2:$C$10001)*(1=[2]SalmonProps!$D$2:$D$10001)*("A2" = [2]SalmonProps!$B$2:$B$10001)*($AP127 = [2]SalmonProps!$F$2:$F$10001) *($AR127 = [2]SalmonProps!$G$2:$G$10001),0), 19))</f>
        <v/>
      </c>
      <c r="Q127" s="168" t="str" cm="1">
        <f t="array" ref="Q127">IF(ISBLANK($AQ127), "", INDEX([2]SalmonProps!$A$2:$AA$10001,MATCH(1,($A127=[2]SalmonProps!$A$2:$A$10001)*(3=[2]SalmonProps!$C$2:$C$10001)*(1=[2]SalmonProps!$D$2:$D$10001)*("A2" = [2]SalmonProps!$B$2:$B$10001)*($AP127 = [2]SalmonProps!$F$2:$F$10001) *($AR127 = [2]SalmonProps!$G$2:$G$10001),0), 19))</f>
        <v/>
      </c>
      <c r="R127" s="164" t="str" cm="1">
        <f t="array" ref="R127">IF(ISBLANK($AQ127), "", INDEX([2]SalmonProps!$A$2:$AA$10001,MATCH(1,($A127=[2]SalmonProps!$A$2:$A$10001)*(1=[2]SalmonProps!$C$2:$C$10001)*(1=[2]SalmonProps!$D$2:$D$10001)*("A1" = [2]SalmonProps!$B$2:$B$10001)*($AP127 = [2]SalmonProps!$F$2:$F$10001) *($AR127 = [2]SalmonProps!$G$2:$G$10001),0), 18))</f>
        <v/>
      </c>
      <c r="S127" s="165" t="str" cm="1">
        <f t="array" ref="S127">IF(ISBLANK($AQ127), "", INDEX([2]SalmonProps!$A$2:$AA$10001,MATCH(1,($A127=[2]SalmonProps!$A$2:$A$10001)*(1=[2]SalmonProps!$C$2:$C$10001)*(2=[2]SalmonProps!$D$2:$D$10001)*("A1" = [2]SalmonProps!$B$2:$B$10001)*($AP127 = [2]SalmonProps!$F$2:$F$10001) *($AR127 = [2]SalmonProps!$G$2:$G$10001),0), 18))</f>
        <v/>
      </c>
      <c r="T127" s="165" t="str" cm="1">
        <f t="array" ref="T127">IF(ISBLANK($AQ127), "", INDEX([2]SalmonProps!$A$2:$AA$10001,MATCH(1,($A127=[2]SalmonProps!$A$2:$A$10001)*(1=[2]SalmonProps!$C$2:$C$10001)*("1&amp;2"=[2]SalmonProps!$D$2:$D$10001)*("A1" = [2]SalmonProps!$B$2:$B$10001)*($AP127 = [2]SalmonProps!$F$2:$F$10001) *($AR127 = [2]SalmonProps!$G$2:$G$10001),0), 18))</f>
        <v/>
      </c>
      <c r="U127" s="165" t="str" cm="1">
        <f t="array" ref="U127">IF(ISBLANK($AQ127), "", INDEX([2]SalmonProps!$A$2:$AA$10001,MATCH(1,($A127=[2]SalmonProps!$A$2:$A$10001)*(2=[2]SalmonProps!$C$2:$C$10001)*(3=[2]SalmonProps!$D$2:$D$10001)*("A1" = [2]SalmonProps!$B$2:$B$10001)*($AP127 = [2]SalmonProps!$F$2:$F$10001) *($AR127 = [2]SalmonProps!$G$2:$G$10001),0), 18))</f>
        <v/>
      </c>
      <c r="V127" s="181" t="str" cm="1">
        <f t="array" ref="V127">IF(ISBLANK($AQ127), "", INDEX([2]SalmonProps!$A$2:$AA$10001,MATCH(1,($A127=[2]SalmonProps!$A$2:$A$10001)*(3=[2]SalmonProps!$C$2:$C$10001)*(3=[2]SalmonProps!$D$2:$D$10001)*("A1" = [2]SalmonProps!$B$2:$B$10001)*($AP127 = [2]SalmonProps!$F$2:$F$10001) *($AR127 = [2]SalmonProps!$G$2:$G$10001),0), 18))</f>
        <v/>
      </c>
      <c r="W127" s="180" t="str" cm="1">
        <f t="array" ref="W127">IF(ISBLANK($AQ127), "", INDEX([2]SalmonProps!$A$2:$AA$10001,MATCH(1,($A127=[2]SalmonProps!$A$2:$A$10001)*(1=[2]SalmonProps!$C$2:$C$10001)*(1=[2]SalmonProps!$D$2:$D$10001)*("A2" = [2]SalmonProps!$B$2:$B$10001)*($AP127 = [2]SalmonProps!$F$2:$F$10001) *($AR127 = [2]SalmonProps!$G$2:$G$10001),0), 18))</f>
        <v/>
      </c>
      <c r="X127" s="165" t="str" cm="1">
        <f t="array" ref="X127">IF(ISBLANK($AQ127), "", INDEX([2]SalmonProps!$A$2:$AA$10001,MATCH(1,($A127=[2]SalmonProps!$A$2:$A$10001)*(2=[2]SalmonProps!$C$2:$C$10001)*(1=[2]SalmonProps!$D$2:$D$10001)*("A2" = [2]SalmonProps!$B$2:$B$10001)*($AP127 = [2]SalmonProps!$F$2:$F$10001) *($AR127 = [2]SalmonProps!$G$2:$G$10001),0), 18))</f>
        <v/>
      </c>
      <c r="Y127" s="168" t="str" cm="1">
        <f t="array" ref="Y127">IF(ISBLANK($AQ127), "", INDEX([2]SalmonProps!$A$2:$AA$10001,MATCH(1,($A127=[2]SalmonProps!$A$2:$A$10001)*(3=[2]SalmonProps!$C$2:$C$10001)*(1=[2]SalmonProps!$D$2:$D$10001)*("A2" = [2]SalmonProps!$B$2:$B$10001)*($AP127 = [2]SalmonProps!$F$2:$F$10001) *($AR127 = [2]SalmonProps!$G$2:$G$10001),0), 18))</f>
        <v/>
      </c>
      <c r="Z127" s="164" t="str" cm="1">
        <f t="array" ref="Z127">IF(ISBLANK($AQ127), "", INDEX([2]SalmonProps!$A$2:$AA$10001,MATCH(1,($A127=[2]SalmonProps!$A$2:$A$10001)*(1=[2]SalmonProps!$C$2:$C$10001)*(1=[2]SalmonProps!$D$2:$D$10001)*("A1" = [2]SalmonProps!$B$2:$B$10001)*($AP127 = [2]SalmonProps!$F$2:$F$10001) *($AR127 = [2]SalmonProps!$G$2:$G$10001),0), 15))</f>
        <v/>
      </c>
      <c r="AA127" s="165" t="str" cm="1">
        <f t="array" ref="AA127">IF(ISBLANK($AQ127), "", INDEX([2]SalmonProps!$A$2:$AA$10001,MATCH(1,($A127=[2]SalmonProps!$A$2:$A$10001)*(1=[2]SalmonProps!$C$2:$C$10001)*(2=[2]SalmonProps!$D$2:$D$10001)*("A1" = [2]SalmonProps!$B$2:$B$10001)*($AP127 = [2]SalmonProps!$F$2:$F$10001) *($AR127 = [2]SalmonProps!$G$2:$G$10001),0), 15))</f>
        <v/>
      </c>
      <c r="AB127" s="165" t="str" cm="1">
        <f t="array" ref="AB127">IF(ISBLANK($AQ127), "", INDEX([2]SalmonProps!$A$2:$AA$10001,MATCH(1,($A127=[2]SalmonProps!$A$2:$A$10001)*(1=[2]SalmonProps!$C$2:$C$10001)*("1&amp;2"=[2]SalmonProps!$D$2:$D$10001)*("A1" = [2]SalmonProps!$B$2:$B$10001)*($AP127 = [2]SalmonProps!$F$2:$F$10001) *($AR127 = [2]SalmonProps!$G$2:$G$10001),0), 15))</f>
        <v/>
      </c>
      <c r="AC127" s="165" t="str" cm="1">
        <f t="array" ref="AC127">IF(ISBLANK($AQ127), "", INDEX([2]SalmonProps!$A$2:$AA$10001,MATCH(1,($A127=[2]SalmonProps!$A$2:$A$10001)*(2=[2]SalmonProps!$C$2:$C$10001)*(3=[2]SalmonProps!$D$2:$D$10001)*("A1" = [2]SalmonProps!$B$2:$B$10001)*($AP127 = [2]SalmonProps!$F$2:$F$10001) *($AR127 = [2]SalmonProps!$G$2:$G$10001),0), 15))</f>
        <v/>
      </c>
      <c r="AD127" s="181" t="str" cm="1">
        <f t="array" ref="AD127">IF(ISBLANK($AQ127), "", INDEX([2]SalmonProps!$A$2:$AA$10001,MATCH(1,($A127=[2]SalmonProps!$A$2:$A$10001)*(3=[2]SalmonProps!$C$2:$C$10001)*(3=[2]SalmonProps!$D$2:$D$10001)*("A1" = [2]SalmonProps!$B$2:$B$10001)*($AP127 = [2]SalmonProps!$F$2:$F$10001) *($AR127 = [2]SalmonProps!$G$2:$G$10001),0), 15))</f>
        <v/>
      </c>
      <c r="AE127" s="166" t="str" cm="1">
        <f t="array" ref="AE127">IF(ISBLANK($AQ127), "", INDEX([2]SalmonProps!$A$2:$AA$10001,MATCH(1,($A127=[2]SalmonProps!$A$2:$A$10001)*(1=[2]SalmonProps!$C$2:$C$10001)*(1=[2]SalmonProps!$D$2:$D$10001)*("A2" = [2]SalmonProps!$B$2:$B$10001)*($AP127 = [2]SalmonProps!$F$2:$F$10001) *($AR127 = [2]SalmonProps!$G$2:$G$10001),0), 15))</f>
        <v/>
      </c>
      <c r="AF127" s="166" t="str" cm="1">
        <f t="array" ref="AF127">IF(ISBLANK($AQ127), "", INDEX([2]SalmonProps!$A$2:$AA$10001,MATCH(1,($A127=[2]SalmonProps!$A$2:$A$10001)*(2=[2]SalmonProps!$C$2:$C$10001)*(1=[2]SalmonProps!$D$2:$D$10001)*("A2" = [2]SalmonProps!$B$2:$B$10001)*($AP127 = [2]SalmonProps!$F$2:$F$10001) *($AR127 = [2]SalmonProps!$G$2:$G$10001),0), 15))</f>
        <v/>
      </c>
      <c r="AG127" s="167" t="str" cm="1">
        <f t="array" ref="AG127">IF(ISBLANK($AQ127), "", INDEX([2]SalmonProps!$A$2:$AA$10001,MATCH(1,($A127=[2]SalmonProps!$A$2:$A$10001)*(3=[2]SalmonProps!$C$2:$C$10001)*(1=[2]SalmonProps!$D$2:$D$10001)*("A2" = [2]SalmonProps!$B$2:$B$10001)*($AP127 = [2]SalmonProps!$F$2:$F$10001) *($AR127 = [2]SalmonProps!$G$2:$G$10001),0), 15))</f>
        <v/>
      </c>
      <c r="AH127" s="173" t="str" cm="1">
        <f t="array" ref="AH127">IF(ISBLANK($AQ127), "", INDEX([2]SalmonProps!$A$2:$AA$10001,MATCH(1,($A127=[2]SalmonProps!$A$2:$A$10001)*($AP127 = [2]SalmonProps!$F$2:$F$10001) *($AR127 = [2]SalmonProps!$G$2:$G$10001),0), 24))</f>
        <v/>
      </c>
      <c r="AI127" s="183" t="str" cm="1">
        <f t="array" ref="AI127">IF(ISBLANK($AQ127), "", INDEX([2]SalmonProps!$A$2:$AA$10001,MATCH(1,($A127=[2]SalmonProps!$A$2:$A$10001)*($AP127 = [2]SalmonProps!$F$2:$F$10001) *($AR127 = [2]SalmonProps!$G$2:$G$10001),0), 25))</f>
        <v/>
      </c>
      <c r="AJ127" s="174" t="str" cm="1">
        <f t="array" ref="AJ127">IF(ISBLANK($AQ127), "", INDEX([2]SalmonProps!$A$2:$AA$10001,MATCH(1,($A127=[2]SalmonProps!$A$2:$A$10001)*($AP127 = [2]SalmonProps!$F$2:$F$10001) *($AR127 = [2]SalmonProps!$G$2:$G$10001),0), 20))</f>
        <v/>
      </c>
      <c r="AK127" s="183" t="str" cm="1">
        <f t="array" ref="AK127">IF(ISBLANK($AQ127), "", INDEX([2]SalmonProps!$A$2:$AA$10001,MATCH(1,($A127=[2]SalmonProps!$A$2:$A$10001)*($AP127 = [2]SalmonProps!$F$2:$F$10001) *($AR127 = [2]SalmonProps!$G$2:$G$10001),0), 21))</f>
        <v/>
      </c>
      <c r="AL127" s="174" t="str" cm="1">
        <f t="array" ref="AL127">IF(ISBLANK($AQ127), "", INDEX([2]SalmonProps!$A$2:$AA$10001,MATCH(1,($A127=[2]SalmonProps!$A$2:$A$10001)*($AP127 = [2]SalmonProps!$F$2:$F$10001) *($AR127 = [2]SalmonProps!$G$2:$G$10001),0), 22))</f>
        <v/>
      </c>
      <c r="AM127" s="183" t="str" cm="1">
        <f t="array" ref="AM127">IF(ISBLANK($AQ127), "", INDEX([2]SalmonProps!$A$2:$AA$10001,MATCH(1,($A127=[2]SalmonProps!$A$2:$A$10001)*($AP127 = [2]SalmonProps!$F$2:$F$10001) *($AR127 = [2]SalmonProps!$G$2:$G$10001),0), 23))</f>
        <v/>
      </c>
      <c r="AN127" s="174" t="str" cm="1">
        <f t="array" ref="AN127">IF(ISBLANK($AQ127), "", INDEX([2]SalmonProps!$A$2:$AA$10001,MATCH(1,($A127=[2]SalmonProps!$A$2:$A$10001)*($AP127 = [2]SalmonProps!$F$2:$F$10001) *($AR127 = [2]SalmonProps!$G$2:$G$10001),0), 26))</f>
        <v/>
      </c>
      <c r="AO127" s="175" t="str" cm="1">
        <f t="array" ref="AO127">IF(ISBLANK($AQ127), "", INDEX([2]SalmonProps!$A$2:$AA$10001,MATCH(1,($A127=[2]SalmonProps!$A$2:$A$10001)*($AP127 = [2]SalmonProps!$F$2:$F$10001) *($AR127 = [2]SalmonProps!$G$2:$G$10001),0), 27))</f>
        <v/>
      </c>
      <c r="AP127" s="112"/>
      <c r="AQ127" s="112"/>
      <c r="AR127" s="112" t="e">
        <f t="shared" si="2"/>
        <v>#N/A</v>
      </c>
    </row>
    <row r="128" spans="1:44" ht="15" thickBot="1" x14ac:dyDescent="0.35">
      <c r="A128" s="21">
        <f>'[1]Passage Estimates'!$A128</f>
        <v>45230</v>
      </c>
      <c r="B128" s="169" t="str" cm="1">
        <f t="array" ref="B128">IF(ISBLANK($AQ128), "", INDEX([2]SalmonProps!$A$2:$AA$10001,MATCH(1,($A128=[2]SalmonProps!$A$2:$A$10001)*(1=[2]SalmonProps!$C$2:$C$10001)*(1=[2]SalmonProps!$D$2:$D$10001)*("A1" = [2]SalmonProps!$B$2:$B$10001)*($AP128 = [2]SalmonProps!$F$2:$F$10001) *($AR128 = [2]SalmonProps!$G$2:$G$10001),0), 17))</f>
        <v/>
      </c>
      <c r="C128" s="170" t="str" cm="1">
        <f t="array" ref="C128">IF(ISBLANK($AQ128), "", INDEX([2]SalmonProps!$A$2:$AA$10001,MATCH(1,($A128=[2]SalmonProps!$A$2:$A$10001)*(1=[2]SalmonProps!$C$2:$C$10001)*(2=[2]SalmonProps!$D$2:$D$10001)*("A1" = [2]SalmonProps!$B$2:$B$10001)*($AP128 = [2]SalmonProps!$F$2:$F$10001) *($AR128 = [2]SalmonProps!$G$2:$G$10001),0), 17))</f>
        <v/>
      </c>
      <c r="D128" s="170" t="str" cm="1">
        <f t="array" ref="D128">IF(ISBLANK($AQ128), "", INDEX([2]SalmonProps!$A$2:$AA$10001,MATCH(1,($A128=[2]SalmonProps!$A$2:$A$10001)*(1=[2]SalmonProps!$C$2:$C$10001)*("1&amp;2"=[2]SalmonProps!$D$2:$D$10001)*("A1" = [2]SalmonProps!$B$2:$B$10001)*($AP128 = [2]SalmonProps!$F$2:$F$10001) *($AR128 = [2]SalmonProps!$G$2:$G$10001),0), 17))</f>
        <v/>
      </c>
      <c r="E128" s="182" t="str" cm="1">
        <f t="array" ref="E128">IF(ISBLANK($AQ128), "", INDEX([2]SalmonProps!$A$2:$AA$10001,MATCH(1,($A128=[2]SalmonProps!$A$2:$A$10001)*(2=[2]SalmonProps!$C$2:$C$10001)*(3=[2]SalmonProps!$D$2:$D$10001)*("A1" = [2]SalmonProps!$B$2:$B$10001)*($AP128 = [2]SalmonProps!$F$2:$F$10001) *($AR128 = [2]SalmonProps!$G$2:$G$10001),0), 17))</f>
        <v/>
      </c>
      <c r="F128" s="170" t="str" cm="1">
        <f t="array" ref="F128">IF(ISBLANK($AQ128), "", INDEX([2]SalmonProps!$A$2:$AA$10001,MATCH(1,($A128=[2]SalmonProps!$A$2:$A$10001)*(3=[2]SalmonProps!$C$2:$C$10001)*(3=[2]SalmonProps!$D$2:$D$10001)*("A1" = [2]SalmonProps!$B$2:$B$10001)*($AP128 = [2]SalmonProps!$F$2:$F$10001) *($AR128 = [2]SalmonProps!$G$2:$G$10001),0), 17))</f>
        <v/>
      </c>
      <c r="G128" s="170" t="str" cm="1">
        <f t="array" ref="G128">IF(ISBLANK($AQ128), "", INDEX([2]SalmonProps!$A$2:$AA$10001,MATCH(1,($A128=[2]SalmonProps!$A$2:$A$10001)*(1=[2]SalmonProps!$C$2:$C$10001)*(1=[2]SalmonProps!$D$2:$D$10001)*("A2" = [2]SalmonProps!$B$2:$B$10001)*($AP128 = [2]SalmonProps!$F$2:$F$10001) *($AR128 = [2]SalmonProps!$G$2:$G$10001),0), 17))</f>
        <v/>
      </c>
      <c r="H128" s="166" t="str" cm="1">
        <f t="array" ref="H128">IF(ISBLANK($AQ128), "", INDEX([2]SalmonProps!$A$2:$AA$10001,MATCH(1,($A128=[2]SalmonProps!$A$2:$A$10001)*(2=[2]SalmonProps!$C$2:$C$10001)*(1=[2]SalmonProps!$D$2:$D$10001)*("A2" = [2]SalmonProps!$B$2:$B$10001)*($AP128 = [2]SalmonProps!$F$2:$F$10001) *($AR128 = [2]SalmonProps!$G$2:$G$10001),0), 17))</f>
        <v/>
      </c>
      <c r="I128" s="167" t="str" cm="1">
        <f t="array" ref="I128">IF(ISBLANK($AQ128), "", INDEX([2]SalmonProps!$A$2:$AA$10001,MATCH(1,($A128=[2]SalmonProps!$A$2:$A$10001)*(3=[2]SalmonProps!$C$2:$C$10001)*(1=[2]SalmonProps!$D$2:$D$10001)*("A2" = [2]SalmonProps!$B$2:$B$10001)*($AP128 = [2]SalmonProps!$F$2:$F$10001) *($AR128 = [2]SalmonProps!$G$2:$G$10001),0), 17))</f>
        <v/>
      </c>
      <c r="J128" s="169" t="str" cm="1">
        <f t="array" ref="J128">IF(ISBLANK($AQ128), "", INDEX([2]SalmonProps!$A$2:$AA$10001,MATCH(1,($A128=[2]SalmonProps!$A$2:$A$10001)*(1=[2]SalmonProps!$C$2:$C$10001)*(1=[2]SalmonProps!$D$2:$D$10001)*("A1" = [2]SalmonProps!$B$2:$B$10001)*($AP128 = [2]SalmonProps!$F$2:$F$10001) *($AR128 = [2]SalmonProps!$G$2:$G$10001),0), 19))</f>
        <v/>
      </c>
      <c r="K128" s="170" t="str" cm="1">
        <f t="array" ref="K128">IF(ISBLANK($AQ128), "", INDEX([2]SalmonProps!$A$2:$AA$10001,MATCH(1,($A128=[2]SalmonProps!$A$2:$A$10001)*(1=[2]SalmonProps!$C$2:$C$10001)*(2=[2]SalmonProps!$D$2:$D$10001)*("A1" = [2]SalmonProps!$B$2:$B$10001)*($AP128 = [2]SalmonProps!$F$2:$F$10001) *($AR128 = [2]SalmonProps!$G$2:$G$10001),0), 19))</f>
        <v/>
      </c>
      <c r="L128" s="170" t="str" cm="1">
        <f t="array" ref="L128">IF(ISBLANK($AQ128), "", INDEX([2]SalmonProps!$A$2:$AA$10001,MATCH(1,($A128=[2]SalmonProps!$A$2:$A$10001)*(1=[2]SalmonProps!$C$2:$C$10001)*("1&amp;2"=[2]SalmonProps!$D$2:$D$10001)*("A1" = [2]SalmonProps!$B$2:$B$10001)*($AP128 = [2]SalmonProps!$F$2:$F$10001) *($AR128 = [2]SalmonProps!$G$2:$G$10001),0), 19))</f>
        <v/>
      </c>
      <c r="M128" s="170" t="str" cm="1">
        <f t="array" ref="M128">IF(ISBLANK($AQ128), "", INDEX([2]SalmonProps!$A$2:$AA$10001,MATCH(1,($A128=[2]SalmonProps!$A$2:$A$10001)*(2=[2]SalmonProps!$C$2:$C$10001)*(3=[2]SalmonProps!$D$2:$D$10001)*("A1" = [2]SalmonProps!$B$2:$B$10001)*($AP128 = [2]SalmonProps!$F$2:$F$10001) *($AR128 = [2]SalmonProps!$G$2:$G$10001),0), 19))</f>
        <v/>
      </c>
      <c r="N128" s="182" t="str" cm="1">
        <f t="array" ref="N128">IF(ISBLANK($AQ128), "", INDEX([2]SalmonProps!$A$2:$AA$10001,MATCH(1,($A128=[2]SalmonProps!$A$2:$A$10001)*(3=[2]SalmonProps!$C$2:$C$10001)*(3=[2]SalmonProps!$D$2:$D$10001)*("A1" = [2]SalmonProps!$B$2:$B$10001)*($AP128 = [2]SalmonProps!$F$2:$F$10001) *($AR128 = [2]SalmonProps!$G$2:$G$10001),0), 19))</f>
        <v/>
      </c>
      <c r="O128" s="193" t="str" cm="1">
        <f t="array" ref="O128">IF(ISBLANK($AQ128), "", INDEX([2]SalmonProps!$A$2:$AA$10001,MATCH(1,($A128=[2]SalmonProps!$A$2:$A$10001)*(1=[2]SalmonProps!$C$2:$C$10001)*(1=[2]SalmonProps!$D$2:$D$10001)*("A2" = [2]SalmonProps!$B$2:$B$10001)*($AP128 = [2]SalmonProps!$F$2:$F$10001) *($AR128 = [2]SalmonProps!$G$2:$G$10001),0), 19))</f>
        <v/>
      </c>
      <c r="P128" s="194" t="str" cm="1">
        <f t="array" ref="P128">IF(ISBLANK($AQ128), "", INDEX([2]SalmonProps!$A$2:$AA$10001,MATCH(1,($A128=[2]SalmonProps!$A$2:$A$10001)*(2=[2]SalmonProps!$C$2:$C$10001)*(1=[2]SalmonProps!$D$2:$D$10001)*("A2" = [2]SalmonProps!$B$2:$B$10001)*($AP128 = [2]SalmonProps!$F$2:$F$10001) *($AR128 = [2]SalmonProps!$G$2:$G$10001),0), 19))</f>
        <v/>
      </c>
      <c r="Q128" s="195" t="str" cm="1">
        <f t="array" ref="Q128">IF(ISBLANK($AQ128), "", INDEX([2]SalmonProps!$A$2:$AA$10001,MATCH(1,($A128=[2]SalmonProps!$A$2:$A$10001)*(3=[2]SalmonProps!$C$2:$C$10001)*(1=[2]SalmonProps!$D$2:$D$10001)*("A2" = [2]SalmonProps!$B$2:$B$10001)*($AP128 = [2]SalmonProps!$F$2:$F$10001) *($AR128 = [2]SalmonProps!$G$2:$G$10001),0), 19))</f>
        <v/>
      </c>
      <c r="R128" s="169" t="str" cm="1">
        <f t="array" ref="R128">IF(ISBLANK($AQ128), "", INDEX([2]SalmonProps!$A$2:$AA$10001,MATCH(1,($A128=[2]SalmonProps!$A$2:$A$10001)*(1=[2]SalmonProps!$C$2:$C$10001)*(1=[2]SalmonProps!$D$2:$D$10001)*("A1" = [2]SalmonProps!$B$2:$B$10001)*($AP128 = [2]SalmonProps!$F$2:$F$10001) *($AR128 = [2]SalmonProps!$G$2:$G$10001),0), 18))</f>
        <v/>
      </c>
      <c r="S128" s="170" t="str" cm="1">
        <f t="array" ref="S128">IF(ISBLANK($AQ128), "", INDEX([2]SalmonProps!$A$2:$AA$10001,MATCH(1,($A128=[2]SalmonProps!$A$2:$A$10001)*(1=[2]SalmonProps!$C$2:$C$10001)*(2=[2]SalmonProps!$D$2:$D$10001)*("A1" = [2]SalmonProps!$B$2:$B$10001)*($AP128 = [2]SalmonProps!$F$2:$F$10001) *($AR128 = [2]SalmonProps!$G$2:$G$10001),0), 18))</f>
        <v/>
      </c>
      <c r="T128" s="170" t="str" cm="1">
        <f t="array" ref="T128">IF(ISBLANK($AQ128), "", INDEX([2]SalmonProps!$A$2:$AA$10001,MATCH(1,($A128=[2]SalmonProps!$A$2:$A$10001)*(1=[2]SalmonProps!$C$2:$C$10001)*("1&amp;2"=[2]SalmonProps!$D$2:$D$10001)*("A1" = [2]SalmonProps!$B$2:$B$10001)*($AP128 = [2]SalmonProps!$F$2:$F$10001) *($AR128 = [2]SalmonProps!$G$2:$G$10001),0), 18))</f>
        <v/>
      </c>
      <c r="U128" s="170" t="str" cm="1">
        <f t="array" ref="U128">IF(ISBLANK($AQ128), "", INDEX([2]SalmonProps!$A$2:$AA$10001,MATCH(1,($A128=[2]SalmonProps!$A$2:$A$10001)*(2=[2]SalmonProps!$C$2:$C$10001)*(3=[2]SalmonProps!$D$2:$D$10001)*("A1" = [2]SalmonProps!$B$2:$B$10001)*($AP128 = [2]SalmonProps!$F$2:$F$10001) *($AR128 = [2]SalmonProps!$G$2:$G$10001),0), 18))</f>
        <v/>
      </c>
      <c r="V128" s="182" t="str" cm="1">
        <f t="array" ref="V128">IF(ISBLANK($AQ128), "", INDEX([2]SalmonProps!$A$2:$AA$10001,MATCH(1,($A128=[2]SalmonProps!$A$2:$A$10001)*(3=[2]SalmonProps!$C$2:$C$10001)*(3=[2]SalmonProps!$D$2:$D$10001)*("A1" = [2]SalmonProps!$B$2:$B$10001)*($AP128 = [2]SalmonProps!$F$2:$F$10001) *($AR128 = [2]SalmonProps!$G$2:$G$10001),0), 18))</f>
        <v/>
      </c>
      <c r="W128" s="219" t="str" cm="1">
        <f t="array" ref="W128">IF(ISBLANK($AQ128), "", INDEX([2]SalmonProps!$A$2:$AA$10001,MATCH(1,($A128=[2]SalmonProps!$A$2:$A$10001)*(1=[2]SalmonProps!$C$2:$C$10001)*(1=[2]SalmonProps!$D$2:$D$10001)*("A2" = [2]SalmonProps!$B$2:$B$10001)*($AP128 = [2]SalmonProps!$F$2:$F$10001) *($AR128 = [2]SalmonProps!$G$2:$G$10001),0), 18))</f>
        <v/>
      </c>
      <c r="X128" s="170" t="str" cm="1">
        <f t="array" ref="X128">IF(ISBLANK($AQ128), "", INDEX([2]SalmonProps!$A$2:$AA$10001,MATCH(1,($A128=[2]SalmonProps!$A$2:$A$10001)*(2=[2]SalmonProps!$C$2:$C$10001)*(1=[2]SalmonProps!$D$2:$D$10001)*("A2" = [2]SalmonProps!$B$2:$B$10001)*($AP128 = [2]SalmonProps!$F$2:$F$10001) *($AR128 = [2]SalmonProps!$G$2:$G$10001),0), 18))</f>
        <v/>
      </c>
      <c r="Y128" s="171" t="str" cm="1">
        <f t="array" ref="Y128">IF(ISBLANK($AQ128), "", INDEX([2]SalmonProps!$A$2:$AA$10001,MATCH(1,($A128=[2]SalmonProps!$A$2:$A$10001)*(3=[2]SalmonProps!$C$2:$C$10001)*(1=[2]SalmonProps!$D$2:$D$10001)*("A2" = [2]SalmonProps!$B$2:$B$10001)*($AP128 = [2]SalmonProps!$F$2:$F$10001) *($AR128 = [2]SalmonProps!$G$2:$G$10001),0), 18))</f>
        <v/>
      </c>
      <c r="Z128" s="169" t="str" cm="1">
        <f t="array" ref="Z128">IF(ISBLANK($AQ128), "", INDEX([2]SalmonProps!$A$2:$AA$10001,MATCH(1,($A128=[2]SalmonProps!$A$2:$A$10001)*(1=[2]SalmonProps!$C$2:$C$10001)*(1=[2]SalmonProps!$D$2:$D$10001)*("A1" = [2]SalmonProps!$B$2:$B$10001)*($AP128 = [2]SalmonProps!$F$2:$F$10001) *($AR128 = [2]SalmonProps!$G$2:$G$10001),0), 15))</f>
        <v/>
      </c>
      <c r="AA128" s="170" t="str" cm="1">
        <f t="array" ref="AA128">IF(ISBLANK($AQ128), "", INDEX([2]SalmonProps!$A$2:$AA$10001,MATCH(1,($A128=[2]SalmonProps!$A$2:$A$10001)*(1=[2]SalmonProps!$C$2:$C$10001)*(2=[2]SalmonProps!$D$2:$D$10001)*("A1" = [2]SalmonProps!$B$2:$B$10001)*($AP128 = [2]SalmonProps!$F$2:$F$10001) *($AR128 = [2]SalmonProps!$G$2:$G$10001),0), 15))</f>
        <v/>
      </c>
      <c r="AB128" s="170" t="str" cm="1">
        <f t="array" ref="AB128">IF(ISBLANK($AQ128), "", INDEX([2]SalmonProps!$A$2:$AA$10001,MATCH(1,($A128=[2]SalmonProps!$A$2:$A$10001)*(1=[2]SalmonProps!$C$2:$C$10001)*("1&amp;2"=[2]SalmonProps!$D$2:$D$10001)*("A1" = [2]SalmonProps!$B$2:$B$10001)*($AP128 = [2]SalmonProps!$F$2:$F$10001) *($AR128 = [2]SalmonProps!$G$2:$G$10001),0), 15))</f>
        <v/>
      </c>
      <c r="AC128" s="170" t="str" cm="1">
        <f t="array" ref="AC128">IF(ISBLANK($AQ128), "", INDEX([2]SalmonProps!$A$2:$AA$10001,MATCH(1,($A128=[2]SalmonProps!$A$2:$A$10001)*(2=[2]SalmonProps!$C$2:$C$10001)*(3=[2]SalmonProps!$D$2:$D$10001)*("A1" = [2]SalmonProps!$B$2:$B$10001)*($AP128 = [2]SalmonProps!$F$2:$F$10001) *($AR128 = [2]SalmonProps!$G$2:$G$10001),0), 15))</f>
        <v/>
      </c>
      <c r="AD128" s="182" t="str" cm="1">
        <f t="array" ref="AD128">IF(ISBLANK($AQ128), "", INDEX([2]SalmonProps!$A$2:$AA$10001,MATCH(1,($A128=[2]SalmonProps!$A$2:$A$10001)*(3=[2]SalmonProps!$C$2:$C$10001)*(3=[2]SalmonProps!$D$2:$D$10001)*("A1" = [2]SalmonProps!$B$2:$B$10001)*($AP128 = [2]SalmonProps!$F$2:$F$10001) *($AR128 = [2]SalmonProps!$G$2:$G$10001),0), 15))</f>
        <v/>
      </c>
      <c r="AE128" s="190" t="str" cm="1">
        <f t="array" ref="AE128">IF(ISBLANK($AQ128), "", INDEX([2]SalmonProps!$A$2:$AA$10001,MATCH(1,($A128=[2]SalmonProps!$A$2:$A$10001)*(1=[2]SalmonProps!$C$2:$C$10001)*(1=[2]SalmonProps!$D$2:$D$10001)*("A2" = [2]SalmonProps!$B$2:$B$10001)*($AP128 = [2]SalmonProps!$F$2:$F$10001) *($AR128 = [2]SalmonProps!$G$2:$G$10001),0), 15))</f>
        <v/>
      </c>
      <c r="AF128" s="191" t="str" cm="1">
        <f t="array" ref="AF128">IF(ISBLANK($AQ128), "", INDEX([2]SalmonProps!$A$2:$AA$10001,MATCH(1,($A128=[2]SalmonProps!$A$2:$A$10001)*(2=[2]SalmonProps!$C$2:$C$10001)*(1=[2]SalmonProps!$D$2:$D$10001)*("A2" = [2]SalmonProps!$B$2:$B$10001)*($AP128 = [2]SalmonProps!$F$2:$F$10001) *($AR128 = [2]SalmonProps!$G$2:$G$10001),0), 15))</f>
        <v/>
      </c>
      <c r="AG128" s="192" t="str" cm="1">
        <f t="array" ref="AG128">IF(ISBLANK($AQ128), "", INDEX([2]SalmonProps!$A$2:$AA$10001,MATCH(1,($A128=[2]SalmonProps!$A$2:$A$10001)*(3=[2]SalmonProps!$C$2:$C$10001)*(1=[2]SalmonProps!$D$2:$D$10001)*("A2" = [2]SalmonProps!$B$2:$B$10001)*($AP128 = [2]SalmonProps!$F$2:$F$10001) *($AR128 = [2]SalmonProps!$G$2:$G$10001),0), 15))</f>
        <v/>
      </c>
      <c r="AH128" s="177" t="str" cm="1">
        <f t="array" ref="AH128">IF(ISBLANK($AQ128), "", INDEX([2]SalmonProps!$A$2:$AA$10001,MATCH(1,($A128=[2]SalmonProps!$A$2:$A$10001)*($AP128 = [2]SalmonProps!$F$2:$F$10001) *($AR128 = [2]SalmonProps!$G$2:$G$10001),0), 24))</f>
        <v/>
      </c>
      <c r="AI128" s="184" t="str" cm="1">
        <f t="array" ref="AI128">IF(ISBLANK($AQ128), "", INDEX([2]SalmonProps!$A$2:$AA$10001,MATCH(1,($A128=[2]SalmonProps!$A$2:$A$10001)*($AP128 = [2]SalmonProps!$F$2:$F$10001) *($AR128 = [2]SalmonProps!$G$2:$G$10001),0), 25))</f>
        <v/>
      </c>
      <c r="AJ128" s="178" t="str" cm="1">
        <f t="array" ref="AJ128">IF(ISBLANK($AQ128), "", INDEX([2]SalmonProps!$A$2:$AA$10001,MATCH(1,($A128=[2]SalmonProps!$A$2:$A$10001)*($AP128 = [2]SalmonProps!$F$2:$F$10001) *($AR128 = [2]SalmonProps!$G$2:$G$10001),0), 20))</f>
        <v/>
      </c>
      <c r="AK128" s="184" t="str" cm="1">
        <f t="array" ref="AK128">IF(ISBLANK($AQ128), "", INDEX([2]SalmonProps!$A$2:$AA$10001,MATCH(1,($A128=[2]SalmonProps!$A$2:$A$10001)*($AP128 = [2]SalmonProps!$F$2:$F$10001) *($AR128 = [2]SalmonProps!$G$2:$G$10001),0), 21))</f>
        <v/>
      </c>
      <c r="AL128" s="178" t="str" cm="1">
        <f t="array" ref="AL128">IF(ISBLANK($AQ128), "", INDEX([2]SalmonProps!$A$2:$AA$10001,MATCH(1,($A128=[2]SalmonProps!$A$2:$A$10001)*($AP128 = [2]SalmonProps!$F$2:$F$10001) *($AR128 = [2]SalmonProps!$G$2:$G$10001),0), 22))</f>
        <v/>
      </c>
      <c r="AM128" s="184" t="str" cm="1">
        <f t="array" ref="AM128">IF(ISBLANK($AQ128), "", INDEX([2]SalmonProps!$A$2:$AA$10001,MATCH(1,($A128=[2]SalmonProps!$A$2:$A$10001)*($AP128 = [2]SalmonProps!$F$2:$F$10001) *($AR128 = [2]SalmonProps!$G$2:$G$10001),0), 23))</f>
        <v/>
      </c>
      <c r="AN128" s="178" t="str" cm="1">
        <f t="array" ref="AN128">IF(ISBLANK($AQ128), "", INDEX([2]SalmonProps!$A$2:$AA$10001,MATCH(1,($A128=[2]SalmonProps!$A$2:$A$10001)*($AP128 = [2]SalmonProps!$F$2:$F$10001) *($AR128 = [2]SalmonProps!$G$2:$G$10001),0), 26))</f>
        <v/>
      </c>
      <c r="AO128" s="179" t="str" cm="1">
        <f t="array" ref="AO128">IF(ISBLANK($AQ128), "", INDEX([2]SalmonProps!$A$2:$AA$10001,MATCH(1,($A128=[2]SalmonProps!$A$2:$A$10001)*($AP128 = [2]SalmonProps!$F$2:$F$10001) *($AR128 = [2]SalmonProps!$G$2:$G$10001),0), 27))</f>
        <v/>
      </c>
      <c r="AP128" s="113"/>
      <c r="AQ128" s="113"/>
      <c r="AR128" s="113" t="e">
        <f t="shared" si="2"/>
        <v>#N/A</v>
      </c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</sheetData>
  <mergeCells count="16">
    <mergeCell ref="AR3:AR5"/>
    <mergeCell ref="AT1:AU1"/>
    <mergeCell ref="AQ3:AQ5"/>
    <mergeCell ref="AP3:AP5"/>
    <mergeCell ref="A1:AO1"/>
    <mergeCell ref="B3:AG3"/>
    <mergeCell ref="AH3:AO3"/>
    <mergeCell ref="B4:I4"/>
    <mergeCell ref="A3:A5"/>
    <mergeCell ref="Z4:AG4"/>
    <mergeCell ref="AH4:AI4"/>
    <mergeCell ref="AJ4:AK4"/>
    <mergeCell ref="AL4:AM4"/>
    <mergeCell ref="AN4:AO4"/>
    <mergeCell ref="J4:Q4"/>
    <mergeCell ref="R4:Y4"/>
  </mergeCells>
  <phoneticPr fontId="2" type="noConversion"/>
  <conditionalFormatting sqref="B6:AQ128">
    <cfRule type="expression" dxfId="32" priority="2">
      <formula>ISNA(B6)</formula>
    </cfRule>
  </conditionalFormatting>
  <conditionalFormatting sqref="AR6:AR128">
    <cfRule type="expression" dxfId="31" priority="1">
      <formula>ISNA(AR6)</formula>
    </cfRule>
  </conditionalFormatting>
  <dataValidations count="1">
    <dataValidation type="list" allowBlank="1" showInputMessage="1" showErrorMessage="1" sqref="AQ6:AQ128" xr:uid="{5754F61B-CA7B-4EF6-8F29-392F012A5869}">
      <formula1>$AT$2:$AT$5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665C-9916-49B8-A328-6DC1DC9192F9}">
  <sheetPr codeName="Sheet2">
    <tabColor theme="7" tint="0.59999389629810485"/>
  </sheetPr>
  <dimension ref="A1:AE152"/>
  <sheetViews>
    <sheetView workbookViewId="0">
      <pane ySplit="5" topLeftCell="A90" activePane="bottomLeft" state="frozen"/>
      <selection pane="bottomLeft" activeCell="C100" sqref="C100"/>
    </sheetView>
  </sheetViews>
  <sheetFormatPr defaultRowHeight="14.4" x14ac:dyDescent="0.3"/>
  <cols>
    <col min="1" max="1" width="12.44140625" bestFit="1" customWidth="1"/>
    <col min="2" max="2" width="14" bestFit="1" customWidth="1"/>
    <col min="3" max="3" width="10" customWidth="1"/>
    <col min="4" max="4" width="10" bestFit="1" customWidth="1"/>
    <col min="11" max="11" width="11.109375" bestFit="1" customWidth="1"/>
    <col min="12" max="12" width="11.109375" customWidth="1"/>
    <col min="16" max="16" width="12.6640625" customWidth="1"/>
    <col min="17" max="18" width="5.5546875" hidden="1" customWidth="1"/>
    <col min="19" max="19" width="6.44140625" hidden="1" customWidth="1"/>
    <col min="20" max="22" width="5.33203125" hidden="1" customWidth="1"/>
    <col min="23" max="24" width="11.33203125" hidden="1" customWidth="1"/>
    <col min="25" max="27" width="5.44140625" hidden="1" customWidth="1"/>
    <col min="28" max="28" width="8.88671875" customWidth="1"/>
    <col min="35" max="35" width="12" bestFit="1" customWidth="1"/>
  </cols>
  <sheetData>
    <row r="1" spans="1:28" ht="28.8" x14ac:dyDescent="0.55000000000000004">
      <c r="A1" s="251" t="s">
        <v>48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S1" s="196"/>
    </row>
    <row r="2" spans="1:28" ht="15" thickBot="1" x14ac:dyDescent="0.35">
      <c r="A2" s="50" t="s">
        <v>39</v>
      </c>
    </row>
    <row r="3" spans="1:28" ht="18.600000000000001" thickBot="1" x14ac:dyDescent="0.4">
      <c r="P3" s="72"/>
      <c r="Q3" s="248" t="s">
        <v>47</v>
      </c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72"/>
    </row>
    <row r="4" spans="1:28" ht="17.399999999999999" customHeight="1" x14ac:dyDescent="0.35">
      <c r="A4" s="18"/>
      <c r="B4" s="253" t="s">
        <v>21</v>
      </c>
      <c r="C4" s="255" t="s">
        <v>38</v>
      </c>
      <c r="D4" s="248"/>
      <c r="E4" s="248"/>
      <c r="F4" s="248"/>
      <c r="G4" s="248"/>
      <c r="H4" s="248"/>
      <c r="I4" s="248"/>
      <c r="J4" s="256"/>
      <c r="K4" s="249" t="s">
        <v>18</v>
      </c>
      <c r="L4" s="255" t="s">
        <v>37</v>
      </c>
      <c r="M4" s="248"/>
      <c r="N4" s="248"/>
      <c r="O4" s="259"/>
      <c r="P4" s="257" t="s">
        <v>159</v>
      </c>
      <c r="Q4" s="248" t="s">
        <v>38</v>
      </c>
      <c r="R4" s="248"/>
      <c r="S4" s="248"/>
      <c r="T4" s="248"/>
      <c r="U4" s="248"/>
      <c r="V4" s="248"/>
      <c r="W4" s="249" t="s">
        <v>18</v>
      </c>
      <c r="X4" s="255" t="s">
        <v>37</v>
      </c>
      <c r="Y4" s="248"/>
      <c r="Z4" s="248"/>
      <c r="AA4" s="259"/>
      <c r="AB4" s="246" t="s">
        <v>162</v>
      </c>
    </row>
    <row r="5" spans="1:28" ht="22.95" customHeight="1" thickBot="1" x14ac:dyDescent="0.35">
      <c r="A5" s="19" t="s">
        <v>0</v>
      </c>
      <c r="B5" s="254"/>
      <c r="C5" s="11" t="s">
        <v>85</v>
      </c>
      <c r="D5" s="205" t="s">
        <v>86</v>
      </c>
      <c r="E5" s="2" t="s">
        <v>27</v>
      </c>
      <c r="F5" s="2" t="s">
        <v>28</v>
      </c>
      <c r="G5" s="221" t="s">
        <v>29</v>
      </c>
      <c r="H5" s="2" t="s">
        <v>30</v>
      </c>
      <c r="I5" s="2" t="s">
        <v>31</v>
      </c>
      <c r="J5" s="4" t="s">
        <v>32</v>
      </c>
      <c r="K5" s="252"/>
      <c r="L5" s="2" t="s">
        <v>30</v>
      </c>
      <c r="M5" s="2" t="s">
        <v>29</v>
      </c>
      <c r="N5" s="2" t="s">
        <v>28</v>
      </c>
      <c r="O5" s="2" t="s">
        <v>27</v>
      </c>
      <c r="P5" s="258"/>
      <c r="Q5" s="14" t="s">
        <v>27</v>
      </c>
      <c r="R5" s="14" t="s">
        <v>28</v>
      </c>
      <c r="S5" s="14" t="s">
        <v>29</v>
      </c>
      <c r="T5" s="14" t="s">
        <v>30</v>
      </c>
      <c r="U5" s="14" t="s">
        <v>31</v>
      </c>
      <c r="V5" s="14" t="s">
        <v>32</v>
      </c>
      <c r="W5" s="250"/>
      <c r="X5" s="14" t="s">
        <v>30</v>
      </c>
      <c r="Y5" s="14" t="s">
        <v>29</v>
      </c>
      <c r="Z5" s="14" t="s">
        <v>28</v>
      </c>
      <c r="AA5" s="15" t="s">
        <v>27</v>
      </c>
      <c r="AB5" s="247"/>
    </row>
    <row r="6" spans="1:28" x14ac:dyDescent="0.3">
      <c r="A6" s="20">
        <f>'1. Mixture Model Inputs'!A6</f>
        <v>45108</v>
      </c>
      <c r="B6" s="13" t="str">
        <f>'[1]Passage Estimates'!$C6</f>
        <v>S1+M+A2</v>
      </c>
      <c r="C6" s="206">
        <v>190</v>
      </c>
      <c r="D6" s="206">
        <v>34</v>
      </c>
      <c r="E6" s="34">
        <f>IF(B6="Custom", Q6, IF(B6="Imputation", INDEX('[3]Alt Est Detailed Bin Table'!$B$10:$M$132, MATCH(A6, '[3]Alt Est Detailed Bin Table'!$A$10:$A$132), MATCH(P6, '[3]Alt Est Detailed Bin Table'!$B$9:$M$9,0)), INDEX('[3]Detailed Bin Table'!$B$9:$M$132,MATCH($A6,'[3]Detailed Bin Table'!$A$9:$A$132,0),MATCH($B6,'[3]Detailed Bin Table'!$B$9:$M$9,0)))*24)</f>
        <v>276.71999999999997</v>
      </c>
      <c r="F6" s="34">
        <f>IF(B6="Custom", Q6, IF(B6="Imputation", INDEX('[3]Alt Est Detailed Bin Table'!$N$10:$Y$132, MATCH(A6, '[3]Alt Est Detailed Bin Table'!$A$10:$A$132), MATCH(P6, '[3]Alt Est Detailed Bin Table'!$N$9:$Y$9,0)), INDEX('[3]Detailed Bin Table'!$N$9:$Y$132,MATCH($A6,'[3]Detailed Bin Table'!$A$9:$A$132,0),MATCH($B6,'[3]Detailed Bin Table'!$N$9:$Y$9,0)))*24)</f>
        <v>401.52</v>
      </c>
      <c r="G6" s="34">
        <f>IF(B6="Custom", Q6, IF(B6="Imputation", INDEX('[3]Alt Est Detailed Bin Table'!$Z$10:$AK$132, MATCH(A6, '[3]Alt Est Detailed Bin Table'!$A$10:$A$132), MATCH(P6, '[3]Alt Est Detailed Bin Table'!$Z$9:$AK$9,0)), INDEX('[3]Detailed Bin Table'!$Z$9:$AK$132,MATCH($A6,'[3]Detailed Bin Table'!$A$9:$A$132,0),MATCH($B6,'[3]Detailed Bin Table'!$Z$9:$AK$9,0)))*24)</f>
        <v>258.24</v>
      </c>
      <c r="H6" s="34">
        <f>IF(B6="Custom", Q6, IF(B6="Imputation", INDEX('[3]Alt Est Detailed Bin Table'!$AL$10:$AW$132, MATCH(A6, '[3]Alt Est Detailed Bin Table'!$A$10:$A$132), MATCH(P6, '[3]Alt Est Detailed Bin Table'!$AL$9:$AW$9,0)), INDEX('[3]Detailed Bin Table'!$AL$9:$AW$132,MATCH($A6,'[3]Detailed Bin Table'!$A$9:$A$132,0),MATCH($B6,'[3]Detailed Bin Table'!$AL$9:$AW$9,0)))*24)</f>
        <v>267.84000000000003</v>
      </c>
      <c r="I6" s="34">
        <f>IF(B6="Custom", Q6, IF(B6="Imputation", INDEX('[3]Alt Est Detailed Bin Table'!$AX$10:$BI$132, MATCH(A6, '[3]Alt Est Detailed Bin Table'!$A$10:$A$132), MATCH(P6, '[3]Alt Est Detailed Bin Table'!$AX$9:$BI$9,0)), INDEX('[3]Detailed Bin Table'!$AX$9:$BI$132,MATCH($A6,'[3]Detailed Bin Table'!$A$9:$A$132,0),MATCH($B6,'[3]Detailed Bin Table'!$AX$9:$BI$9,0)))*24)</f>
        <v>0</v>
      </c>
      <c r="J6" s="34">
        <f>IF(B6="Custom", V6, INDEX('[3]Detailed Bin Table'!$BJ$9:$BO$132,MATCH($A6,'[3]Detailed Bin Table'!$A$9:$A$132,0),MATCH($B6,'[3]Detailed Bin Table'!$BJ$9:$BO$9,0))*24)</f>
        <v>0</v>
      </c>
      <c r="K6" s="33">
        <f>IF(B6="Custom", Q6, IF(B6="Imputation", INDEX('[3]Alt Est Detailed Bin Table'!$BP$10:$CC$132, MATCH(A6, '[3]Alt Est Detailed Bin Table'!$A$10:$A$132), MATCH(P6, '[3]Alt Est Detailed Bin Table'!$BP$9:$CC$9,0)), INDEX('[3]Detailed Bin Table'!$BP$9:$CC$132,MATCH($A6,'[3]Detailed Bin Table'!$A$9:$A$132,0),MATCH($B6,'[3]Detailed Bin Table'!$BP$9:$CC$9,0)))*24)</f>
        <v>2610.4800000000009</v>
      </c>
      <c r="L6" s="223">
        <f>IF(B6="Custom", Q6, IF(B6="Imputation", INDEX('[3]Alt Est Detailed Bin Table'!$CD$10:$CK$132, MATCH(A6, '[3]Alt Est Detailed Bin Table'!$A$10:$A$132), MATCH(P6, '[3]Alt Est Detailed Bin Table'!$CD$9:$CK$9,0)), INDEX('[3]Detailed Bin Table'!$CD$9:$CK$132,MATCH($A6,'[3]Detailed Bin Table'!$A$9:$A$132,0),MATCH($B6,'[3]Detailed Bin Table'!$CD$9:$CK$9,0)))*24)</f>
        <v>1.3558089875633463</v>
      </c>
      <c r="M6" s="34">
        <f>IF(B6="Custom", Q6, IF(B6="Imputation", INDEX('[3]Alt Est Detailed Bin Table'!$CL$10:$CS$132, MATCH(A6, '[3]Alt Est Detailed Bin Table'!$A$10:$A$132), MATCH(P6, '[3]Alt Est Detailed Bin Table'!$CL$9:$CS$9,0)), INDEX('[3]Detailed Bin Table'!$CL$9:$CS$132,MATCH($A6,'[3]Detailed Bin Table'!$A$9:$A$132,0),MATCH($B6,'[3]Detailed Bin Table'!$CL$9:$CS$9,0)))*24)</f>
        <v>1.3558089875633463</v>
      </c>
      <c r="N6" s="34">
        <f>IF(B6="Custom", Q6, IF(B6="Imputation", INDEX('[3]Alt Est Detailed Bin Table'!$CT$10:$DA$132, MATCH(A6, '[3]Alt Est Detailed Bin Table'!$A$10:$A$132), MATCH(P6, '[3]Alt Est Detailed Bin Table'!$CT$9:$DA$9,0)), INDEX('[3]Detailed Bin Table'!$CT$9:$DA$132,MATCH($A6,'[3]Detailed Bin Table'!$A$9:$A$132,0),MATCH($B6,'[3]Detailed Bin Table'!$CT$9:$DA$9,0)))*24)</f>
        <v>16.814614550057044</v>
      </c>
      <c r="O6" s="34">
        <f>IF(B6="Custom", Q6, IF(B6="Imputation", INDEX('[3]Alt Est Detailed Bin Table'!$DB$10:$DI$132, MATCH(A6, '[3]Alt Est Detailed Bin Table'!$A$10:$A$132), MATCH(P6, '[3]Alt Est Detailed Bin Table'!$DB$9:$DI$9,0)), INDEX('[3]Detailed Bin Table'!$DB$9:$DI$132,MATCH($A6,'[3]Detailed Bin Table'!$A$9:$A$132,0),MATCH($B6,'[3]Detailed Bin Table'!$DB$9:$DI$9,0)))*24)</f>
        <v>661.40698698770029</v>
      </c>
      <c r="P6" s="215"/>
      <c r="Q6" s="51"/>
      <c r="R6" s="51"/>
      <c r="S6" s="51"/>
      <c r="T6" s="51"/>
      <c r="U6" s="51"/>
      <c r="V6" s="51"/>
      <c r="W6" s="52"/>
      <c r="X6" s="51"/>
      <c r="Y6" s="51"/>
      <c r="Z6" s="51"/>
      <c r="AA6" s="65"/>
      <c r="AB6" s="213" t="str">
        <f>IF(SUM(E6:O6)='[1]Passage Estimates'!$D6, "Ok", "Check")</f>
        <v>Check</v>
      </c>
    </row>
    <row r="7" spans="1:28" x14ac:dyDescent="0.3">
      <c r="A7" s="20">
        <f>'1. Mixture Model Inputs'!A7</f>
        <v>45109</v>
      </c>
      <c r="B7" s="13" t="str">
        <f>'[1]Passage Estimates'!$C7</f>
        <v>S1+M+A2</v>
      </c>
      <c r="C7" s="206">
        <v>158</v>
      </c>
      <c r="D7" s="206">
        <v>46</v>
      </c>
      <c r="E7" s="34">
        <f>IF(B7="Custom", Q7, IF(B7="Imputation", INDEX('[3]Alt Est Detailed Bin Table'!$B$10:$M$132, MATCH(A7, '[3]Alt Est Detailed Bin Table'!$A$10:$A$132), MATCH(P7, '[3]Alt Est Detailed Bin Table'!$B$9:$M$9,0)), INDEX('[3]Detailed Bin Table'!$B$9:$M$132,MATCH($A7,'[3]Detailed Bin Table'!$A$9:$A$132,0),MATCH($B7,'[3]Detailed Bin Table'!$B$9:$M$9,0)))*24)</f>
        <v>447.59999999999997</v>
      </c>
      <c r="F7" s="34">
        <f>IF(B7="Custom", Q7, IF(B7="Imputation", INDEX('[3]Alt Est Detailed Bin Table'!$N$10:$Y$132, MATCH(A7, '[3]Alt Est Detailed Bin Table'!$A$10:$A$132), MATCH(P7, '[3]Alt Est Detailed Bin Table'!$N$9:$Y$9,0)), INDEX('[3]Detailed Bin Table'!$N$9:$Y$132,MATCH($A7,'[3]Detailed Bin Table'!$A$9:$A$132,0),MATCH($B7,'[3]Detailed Bin Table'!$N$9:$Y$9,0)))*24)</f>
        <v>432.96</v>
      </c>
      <c r="G7" s="34">
        <f>IF(B7="Custom", Q7, IF(B7="Imputation", INDEX('[3]Alt Est Detailed Bin Table'!$Z$10:$AK$132, MATCH(A7, '[3]Alt Est Detailed Bin Table'!$A$10:$A$132), MATCH(P7, '[3]Alt Est Detailed Bin Table'!$Z$9:$AK$9,0)), INDEX('[3]Detailed Bin Table'!$Z$9:$AK$132,MATCH($A7,'[3]Detailed Bin Table'!$A$9:$A$132,0),MATCH($B7,'[3]Detailed Bin Table'!$Z$9:$AK$9,0)))*24)</f>
        <v>245.28000000000003</v>
      </c>
      <c r="H7" s="34">
        <f>IF(B7="Custom", Q7, IF(B7="Imputation", INDEX('[3]Alt Est Detailed Bin Table'!$AL$10:$AW$132, MATCH(A7, '[3]Alt Est Detailed Bin Table'!$A$10:$A$132), MATCH(P7, '[3]Alt Est Detailed Bin Table'!$AL$9:$AW$9,0)), INDEX('[3]Detailed Bin Table'!$AL$9:$AW$132,MATCH($A7,'[3]Detailed Bin Table'!$A$9:$A$132,0),MATCH($B7,'[3]Detailed Bin Table'!$AL$9:$AW$9,0)))*24)</f>
        <v>228</v>
      </c>
      <c r="I7" s="34">
        <f>IF(B7="Custom", Q7, IF(B7="Imputation", INDEX('[3]Alt Est Detailed Bin Table'!$AX$10:$BI$132, MATCH(A7, '[3]Alt Est Detailed Bin Table'!$A$10:$A$132), MATCH(P7, '[3]Alt Est Detailed Bin Table'!$AX$9:$BI$9,0)), INDEX('[3]Detailed Bin Table'!$AX$9:$BI$132,MATCH($A7,'[3]Detailed Bin Table'!$A$9:$A$132,0),MATCH($B7,'[3]Detailed Bin Table'!$AX$9:$BI$9,0)))*24)</f>
        <v>0</v>
      </c>
      <c r="J7" s="34">
        <f>IF(B7="Custom", V7, INDEX('[3]Detailed Bin Table'!$BJ$9:$BO$132,MATCH($A7,'[3]Detailed Bin Table'!$A$9:$A$132,0),MATCH($B7,'[3]Detailed Bin Table'!$BJ$9:$BO$9,0))*24)</f>
        <v>0</v>
      </c>
      <c r="K7" s="33">
        <f>IF(B7="Custom", Q7, IF(B7="Imputation", INDEX('[3]Alt Est Detailed Bin Table'!$BP$10:$CC$132, MATCH(A7, '[3]Alt Est Detailed Bin Table'!$A$10:$A$132), MATCH(P7, '[3]Alt Est Detailed Bin Table'!$BP$9:$CC$9,0)), INDEX('[3]Detailed Bin Table'!$BP$9:$CC$132,MATCH($A7,'[3]Detailed Bin Table'!$A$9:$A$132,0),MATCH($B7,'[3]Detailed Bin Table'!$BP$9:$CC$9,0)))*24)</f>
        <v>1914.4800000000009</v>
      </c>
      <c r="L7" s="223">
        <f>IF(B7="Custom", Q7, IF(B7="Imputation", INDEX('[3]Alt Est Detailed Bin Table'!$CD$10:$CK$132, MATCH(A7, '[3]Alt Est Detailed Bin Table'!$A$10:$A$132), MATCH(P7, '[3]Alt Est Detailed Bin Table'!$CD$9:$CK$9,0)), INDEX('[3]Detailed Bin Table'!$CD$9:$CK$132,MATCH($A7,'[3]Detailed Bin Table'!$A$9:$A$132,0),MATCH($B7,'[3]Detailed Bin Table'!$CD$9:$CK$9,0)))*24)</f>
        <v>3.2811099823051522</v>
      </c>
      <c r="M7" s="34">
        <f>IF(B7="Custom", Q7, IF(B7="Imputation", INDEX('[3]Alt Est Detailed Bin Table'!$CL$10:$CS$132, MATCH(A7, '[3]Alt Est Detailed Bin Table'!$A$10:$A$132), MATCH(P7, '[3]Alt Est Detailed Bin Table'!$CL$9:$CS$9,0)), INDEX('[3]Detailed Bin Table'!$CL$9:$CS$132,MATCH($A7,'[3]Detailed Bin Table'!$A$9:$A$132,0),MATCH($B7,'[3]Detailed Bin Table'!$CL$9:$CS$9,0)))*24)</f>
        <v>1.5709205811208826</v>
      </c>
      <c r="N7" s="34">
        <f>IF(B7="Custom", Q7, IF(B7="Imputation", INDEX('[3]Alt Est Detailed Bin Table'!$CT$10:$DA$132, MATCH(A7, '[3]Alt Est Detailed Bin Table'!$A$10:$A$132), MATCH(P7, '[3]Alt Est Detailed Bin Table'!$CT$9:$DA$9,0)), INDEX('[3]Detailed Bin Table'!$CT$9:$DA$132,MATCH($A7,'[3]Detailed Bin Table'!$A$9:$A$132,0),MATCH($B7,'[3]Detailed Bin Table'!$CT$9:$DA$9,0)))*24)</f>
        <v>10.723146470829521</v>
      </c>
      <c r="O7" s="34">
        <f>IF(B7="Custom", Q7, IF(B7="Imputation", INDEX('[3]Alt Est Detailed Bin Table'!$DB$10:$DI$132, MATCH(A7, '[3]Alt Est Detailed Bin Table'!$A$10:$A$132), MATCH(P7, '[3]Alt Est Detailed Bin Table'!$DB$9:$DI$9,0)), INDEX('[3]Detailed Bin Table'!$DB$9:$DI$132,MATCH($A7,'[3]Detailed Bin Table'!$A$9:$A$132,0),MATCH($B7,'[3]Detailed Bin Table'!$DB$9:$DI$9,0)))*24)</f>
        <v>604.63385505742554</v>
      </c>
      <c r="P7" s="215"/>
      <c r="Q7" s="62"/>
      <c r="R7" s="63"/>
      <c r="S7" s="63"/>
      <c r="T7" s="63"/>
      <c r="U7" s="63"/>
      <c r="V7" s="63"/>
      <c r="W7" s="64"/>
      <c r="X7" s="63"/>
      <c r="Y7" s="63"/>
      <c r="Z7" s="63"/>
      <c r="AA7" s="65"/>
      <c r="AB7" s="213" t="str">
        <f>IF(SUM(E7:O7)='[1]Passage Estimates'!$D7, "Ok", "Check")</f>
        <v>Ok</v>
      </c>
    </row>
    <row r="8" spans="1:28" x14ac:dyDescent="0.3">
      <c r="A8" s="20">
        <f>'1. Mixture Model Inputs'!A8</f>
        <v>45110</v>
      </c>
      <c r="B8" s="13" t="str">
        <f>'[1]Passage Estimates'!$C8</f>
        <v>S1+M+A2</v>
      </c>
      <c r="C8" s="207">
        <v>88</v>
      </c>
      <c r="D8" s="207">
        <v>3</v>
      </c>
      <c r="E8" s="34">
        <f>IF(B8="Custom", Q8, IF(B8="Imputation", INDEX('[3]Alt Est Detailed Bin Table'!$B$10:$M$132, MATCH(A8, '[3]Alt Est Detailed Bin Table'!$A$10:$A$132), MATCH(P8, '[3]Alt Est Detailed Bin Table'!$B$9:$M$9,0)), INDEX('[3]Detailed Bin Table'!$B$9:$M$132,MATCH($A8,'[3]Detailed Bin Table'!$A$9:$A$132,0),MATCH($B8,'[3]Detailed Bin Table'!$B$9:$M$9,0)))*24)</f>
        <v>170.64</v>
      </c>
      <c r="F8" s="34">
        <f>IF(B8="Custom", Q8, IF(B8="Imputation", INDEX('[3]Alt Est Detailed Bin Table'!$N$10:$Y$132, MATCH(A8, '[3]Alt Est Detailed Bin Table'!$A$10:$A$132), MATCH(P8, '[3]Alt Est Detailed Bin Table'!$N$9:$Y$9,0)), INDEX('[3]Detailed Bin Table'!$N$9:$Y$132,MATCH($A8,'[3]Detailed Bin Table'!$A$9:$A$132,0),MATCH($B8,'[3]Detailed Bin Table'!$N$9:$Y$9,0)))*24)</f>
        <v>264</v>
      </c>
      <c r="G8" s="34">
        <f>IF(B8="Custom", Q8, IF(B8="Imputation", INDEX('[3]Alt Est Detailed Bin Table'!$Z$10:$AK$132, MATCH(A8, '[3]Alt Est Detailed Bin Table'!$A$10:$A$132), MATCH(P8, '[3]Alt Est Detailed Bin Table'!$Z$9:$AK$9,0)), INDEX('[3]Detailed Bin Table'!$Z$9:$AK$132,MATCH($A8,'[3]Detailed Bin Table'!$A$9:$A$132,0),MATCH($B8,'[3]Detailed Bin Table'!$Z$9:$AK$9,0)))*24)</f>
        <v>260.88</v>
      </c>
      <c r="H8" s="34">
        <f>IF(B8="Custom", Q8, IF(B8="Imputation", INDEX('[3]Alt Est Detailed Bin Table'!$AL$10:$AW$132, MATCH(A8, '[3]Alt Est Detailed Bin Table'!$A$10:$A$132), MATCH(P8, '[3]Alt Est Detailed Bin Table'!$AL$9:$AW$9,0)), INDEX('[3]Detailed Bin Table'!$AL$9:$AW$132,MATCH($A8,'[3]Detailed Bin Table'!$A$9:$A$132,0),MATCH($B8,'[3]Detailed Bin Table'!$AL$9:$AW$9,0)))*24)</f>
        <v>238.79999999999998</v>
      </c>
      <c r="I8" s="34">
        <f>IF(B8="Custom", Q8, IF(B8="Imputation", INDEX('[3]Alt Est Detailed Bin Table'!$AX$10:$BI$132, MATCH(A8, '[3]Alt Est Detailed Bin Table'!$A$10:$A$132), MATCH(P8, '[3]Alt Est Detailed Bin Table'!$AX$9:$BI$9,0)), INDEX('[3]Detailed Bin Table'!$AX$9:$BI$132,MATCH($A8,'[3]Detailed Bin Table'!$A$9:$A$132,0),MATCH($B8,'[3]Detailed Bin Table'!$AX$9:$BI$9,0)))*24)</f>
        <v>0</v>
      </c>
      <c r="J8" s="34">
        <f>IF(B8="Custom", V8, INDEX('[3]Detailed Bin Table'!$BJ$9:$BO$132,MATCH($A8,'[3]Detailed Bin Table'!$A$9:$A$132,0),MATCH($B8,'[3]Detailed Bin Table'!$BJ$9:$BO$9,0))*24)</f>
        <v>0</v>
      </c>
      <c r="K8" s="33">
        <f>IF(B8="Custom", Q8, IF(B8="Imputation", INDEX('[3]Alt Est Detailed Bin Table'!$BP$10:$CC$132, MATCH(A8, '[3]Alt Est Detailed Bin Table'!$A$10:$A$132), MATCH(P8, '[3]Alt Est Detailed Bin Table'!$BP$9:$CC$9,0)), INDEX('[3]Detailed Bin Table'!$BP$9:$CC$132,MATCH($A8,'[3]Detailed Bin Table'!$A$9:$A$132,0),MATCH($B8,'[3]Detailed Bin Table'!$BP$9:$CC$9,0)))*24)</f>
        <v>1223.5200000000009</v>
      </c>
      <c r="L8" s="223">
        <f>IF(B8="Custom", Q8, IF(B8="Imputation", INDEX('[3]Alt Est Detailed Bin Table'!$CD$10:$CK$132, MATCH(A8, '[3]Alt Est Detailed Bin Table'!$A$10:$A$132), MATCH(P8, '[3]Alt Est Detailed Bin Table'!$CD$9:$CK$9,0)), INDEX('[3]Detailed Bin Table'!$CD$9:$CK$132,MATCH($A8,'[3]Detailed Bin Table'!$A$9:$A$132,0),MATCH($B8,'[3]Detailed Bin Table'!$CD$9:$CK$9,0)))*24)</f>
        <v>3.2925823948306938</v>
      </c>
      <c r="M8" s="34">
        <f>IF(B8="Custom", Q8, IF(B8="Imputation", INDEX('[3]Alt Est Detailed Bin Table'!$CL$10:$CS$132, MATCH(A8, '[3]Alt Est Detailed Bin Table'!$A$10:$A$132), MATCH(P8, '[3]Alt Est Detailed Bin Table'!$CL$9:$CS$9,0)), INDEX('[3]Detailed Bin Table'!$CL$9:$CS$132,MATCH($A8,'[3]Detailed Bin Table'!$A$9:$A$132,0),MATCH($B8,'[3]Detailed Bin Table'!$CL$9:$CS$9,0)))*24)</f>
        <v>0.58625483596314532</v>
      </c>
      <c r="N8" s="34">
        <f>IF(B8="Custom", Q8, IF(B8="Imputation", INDEX('[3]Alt Est Detailed Bin Table'!$CT$10:$DA$132, MATCH(A8, '[3]Alt Est Detailed Bin Table'!$A$10:$A$132), MATCH(P8, '[3]Alt Est Detailed Bin Table'!$CT$9:$DA$9,0)), INDEX('[3]Detailed Bin Table'!$CT$9:$DA$132,MATCH($A8,'[3]Detailed Bin Table'!$A$9:$A$132,0),MATCH($B8,'[3]Detailed Bin Table'!$CT$9:$DA$9,0)))*24)</f>
        <v>9.3354451628398181</v>
      </c>
      <c r="O8" s="34">
        <f>IF(B8="Custom", Q8, IF(B8="Imputation", INDEX('[3]Alt Est Detailed Bin Table'!$DB$10:$DI$132, MATCH(A8, '[3]Alt Est Detailed Bin Table'!$A$10:$A$132), MATCH(P8, '[3]Alt Est Detailed Bin Table'!$DB$9:$DI$9,0)), INDEX('[3]Detailed Bin Table'!$DB$9:$DI$132,MATCH($A8,'[3]Detailed Bin Table'!$A$9:$A$132,0),MATCH($B8,'[3]Detailed Bin Table'!$DB$9:$DI$9,0)))*24)</f>
        <v>266.83372007229104</v>
      </c>
      <c r="P8" s="215"/>
      <c r="Q8" s="62"/>
      <c r="R8" s="63"/>
      <c r="S8" s="63"/>
      <c r="T8" s="63"/>
      <c r="U8" s="63"/>
      <c r="V8" s="63"/>
      <c r="W8" s="64"/>
      <c r="X8" s="63"/>
      <c r="Y8" s="63"/>
      <c r="Z8" s="63"/>
      <c r="AA8" s="65"/>
      <c r="AB8" s="213" t="str">
        <f>IF(SUM(E8:O8)='[1]Passage Estimates'!$D8, "Ok", "Check")</f>
        <v>Ok</v>
      </c>
    </row>
    <row r="9" spans="1:28" x14ac:dyDescent="0.3">
      <c r="A9" s="20">
        <f>'1. Mixture Model Inputs'!A9</f>
        <v>45111</v>
      </c>
      <c r="B9" s="13" t="str">
        <f>'[1]Passage Estimates'!$C9</f>
        <v>S1+M+A2</v>
      </c>
      <c r="C9" s="207">
        <v>166</v>
      </c>
      <c r="D9" s="207">
        <v>171</v>
      </c>
      <c r="E9" s="34">
        <f>IF(B9="Custom", Q9, IF(B9="Imputation", INDEX('[3]Alt Est Detailed Bin Table'!$B$10:$M$132, MATCH(A9, '[3]Alt Est Detailed Bin Table'!$A$10:$A$132), MATCH(P9, '[3]Alt Est Detailed Bin Table'!$B$9:$M$9,0)), INDEX('[3]Detailed Bin Table'!$B$9:$M$132,MATCH($A9,'[3]Detailed Bin Table'!$A$9:$A$132,0),MATCH($B9,'[3]Detailed Bin Table'!$B$9:$M$9,0)))*24)</f>
        <v>239.04000000000002</v>
      </c>
      <c r="F9" s="34">
        <f>IF(B9="Custom", Q9, IF(B9="Imputation", INDEX('[3]Alt Est Detailed Bin Table'!$N$10:$Y$132, MATCH(A9, '[3]Alt Est Detailed Bin Table'!$A$10:$A$132), MATCH(P9, '[3]Alt Est Detailed Bin Table'!$N$9:$Y$9,0)), INDEX('[3]Detailed Bin Table'!$N$9:$Y$132,MATCH($A9,'[3]Detailed Bin Table'!$A$9:$A$132,0),MATCH($B9,'[3]Detailed Bin Table'!$N$9:$Y$9,0)))*24)</f>
        <v>360.96</v>
      </c>
      <c r="G9" s="34">
        <f>IF(B9="Custom", Q9, IF(B9="Imputation", INDEX('[3]Alt Est Detailed Bin Table'!$Z$10:$AK$132, MATCH(A9, '[3]Alt Est Detailed Bin Table'!$A$10:$A$132), MATCH(P9, '[3]Alt Est Detailed Bin Table'!$Z$9:$AK$9,0)), INDEX('[3]Detailed Bin Table'!$Z$9:$AK$132,MATCH($A9,'[3]Detailed Bin Table'!$A$9:$A$132,0),MATCH($B9,'[3]Detailed Bin Table'!$Z$9:$AK$9,0)))*24)</f>
        <v>282.95999999999998</v>
      </c>
      <c r="H9" s="34">
        <f>IF(B9="Custom", Q9, IF(B9="Imputation", INDEX('[3]Alt Est Detailed Bin Table'!$AL$10:$AW$132, MATCH(A9, '[3]Alt Est Detailed Bin Table'!$A$10:$A$132), MATCH(P9, '[3]Alt Est Detailed Bin Table'!$AL$9:$AW$9,0)), INDEX('[3]Detailed Bin Table'!$AL$9:$AW$132,MATCH($A9,'[3]Detailed Bin Table'!$A$9:$A$132,0),MATCH($B9,'[3]Detailed Bin Table'!$AL$9:$AW$9,0)))*24)</f>
        <v>254.88000000000002</v>
      </c>
      <c r="I9" s="34">
        <f>IF(B9="Custom", Q9, IF(B9="Imputation", INDEX('[3]Alt Est Detailed Bin Table'!$AX$10:$BI$132, MATCH(A9, '[3]Alt Est Detailed Bin Table'!$A$10:$A$132), MATCH(P9, '[3]Alt Est Detailed Bin Table'!$AX$9:$BI$9,0)), INDEX('[3]Detailed Bin Table'!$AX$9:$BI$132,MATCH($A9,'[3]Detailed Bin Table'!$A$9:$A$132,0),MATCH($B9,'[3]Detailed Bin Table'!$AX$9:$BI$9,0)))*24)</f>
        <v>0</v>
      </c>
      <c r="J9" s="34">
        <f>IF(B9="Custom", V9, INDEX('[3]Detailed Bin Table'!$BJ$9:$BO$132,MATCH($A9,'[3]Detailed Bin Table'!$A$9:$A$132,0),MATCH($B9,'[3]Detailed Bin Table'!$BJ$9:$BO$9,0))*24)</f>
        <v>0</v>
      </c>
      <c r="K9" s="33">
        <f>IF(B9="Custom", Q9, IF(B9="Imputation", INDEX('[3]Alt Est Detailed Bin Table'!$BP$10:$CC$132, MATCH(A9, '[3]Alt Est Detailed Bin Table'!$A$10:$A$132), MATCH(P9, '[3]Alt Est Detailed Bin Table'!$BP$9:$CC$9,0)), INDEX('[3]Detailed Bin Table'!$BP$9:$CC$132,MATCH($A9,'[3]Detailed Bin Table'!$A$9:$A$132,0),MATCH($B9,'[3]Detailed Bin Table'!$BP$9:$CC$9,0)))*24)</f>
        <v>963.11999999999989</v>
      </c>
      <c r="L9" s="223">
        <f>IF(B9="Custom", Q9, IF(B9="Imputation", INDEX('[3]Alt Est Detailed Bin Table'!$CD$10:$CK$132, MATCH(A9, '[3]Alt Est Detailed Bin Table'!$A$10:$A$132), MATCH(P9, '[3]Alt Est Detailed Bin Table'!$CD$9:$CK$9,0)), INDEX('[3]Detailed Bin Table'!$CD$9:$CK$132,MATCH($A9,'[3]Detailed Bin Table'!$A$9:$A$132,0),MATCH($B9,'[3]Detailed Bin Table'!$CD$9:$CK$9,0)))*24)</f>
        <v>6.5775165146443602</v>
      </c>
      <c r="M9" s="34">
        <f>IF(B9="Custom", Q9, IF(B9="Imputation", INDEX('[3]Alt Est Detailed Bin Table'!$CL$10:$CS$132, MATCH(A9, '[3]Alt Est Detailed Bin Table'!$A$10:$A$132), MATCH(P9, '[3]Alt Est Detailed Bin Table'!$CL$9:$CS$9,0)), INDEX('[3]Detailed Bin Table'!$CL$9:$CS$132,MATCH($A9,'[3]Detailed Bin Table'!$A$9:$A$132,0),MATCH($B9,'[3]Detailed Bin Table'!$CL$9:$CS$9,0)))*24)</f>
        <v>2.1814133431186802</v>
      </c>
      <c r="N9" s="34">
        <f>IF(B9="Custom", Q9, IF(B9="Imputation", INDEX('[3]Alt Est Detailed Bin Table'!$CT$10:$DA$132, MATCH(A9, '[3]Alt Est Detailed Bin Table'!$A$10:$A$132), MATCH(P9, '[3]Alt Est Detailed Bin Table'!$CT$9:$DA$9,0)), INDEX('[3]Detailed Bin Table'!$CT$9:$DA$132,MATCH($A9,'[3]Detailed Bin Table'!$A$9:$A$132,0),MATCH($B9,'[3]Detailed Bin Table'!$CT$9:$DA$9,0)))*24)</f>
        <v>9.2453346882950314</v>
      </c>
      <c r="O9" s="34">
        <f>IF(B9="Custom", Q9, IF(B9="Imputation", INDEX('[3]Alt Est Detailed Bin Table'!$DB$10:$DI$132, MATCH(A9, '[3]Alt Est Detailed Bin Table'!$A$10:$A$132), MATCH(P9, '[3]Alt Est Detailed Bin Table'!$DB$9:$DI$9,0)), INDEX('[3]Detailed Bin Table'!$DB$9:$DI$132,MATCH($A9,'[3]Detailed Bin Table'!$A$9:$A$132,0),MATCH($B9,'[3]Detailed Bin Table'!$DB$9:$DI$9,0)))*24)</f>
        <v>999.20712197283456</v>
      </c>
      <c r="P9" s="215"/>
      <c r="Q9" s="62"/>
      <c r="R9" s="63"/>
      <c r="S9" s="63"/>
      <c r="T9" s="63"/>
      <c r="U9" s="63"/>
      <c r="V9" s="63"/>
      <c r="W9" s="64"/>
      <c r="X9" s="63"/>
      <c r="Y9" s="63"/>
      <c r="Z9" s="63"/>
      <c r="AA9" s="65"/>
      <c r="AB9" s="213" t="str">
        <f>IF(SUM(E9:O9)='[1]Passage Estimates'!$D9, "Ok", "Check")</f>
        <v>Ok</v>
      </c>
    </row>
    <row r="10" spans="1:28" x14ac:dyDescent="0.3">
      <c r="A10" s="20">
        <f>'1. Mixture Model Inputs'!A10</f>
        <v>45112</v>
      </c>
      <c r="B10" s="13" t="str">
        <f>'[1]Passage Estimates'!$C10</f>
        <v>Imputation</v>
      </c>
      <c r="C10" s="208">
        <f>E10/2</f>
        <v>230.28429599999998</v>
      </c>
      <c r="D10" s="208">
        <f>E10/2</f>
        <v>230.28429599999998</v>
      </c>
      <c r="E10" s="34">
        <f>IF(B10="Custom", Q10, IF(B10="Imputation", INDEX('[3]Alt Est Detailed Bin Table'!$B$10:$M$132, MATCH(A10, '[3]Alt Est Detailed Bin Table'!$A$10:$A$132), MATCH(P10, '[3]Alt Est Detailed Bin Table'!$B$9:$M$9,0)), INDEX('[3]Detailed Bin Table'!$B$9:$M$132,MATCH($A10,'[3]Detailed Bin Table'!$A$9:$A$132,0),MATCH($B10,'[3]Detailed Bin Table'!$B$9:$M$9,0)))*24)</f>
        <v>460.56859199999997</v>
      </c>
      <c r="F10" s="34">
        <f>IF(B10="Custom", Q10, IF(B10="Imputation", INDEX('[3]Alt Est Detailed Bin Table'!$N$10:$Y$132, MATCH(A10, '[3]Alt Est Detailed Bin Table'!$A$10:$A$132), MATCH(P10, '[3]Alt Est Detailed Bin Table'!$N$9:$Y$9,0)), INDEX('[3]Detailed Bin Table'!$N$9:$Y$132,MATCH($A10,'[3]Detailed Bin Table'!$A$9:$A$132,0),MATCH($B10,'[3]Detailed Bin Table'!$N$9:$Y$9,0)))*24)</f>
        <v>828.60993600000006</v>
      </c>
      <c r="G10" s="34">
        <f>IF(B10="Custom", Q10, IF(B10="Imputation", INDEX('[3]Alt Est Detailed Bin Table'!$Z$10:$AK$132, MATCH(A10, '[3]Alt Est Detailed Bin Table'!$A$10:$A$132), MATCH(P10, '[3]Alt Est Detailed Bin Table'!$Z$9:$AK$9,0)), INDEX('[3]Detailed Bin Table'!$Z$9:$AK$132,MATCH($A10,'[3]Detailed Bin Table'!$A$9:$A$132,0),MATCH($B10,'[3]Detailed Bin Table'!$Z$9:$AK$9,0)))*24)</f>
        <v>352.79244</v>
      </c>
      <c r="H10" s="34">
        <f>IF(B10="Custom", Q10, IF(B10="Imputation", INDEX('[3]Alt Est Detailed Bin Table'!$AL$10:$AW$132, MATCH(A10, '[3]Alt Est Detailed Bin Table'!$A$10:$A$132), MATCH(P10, '[3]Alt Est Detailed Bin Table'!$AL$9:$AW$9,0)), INDEX('[3]Detailed Bin Table'!$AL$9:$AW$132,MATCH($A10,'[3]Detailed Bin Table'!$A$9:$A$132,0),MATCH($B10,'[3]Detailed Bin Table'!$AL$9:$AW$9,0)))*24)</f>
        <v>604.52858399999991</v>
      </c>
      <c r="I10" s="34">
        <f>IF(B10="Custom", Q10, IF(B10="Imputation", INDEX('[3]Alt Est Detailed Bin Table'!$AX$10:$BI$132, MATCH(A10, '[3]Alt Est Detailed Bin Table'!$A$10:$A$132), MATCH(P10, '[3]Alt Est Detailed Bin Table'!$AX$9:$BI$9,0)), INDEX('[3]Detailed Bin Table'!$AX$9:$BI$132,MATCH($A10,'[3]Detailed Bin Table'!$A$9:$A$132,0),MATCH($B10,'[3]Detailed Bin Table'!$AX$9:$BI$9,0)))*24)</f>
        <v>0</v>
      </c>
      <c r="J10" s="203">
        <v>0</v>
      </c>
      <c r="K10" s="33">
        <f>IF(B10="Custom", Q10, IF(B10="Imputation", INDEX('[3]Alt Est Detailed Bin Table'!$BP$10:$CC$132, MATCH(A10, '[3]Alt Est Detailed Bin Table'!$A$10:$A$132), MATCH(P10, '[3]Alt Est Detailed Bin Table'!$BP$9:$CC$9,0)), INDEX('[3]Detailed Bin Table'!$BP$9:$CC$132,MATCH($A10,'[3]Detailed Bin Table'!$A$9:$A$132,0),MATCH($B10,'[3]Detailed Bin Table'!$BP$9:$CC$9,0)))*24)</f>
        <v>2753.76</v>
      </c>
      <c r="L10" s="223">
        <f>IF(B10="Custom", Q10, IF(B10="Imputation", INDEX('[3]Alt Est Detailed Bin Table'!$CD$10:$CK$132, MATCH(A10, '[3]Alt Est Detailed Bin Table'!$A$10:$A$132), MATCH(P10, '[3]Alt Est Detailed Bin Table'!$CD$9:$CK$9,0)), INDEX('[3]Detailed Bin Table'!$CD$9:$CK$132,MATCH($A10,'[3]Detailed Bin Table'!$A$9:$A$132,0),MATCH($B10,'[3]Detailed Bin Table'!$CD$9:$CK$9,0)))*24)</f>
        <v>9.6941885840834026</v>
      </c>
      <c r="M10" s="34">
        <f>IF(B10="Custom", Q10, IF(B10="Imputation", INDEX('[3]Alt Est Detailed Bin Table'!$CL$10:$CS$132, MATCH(A10, '[3]Alt Est Detailed Bin Table'!$A$10:$A$132), MATCH(P10, '[3]Alt Est Detailed Bin Table'!$CL$9:$CS$9,0)), INDEX('[3]Detailed Bin Table'!$CL$9:$CS$132,MATCH($A10,'[3]Detailed Bin Table'!$A$9:$A$132,0),MATCH($B10,'[3]Detailed Bin Table'!$CL$9:$CS$9,0)))*24)</f>
        <v>2.8525009202031075</v>
      </c>
      <c r="N10" s="34">
        <f>IF(B10="Custom", Q10, IF(B10="Imputation", INDEX('[3]Alt Est Detailed Bin Table'!$CT$10:$DA$132, MATCH(A10, '[3]Alt Est Detailed Bin Table'!$A$10:$A$132), MATCH(P10, '[3]Alt Est Detailed Bin Table'!$CT$9:$DA$9,0)), INDEX('[3]Detailed Bin Table'!$CT$9:$DA$132,MATCH($A10,'[3]Detailed Bin Table'!$A$9:$A$132,0),MATCH($B10,'[3]Detailed Bin Table'!$CT$9:$DA$9,0)))*24)</f>
        <v>32.367682456487088</v>
      </c>
      <c r="O10" s="34">
        <f>IF(B10="Custom", Q10, IF(B10="Imputation", INDEX('[3]Alt Est Detailed Bin Table'!$DB$10:$DI$132, MATCH(A10, '[3]Alt Est Detailed Bin Table'!$A$10:$A$132), MATCH(P10, '[3]Alt Est Detailed Bin Table'!$DB$9:$DI$9,0)), INDEX('[3]Detailed Bin Table'!$DB$9:$DI$132,MATCH($A10,'[3]Detailed Bin Table'!$A$9:$A$132,0),MATCH($B10,'[3]Detailed Bin Table'!$DB$9:$DI$9,0)))*24)</f>
        <v>1122.6886839211822</v>
      </c>
      <c r="P10" s="215" t="s">
        <v>160</v>
      </c>
      <c r="Q10" s="63"/>
      <c r="R10" s="63"/>
      <c r="S10" s="63"/>
      <c r="T10" s="63"/>
      <c r="U10" s="63"/>
      <c r="V10" s="63"/>
      <c r="W10" s="64"/>
      <c r="X10" s="63"/>
      <c r="Y10" s="63"/>
      <c r="Z10" s="63"/>
      <c r="AA10" s="65"/>
      <c r="AB10" s="213" t="str">
        <f>IF(SUM(E10:O10)='[1]Passage Estimates'!$D10, "Ok", "Check")</f>
        <v>Ok</v>
      </c>
    </row>
    <row r="11" spans="1:28" x14ac:dyDescent="0.3">
      <c r="A11" s="20">
        <f>'1. Mixture Model Inputs'!A11</f>
        <v>45113</v>
      </c>
      <c r="B11" s="13" t="str">
        <f>'[1]Passage Estimates'!$C11</f>
        <v>S1+M+A2</v>
      </c>
      <c r="C11" s="208">
        <f t="shared" ref="C11:C15" si="0">E11/2</f>
        <v>260.88</v>
      </c>
      <c r="D11" s="208">
        <f t="shared" ref="D11:D15" si="1">E11/2</f>
        <v>260.88</v>
      </c>
      <c r="E11" s="34">
        <f>IF(B11="Custom", Q11, IF(B11="Imputation", INDEX('[3]Alt Est Detailed Bin Table'!$B$10:$M$132, MATCH(A11, '[3]Alt Est Detailed Bin Table'!$A$10:$A$132), MATCH(P11, '[3]Alt Est Detailed Bin Table'!$B$9:$M$9,0)), INDEX('[3]Detailed Bin Table'!$B$9:$M$132,MATCH($A11,'[3]Detailed Bin Table'!$A$9:$A$132,0),MATCH($B11,'[3]Detailed Bin Table'!$B$9:$M$9,0)))*24)</f>
        <v>521.76</v>
      </c>
      <c r="F11" s="34">
        <f>IF(B11="Custom", Q11, IF(B11="Imputation", INDEX('[3]Alt Est Detailed Bin Table'!$N$10:$Y$132, MATCH(A11, '[3]Alt Est Detailed Bin Table'!$A$10:$A$132), MATCH(P11, '[3]Alt Est Detailed Bin Table'!$N$9:$Y$9,0)), INDEX('[3]Detailed Bin Table'!$N$9:$Y$132,MATCH($A11,'[3]Detailed Bin Table'!$A$9:$A$132,0),MATCH($B11,'[3]Detailed Bin Table'!$N$9:$Y$9,0)))*24)</f>
        <v>597.59999999999991</v>
      </c>
      <c r="G11" s="34">
        <f>IF(B11="Custom", Q11, IF(B11="Imputation", INDEX('[3]Alt Est Detailed Bin Table'!$Z$10:$AK$132, MATCH(A11, '[3]Alt Est Detailed Bin Table'!$A$10:$A$132), MATCH(P11, '[3]Alt Est Detailed Bin Table'!$Z$9:$AK$9,0)), INDEX('[3]Detailed Bin Table'!$Z$9:$AK$132,MATCH($A11,'[3]Detailed Bin Table'!$A$9:$A$132,0),MATCH($B11,'[3]Detailed Bin Table'!$Z$9:$AK$9,0)))*24)</f>
        <v>423.59999999999997</v>
      </c>
      <c r="H11" s="34">
        <f>IF(B11="Custom", Q11, IF(B11="Imputation", INDEX('[3]Alt Est Detailed Bin Table'!$AL$10:$AW$132, MATCH(A11, '[3]Alt Est Detailed Bin Table'!$A$10:$A$132), MATCH(P11, '[3]Alt Est Detailed Bin Table'!$AL$9:$AW$9,0)), INDEX('[3]Detailed Bin Table'!$AL$9:$AW$132,MATCH($A11,'[3]Detailed Bin Table'!$A$9:$A$132,0),MATCH($B11,'[3]Detailed Bin Table'!$AL$9:$AW$9,0)))*24)</f>
        <v>467.52</v>
      </c>
      <c r="I11" s="34">
        <f>IF(B11="Custom", Q11, IF(B11="Imputation", INDEX('[3]Alt Est Detailed Bin Table'!$AX$10:$BI$132, MATCH(A11, '[3]Alt Est Detailed Bin Table'!$A$10:$A$132), MATCH(P11, '[3]Alt Est Detailed Bin Table'!$AX$9:$BI$9,0)), INDEX('[3]Detailed Bin Table'!$AX$9:$BI$132,MATCH($A11,'[3]Detailed Bin Table'!$A$9:$A$132,0),MATCH($B11,'[3]Detailed Bin Table'!$AX$9:$BI$9,0)))*24)</f>
        <v>0</v>
      </c>
      <c r="J11" s="34">
        <f>IF(B11="Custom", V11, INDEX('[3]Detailed Bin Table'!$BJ$9:$BO$132,MATCH($A11,'[3]Detailed Bin Table'!$A$9:$A$132,0),MATCH($B11,'[3]Detailed Bin Table'!$BJ$9:$BO$9,0))*24)</f>
        <v>0</v>
      </c>
      <c r="K11" s="33">
        <f>IF(B11="Custom", Q11, IF(B11="Imputation", INDEX('[3]Alt Est Detailed Bin Table'!$BP$10:$CC$132, MATCH(A11, '[3]Alt Est Detailed Bin Table'!$A$10:$A$132), MATCH(P11, '[3]Alt Est Detailed Bin Table'!$BP$9:$CC$9,0)), INDEX('[3]Detailed Bin Table'!$BP$9:$CC$132,MATCH($A11,'[3]Detailed Bin Table'!$A$9:$A$132,0),MATCH($B11,'[3]Detailed Bin Table'!$BP$9:$CC$9,0)))*24)</f>
        <v>2532.2399999999989</v>
      </c>
      <c r="L11" s="223">
        <f>IF(B11="Custom", Q11, IF(B11="Imputation", INDEX('[3]Alt Est Detailed Bin Table'!$CD$10:$CK$132, MATCH(A11, '[3]Alt Est Detailed Bin Table'!$A$10:$A$132), MATCH(P11, '[3]Alt Est Detailed Bin Table'!$CD$9:$CK$9,0)), INDEX('[3]Detailed Bin Table'!$CD$9:$CK$132,MATCH($A11,'[3]Detailed Bin Table'!$A$9:$A$132,0),MATCH($B11,'[3]Detailed Bin Table'!$CD$9:$CK$9,0)))*24)</f>
        <v>-86</v>
      </c>
      <c r="M11" s="34">
        <f>IF(B11="Custom", Q11, IF(B11="Imputation", INDEX('[3]Alt Est Detailed Bin Table'!$CL$10:$CS$132, MATCH(A11, '[3]Alt Est Detailed Bin Table'!$A$10:$A$132), MATCH(P11, '[3]Alt Est Detailed Bin Table'!$CL$9:$CS$9,0)), INDEX('[3]Detailed Bin Table'!$CL$9:$CS$132,MATCH($A11,'[3]Detailed Bin Table'!$A$9:$A$132,0),MATCH($B11,'[3]Detailed Bin Table'!$CL$9:$CS$9,0)))*24)</f>
        <v>-434</v>
      </c>
      <c r="N11" s="34">
        <f>IF(B11="Custom", Q11, IF(B11="Imputation", INDEX('[3]Alt Est Detailed Bin Table'!$CT$10:$DA$132, MATCH(A11, '[3]Alt Est Detailed Bin Table'!$A$10:$A$132), MATCH(P11, '[3]Alt Est Detailed Bin Table'!$CT$9:$DA$9,0)), INDEX('[3]Detailed Bin Table'!$CT$9:$DA$132,MATCH($A11,'[3]Detailed Bin Table'!$A$9:$A$132,0),MATCH($B11,'[3]Detailed Bin Table'!$CT$9:$DA$9,0)))*24)</f>
        <v>-98</v>
      </c>
      <c r="O11" s="34">
        <f>IF(B11="Custom", Q11, IF(B11="Imputation", INDEX('[3]Alt Est Detailed Bin Table'!$DB$10:$DI$132, MATCH(A11, '[3]Alt Est Detailed Bin Table'!$A$10:$A$132), MATCH(P11, '[3]Alt Est Detailed Bin Table'!$DB$9:$DI$9,0)), INDEX('[3]Detailed Bin Table'!$DB$9:$DI$132,MATCH($A11,'[3]Detailed Bin Table'!$A$9:$A$132,0),MATCH($B11,'[3]Detailed Bin Table'!$DB$9:$DI$9,0)))*24)</f>
        <v>861</v>
      </c>
      <c r="P11" s="215"/>
      <c r="Q11" s="62"/>
      <c r="R11" s="63"/>
      <c r="S11" s="63"/>
      <c r="T11" s="63"/>
      <c r="U11" s="63"/>
      <c r="V11" s="63"/>
      <c r="W11" s="64"/>
      <c r="X11" s="63"/>
      <c r="Y11" s="63"/>
      <c r="Z11" s="63"/>
      <c r="AA11" s="65"/>
      <c r="AB11" s="213" t="str">
        <f>IF(SUM(E11:O11)='[1]Passage Estimates'!$D11, "Ok", "Check")</f>
        <v>Ok</v>
      </c>
    </row>
    <row r="12" spans="1:28" x14ac:dyDescent="0.3">
      <c r="A12" s="20">
        <f>'1. Mixture Model Inputs'!A12</f>
        <v>45114</v>
      </c>
      <c r="B12" s="13" t="str">
        <f>'[1]Passage Estimates'!$C12</f>
        <v>S1+M+A2</v>
      </c>
      <c r="C12" s="208">
        <f t="shared" si="0"/>
        <v>378</v>
      </c>
      <c r="D12" s="208">
        <f t="shared" si="1"/>
        <v>378</v>
      </c>
      <c r="E12" s="34">
        <f>IF(B12="Custom", Q12, IF(B12="Imputation", INDEX('[3]Alt Est Detailed Bin Table'!$B$10:$M$132, MATCH(A12, '[3]Alt Est Detailed Bin Table'!$A$10:$A$132), MATCH(P12, '[3]Alt Est Detailed Bin Table'!$B$9:$M$9,0)), INDEX('[3]Detailed Bin Table'!$B$9:$M$132,MATCH($A12,'[3]Detailed Bin Table'!$A$9:$A$132,0),MATCH($B12,'[3]Detailed Bin Table'!$B$9:$M$9,0)))*24)</f>
        <v>756</v>
      </c>
      <c r="F12" s="34">
        <f>IF(B12="Custom", Q12, IF(B12="Imputation", INDEX('[3]Alt Est Detailed Bin Table'!$N$10:$Y$132, MATCH(A12, '[3]Alt Est Detailed Bin Table'!$A$10:$A$132), MATCH(P12, '[3]Alt Est Detailed Bin Table'!$N$9:$Y$9,0)), INDEX('[3]Detailed Bin Table'!$N$9:$Y$132,MATCH($A12,'[3]Detailed Bin Table'!$A$9:$A$132,0),MATCH($B12,'[3]Detailed Bin Table'!$N$9:$Y$9,0)))*24)</f>
        <v>789.59999999999991</v>
      </c>
      <c r="G12" s="34">
        <f>IF(B12="Custom", Q12, IF(B12="Imputation", INDEX('[3]Alt Est Detailed Bin Table'!$Z$10:$AK$132, MATCH(A12, '[3]Alt Est Detailed Bin Table'!$A$10:$A$132), MATCH(P12, '[3]Alt Est Detailed Bin Table'!$Z$9:$AK$9,0)), INDEX('[3]Detailed Bin Table'!$Z$9:$AK$132,MATCH($A12,'[3]Detailed Bin Table'!$A$9:$A$132,0),MATCH($B12,'[3]Detailed Bin Table'!$Z$9:$AK$9,0)))*24)</f>
        <v>249.60000000000002</v>
      </c>
      <c r="H12" s="34">
        <f>IF(B12="Custom", Q12, IF(B12="Imputation", INDEX('[3]Alt Est Detailed Bin Table'!$AL$10:$AW$132, MATCH(A12, '[3]Alt Est Detailed Bin Table'!$A$10:$A$132), MATCH(P12, '[3]Alt Est Detailed Bin Table'!$AL$9:$AW$9,0)), INDEX('[3]Detailed Bin Table'!$AL$9:$AW$132,MATCH($A12,'[3]Detailed Bin Table'!$A$9:$A$132,0),MATCH($B12,'[3]Detailed Bin Table'!$AL$9:$AW$9,0)))*24)</f>
        <v>307.20000000000005</v>
      </c>
      <c r="I12" s="34">
        <f>IF(B12="Custom", Q12, IF(B12="Imputation", INDEX('[3]Alt Est Detailed Bin Table'!$AX$10:$BI$132, MATCH(A12, '[3]Alt Est Detailed Bin Table'!$A$10:$A$132), MATCH(P12, '[3]Alt Est Detailed Bin Table'!$AX$9:$BI$9,0)), INDEX('[3]Detailed Bin Table'!$AX$9:$BI$132,MATCH($A12,'[3]Detailed Bin Table'!$A$9:$A$132,0),MATCH($B12,'[3]Detailed Bin Table'!$AX$9:$BI$9,0)))*24)</f>
        <v>0</v>
      </c>
      <c r="J12" s="34">
        <f>IF(B12="Custom", V12, INDEX('[3]Detailed Bin Table'!$BJ$9:$BO$132,MATCH($A12,'[3]Detailed Bin Table'!$A$9:$A$132,0),MATCH($B12,'[3]Detailed Bin Table'!$BJ$9:$BO$9,0))*24)</f>
        <v>0</v>
      </c>
      <c r="K12" s="33">
        <f>IF(B12="Custom", Q12, IF(B12="Imputation", INDEX('[3]Alt Est Detailed Bin Table'!$BP$10:$CC$132, MATCH(A12, '[3]Alt Est Detailed Bin Table'!$A$10:$A$132), MATCH(P12, '[3]Alt Est Detailed Bin Table'!$BP$9:$CC$9,0)), INDEX('[3]Detailed Bin Table'!$BP$9:$CC$132,MATCH($A12,'[3]Detailed Bin Table'!$A$9:$A$132,0),MATCH($B12,'[3]Detailed Bin Table'!$BP$9:$CC$9,0)))*24)</f>
        <v>2294.88</v>
      </c>
      <c r="L12" s="223">
        <f>IF(B12="Custom", Q12, IF(B12="Imputation", INDEX('[3]Alt Est Detailed Bin Table'!$CD$10:$CK$132, MATCH(A12, '[3]Alt Est Detailed Bin Table'!$A$10:$A$132), MATCH(P12, '[3]Alt Est Detailed Bin Table'!$CD$9:$CK$9,0)), INDEX('[3]Detailed Bin Table'!$CD$9:$CK$132,MATCH($A12,'[3]Detailed Bin Table'!$A$9:$A$132,0),MATCH($B12,'[3]Detailed Bin Table'!$CD$9:$CK$9,0)))*24)</f>
        <v>109</v>
      </c>
      <c r="M12" s="34">
        <f>IF(B12="Custom", Q12, IF(B12="Imputation", INDEX('[3]Alt Est Detailed Bin Table'!$CL$10:$CS$132, MATCH(A12, '[3]Alt Est Detailed Bin Table'!$A$10:$A$132), MATCH(P12, '[3]Alt Est Detailed Bin Table'!$CL$9:$CS$9,0)), INDEX('[3]Detailed Bin Table'!$CL$9:$CS$132,MATCH($A12,'[3]Detailed Bin Table'!$A$9:$A$132,0),MATCH($B12,'[3]Detailed Bin Table'!$CL$9:$CS$9,0)))*24)</f>
        <v>176</v>
      </c>
      <c r="N12" s="34">
        <f>IF(B12="Custom", Q12, IF(B12="Imputation", INDEX('[3]Alt Est Detailed Bin Table'!$CT$10:$DA$132, MATCH(A12, '[3]Alt Est Detailed Bin Table'!$A$10:$A$132), MATCH(P12, '[3]Alt Est Detailed Bin Table'!$CT$9:$DA$9,0)), INDEX('[3]Detailed Bin Table'!$CT$9:$DA$132,MATCH($A12,'[3]Detailed Bin Table'!$A$9:$A$132,0),MATCH($B12,'[3]Detailed Bin Table'!$CT$9:$DA$9,0)))*24)</f>
        <v>284</v>
      </c>
      <c r="O12" s="34">
        <f>IF(B12="Custom", Q12, IF(B12="Imputation", INDEX('[3]Alt Est Detailed Bin Table'!$DB$10:$DI$132, MATCH(A12, '[3]Alt Est Detailed Bin Table'!$A$10:$A$132), MATCH(P12, '[3]Alt Est Detailed Bin Table'!$DB$9:$DI$9,0)), INDEX('[3]Detailed Bin Table'!$DB$9:$DI$132,MATCH($A12,'[3]Detailed Bin Table'!$A$9:$A$132,0),MATCH($B12,'[3]Detailed Bin Table'!$DB$9:$DI$9,0)))*24)</f>
        <v>764</v>
      </c>
      <c r="P12" s="215"/>
      <c r="Q12" s="62"/>
      <c r="R12" s="63"/>
      <c r="S12" s="63"/>
      <c r="T12" s="63"/>
      <c r="U12" s="63"/>
      <c r="V12" s="63"/>
      <c r="W12" s="64"/>
      <c r="X12" s="63"/>
      <c r="Y12" s="63"/>
      <c r="Z12" s="63"/>
      <c r="AA12" s="65"/>
      <c r="AB12" s="213" t="str">
        <f>IF(SUM(E12:O12)='[1]Passage Estimates'!$D12, "Ok", "Check")</f>
        <v>Ok</v>
      </c>
    </row>
    <row r="13" spans="1:28" x14ac:dyDescent="0.3">
      <c r="A13" s="20">
        <f>'1. Mixture Model Inputs'!A13</f>
        <v>45115</v>
      </c>
      <c r="B13" s="13" t="str">
        <f>'[1]Passage Estimates'!$C13</f>
        <v>S1+M+A2</v>
      </c>
      <c r="C13" s="208">
        <f t="shared" si="0"/>
        <v>225.48</v>
      </c>
      <c r="D13" s="208">
        <f t="shared" si="1"/>
        <v>225.48</v>
      </c>
      <c r="E13" s="34">
        <f>IF(B13="Custom", Q13, IF(B13="Imputation", INDEX('[3]Alt Est Detailed Bin Table'!$B$10:$M$132, MATCH(A13, '[3]Alt Est Detailed Bin Table'!$A$10:$A$132), MATCH(P13, '[3]Alt Est Detailed Bin Table'!$B$9:$M$9,0)), INDEX('[3]Detailed Bin Table'!$B$9:$M$132,MATCH($A13,'[3]Detailed Bin Table'!$A$9:$A$132,0),MATCH($B13,'[3]Detailed Bin Table'!$B$9:$M$9,0)))*24)</f>
        <v>450.96</v>
      </c>
      <c r="F13" s="34">
        <f>IF(B13="Custom", Q13, IF(B13="Imputation", INDEX('[3]Alt Est Detailed Bin Table'!$N$10:$Y$132, MATCH(A13, '[3]Alt Est Detailed Bin Table'!$A$10:$A$132), MATCH(P13, '[3]Alt Est Detailed Bin Table'!$N$9:$Y$9,0)), INDEX('[3]Detailed Bin Table'!$N$9:$Y$132,MATCH($A13,'[3]Detailed Bin Table'!$A$9:$A$132,0),MATCH($B13,'[3]Detailed Bin Table'!$N$9:$Y$9,0)))*24)</f>
        <v>936.72</v>
      </c>
      <c r="G13" s="34">
        <f>IF(B13="Custom", Q13, IF(B13="Imputation", INDEX('[3]Alt Est Detailed Bin Table'!$Z$10:$AK$132, MATCH(A13, '[3]Alt Est Detailed Bin Table'!$A$10:$A$132), MATCH(P13, '[3]Alt Est Detailed Bin Table'!$Z$9:$AK$9,0)), INDEX('[3]Detailed Bin Table'!$Z$9:$AK$132,MATCH($A13,'[3]Detailed Bin Table'!$A$9:$A$132,0),MATCH($B13,'[3]Detailed Bin Table'!$Z$9:$AK$9,0)))*24)</f>
        <v>239.52</v>
      </c>
      <c r="H13" s="34">
        <f>IF(B13="Custom", Q13, IF(B13="Imputation", INDEX('[3]Alt Est Detailed Bin Table'!$AL$10:$AW$132, MATCH(A13, '[3]Alt Est Detailed Bin Table'!$A$10:$A$132), MATCH(P13, '[3]Alt Est Detailed Bin Table'!$AL$9:$AW$9,0)), INDEX('[3]Detailed Bin Table'!$AL$9:$AW$132,MATCH($A13,'[3]Detailed Bin Table'!$A$9:$A$132,0),MATCH($B13,'[3]Detailed Bin Table'!$AL$9:$AW$9,0)))*24)</f>
        <v>411.84000000000003</v>
      </c>
      <c r="I13" s="34">
        <f>IF(B13="Custom", Q13, IF(B13="Imputation", INDEX('[3]Alt Est Detailed Bin Table'!$AX$10:$BI$132, MATCH(A13, '[3]Alt Est Detailed Bin Table'!$A$10:$A$132), MATCH(P13, '[3]Alt Est Detailed Bin Table'!$AX$9:$BI$9,0)), INDEX('[3]Detailed Bin Table'!$AX$9:$BI$132,MATCH($A13,'[3]Detailed Bin Table'!$A$9:$A$132,0),MATCH($B13,'[3]Detailed Bin Table'!$AX$9:$BI$9,0)))*24)</f>
        <v>188.16</v>
      </c>
      <c r="J13" s="34">
        <f>IF(B13="Custom", V13, INDEX('[3]Detailed Bin Table'!$BJ$9:$BO$132,MATCH($A13,'[3]Detailed Bin Table'!$A$9:$A$132,0),MATCH($B13,'[3]Detailed Bin Table'!$BJ$9:$BO$9,0))*24)</f>
        <v>0</v>
      </c>
      <c r="K13" s="33">
        <f>IF(B13="Custom", Q13, IF(B13="Imputation", INDEX('[3]Alt Est Detailed Bin Table'!$BP$10:$CC$132, MATCH(A13, '[3]Alt Est Detailed Bin Table'!$A$10:$A$132), MATCH(P13, '[3]Alt Est Detailed Bin Table'!$BP$9:$CC$9,0)), INDEX('[3]Detailed Bin Table'!$BP$9:$CC$132,MATCH($A13,'[3]Detailed Bin Table'!$A$9:$A$132,0),MATCH($B13,'[3]Detailed Bin Table'!$BP$9:$CC$9,0)))*24)</f>
        <v>2562.2400000000011</v>
      </c>
      <c r="L13" s="223">
        <f>IF(B13="Custom", Q13, IF(B13="Imputation", INDEX('[3]Alt Est Detailed Bin Table'!$CD$10:$CK$132, MATCH(A13, '[3]Alt Est Detailed Bin Table'!$A$10:$A$132), MATCH(P13, '[3]Alt Est Detailed Bin Table'!$CD$9:$CK$9,0)), INDEX('[3]Detailed Bin Table'!$CD$9:$CK$132,MATCH($A13,'[3]Detailed Bin Table'!$A$9:$A$132,0),MATCH($B13,'[3]Detailed Bin Table'!$CD$9:$CK$9,0)))*24)</f>
        <v>8</v>
      </c>
      <c r="M13" s="34">
        <f>IF(B13="Custom", Q13, IF(B13="Imputation", INDEX('[3]Alt Est Detailed Bin Table'!$CL$10:$CS$132, MATCH(A13, '[3]Alt Est Detailed Bin Table'!$A$10:$A$132), MATCH(P13, '[3]Alt Est Detailed Bin Table'!$CL$9:$CS$9,0)), INDEX('[3]Detailed Bin Table'!$CL$9:$CS$132,MATCH($A13,'[3]Detailed Bin Table'!$A$9:$A$132,0),MATCH($B13,'[3]Detailed Bin Table'!$CL$9:$CS$9,0)))*24)</f>
        <v>25</v>
      </c>
      <c r="N13" s="34">
        <f>IF(B13="Custom", Q13, IF(B13="Imputation", INDEX('[3]Alt Est Detailed Bin Table'!$CT$10:$DA$132, MATCH(A13, '[3]Alt Est Detailed Bin Table'!$A$10:$A$132), MATCH(P13, '[3]Alt Est Detailed Bin Table'!$CT$9:$DA$9,0)), INDEX('[3]Detailed Bin Table'!$CT$9:$DA$132,MATCH($A13,'[3]Detailed Bin Table'!$A$9:$A$132,0),MATCH($B13,'[3]Detailed Bin Table'!$CT$9:$DA$9,0)))*24)</f>
        <v>-7</v>
      </c>
      <c r="O13" s="34">
        <f>IF(B13="Custom", Q13, IF(B13="Imputation", INDEX('[3]Alt Est Detailed Bin Table'!$DB$10:$DI$132, MATCH(A13, '[3]Alt Est Detailed Bin Table'!$A$10:$A$132), MATCH(P13, '[3]Alt Est Detailed Bin Table'!$DB$9:$DI$9,0)), INDEX('[3]Detailed Bin Table'!$DB$9:$DI$132,MATCH($A13,'[3]Detailed Bin Table'!$A$9:$A$132,0),MATCH($B13,'[3]Detailed Bin Table'!$DB$9:$DI$9,0)))*24)</f>
        <v>821</v>
      </c>
      <c r="P13" s="215"/>
      <c r="Q13" s="62"/>
      <c r="R13" s="63"/>
      <c r="S13" s="63"/>
      <c r="T13" s="63"/>
      <c r="U13" s="63"/>
      <c r="V13" s="63"/>
      <c r="W13" s="64"/>
      <c r="X13" s="63"/>
      <c r="Y13" s="63"/>
      <c r="Z13" s="63"/>
      <c r="AA13" s="65"/>
      <c r="AB13" s="213" t="str">
        <f>IF(SUM(E13:O13)='[1]Passage Estimates'!$D13, "Ok", "Check")</f>
        <v>Ok</v>
      </c>
    </row>
    <row r="14" spans="1:28" x14ac:dyDescent="0.3">
      <c r="A14" s="20">
        <f>'1. Mixture Model Inputs'!A14</f>
        <v>45116</v>
      </c>
      <c r="B14" s="13" t="str">
        <f>'[1]Passage Estimates'!$C14</f>
        <v>S1+M+A2</v>
      </c>
      <c r="C14" s="208">
        <f t="shared" si="0"/>
        <v>295.44</v>
      </c>
      <c r="D14" s="208">
        <f t="shared" si="1"/>
        <v>295.44</v>
      </c>
      <c r="E14" s="34">
        <f>IF(B14="Custom", Q14, IF(B14="Imputation", INDEX('[3]Alt Est Detailed Bin Table'!$B$10:$M$132, MATCH(A14, '[3]Alt Est Detailed Bin Table'!$A$10:$A$132), MATCH(P14, '[3]Alt Est Detailed Bin Table'!$B$9:$M$9,0)), INDEX('[3]Detailed Bin Table'!$B$9:$M$132,MATCH($A14,'[3]Detailed Bin Table'!$A$9:$A$132,0),MATCH($B14,'[3]Detailed Bin Table'!$B$9:$M$9,0)))*24)</f>
        <v>590.88</v>
      </c>
      <c r="F14" s="34">
        <f>IF(B14="Custom", Q14, IF(B14="Imputation", INDEX('[3]Alt Est Detailed Bin Table'!$N$10:$Y$132, MATCH(A14, '[3]Alt Est Detailed Bin Table'!$A$10:$A$132), MATCH(P14, '[3]Alt Est Detailed Bin Table'!$N$9:$Y$9,0)), INDEX('[3]Detailed Bin Table'!$N$9:$Y$132,MATCH($A14,'[3]Detailed Bin Table'!$A$9:$A$132,0),MATCH($B14,'[3]Detailed Bin Table'!$N$9:$Y$9,0)))*24)</f>
        <v>873.83999999999992</v>
      </c>
      <c r="G14" s="34">
        <f>IF(B14="Custom", Q14, IF(B14="Imputation", INDEX('[3]Alt Est Detailed Bin Table'!$Z$10:$AK$132, MATCH(A14, '[3]Alt Est Detailed Bin Table'!$A$10:$A$132), MATCH(P14, '[3]Alt Est Detailed Bin Table'!$Z$9:$AK$9,0)), INDEX('[3]Detailed Bin Table'!$Z$9:$AK$132,MATCH($A14,'[3]Detailed Bin Table'!$A$9:$A$132,0),MATCH($B14,'[3]Detailed Bin Table'!$Z$9:$AK$9,0)))*24)</f>
        <v>550.08000000000004</v>
      </c>
      <c r="H14" s="34">
        <f>IF(B14="Custom", Q14, IF(B14="Imputation", INDEX('[3]Alt Est Detailed Bin Table'!$AL$10:$AW$132, MATCH(A14, '[3]Alt Est Detailed Bin Table'!$A$10:$A$132), MATCH(P14, '[3]Alt Est Detailed Bin Table'!$AL$9:$AW$9,0)), INDEX('[3]Detailed Bin Table'!$AL$9:$AW$132,MATCH($A14,'[3]Detailed Bin Table'!$A$9:$A$132,0),MATCH($B14,'[3]Detailed Bin Table'!$AL$9:$AW$9,0)))*24)</f>
        <v>590.16</v>
      </c>
      <c r="I14" s="34">
        <f>IF(B14="Custom", Q14, IF(B14="Imputation", INDEX('[3]Alt Est Detailed Bin Table'!$AX$10:$BI$132, MATCH(A14, '[3]Alt Est Detailed Bin Table'!$A$10:$A$132), MATCH(P14, '[3]Alt Est Detailed Bin Table'!$AX$9:$BI$9,0)), INDEX('[3]Detailed Bin Table'!$AX$9:$BI$132,MATCH($A14,'[3]Detailed Bin Table'!$A$9:$A$132,0),MATCH($B14,'[3]Detailed Bin Table'!$AX$9:$BI$9,0)))*24)</f>
        <v>114.72</v>
      </c>
      <c r="J14" s="34">
        <f>IF(B14="Custom", V14, INDEX('[3]Detailed Bin Table'!$BJ$9:$BO$132,MATCH($A14,'[3]Detailed Bin Table'!$A$9:$A$132,0),MATCH($B14,'[3]Detailed Bin Table'!$BJ$9:$BO$9,0))*24)</f>
        <v>0</v>
      </c>
      <c r="K14" s="33">
        <f>IF(B14="Custom", Q14, IF(B14="Imputation", INDEX('[3]Alt Est Detailed Bin Table'!$BP$10:$CC$132, MATCH(A14, '[3]Alt Est Detailed Bin Table'!$A$10:$A$132), MATCH(P14, '[3]Alt Est Detailed Bin Table'!$BP$9:$CC$9,0)), INDEX('[3]Detailed Bin Table'!$BP$9:$CC$132,MATCH($A14,'[3]Detailed Bin Table'!$A$9:$A$132,0),MATCH($B14,'[3]Detailed Bin Table'!$BP$9:$CC$9,0)))*24)</f>
        <v>2378.88</v>
      </c>
      <c r="L14" s="223">
        <f>IF(B14="Custom", Q14, IF(B14="Imputation", INDEX('[3]Alt Est Detailed Bin Table'!$CD$10:$CK$132, MATCH(A14, '[3]Alt Est Detailed Bin Table'!$A$10:$A$132), MATCH(P14, '[3]Alt Est Detailed Bin Table'!$CD$9:$CK$9,0)), INDEX('[3]Detailed Bin Table'!$CD$9:$CK$132,MATCH($A14,'[3]Detailed Bin Table'!$A$9:$A$132,0),MATCH($B14,'[3]Detailed Bin Table'!$CD$9:$CK$9,0)))*24)</f>
        <v>8</v>
      </c>
      <c r="M14" s="34">
        <f>IF(B14="Custom", Q14, IF(B14="Imputation", INDEX('[3]Alt Est Detailed Bin Table'!$CL$10:$CS$132, MATCH(A14, '[3]Alt Est Detailed Bin Table'!$A$10:$A$132), MATCH(P14, '[3]Alt Est Detailed Bin Table'!$CL$9:$CS$9,0)), INDEX('[3]Detailed Bin Table'!$CL$9:$CS$132,MATCH($A14,'[3]Detailed Bin Table'!$A$9:$A$132,0),MATCH($B14,'[3]Detailed Bin Table'!$CL$9:$CS$9,0)))*24)</f>
        <v>92</v>
      </c>
      <c r="N14" s="34">
        <f>IF(B14="Custom", Q14, IF(B14="Imputation", INDEX('[3]Alt Est Detailed Bin Table'!$CT$10:$DA$132, MATCH(A14, '[3]Alt Est Detailed Bin Table'!$A$10:$A$132), MATCH(P14, '[3]Alt Est Detailed Bin Table'!$CT$9:$DA$9,0)), INDEX('[3]Detailed Bin Table'!$CT$9:$DA$132,MATCH($A14,'[3]Detailed Bin Table'!$A$9:$A$132,0),MATCH($B14,'[3]Detailed Bin Table'!$CT$9:$DA$9,0)))*24)</f>
        <v>98</v>
      </c>
      <c r="O14" s="34">
        <f>IF(B14="Custom", Q14, IF(B14="Imputation", INDEX('[3]Alt Est Detailed Bin Table'!$DB$10:$DI$132, MATCH(A14, '[3]Alt Est Detailed Bin Table'!$A$10:$A$132), MATCH(P14, '[3]Alt Est Detailed Bin Table'!$DB$9:$DI$9,0)), INDEX('[3]Detailed Bin Table'!$DB$9:$DI$132,MATCH($A14,'[3]Detailed Bin Table'!$A$9:$A$132,0),MATCH($B14,'[3]Detailed Bin Table'!$DB$9:$DI$9,0)))*24)</f>
        <v>808</v>
      </c>
      <c r="P14" s="215"/>
      <c r="Q14" s="62"/>
      <c r="R14" s="63"/>
      <c r="S14" s="63"/>
      <c r="T14" s="63"/>
      <c r="U14" s="63"/>
      <c r="V14" s="63"/>
      <c r="W14" s="64"/>
      <c r="X14" s="63"/>
      <c r="Y14" s="63"/>
      <c r="Z14" s="63"/>
      <c r="AA14" s="65"/>
      <c r="AB14" s="213" t="str">
        <f>IF(SUM(E14:O14)='[1]Passage Estimates'!$D14, "Ok", "Check")</f>
        <v>Ok</v>
      </c>
    </row>
    <row r="15" spans="1:28" x14ac:dyDescent="0.3">
      <c r="A15" s="20">
        <f>'1. Mixture Model Inputs'!A15</f>
        <v>45117</v>
      </c>
      <c r="B15" s="13" t="str">
        <f>'[1]Passage Estimates'!$C15</f>
        <v>S1+M+A2</v>
      </c>
      <c r="C15" s="208">
        <f t="shared" si="0"/>
        <v>235.79999999999998</v>
      </c>
      <c r="D15" s="208">
        <f t="shared" si="1"/>
        <v>235.79999999999998</v>
      </c>
      <c r="E15" s="34">
        <f>IF(B15="Custom", Q15, IF(B15="Imputation", INDEX('[3]Alt Est Detailed Bin Table'!$B$10:$M$132, MATCH(A15, '[3]Alt Est Detailed Bin Table'!$A$10:$A$132), MATCH(P15, '[3]Alt Est Detailed Bin Table'!$B$9:$M$9,0)), INDEX('[3]Detailed Bin Table'!$B$9:$M$132,MATCH($A15,'[3]Detailed Bin Table'!$A$9:$A$132,0),MATCH($B15,'[3]Detailed Bin Table'!$B$9:$M$9,0)))*24)</f>
        <v>471.59999999999997</v>
      </c>
      <c r="F15" s="34">
        <f>IF(B15="Custom", Q15, IF(B15="Imputation", INDEX('[3]Alt Est Detailed Bin Table'!$N$10:$Y$132, MATCH(A15, '[3]Alt Est Detailed Bin Table'!$A$10:$A$132), MATCH(P15, '[3]Alt Est Detailed Bin Table'!$N$9:$Y$9,0)), INDEX('[3]Detailed Bin Table'!$N$9:$Y$132,MATCH($A15,'[3]Detailed Bin Table'!$A$9:$A$132,0),MATCH($B15,'[3]Detailed Bin Table'!$N$9:$Y$9,0)))*24)</f>
        <v>974.64</v>
      </c>
      <c r="G15" s="34">
        <f>IF(B15="Custom", Q15, IF(B15="Imputation", INDEX('[3]Alt Est Detailed Bin Table'!$Z$10:$AK$132, MATCH(A15, '[3]Alt Est Detailed Bin Table'!$A$10:$A$132), MATCH(P15, '[3]Alt Est Detailed Bin Table'!$Z$9:$AK$9,0)), INDEX('[3]Detailed Bin Table'!$Z$9:$AK$132,MATCH($A15,'[3]Detailed Bin Table'!$A$9:$A$132,0),MATCH($B15,'[3]Detailed Bin Table'!$Z$9:$AK$9,0)))*24)</f>
        <v>795.36</v>
      </c>
      <c r="H15" s="34">
        <f>IF(B15="Custom", Q15, IF(B15="Imputation", INDEX('[3]Alt Est Detailed Bin Table'!$AL$10:$AW$132, MATCH(A15, '[3]Alt Est Detailed Bin Table'!$A$10:$A$132), MATCH(P15, '[3]Alt Est Detailed Bin Table'!$AL$9:$AW$9,0)), INDEX('[3]Detailed Bin Table'!$AL$9:$AW$132,MATCH($A15,'[3]Detailed Bin Table'!$A$9:$A$132,0),MATCH($B15,'[3]Detailed Bin Table'!$AL$9:$AW$9,0)))*24)</f>
        <v>969.60000000000014</v>
      </c>
      <c r="I15" s="34">
        <f>IF(B15="Custom", Q15, IF(B15="Imputation", INDEX('[3]Alt Est Detailed Bin Table'!$AX$10:$BI$132, MATCH(A15, '[3]Alt Est Detailed Bin Table'!$A$10:$A$132), MATCH(P15, '[3]Alt Est Detailed Bin Table'!$AX$9:$BI$9,0)), INDEX('[3]Detailed Bin Table'!$AX$9:$BI$132,MATCH($A15,'[3]Detailed Bin Table'!$A$9:$A$132,0),MATCH($B15,'[3]Detailed Bin Table'!$AX$9:$BI$9,0)))*24)</f>
        <v>374.88</v>
      </c>
      <c r="J15" s="34">
        <f>IF(B15="Custom", V15, INDEX('[3]Detailed Bin Table'!$BJ$9:$BO$132,MATCH($A15,'[3]Detailed Bin Table'!$A$9:$A$132,0),MATCH($B15,'[3]Detailed Bin Table'!$BJ$9:$BO$9,0))*24)</f>
        <v>0</v>
      </c>
      <c r="K15" s="33">
        <f>IF(B15="Custom", Q15, IF(B15="Imputation", INDEX('[3]Alt Est Detailed Bin Table'!$BP$10:$CC$132, MATCH(A15, '[3]Alt Est Detailed Bin Table'!$A$10:$A$132), MATCH(P15, '[3]Alt Est Detailed Bin Table'!$BP$9:$CC$9,0)), INDEX('[3]Detailed Bin Table'!$BP$9:$CC$132,MATCH($A15,'[3]Detailed Bin Table'!$A$9:$A$132,0),MATCH($B15,'[3]Detailed Bin Table'!$BP$9:$CC$9,0)))*24)</f>
        <v>1661.0400000000002</v>
      </c>
      <c r="L15" s="223">
        <f>IF(B15="Custom", Q15, IF(B15="Imputation", INDEX('[3]Alt Est Detailed Bin Table'!$CD$10:$CK$132, MATCH(A15, '[3]Alt Est Detailed Bin Table'!$A$10:$A$132), MATCH(P15, '[3]Alt Est Detailed Bin Table'!$CD$9:$CK$9,0)), INDEX('[3]Detailed Bin Table'!$CD$9:$CK$132,MATCH($A15,'[3]Detailed Bin Table'!$A$9:$A$132,0),MATCH($B15,'[3]Detailed Bin Table'!$CD$9:$CK$9,0)))*24)</f>
        <v>-50</v>
      </c>
      <c r="M15" s="34">
        <f>IF(B15="Custom", Q15, IF(B15="Imputation", INDEX('[3]Alt Est Detailed Bin Table'!$CL$10:$CS$132, MATCH(A15, '[3]Alt Est Detailed Bin Table'!$A$10:$A$132), MATCH(P15, '[3]Alt Est Detailed Bin Table'!$CL$9:$CS$9,0)), INDEX('[3]Detailed Bin Table'!$CL$9:$CS$132,MATCH($A15,'[3]Detailed Bin Table'!$A$9:$A$132,0),MATCH($B15,'[3]Detailed Bin Table'!$CL$9:$CS$9,0)))*24)</f>
        <v>428</v>
      </c>
      <c r="N15" s="34">
        <f>IF(B15="Custom", Q15, IF(B15="Imputation", INDEX('[3]Alt Est Detailed Bin Table'!$CT$10:$DA$132, MATCH(A15, '[3]Alt Est Detailed Bin Table'!$A$10:$A$132), MATCH(P15, '[3]Alt Est Detailed Bin Table'!$CT$9:$DA$9,0)), INDEX('[3]Detailed Bin Table'!$CT$9:$DA$132,MATCH($A15,'[3]Detailed Bin Table'!$A$9:$A$132,0),MATCH($B15,'[3]Detailed Bin Table'!$CT$9:$DA$9,0)))*24)</f>
        <v>209</v>
      </c>
      <c r="O15" s="34">
        <f>IF(B15="Custom", Q15, IF(B15="Imputation", INDEX('[3]Alt Est Detailed Bin Table'!$DB$10:$DI$132, MATCH(A15, '[3]Alt Est Detailed Bin Table'!$A$10:$A$132), MATCH(P15, '[3]Alt Est Detailed Bin Table'!$DB$9:$DI$9,0)), INDEX('[3]Detailed Bin Table'!$DB$9:$DI$132,MATCH($A15,'[3]Detailed Bin Table'!$A$9:$A$132,0),MATCH($B15,'[3]Detailed Bin Table'!$DB$9:$DI$9,0)))*24)</f>
        <v>725</v>
      </c>
      <c r="P15" s="215"/>
      <c r="Q15" s="62"/>
      <c r="R15" s="63"/>
      <c r="S15" s="63"/>
      <c r="T15" s="63"/>
      <c r="U15" s="63"/>
      <c r="V15" s="63"/>
      <c r="W15" s="64"/>
      <c r="X15" s="63"/>
      <c r="Y15" s="63"/>
      <c r="Z15" s="63"/>
      <c r="AA15" s="65"/>
      <c r="AB15" s="213" t="str">
        <f>IF(SUM(E15:O15)='[1]Passage Estimates'!$D15, "Ok", "Check")</f>
        <v>Ok</v>
      </c>
    </row>
    <row r="16" spans="1:28" x14ac:dyDescent="0.3">
      <c r="A16" s="20">
        <f>'1. Mixture Model Inputs'!A16</f>
        <v>45118</v>
      </c>
      <c r="B16" s="13" t="str">
        <f>'[1]Passage Estimates'!$C16</f>
        <v>S1+M+A2</v>
      </c>
      <c r="C16" s="208">
        <v>80</v>
      </c>
      <c r="D16" s="208">
        <v>30</v>
      </c>
      <c r="E16" s="34">
        <f>IF(B16="Custom", Q16, IF(B16="Imputation", INDEX('[3]Alt Est Detailed Bin Table'!$B$10:$M$132, MATCH(A16, '[3]Alt Est Detailed Bin Table'!$A$10:$A$132), MATCH(P16, '[3]Alt Est Detailed Bin Table'!$B$9:$M$9,0)), INDEX('[3]Detailed Bin Table'!$B$9:$M$132,MATCH($A16,'[3]Detailed Bin Table'!$A$9:$A$132,0),MATCH($B16,'[3]Detailed Bin Table'!$B$9:$M$9,0)))*24)</f>
        <v>422.40000000000003</v>
      </c>
      <c r="F16" s="34">
        <f>IF(B16="Custom", Q16, IF(B16="Imputation", INDEX('[3]Alt Est Detailed Bin Table'!$N$10:$Y$132, MATCH(A16, '[3]Alt Est Detailed Bin Table'!$A$10:$A$132), MATCH(P16, '[3]Alt Est Detailed Bin Table'!$N$9:$Y$9,0)), INDEX('[3]Detailed Bin Table'!$N$9:$Y$132,MATCH($A16,'[3]Detailed Bin Table'!$A$9:$A$132,0),MATCH($B16,'[3]Detailed Bin Table'!$N$9:$Y$9,0)))*24)</f>
        <v>791.75999999999988</v>
      </c>
      <c r="G16" s="34">
        <f>IF(B16="Custom", Q16, IF(B16="Imputation", INDEX('[3]Alt Est Detailed Bin Table'!$Z$10:$AK$132, MATCH(A16, '[3]Alt Est Detailed Bin Table'!$A$10:$A$132), MATCH(P16, '[3]Alt Est Detailed Bin Table'!$Z$9:$AK$9,0)), INDEX('[3]Detailed Bin Table'!$Z$9:$AK$132,MATCH($A16,'[3]Detailed Bin Table'!$A$9:$A$132,0),MATCH($B16,'[3]Detailed Bin Table'!$Z$9:$AK$9,0)))*24)</f>
        <v>767.76</v>
      </c>
      <c r="H16" s="34">
        <f>IF(B16="Custom", Q16, IF(B16="Imputation", INDEX('[3]Alt Est Detailed Bin Table'!$AL$10:$AW$132, MATCH(A16, '[3]Alt Est Detailed Bin Table'!$A$10:$A$132), MATCH(P16, '[3]Alt Est Detailed Bin Table'!$AL$9:$AW$9,0)), INDEX('[3]Detailed Bin Table'!$AL$9:$AW$132,MATCH($A16,'[3]Detailed Bin Table'!$A$9:$A$132,0),MATCH($B16,'[3]Detailed Bin Table'!$AL$9:$AW$9,0)))*24)</f>
        <v>649.43999999999994</v>
      </c>
      <c r="I16" s="34">
        <f>IF(B16="Custom", Q16, IF(B16="Imputation", INDEX('[3]Alt Est Detailed Bin Table'!$AX$10:$BI$132, MATCH(A16, '[3]Alt Est Detailed Bin Table'!$A$10:$A$132), MATCH(P16, '[3]Alt Est Detailed Bin Table'!$AX$9:$BI$9,0)), INDEX('[3]Detailed Bin Table'!$AX$9:$BI$132,MATCH($A16,'[3]Detailed Bin Table'!$A$9:$A$132,0),MATCH($B16,'[3]Detailed Bin Table'!$AX$9:$BI$9,0)))*24)</f>
        <v>338.64</v>
      </c>
      <c r="J16" s="34">
        <f>IF(B16="Custom", V16, INDEX('[3]Detailed Bin Table'!$BJ$9:$BO$132,MATCH($A16,'[3]Detailed Bin Table'!$A$9:$A$132,0),MATCH($B16,'[3]Detailed Bin Table'!$BJ$9:$BO$9,0))*24)</f>
        <v>0</v>
      </c>
      <c r="K16" s="33">
        <f>IF(B16="Custom", Q16, IF(B16="Imputation", INDEX('[3]Alt Est Detailed Bin Table'!$BP$10:$CC$132, MATCH(A16, '[3]Alt Est Detailed Bin Table'!$A$10:$A$132), MATCH(P16, '[3]Alt Est Detailed Bin Table'!$BP$9:$CC$9,0)), INDEX('[3]Detailed Bin Table'!$BP$9:$CC$132,MATCH($A16,'[3]Detailed Bin Table'!$A$9:$A$132,0),MATCH($B16,'[3]Detailed Bin Table'!$BP$9:$CC$9,0)))*24)</f>
        <v>1585.200000000001</v>
      </c>
      <c r="L16" s="223">
        <f>IF(B16="Custom", Q16, IF(B16="Imputation", INDEX('[3]Alt Est Detailed Bin Table'!$CD$10:$CK$132, MATCH(A16, '[3]Alt Est Detailed Bin Table'!$A$10:$A$132), MATCH(P16, '[3]Alt Est Detailed Bin Table'!$CD$9:$CK$9,0)), INDEX('[3]Detailed Bin Table'!$CD$9:$CK$132,MATCH($A16,'[3]Detailed Bin Table'!$A$9:$A$132,0),MATCH($B16,'[3]Detailed Bin Table'!$CD$9:$CK$9,0)))*24)</f>
        <v>-18.240000000000002</v>
      </c>
      <c r="M16" s="34">
        <f>IF(B16="Custom", Q16, IF(B16="Imputation", INDEX('[3]Alt Est Detailed Bin Table'!$CL$10:$CS$132, MATCH(A16, '[3]Alt Est Detailed Bin Table'!$A$10:$A$132), MATCH(P16, '[3]Alt Est Detailed Bin Table'!$CL$9:$CS$9,0)), INDEX('[3]Detailed Bin Table'!$CL$9:$CS$132,MATCH($A16,'[3]Detailed Bin Table'!$A$9:$A$132,0),MATCH($B16,'[3]Detailed Bin Table'!$CL$9:$CS$9,0)))*24)</f>
        <v>-64.08</v>
      </c>
      <c r="N16" s="34">
        <f>IF(B16="Custom", Q16, IF(B16="Imputation", INDEX('[3]Alt Est Detailed Bin Table'!$CT$10:$DA$132, MATCH(A16, '[3]Alt Est Detailed Bin Table'!$A$10:$A$132), MATCH(P16, '[3]Alt Est Detailed Bin Table'!$CT$9:$DA$9,0)), INDEX('[3]Detailed Bin Table'!$CT$9:$DA$132,MATCH($A16,'[3]Detailed Bin Table'!$A$9:$A$132,0),MATCH($B16,'[3]Detailed Bin Table'!$CT$9:$DA$9,0)))*24)</f>
        <v>102.96000000000001</v>
      </c>
      <c r="O16" s="34">
        <f>IF(B16="Custom", Q16, IF(B16="Imputation", INDEX('[3]Alt Est Detailed Bin Table'!$DB$10:$DI$132, MATCH(A16, '[3]Alt Est Detailed Bin Table'!$A$10:$A$132), MATCH(P16, '[3]Alt Est Detailed Bin Table'!$DB$9:$DI$9,0)), INDEX('[3]Detailed Bin Table'!$DB$9:$DI$132,MATCH($A16,'[3]Detailed Bin Table'!$A$9:$A$132,0),MATCH($B16,'[3]Detailed Bin Table'!$DB$9:$DI$9,0)))*24)</f>
        <v>156.24</v>
      </c>
      <c r="P16" s="215"/>
      <c r="Q16" s="62"/>
      <c r="R16" s="63"/>
      <c r="S16" s="63"/>
      <c r="T16" s="63"/>
      <c r="U16" s="63"/>
      <c r="V16" s="63"/>
      <c r="W16" s="64"/>
      <c r="X16" s="63"/>
      <c r="Y16" s="63"/>
      <c r="Z16" s="63"/>
      <c r="AA16" s="65"/>
      <c r="AB16" s="213" t="str">
        <f>IF(SUM(E16:O16)='[1]Passage Estimates'!$D16, "Ok", "Check")</f>
        <v>Ok</v>
      </c>
    </row>
    <row r="17" spans="1:29" x14ac:dyDescent="0.3">
      <c r="A17" s="20">
        <f>'1. Mixture Model Inputs'!A17</f>
        <v>45119</v>
      </c>
      <c r="B17" s="13" t="str">
        <f>'[1]Passage Estimates'!$C17</f>
        <v>S1+M+A2</v>
      </c>
      <c r="C17" s="208">
        <f>E17/2</f>
        <v>309.87272727272727</v>
      </c>
      <c r="D17" s="208">
        <f>E17/2</f>
        <v>309.87272727272727</v>
      </c>
      <c r="E17" s="34">
        <f>IF(B17="Custom", Q17, IF(B17="Imputation", INDEX('[3]Alt Est Detailed Bin Table'!$B$10:$M$132, MATCH(A17, '[3]Alt Est Detailed Bin Table'!$A$10:$A$132), MATCH(P17, '[3]Alt Est Detailed Bin Table'!$B$9:$M$9,0)), INDEX('[3]Detailed Bin Table'!$B$9:$M$132,MATCH($A17,'[3]Detailed Bin Table'!$A$9:$A$132,0),MATCH($B17,'[3]Detailed Bin Table'!$B$9:$M$9,0)))*24)</f>
        <v>619.74545454545455</v>
      </c>
      <c r="F17" s="34">
        <f>IF(B17="Custom", Q17, IF(B17="Imputation", INDEX('[3]Alt Est Detailed Bin Table'!$N$10:$Y$132, MATCH(A17, '[3]Alt Est Detailed Bin Table'!$A$10:$A$132), MATCH(P17, '[3]Alt Est Detailed Bin Table'!$N$9:$Y$9,0)), INDEX('[3]Detailed Bin Table'!$N$9:$Y$132,MATCH($A17,'[3]Detailed Bin Table'!$A$9:$A$132,0),MATCH($B17,'[3]Detailed Bin Table'!$N$9:$Y$9,0)))*24)</f>
        <v>803.04</v>
      </c>
      <c r="G17" s="34">
        <f>IF(B17="Custom", Q17, IF(B17="Imputation", INDEX('[3]Alt Est Detailed Bin Table'!$Z$10:$AK$132, MATCH(A17, '[3]Alt Est Detailed Bin Table'!$A$10:$A$132), MATCH(P17, '[3]Alt Est Detailed Bin Table'!$Z$9:$AK$9,0)), INDEX('[3]Detailed Bin Table'!$Z$9:$AK$132,MATCH($A17,'[3]Detailed Bin Table'!$A$9:$A$132,0),MATCH($B17,'[3]Detailed Bin Table'!$Z$9:$AK$9,0)))*24)</f>
        <v>680.72727272727275</v>
      </c>
      <c r="H17" s="34">
        <f>IF(B17="Custom", Q17, IF(B17="Imputation", INDEX('[3]Alt Est Detailed Bin Table'!$AL$10:$AW$132, MATCH(A17, '[3]Alt Est Detailed Bin Table'!$A$10:$A$132), MATCH(P17, '[3]Alt Est Detailed Bin Table'!$AL$9:$AW$9,0)), INDEX('[3]Detailed Bin Table'!$AL$9:$AW$132,MATCH($A17,'[3]Detailed Bin Table'!$A$9:$A$132,0),MATCH($B17,'[3]Detailed Bin Table'!$AL$9:$AW$9,0)))*24)</f>
        <v>426.87272727272727</v>
      </c>
      <c r="I17" s="34">
        <f>IF(B17="Custom", Q17, IF(B17="Imputation", INDEX('[3]Alt Est Detailed Bin Table'!$AX$10:$BI$132, MATCH(A17, '[3]Alt Est Detailed Bin Table'!$A$10:$A$132), MATCH(P17, '[3]Alt Est Detailed Bin Table'!$AX$9:$BI$9,0)), INDEX('[3]Detailed Bin Table'!$AX$9:$BI$132,MATCH($A17,'[3]Detailed Bin Table'!$A$9:$A$132,0),MATCH($B17,'[3]Detailed Bin Table'!$AX$9:$BI$9,0)))*24)</f>
        <v>149.67272727272726</v>
      </c>
      <c r="J17" s="34">
        <f>IF(B17="Custom", V17, INDEX('[3]Detailed Bin Table'!$BJ$9:$BO$132,MATCH($A17,'[3]Detailed Bin Table'!$A$9:$A$132,0),MATCH($B17,'[3]Detailed Bin Table'!$BJ$9:$BO$9,0))*24)</f>
        <v>0</v>
      </c>
      <c r="K17" s="33">
        <f>IF(B17="Custom", Q17, IF(B17="Imputation", INDEX('[3]Alt Est Detailed Bin Table'!$BP$10:$CC$132, MATCH(A17, '[3]Alt Est Detailed Bin Table'!$A$10:$A$132), MATCH(P17, '[3]Alt Est Detailed Bin Table'!$BP$9:$CC$9,0)), INDEX('[3]Detailed Bin Table'!$BP$9:$CC$132,MATCH($A17,'[3]Detailed Bin Table'!$A$9:$A$132,0),MATCH($B17,'[3]Detailed Bin Table'!$BP$9:$CC$9,0)))*24)</f>
        <v>2266.3199999999993</v>
      </c>
      <c r="L17" s="223">
        <f>IF(B17="Custom", Q17, IF(B17="Imputation", INDEX('[3]Alt Est Detailed Bin Table'!$CD$10:$CK$132, MATCH(A17, '[3]Alt Est Detailed Bin Table'!$A$10:$A$132), MATCH(P17, '[3]Alt Est Detailed Bin Table'!$CD$9:$CK$9,0)), INDEX('[3]Detailed Bin Table'!$CD$9:$CK$132,MATCH($A17,'[3]Detailed Bin Table'!$A$9:$A$132,0),MATCH($B17,'[3]Detailed Bin Table'!$CD$9:$CK$9,0)))*24)</f>
        <v>-72</v>
      </c>
      <c r="M17" s="34">
        <f>IF(B17="Custom", Q17, IF(B17="Imputation", INDEX('[3]Alt Est Detailed Bin Table'!$CL$10:$CS$132, MATCH(A17, '[3]Alt Est Detailed Bin Table'!$A$10:$A$132), MATCH(P17, '[3]Alt Est Detailed Bin Table'!$CL$9:$CS$9,0)), INDEX('[3]Detailed Bin Table'!$CL$9:$CS$132,MATCH($A17,'[3]Detailed Bin Table'!$A$9:$A$132,0),MATCH($B17,'[3]Detailed Bin Table'!$CL$9:$CS$9,0)))*24)</f>
        <v>-52.800000000000004</v>
      </c>
      <c r="N17" s="34">
        <f>IF(B17="Custom", Q17, IF(B17="Imputation", INDEX('[3]Alt Est Detailed Bin Table'!$CT$10:$DA$132, MATCH(A17, '[3]Alt Est Detailed Bin Table'!$A$10:$A$132), MATCH(P17, '[3]Alt Est Detailed Bin Table'!$CT$9:$DA$9,0)), INDEX('[3]Detailed Bin Table'!$CT$9:$DA$132,MATCH($A17,'[3]Detailed Bin Table'!$A$9:$A$132,0),MATCH($B17,'[3]Detailed Bin Table'!$CT$9:$DA$9,0)))*24)</f>
        <v>-31.200000000000003</v>
      </c>
      <c r="O17" s="34">
        <f>IF(B17="Custom", Q17, IF(B17="Imputation", INDEX('[3]Alt Est Detailed Bin Table'!$DB$10:$DI$132, MATCH(A17, '[3]Alt Est Detailed Bin Table'!$A$10:$A$132), MATCH(P17, '[3]Alt Est Detailed Bin Table'!$DB$9:$DI$9,0)), INDEX('[3]Detailed Bin Table'!$DB$9:$DI$132,MATCH($A17,'[3]Detailed Bin Table'!$A$9:$A$132,0),MATCH($B17,'[3]Detailed Bin Table'!$DB$9:$DI$9,0)))*24)</f>
        <v>123.60000000000001</v>
      </c>
      <c r="P17" s="215"/>
      <c r="Q17" s="62"/>
      <c r="R17" s="63"/>
      <c r="S17" s="63"/>
      <c r="T17" s="63"/>
      <c r="U17" s="63"/>
      <c r="V17" s="63"/>
      <c r="W17" s="64"/>
      <c r="X17" s="63"/>
      <c r="Y17" s="63"/>
      <c r="Z17" s="63"/>
      <c r="AA17" s="65"/>
      <c r="AB17" s="213" t="str">
        <f>IF(SUM(E17:O17)='[1]Passage Estimates'!$D17, "Ok", "Check")</f>
        <v>Ok</v>
      </c>
    </row>
    <row r="18" spans="1:29" x14ac:dyDescent="0.3">
      <c r="A18" s="20">
        <f>'1. Mixture Model Inputs'!A18</f>
        <v>45120</v>
      </c>
      <c r="B18" s="13" t="str">
        <f>'[1]Passage Estimates'!$C18</f>
        <v>S1+M+A2</v>
      </c>
      <c r="C18" s="207">
        <v>103</v>
      </c>
      <c r="D18" s="209">
        <v>84</v>
      </c>
      <c r="E18" s="34">
        <f>IF(B18="Custom", Q18, IF(B18="Imputation", INDEX('[3]Alt Est Detailed Bin Table'!$B$10:$M$132, MATCH(A18, '[3]Alt Est Detailed Bin Table'!$A$10:$A$132), MATCH(P18, '[3]Alt Est Detailed Bin Table'!$B$9:$M$9,0)), INDEX('[3]Detailed Bin Table'!$B$9:$M$132,MATCH($A18,'[3]Detailed Bin Table'!$A$9:$A$132,0),MATCH($B18,'[3]Detailed Bin Table'!$B$9:$M$9,0)))*24)</f>
        <v>977.52</v>
      </c>
      <c r="F18" s="34">
        <f>IF(B18="Custom", Q18, IF(B18="Imputation", INDEX('[3]Alt Est Detailed Bin Table'!$N$10:$Y$132, MATCH(A18, '[3]Alt Est Detailed Bin Table'!$A$10:$A$132), MATCH(P18, '[3]Alt Est Detailed Bin Table'!$N$9:$Y$9,0)), INDEX('[3]Detailed Bin Table'!$N$9:$Y$132,MATCH($A18,'[3]Detailed Bin Table'!$A$9:$A$132,0),MATCH($B18,'[3]Detailed Bin Table'!$N$9:$Y$9,0)))*24)</f>
        <v>1141.1999999999998</v>
      </c>
      <c r="G18" s="34">
        <f>IF(B18="Custom", Q18, IF(B18="Imputation", INDEX('[3]Alt Est Detailed Bin Table'!$Z$10:$AK$132, MATCH(A18, '[3]Alt Est Detailed Bin Table'!$A$10:$A$132), MATCH(P18, '[3]Alt Est Detailed Bin Table'!$Z$9:$AK$9,0)), INDEX('[3]Detailed Bin Table'!$Z$9:$AK$132,MATCH($A18,'[3]Detailed Bin Table'!$A$9:$A$132,0),MATCH($B18,'[3]Detailed Bin Table'!$Z$9:$AK$9,0)))*24)</f>
        <v>615.59999999999991</v>
      </c>
      <c r="H18" s="34">
        <f>IF(B18="Custom", Q18, IF(B18="Imputation", INDEX('[3]Alt Est Detailed Bin Table'!$AL$10:$AW$132, MATCH(A18, '[3]Alt Est Detailed Bin Table'!$A$10:$A$132), MATCH(P18, '[3]Alt Est Detailed Bin Table'!$AL$9:$AW$9,0)), INDEX('[3]Detailed Bin Table'!$AL$9:$AW$132,MATCH($A18,'[3]Detailed Bin Table'!$A$9:$A$132,0),MATCH($B18,'[3]Detailed Bin Table'!$AL$9:$AW$9,0)))*24)</f>
        <v>503.76000000000005</v>
      </c>
      <c r="I18" s="34">
        <f>IF(B18="Custom", Q18, IF(B18="Imputation", INDEX('[3]Alt Est Detailed Bin Table'!$AX$10:$BI$132, MATCH(A18, '[3]Alt Est Detailed Bin Table'!$A$10:$A$132), MATCH(P18, '[3]Alt Est Detailed Bin Table'!$AX$9:$BI$9,0)), INDEX('[3]Detailed Bin Table'!$AX$9:$BI$132,MATCH($A18,'[3]Detailed Bin Table'!$A$9:$A$132,0),MATCH($B18,'[3]Detailed Bin Table'!$AX$9:$BI$9,0)))*24)</f>
        <v>124.32</v>
      </c>
      <c r="J18" s="34">
        <f>IF(B18="Custom", V18, INDEX('[3]Detailed Bin Table'!$BJ$9:$BO$132,MATCH($A18,'[3]Detailed Bin Table'!$A$9:$A$132,0),MATCH($B18,'[3]Detailed Bin Table'!$BJ$9:$BO$9,0))*24)</f>
        <v>0</v>
      </c>
      <c r="K18" s="33">
        <f>IF(B18="Custom", Q18, IF(B18="Imputation", INDEX('[3]Alt Est Detailed Bin Table'!$BP$10:$CC$132, MATCH(A18, '[3]Alt Est Detailed Bin Table'!$A$10:$A$132), MATCH(P18, '[3]Alt Est Detailed Bin Table'!$BP$9:$CC$9,0)), INDEX('[3]Detailed Bin Table'!$BP$9:$CC$132,MATCH($A18,'[3]Detailed Bin Table'!$A$9:$A$132,0),MATCH($B18,'[3]Detailed Bin Table'!$BP$9:$CC$9,0)))*24)</f>
        <v>1901.7599999999995</v>
      </c>
      <c r="L18" s="223">
        <f>IF(B18="Custom", Q18, IF(B18="Imputation", INDEX('[3]Alt Est Detailed Bin Table'!$CD$10:$CK$132, MATCH(A18, '[3]Alt Est Detailed Bin Table'!$A$10:$A$132), MATCH(P18, '[3]Alt Est Detailed Bin Table'!$CD$9:$CK$9,0)), INDEX('[3]Detailed Bin Table'!$CD$9:$CK$132,MATCH($A18,'[3]Detailed Bin Table'!$A$9:$A$132,0),MATCH($B18,'[3]Detailed Bin Table'!$CD$9:$CK$9,0)))*24)</f>
        <v>19.200000000000003</v>
      </c>
      <c r="M18" s="34">
        <f>IF(B18="Custom", Q18, IF(B18="Imputation", INDEX('[3]Alt Est Detailed Bin Table'!$CL$10:$CS$132, MATCH(A18, '[3]Alt Est Detailed Bin Table'!$A$10:$A$132), MATCH(P18, '[3]Alt Est Detailed Bin Table'!$CL$9:$CS$9,0)), INDEX('[3]Detailed Bin Table'!$CL$9:$CS$132,MATCH($A18,'[3]Detailed Bin Table'!$A$9:$A$132,0),MATCH($B18,'[3]Detailed Bin Table'!$CL$9:$CS$9,0)))*24)</f>
        <v>192</v>
      </c>
      <c r="N18" s="34">
        <f>IF(B18="Custom", Q18, IF(B18="Imputation", INDEX('[3]Alt Est Detailed Bin Table'!$CT$10:$DA$132, MATCH(A18, '[3]Alt Est Detailed Bin Table'!$A$10:$A$132), MATCH(P18, '[3]Alt Est Detailed Bin Table'!$CT$9:$DA$9,0)), INDEX('[3]Detailed Bin Table'!$CT$9:$DA$132,MATCH($A18,'[3]Detailed Bin Table'!$A$9:$A$132,0),MATCH($B18,'[3]Detailed Bin Table'!$CT$9:$DA$9,0)))*24)</f>
        <v>76.800000000000011</v>
      </c>
      <c r="O18" s="34">
        <f>IF(B18="Custom", Q18, IF(B18="Imputation", INDEX('[3]Alt Est Detailed Bin Table'!$DB$10:$DI$132, MATCH(A18, '[3]Alt Est Detailed Bin Table'!$A$10:$A$132), MATCH(P18, '[3]Alt Est Detailed Bin Table'!$DB$9:$DI$9,0)), INDEX('[3]Detailed Bin Table'!$DB$9:$DI$132,MATCH($A18,'[3]Detailed Bin Table'!$A$9:$A$132,0),MATCH($B18,'[3]Detailed Bin Table'!$DB$9:$DI$9,0)))*24)</f>
        <v>178.8</v>
      </c>
      <c r="P18" s="215"/>
      <c r="Q18" s="62"/>
      <c r="R18" s="63"/>
      <c r="S18" s="63"/>
      <c r="T18" s="63"/>
      <c r="U18" s="63"/>
      <c r="V18" s="63"/>
      <c r="W18" s="64"/>
      <c r="X18" s="63"/>
      <c r="Y18" s="63"/>
      <c r="Z18" s="63"/>
      <c r="AA18" s="65"/>
      <c r="AB18" s="213" t="str">
        <f>IF(SUM(E18:O18)='[1]Passage Estimates'!$D18, "Ok", "Check")</f>
        <v>Ok</v>
      </c>
    </row>
    <row r="19" spans="1:29" x14ac:dyDescent="0.3">
      <c r="A19" s="20">
        <f>'1. Mixture Model Inputs'!A19</f>
        <v>45121</v>
      </c>
      <c r="B19" s="13" t="str">
        <f>'[1]Passage Estimates'!$C19</f>
        <v>S1+M+A2</v>
      </c>
      <c r="C19" s="207">
        <v>42</v>
      </c>
      <c r="D19" s="209">
        <v>65</v>
      </c>
      <c r="E19" s="34">
        <f>IF(B19="Custom", Q19, IF(B19="Imputation", INDEX('[3]Alt Est Detailed Bin Table'!$B$10:$M$132, MATCH(A19, '[3]Alt Est Detailed Bin Table'!$A$10:$A$132), MATCH(P19, '[3]Alt Est Detailed Bin Table'!$B$9:$M$9,0)), INDEX('[3]Detailed Bin Table'!$B$9:$M$132,MATCH($A19,'[3]Detailed Bin Table'!$A$9:$A$132,0),MATCH($B19,'[3]Detailed Bin Table'!$B$9:$M$9,0)))*24)</f>
        <v>571.91999999999996</v>
      </c>
      <c r="F19" s="34">
        <f>IF(B19="Custom", Q19, IF(B19="Imputation", INDEX('[3]Alt Est Detailed Bin Table'!$N$10:$Y$132, MATCH(A19, '[3]Alt Est Detailed Bin Table'!$A$10:$A$132), MATCH(P19, '[3]Alt Est Detailed Bin Table'!$N$9:$Y$9,0)), INDEX('[3]Detailed Bin Table'!$N$9:$Y$132,MATCH($A19,'[3]Detailed Bin Table'!$A$9:$A$132,0),MATCH($B19,'[3]Detailed Bin Table'!$N$9:$Y$9,0)))*24)</f>
        <v>781.92</v>
      </c>
      <c r="G19" s="34">
        <f>IF(B19="Custom", Q19, IF(B19="Imputation", INDEX('[3]Alt Est Detailed Bin Table'!$Z$10:$AK$132, MATCH(A19, '[3]Alt Est Detailed Bin Table'!$A$10:$A$132), MATCH(P19, '[3]Alt Est Detailed Bin Table'!$Z$9:$AK$9,0)), INDEX('[3]Detailed Bin Table'!$Z$9:$AK$132,MATCH($A19,'[3]Detailed Bin Table'!$A$9:$A$132,0),MATCH($B19,'[3]Detailed Bin Table'!$Z$9:$AK$9,0)))*24)</f>
        <v>739.92</v>
      </c>
      <c r="H19" s="34">
        <f>IF(B19="Custom", Q19, IF(B19="Imputation", INDEX('[3]Alt Est Detailed Bin Table'!$AL$10:$AW$132, MATCH(A19, '[3]Alt Est Detailed Bin Table'!$A$10:$A$132), MATCH(P19, '[3]Alt Est Detailed Bin Table'!$AL$9:$AW$9,0)), INDEX('[3]Detailed Bin Table'!$AL$9:$AW$132,MATCH($A19,'[3]Detailed Bin Table'!$A$9:$A$132,0),MATCH($B19,'[3]Detailed Bin Table'!$AL$9:$AW$9,0)))*24)</f>
        <v>460.56000000000006</v>
      </c>
      <c r="I19" s="34">
        <f>IF(B19="Custom", Q19, IF(B19="Imputation", INDEX('[3]Alt Est Detailed Bin Table'!$AX$10:$BI$132, MATCH(A19, '[3]Alt Est Detailed Bin Table'!$A$10:$A$132), MATCH(P19, '[3]Alt Est Detailed Bin Table'!$AX$9:$BI$9,0)), INDEX('[3]Detailed Bin Table'!$AX$9:$BI$132,MATCH($A19,'[3]Detailed Bin Table'!$A$9:$A$132,0),MATCH($B19,'[3]Detailed Bin Table'!$AX$9:$BI$9,0)))*24)</f>
        <v>265.20000000000005</v>
      </c>
      <c r="J19" s="34">
        <f>IF(B19="Custom", V19, INDEX('[3]Detailed Bin Table'!$BJ$9:$BO$132,MATCH($A19,'[3]Detailed Bin Table'!$A$9:$A$132,0),MATCH($B19,'[3]Detailed Bin Table'!$BJ$9:$BO$9,0))*24)</f>
        <v>0</v>
      </c>
      <c r="K19" s="33">
        <f>IF(B19="Custom", Q19, IF(B19="Imputation", INDEX('[3]Alt Est Detailed Bin Table'!$BP$10:$CC$132, MATCH(A19, '[3]Alt Est Detailed Bin Table'!$A$10:$A$132), MATCH(P19, '[3]Alt Est Detailed Bin Table'!$BP$9:$CC$9,0)), INDEX('[3]Detailed Bin Table'!$BP$9:$CC$132,MATCH($A19,'[3]Detailed Bin Table'!$A$9:$A$132,0),MATCH($B19,'[3]Detailed Bin Table'!$BP$9:$CC$9,0)))*24)</f>
        <v>1285.6800000000005</v>
      </c>
      <c r="L19" s="223">
        <f>IF(B19="Custom", Q19, IF(B19="Imputation", INDEX('[3]Alt Est Detailed Bin Table'!$CD$10:$CK$132, MATCH(A19, '[3]Alt Est Detailed Bin Table'!$A$10:$A$132), MATCH(P19, '[3]Alt Est Detailed Bin Table'!$CD$9:$CK$9,0)), INDEX('[3]Detailed Bin Table'!$CD$9:$CK$132,MATCH($A19,'[3]Detailed Bin Table'!$A$9:$A$132,0),MATCH($B19,'[3]Detailed Bin Table'!$CD$9:$CK$9,0)))*24)</f>
        <v>8.16</v>
      </c>
      <c r="M19" s="34">
        <f>IF(B19="Custom", Q19, IF(B19="Imputation", INDEX('[3]Alt Est Detailed Bin Table'!$CL$10:$CS$132, MATCH(A19, '[3]Alt Est Detailed Bin Table'!$A$10:$A$132), MATCH(P19, '[3]Alt Est Detailed Bin Table'!$CL$9:$CS$9,0)), INDEX('[3]Detailed Bin Table'!$CL$9:$CS$132,MATCH($A19,'[3]Detailed Bin Table'!$A$9:$A$132,0),MATCH($B19,'[3]Detailed Bin Table'!$CL$9:$CS$9,0)))*24)</f>
        <v>182.16</v>
      </c>
      <c r="N19" s="34">
        <f>IF(B19="Custom", Q19, IF(B19="Imputation", INDEX('[3]Alt Est Detailed Bin Table'!$CT$10:$DA$132, MATCH(A19, '[3]Alt Est Detailed Bin Table'!$A$10:$A$132), MATCH(P19, '[3]Alt Est Detailed Bin Table'!$CT$9:$DA$9,0)), INDEX('[3]Detailed Bin Table'!$CT$9:$DA$132,MATCH($A19,'[3]Detailed Bin Table'!$A$9:$A$132,0),MATCH($B19,'[3]Detailed Bin Table'!$CT$9:$DA$9,0)))*24)</f>
        <v>126.72</v>
      </c>
      <c r="O19" s="34">
        <f>IF(B19="Custom", Q19, IF(B19="Imputation", INDEX('[3]Alt Est Detailed Bin Table'!$DB$10:$DI$132, MATCH(A19, '[3]Alt Est Detailed Bin Table'!$A$10:$A$132), MATCH(P19, '[3]Alt Est Detailed Bin Table'!$DB$9:$DI$9,0)), INDEX('[3]Detailed Bin Table'!$DB$9:$DI$132,MATCH($A19,'[3]Detailed Bin Table'!$A$9:$A$132,0),MATCH($B19,'[3]Detailed Bin Table'!$DB$9:$DI$9,0)))*24)</f>
        <v>80.400000000000006</v>
      </c>
      <c r="P19" s="215"/>
      <c r="Q19" s="62"/>
      <c r="R19" s="63"/>
      <c r="S19" s="63"/>
      <c r="T19" s="63"/>
      <c r="U19" s="63"/>
      <c r="V19" s="63"/>
      <c r="W19" s="64"/>
      <c r="X19" s="63"/>
      <c r="Y19" s="63"/>
      <c r="Z19" s="63"/>
      <c r="AA19" s="65"/>
      <c r="AB19" s="213" t="str">
        <f>IF(SUM(E19:O19)='[1]Passage Estimates'!$D19, "Ok", "Check")</f>
        <v>Ok</v>
      </c>
    </row>
    <row r="20" spans="1:29" x14ac:dyDescent="0.3">
      <c r="A20" s="20">
        <f>'1. Mixture Model Inputs'!A20</f>
        <v>45122</v>
      </c>
      <c r="B20" s="13" t="str">
        <f>'[1]Passage Estimates'!$C20</f>
        <v>S1+M+A2</v>
      </c>
      <c r="C20" s="207">
        <v>50</v>
      </c>
      <c r="D20" s="209">
        <v>139</v>
      </c>
      <c r="E20" s="34">
        <f>IF(B20="Custom", Q20, IF(B20="Imputation", INDEX('[3]Alt Est Detailed Bin Table'!$B$10:$M$132, MATCH(A20, '[3]Alt Est Detailed Bin Table'!$A$10:$A$132), MATCH(P20, '[3]Alt Est Detailed Bin Table'!$B$9:$M$9,0)), INDEX('[3]Detailed Bin Table'!$B$9:$M$132,MATCH($A20,'[3]Detailed Bin Table'!$A$9:$A$132,0),MATCH($B20,'[3]Detailed Bin Table'!$B$9:$M$9,0)))*24)</f>
        <v>885.11999999999989</v>
      </c>
      <c r="F20" s="34">
        <f>IF(B20="Custom", Q20, IF(B20="Imputation", INDEX('[3]Alt Est Detailed Bin Table'!$N$10:$Y$132, MATCH(A20, '[3]Alt Est Detailed Bin Table'!$A$10:$A$132), MATCH(P20, '[3]Alt Est Detailed Bin Table'!$N$9:$Y$9,0)), INDEX('[3]Detailed Bin Table'!$N$9:$Y$132,MATCH($A20,'[3]Detailed Bin Table'!$A$9:$A$132,0),MATCH($B20,'[3]Detailed Bin Table'!$N$9:$Y$9,0)))*24)</f>
        <v>732.24</v>
      </c>
      <c r="G20" s="34">
        <f>IF(B20="Custom", Q20, IF(B20="Imputation", INDEX('[3]Alt Est Detailed Bin Table'!$Z$10:$AK$132, MATCH(A20, '[3]Alt Est Detailed Bin Table'!$A$10:$A$132), MATCH(P20, '[3]Alt Est Detailed Bin Table'!$Z$9:$AK$9,0)), INDEX('[3]Detailed Bin Table'!$Z$9:$AK$132,MATCH($A20,'[3]Detailed Bin Table'!$A$9:$A$132,0),MATCH($B20,'[3]Detailed Bin Table'!$Z$9:$AK$9,0)))*24)</f>
        <v>579.84</v>
      </c>
      <c r="H20" s="34">
        <f>IF(B20="Custom", Q20, IF(B20="Imputation", INDEX('[3]Alt Est Detailed Bin Table'!$AL$10:$AW$132, MATCH(A20, '[3]Alt Est Detailed Bin Table'!$A$10:$A$132), MATCH(P20, '[3]Alt Est Detailed Bin Table'!$AL$9:$AW$9,0)), INDEX('[3]Detailed Bin Table'!$AL$9:$AW$132,MATCH($A20,'[3]Detailed Bin Table'!$A$9:$A$132,0),MATCH($B20,'[3]Detailed Bin Table'!$AL$9:$AW$9,0)))*24)</f>
        <v>540</v>
      </c>
      <c r="I20" s="34">
        <f>IF(B20="Custom", Q20, IF(B20="Imputation", INDEX('[3]Alt Est Detailed Bin Table'!$AX$10:$BI$132, MATCH(A20, '[3]Alt Est Detailed Bin Table'!$A$10:$A$132), MATCH(P20, '[3]Alt Est Detailed Bin Table'!$AX$9:$BI$9,0)), INDEX('[3]Detailed Bin Table'!$AX$9:$BI$132,MATCH($A20,'[3]Detailed Bin Table'!$A$9:$A$132,0),MATCH($B20,'[3]Detailed Bin Table'!$AX$9:$BI$9,0)))*24)</f>
        <v>212.40000000000003</v>
      </c>
      <c r="J20" s="34">
        <f>IF(B20="Custom", V20, INDEX('[3]Detailed Bin Table'!$BJ$9:$BO$132,MATCH($A20,'[3]Detailed Bin Table'!$A$9:$A$132,0),MATCH($B20,'[3]Detailed Bin Table'!$BJ$9:$BO$9,0))*24)</f>
        <v>0</v>
      </c>
      <c r="K20" s="33">
        <f>IF(B20="Custom", Q20, IF(B20="Imputation", INDEX('[3]Alt Est Detailed Bin Table'!$BP$10:$CC$132, MATCH(A20, '[3]Alt Est Detailed Bin Table'!$A$10:$A$132), MATCH(P20, '[3]Alt Est Detailed Bin Table'!$BP$9:$CC$9,0)), INDEX('[3]Detailed Bin Table'!$BP$9:$CC$132,MATCH($A20,'[3]Detailed Bin Table'!$A$9:$A$132,0),MATCH($B20,'[3]Detailed Bin Table'!$BP$9:$CC$9,0)))*24)</f>
        <v>735.11999999999989</v>
      </c>
      <c r="L20" s="223">
        <f>IF(B20="Custom", Q20, IF(B20="Imputation", INDEX('[3]Alt Est Detailed Bin Table'!$CD$10:$CK$132, MATCH(A20, '[3]Alt Est Detailed Bin Table'!$A$10:$A$132), MATCH(P20, '[3]Alt Est Detailed Bin Table'!$CD$9:$CK$9,0)), INDEX('[3]Detailed Bin Table'!$CD$9:$CK$132,MATCH($A20,'[3]Detailed Bin Table'!$A$9:$A$132,0),MATCH($B20,'[3]Detailed Bin Table'!$CD$9:$CK$9,0)))*24)</f>
        <v>-190.07999999999998</v>
      </c>
      <c r="M20" s="34">
        <f>IF(B20="Custom", Q20, IF(B20="Imputation", INDEX('[3]Alt Est Detailed Bin Table'!$CL$10:$CS$132, MATCH(A20, '[3]Alt Est Detailed Bin Table'!$A$10:$A$132), MATCH(P20, '[3]Alt Est Detailed Bin Table'!$CL$9:$CS$9,0)), INDEX('[3]Detailed Bin Table'!$CL$9:$CS$132,MATCH($A20,'[3]Detailed Bin Table'!$A$9:$A$132,0),MATCH($B20,'[3]Detailed Bin Table'!$CL$9:$CS$9,0)))*24)</f>
        <v>528.96</v>
      </c>
      <c r="N20" s="34">
        <f>IF(B20="Custom", Q20, IF(B20="Imputation", INDEX('[3]Alt Est Detailed Bin Table'!$CT$10:$DA$132, MATCH(A20, '[3]Alt Est Detailed Bin Table'!$A$10:$A$132), MATCH(P20, '[3]Alt Est Detailed Bin Table'!$CT$9:$DA$9,0)), INDEX('[3]Detailed Bin Table'!$CT$9:$DA$132,MATCH($A20,'[3]Detailed Bin Table'!$A$9:$A$132,0),MATCH($B20,'[3]Detailed Bin Table'!$CT$9:$DA$9,0)))*24)</f>
        <v>190.07999999999998</v>
      </c>
      <c r="O20" s="34">
        <f>IF(B20="Custom", Q20, IF(B20="Imputation", INDEX('[3]Alt Est Detailed Bin Table'!$DB$10:$DI$132, MATCH(A20, '[3]Alt Est Detailed Bin Table'!$A$10:$A$132), MATCH(P20, '[3]Alt Est Detailed Bin Table'!$DB$9:$DI$9,0)), INDEX('[3]Detailed Bin Table'!$DB$9:$DI$132,MATCH($A20,'[3]Detailed Bin Table'!$A$9:$A$132,0),MATCH($B20,'[3]Detailed Bin Table'!$DB$9:$DI$9,0)))*24)</f>
        <v>121.68</v>
      </c>
      <c r="P20" s="215"/>
      <c r="Q20" s="62"/>
      <c r="R20" s="63"/>
      <c r="S20" s="63"/>
      <c r="T20" s="63"/>
      <c r="U20" s="63"/>
      <c r="V20" s="63"/>
      <c r="W20" s="64"/>
      <c r="X20" s="63"/>
      <c r="Y20" s="63"/>
      <c r="Z20" s="63"/>
      <c r="AA20" s="65"/>
      <c r="AB20" s="213" t="str">
        <f>IF(SUM(E20:O20)='[1]Passage Estimates'!$D20, "Ok", "Check")</f>
        <v>Ok</v>
      </c>
      <c r="AC20">
        <f>IF(B20="Custom",Q20,IF(B20="Imputation",INDEX('[3]Alt Est Detailed Bin Table'!$B$9:$M$132,MATCH(A20,'[3]Alt Est Detailed Bin Table'!$A$10:$A$132),MATCH(P20,'[3]Alt Est Detailed Bin Table'!$B$9:$M$9)),INDEX('[3]Detailed Bin Table'!$B$9:$M$132,MATCH($A20,'[3]Detailed Bin Table'!$A$9:$A$132,0),MATCH($B20,'[3]Detailed Bin Table'!$B$9:$M$9,0)))*24)</f>
        <v>885.11999999999989</v>
      </c>
    </row>
    <row r="21" spans="1:29" x14ac:dyDescent="0.3">
      <c r="A21" s="20">
        <f>'1. Mixture Model Inputs'!A21</f>
        <v>45123</v>
      </c>
      <c r="B21" s="13" t="str">
        <f>'[1]Passage Estimates'!$C21</f>
        <v>S1+M+A2</v>
      </c>
      <c r="C21" s="207">
        <v>142</v>
      </c>
      <c r="D21" s="209">
        <v>152</v>
      </c>
      <c r="E21" s="34">
        <f>IF(B21="Custom", Q21, IF(B21="Imputation", INDEX('[3]Alt Est Detailed Bin Table'!$B$10:$M$132, MATCH(A21, '[3]Alt Est Detailed Bin Table'!$A$10:$A$132), MATCH(P21, '[3]Alt Est Detailed Bin Table'!$B$9:$M$9,0)), INDEX('[3]Detailed Bin Table'!$B$9:$M$132,MATCH($A21,'[3]Detailed Bin Table'!$A$9:$A$132,0),MATCH($B21,'[3]Detailed Bin Table'!$B$9:$M$9,0)))*24)</f>
        <v>824.64</v>
      </c>
      <c r="F21" s="34">
        <f>IF(B21="Custom", Q21, IF(B21="Imputation", INDEX('[3]Alt Est Detailed Bin Table'!$N$10:$Y$132, MATCH(A21, '[3]Alt Est Detailed Bin Table'!$A$10:$A$132), MATCH(P21, '[3]Alt Est Detailed Bin Table'!$N$9:$Y$9,0)), INDEX('[3]Detailed Bin Table'!$N$9:$Y$132,MATCH($A21,'[3]Detailed Bin Table'!$A$9:$A$132,0),MATCH($B21,'[3]Detailed Bin Table'!$N$9:$Y$9,0)))*24)</f>
        <v>988.31999999999994</v>
      </c>
      <c r="G21" s="34">
        <f>IF(B21="Custom", Q21, IF(B21="Imputation", INDEX('[3]Alt Est Detailed Bin Table'!$Z$10:$AK$132, MATCH(A21, '[3]Alt Est Detailed Bin Table'!$A$10:$A$132), MATCH(P21, '[3]Alt Est Detailed Bin Table'!$Z$9:$AK$9,0)), INDEX('[3]Detailed Bin Table'!$Z$9:$AK$132,MATCH($A21,'[3]Detailed Bin Table'!$A$9:$A$132,0),MATCH($B21,'[3]Detailed Bin Table'!$Z$9:$AK$9,0)))*24)</f>
        <v>739.92</v>
      </c>
      <c r="H21" s="34">
        <f>IF(B21="Custom", Q21, IF(B21="Imputation", INDEX('[3]Alt Est Detailed Bin Table'!$AL$10:$AW$132, MATCH(A21, '[3]Alt Est Detailed Bin Table'!$A$10:$A$132), MATCH(P21, '[3]Alt Est Detailed Bin Table'!$AL$9:$AW$9,0)), INDEX('[3]Detailed Bin Table'!$AL$9:$AW$132,MATCH($A21,'[3]Detailed Bin Table'!$A$9:$A$132,0),MATCH($B21,'[3]Detailed Bin Table'!$AL$9:$AW$9,0)))*24)</f>
        <v>544.80000000000007</v>
      </c>
      <c r="I21" s="34">
        <f>IF(B21="Custom", Q21, IF(B21="Imputation", INDEX('[3]Alt Est Detailed Bin Table'!$AX$10:$BI$132, MATCH(A21, '[3]Alt Est Detailed Bin Table'!$A$10:$A$132), MATCH(P21, '[3]Alt Est Detailed Bin Table'!$AX$9:$BI$9,0)), INDEX('[3]Detailed Bin Table'!$AX$9:$BI$132,MATCH($A21,'[3]Detailed Bin Table'!$A$9:$A$132,0),MATCH($B21,'[3]Detailed Bin Table'!$AX$9:$BI$9,0)))*24)</f>
        <v>406.32</v>
      </c>
      <c r="J21" s="34">
        <f>IF(B21="Custom", V21, INDEX('[3]Detailed Bin Table'!$BJ$9:$BO$132,MATCH($A21,'[3]Detailed Bin Table'!$A$9:$A$132,0),MATCH($B21,'[3]Detailed Bin Table'!$BJ$9:$BO$9,0))*24)</f>
        <v>0</v>
      </c>
      <c r="K21" s="33">
        <f>IF(B21="Custom", Q21, IF(B21="Imputation", INDEX('[3]Alt Est Detailed Bin Table'!$BP$10:$CC$132, MATCH(A21, '[3]Alt Est Detailed Bin Table'!$A$10:$A$132), MATCH(P21, '[3]Alt Est Detailed Bin Table'!$BP$9:$CC$9,0)), INDEX('[3]Detailed Bin Table'!$BP$9:$CC$132,MATCH($A21,'[3]Detailed Bin Table'!$A$9:$A$132,0),MATCH($B21,'[3]Detailed Bin Table'!$BP$9:$CC$9,0)))*24)</f>
        <v>1669.2000000000003</v>
      </c>
      <c r="L21" s="223">
        <f>IF(B21="Custom", Q21, IF(B21="Imputation", INDEX('[3]Alt Est Detailed Bin Table'!$CD$10:$CK$132, MATCH(A21, '[3]Alt Est Detailed Bin Table'!$A$10:$A$132), MATCH(P21, '[3]Alt Est Detailed Bin Table'!$CD$9:$CK$9,0)), INDEX('[3]Detailed Bin Table'!$CD$9:$CK$132,MATCH($A21,'[3]Detailed Bin Table'!$A$9:$A$132,0),MATCH($B21,'[3]Detailed Bin Table'!$CD$9:$CK$9,0)))*24)</f>
        <v>-154.07999999999998</v>
      </c>
      <c r="M21" s="34">
        <f>IF(B21="Custom", Q21, IF(B21="Imputation", INDEX('[3]Alt Est Detailed Bin Table'!$CL$10:$CS$132, MATCH(A21, '[3]Alt Est Detailed Bin Table'!$A$10:$A$132), MATCH(P21, '[3]Alt Est Detailed Bin Table'!$CL$9:$CS$9,0)), INDEX('[3]Detailed Bin Table'!$CL$9:$CS$132,MATCH($A21,'[3]Detailed Bin Table'!$A$9:$A$132,0),MATCH($B21,'[3]Detailed Bin Table'!$CL$9:$CS$9,0)))*24)</f>
        <v>29.759999999999998</v>
      </c>
      <c r="N21" s="34">
        <f>IF(B21="Custom", Q21, IF(B21="Imputation", INDEX('[3]Alt Est Detailed Bin Table'!$CT$10:$DA$132, MATCH(A21, '[3]Alt Est Detailed Bin Table'!$A$10:$A$132), MATCH(P21, '[3]Alt Est Detailed Bin Table'!$CT$9:$DA$9,0)), INDEX('[3]Detailed Bin Table'!$CT$9:$DA$132,MATCH($A21,'[3]Detailed Bin Table'!$A$9:$A$132,0),MATCH($B21,'[3]Detailed Bin Table'!$CT$9:$DA$9,0)))*24)</f>
        <v>204.48</v>
      </c>
      <c r="O21" s="34">
        <f>IF(B21="Custom", Q21, IF(B21="Imputation", INDEX('[3]Alt Est Detailed Bin Table'!$DB$10:$DI$132, MATCH(A21, '[3]Alt Est Detailed Bin Table'!$A$10:$A$132), MATCH(P21, '[3]Alt Est Detailed Bin Table'!$DB$9:$DI$9,0)), INDEX('[3]Detailed Bin Table'!$DB$9:$DI$132,MATCH($A21,'[3]Detailed Bin Table'!$A$9:$A$132,0),MATCH($B21,'[3]Detailed Bin Table'!$DB$9:$DI$9,0)))*24)</f>
        <v>56.400000000000006</v>
      </c>
      <c r="P21" s="215"/>
      <c r="Q21" s="62"/>
      <c r="R21" s="63"/>
      <c r="S21" s="63"/>
      <c r="T21" s="63"/>
      <c r="U21" s="63"/>
      <c r="V21" s="63"/>
      <c r="W21" s="64"/>
      <c r="X21" s="63"/>
      <c r="Y21" s="63"/>
      <c r="Z21" s="63"/>
      <c r="AA21" s="65"/>
      <c r="AB21" s="213" t="str">
        <f>IF(SUM(E21:O21)='[1]Passage Estimates'!$D21, "Ok", "Check")</f>
        <v>Ok</v>
      </c>
      <c r="AC21">
        <f>IF(B21="Custom",Q21,IF(B21="Imputation",INDEX('[3]Alt Est Detailed Bin Table'!$B$9:$M$132,MATCH(A21,'[3]Alt Est Detailed Bin Table'!$A$10:$A$132),MATCH(P21,'[3]Alt Est Detailed Bin Table'!$B$9:$M$9)),INDEX('[3]Detailed Bin Table'!$B$9:$M$132,MATCH($A21,'[3]Detailed Bin Table'!$A$9:$A$132,0),MATCH($B21,'[3]Detailed Bin Table'!$B$9:$M$9,0)))*24)</f>
        <v>824.64</v>
      </c>
    </row>
    <row r="22" spans="1:29" x14ac:dyDescent="0.3">
      <c r="A22" s="20">
        <f>'1. Mixture Model Inputs'!A22</f>
        <v>45124</v>
      </c>
      <c r="B22" s="13" t="str">
        <f>'[1]Passage Estimates'!$C22</f>
        <v>Imputation</v>
      </c>
      <c r="C22" s="207">
        <v>94</v>
      </c>
      <c r="D22" s="209">
        <v>380</v>
      </c>
      <c r="E22" s="34">
        <f>IF(B22="Custom", Q22, IF(B22="Imputation", INDEX('[3]Alt Est Detailed Bin Table'!$B$10:$M$132, MATCH(A22, '[3]Alt Est Detailed Bin Table'!$A$10:$A$132), MATCH(P22, '[3]Alt Est Detailed Bin Table'!$B$9:$M$9,0)), INDEX('[3]Detailed Bin Table'!$B$9:$M$132,MATCH($A22,'[3]Detailed Bin Table'!$A$9:$A$132,0),MATCH($B22,'[3]Detailed Bin Table'!$B$9:$M$9,0)))*24)</f>
        <v>1686.9599999999998</v>
      </c>
      <c r="F22" s="34">
        <f>IF(B22="Custom", Q22, IF(B22="Imputation", INDEX('[3]Alt Est Detailed Bin Table'!$N$10:$Y$132, MATCH(A22, '[3]Alt Est Detailed Bin Table'!$A$10:$A$132), MATCH(P22, '[3]Alt Est Detailed Bin Table'!$N$9:$Y$9,0)), INDEX('[3]Detailed Bin Table'!$N$9:$Y$132,MATCH($A22,'[3]Detailed Bin Table'!$A$9:$A$132,0),MATCH($B22,'[3]Detailed Bin Table'!$N$9:$Y$9,0)))*24)</f>
        <v>764.40000000000009</v>
      </c>
      <c r="G22" s="34">
        <f>IF(B22="Custom", Q22, IF(B22="Imputation", INDEX('[3]Alt Est Detailed Bin Table'!$Z$10:$AK$132, MATCH(A22, '[3]Alt Est Detailed Bin Table'!$A$10:$A$132), MATCH(P22, '[3]Alt Est Detailed Bin Table'!$Z$9:$AK$9,0)), INDEX('[3]Detailed Bin Table'!$Z$9:$AK$132,MATCH($A22,'[3]Detailed Bin Table'!$A$9:$A$132,0),MATCH($B22,'[3]Detailed Bin Table'!$Z$9:$AK$9,0)))*24)</f>
        <v>600</v>
      </c>
      <c r="H22" s="34">
        <f>IF(B22="Custom", Q22, IF(B22="Imputation", INDEX('[3]Alt Est Detailed Bin Table'!$AL$10:$AW$132, MATCH(A22, '[3]Alt Est Detailed Bin Table'!$A$10:$A$132), MATCH(P22, '[3]Alt Est Detailed Bin Table'!$AL$9:$AW$9,0)), INDEX('[3]Detailed Bin Table'!$AL$9:$AW$132,MATCH($A22,'[3]Detailed Bin Table'!$A$9:$A$132,0),MATCH($B22,'[3]Detailed Bin Table'!$AL$9:$AW$9,0)))*24)</f>
        <v>702.24</v>
      </c>
      <c r="I22" s="34">
        <f>IF(B22="Custom", Q22, IF(B22="Imputation", INDEX('[3]Alt Est Detailed Bin Table'!$AX$10:$BI$132, MATCH(A22, '[3]Alt Est Detailed Bin Table'!$A$10:$A$132), MATCH(P22, '[3]Alt Est Detailed Bin Table'!$AX$9:$BI$9,0)), INDEX('[3]Detailed Bin Table'!$AX$9:$BI$132,MATCH($A22,'[3]Detailed Bin Table'!$A$9:$A$132,0),MATCH($B22,'[3]Detailed Bin Table'!$AX$9:$BI$9,0)))*24)</f>
        <v>349.20000000000005</v>
      </c>
      <c r="J22" s="34">
        <v>0</v>
      </c>
      <c r="K22" s="33">
        <f>IF(B22="Custom", Q22, IF(B22="Imputation", INDEX('[3]Alt Est Detailed Bin Table'!$BP$10:$CC$132, MATCH(A22, '[3]Alt Est Detailed Bin Table'!$A$10:$A$132), MATCH(P22, '[3]Alt Est Detailed Bin Table'!$BP$9:$CC$9,0)), INDEX('[3]Detailed Bin Table'!$BP$9:$CC$132,MATCH($A22,'[3]Detailed Bin Table'!$A$9:$A$132,0),MATCH($B22,'[3]Detailed Bin Table'!$BP$9:$CC$9,0)))*24)</f>
        <v>3174.5280000000012</v>
      </c>
      <c r="L22" s="223">
        <f>IF(B22="Custom", Q22, IF(B22="Imputation", INDEX('[3]Alt Est Detailed Bin Table'!$CD$10:$CK$132, MATCH(A22, '[3]Alt Est Detailed Bin Table'!$A$10:$A$132), MATCH(P22, '[3]Alt Est Detailed Bin Table'!$CD$9:$CK$9,0)), INDEX('[3]Detailed Bin Table'!$CD$9:$CK$132,MATCH($A22,'[3]Detailed Bin Table'!$A$9:$A$132,0),MATCH($B22,'[3]Detailed Bin Table'!$CD$9:$CK$9,0)))*24)</f>
        <v>9.120000000000001</v>
      </c>
      <c r="M22" s="34">
        <f>IF(B22="Custom", Q22, IF(B22="Imputation", INDEX('[3]Alt Est Detailed Bin Table'!$CL$10:$CS$132, MATCH(A22, '[3]Alt Est Detailed Bin Table'!$A$10:$A$132), MATCH(P22, '[3]Alt Est Detailed Bin Table'!$CL$9:$CS$9,0)), INDEX('[3]Detailed Bin Table'!$CL$9:$CS$132,MATCH($A22,'[3]Detailed Bin Table'!$A$9:$A$132,0),MATCH($B22,'[3]Detailed Bin Table'!$CL$9:$CS$9,0)))*24)</f>
        <v>244.56</v>
      </c>
      <c r="N22" s="34">
        <f>IF(B22="Custom", Q22, IF(B22="Imputation", INDEX('[3]Alt Est Detailed Bin Table'!$CT$10:$DA$132, MATCH(A22, '[3]Alt Est Detailed Bin Table'!$A$10:$A$132), MATCH(P22, '[3]Alt Est Detailed Bin Table'!$CT$9:$DA$9,0)), INDEX('[3]Detailed Bin Table'!$CT$9:$DA$132,MATCH($A22,'[3]Detailed Bin Table'!$A$9:$A$132,0),MATCH($B22,'[3]Detailed Bin Table'!$CT$9:$DA$9,0)))*24)</f>
        <v>619.43999999999994</v>
      </c>
      <c r="O22" s="34">
        <f>IF(B22="Custom", Q22, IF(B22="Imputation", INDEX('[3]Alt Est Detailed Bin Table'!$DB$10:$DI$132, MATCH(A22, '[3]Alt Est Detailed Bin Table'!$A$10:$A$132), MATCH(P22, '[3]Alt Est Detailed Bin Table'!$DB$9:$DI$9,0)), INDEX('[3]Detailed Bin Table'!$DB$9:$DI$132,MATCH($A22,'[3]Detailed Bin Table'!$A$9:$A$132,0),MATCH($B22,'[3]Detailed Bin Table'!$DB$9:$DI$9,0)))*24)</f>
        <v>43.2</v>
      </c>
      <c r="P22" s="215" t="s">
        <v>160</v>
      </c>
      <c r="Q22" s="62"/>
      <c r="R22" s="63"/>
      <c r="S22" s="63"/>
      <c r="T22" s="63"/>
      <c r="U22" s="63"/>
      <c r="V22" s="63"/>
      <c r="W22" s="64"/>
      <c r="X22" s="63"/>
      <c r="Y22" s="63"/>
      <c r="Z22" s="63"/>
      <c r="AA22" s="65"/>
      <c r="AB22" s="213" t="str">
        <f>IF(SUM(E22:O22)='[1]Passage Estimates'!$D22, "Ok", "Check")</f>
        <v>Ok</v>
      </c>
      <c r="AC22">
        <f>IF(B22="Custom",Q22,IF(B22="Imputation",INDEX('[3]Alt Est Detailed Bin Table'!$B$9:$M$132,MATCH(A22,'[3]Alt Est Detailed Bin Table'!$A$10:$A$132),MATCH(P22,'[3]Alt Est Detailed Bin Table'!$B$9:$M$9)),INDEX('[3]Detailed Bin Table'!$B$9:$M$132,MATCH($A22,'[3]Detailed Bin Table'!$A$9:$A$132,0),MATCH($B22,'[3]Detailed Bin Table'!$B$9:$M$9,0)))*24)</f>
        <v>0</v>
      </c>
    </row>
    <row r="23" spans="1:29" x14ac:dyDescent="0.3">
      <c r="A23" s="20">
        <f>'1. Mixture Model Inputs'!A23</f>
        <v>45125</v>
      </c>
      <c r="B23" s="13" t="str">
        <f>'[1]Passage Estimates'!$C23</f>
        <v>S1+M+A2</v>
      </c>
      <c r="C23" s="207">
        <v>126</v>
      </c>
      <c r="D23" s="209">
        <v>121</v>
      </c>
      <c r="E23" s="34">
        <f>IF(B23="Custom", Q23, IF(B23="Imputation", INDEX('[3]Alt Est Detailed Bin Table'!$B$10:$M$132, MATCH(A23, '[3]Alt Est Detailed Bin Table'!$A$10:$A$132), MATCH(P23, '[3]Alt Est Detailed Bin Table'!$B$9:$M$9,0)), INDEX('[3]Detailed Bin Table'!$B$9:$M$132,MATCH($A23,'[3]Detailed Bin Table'!$A$9:$A$132,0),MATCH($B23,'[3]Detailed Bin Table'!$B$9:$M$9,0)))*24)</f>
        <v>1091.52</v>
      </c>
      <c r="F23" s="34">
        <f>IF(B23="Custom", Q23, IF(B23="Imputation", INDEX('[3]Alt Est Detailed Bin Table'!$N$10:$Y$132, MATCH(A23, '[3]Alt Est Detailed Bin Table'!$A$10:$A$132), MATCH(P23, '[3]Alt Est Detailed Bin Table'!$N$9:$Y$9,0)), INDEX('[3]Detailed Bin Table'!$N$9:$Y$132,MATCH($A23,'[3]Detailed Bin Table'!$A$9:$A$132,0),MATCH($B23,'[3]Detailed Bin Table'!$N$9:$Y$9,0)))*24)</f>
        <v>1074</v>
      </c>
      <c r="G23" s="34">
        <f>IF(B23="Custom", Q23, IF(B23="Imputation", INDEX('[3]Alt Est Detailed Bin Table'!$Z$10:$AK$132, MATCH(A23, '[3]Alt Est Detailed Bin Table'!$A$10:$A$132), MATCH(P23, '[3]Alt Est Detailed Bin Table'!$Z$9:$AK$9,0)), INDEX('[3]Detailed Bin Table'!$Z$9:$AK$132,MATCH($A23,'[3]Detailed Bin Table'!$A$9:$A$132,0),MATCH($B23,'[3]Detailed Bin Table'!$Z$9:$AK$9,0)))*24)</f>
        <v>1330.08</v>
      </c>
      <c r="H23" s="34">
        <f>IF(B23="Custom", Q23, IF(B23="Imputation", INDEX('[3]Alt Est Detailed Bin Table'!$AL$10:$AW$132, MATCH(A23, '[3]Alt Est Detailed Bin Table'!$A$10:$A$132), MATCH(P23, '[3]Alt Est Detailed Bin Table'!$AL$9:$AW$9,0)), INDEX('[3]Detailed Bin Table'!$AL$9:$AW$132,MATCH($A23,'[3]Detailed Bin Table'!$A$9:$A$132,0),MATCH($B23,'[3]Detailed Bin Table'!$AL$9:$AW$9,0)))*24)</f>
        <v>1000.8000000000001</v>
      </c>
      <c r="I23" s="34">
        <f>IF(B23="Custom", Q23, IF(B23="Imputation", INDEX('[3]Alt Est Detailed Bin Table'!$AX$10:$BI$132, MATCH(A23, '[3]Alt Est Detailed Bin Table'!$A$10:$A$132), MATCH(P23, '[3]Alt Est Detailed Bin Table'!$AX$9:$BI$9,0)), INDEX('[3]Detailed Bin Table'!$AX$9:$BI$132,MATCH($A23,'[3]Detailed Bin Table'!$A$9:$A$132,0),MATCH($B23,'[3]Detailed Bin Table'!$AX$9:$BI$9,0)))*24)</f>
        <v>679.44</v>
      </c>
      <c r="J23" s="34">
        <f>IF(B23="Custom", V23, INDEX('[3]Detailed Bin Table'!$BJ$9:$BO$132,MATCH($A23,'[3]Detailed Bin Table'!$A$9:$A$132,0),MATCH($B23,'[3]Detailed Bin Table'!$BJ$9:$BO$9,0))*24)</f>
        <v>0</v>
      </c>
      <c r="K23" s="33">
        <f>IF(B23="Custom", Q23, IF(B23="Imputation", INDEX('[3]Alt Est Detailed Bin Table'!$BP$10:$CC$132, MATCH(A23, '[3]Alt Est Detailed Bin Table'!$A$10:$A$132), MATCH(P23, '[3]Alt Est Detailed Bin Table'!$BP$9:$CC$9,0)), INDEX('[3]Detailed Bin Table'!$BP$9:$CC$132,MATCH($A23,'[3]Detailed Bin Table'!$A$9:$A$132,0),MATCH($B23,'[3]Detailed Bin Table'!$BP$9:$CC$9,0)))*24)</f>
        <v>2892.4800000000009</v>
      </c>
      <c r="L23" s="223">
        <f>IF(B23="Custom", Q23, IF(B23="Imputation", INDEX('[3]Alt Est Detailed Bin Table'!$CD$10:$CK$132, MATCH(A23, '[3]Alt Est Detailed Bin Table'!$A$10:$A$132), MATCH(P23, '[3]Alt Est Detailed Bin Table'!$CD$9:$CK$9,0)), INDEX('[3]Detailed Bin Table'!$CD$9:$CK$132,MATCH($A23,'[3]Detailed Bin Table'!$A$9:$A$132,0),MATCH($B23,'[3]Detailed Bin Table'!$CD$9:$CK$9,0)))*24)</f>
        <v>-81.12</v>
      </c>
      <c r="M23" s="34">
        <f>IF(B23="Custom", Q23, IF(B23="Imputation", INDEX('[3]Alt Est Detailed Bin Table'!$CL$10:$CS$132, MATCH(A23, '[3]Alt Est Detailed Bin Table'!$A$10:$A$132), MATCH(P23, '[3]Alt Est Detailed Bin Table'!$CL$9:$CS$9,0)), INDEX('[3]Detailed Bin Table'!$CL$9:$CS$132,MATCH($A23,'[3]Detailed Bin Table'!$A$9:$A$132,0),MATCH($B23,'[3]Detailed Bin Table'!$CL$9:$CS$9,0)))*24)</f>
        <v>110.64000000000001</v>
      </c>
      <c r="N23" s="34">
        <f>IF(B23="Custom", Q23, IF(B23="Imputation", INDEX('[3]Alt Est Detailed Bin Table'!$CT$10:$DA$132, MATCH(A23, '[3]Alt Est Detailed Bin Table'!$A$10:$A$132), MATCH(P23, '[3]Alt Est Detailed Bin Table'!$CT$9:$DA$9,0)), INDEX('[3]Detailed Bin Table'!$CT$9:$DA$132,MATCH($A23,'[3]Detailed Bin Table'!$A$9:$A$132,0),MATCH($B23,'[3]Detailed Bin Table'!$CT$9:$DA$9,0)))*24)</f>
        <v>263.52</v>
      </c>
      <c r="O23" s="34">
        <f>IF(B23="Custom", Q23, IF(B23="Imputation", INDEX('[3]Alt Est Detailed Bin Table'!$DB$10:$DI$132, MATCH(A23, '[3]Alt Est Detailed Bin Table'!$A$10:$A$132), MATCH(P23, '[3]Alt Est Detailed Bin Table'!$DB$9:$DI$9,0)), INDEX('[3]Detailed Bin Table'!$DB$9:$DI$132,MATCH($A23,'[3]Detailed Bin Table'!$A$9:$A$132,0),MATCH($B23,'[3]Detailed Bin Table'!$DB$9:$DI$9,0)))*24)</f>
        <v>61.44</v>
      </c>
      <c r="P23" s="215"/>
      <c r="Q23" s="62"/>
      <c r="R23" s="63"/>
      <c r="S23" s="63"/>
      <c r="T23" s="63"/>
      <c r="U23" s="63"/>
      <c r="V23" s="63"/>
      <c r="W23" s="64"/>
      <c r="X23" s="63"/>
      <c r="Y23" s="63"/>
      <c r="Z23" s="63"/>
      <c r="AA23" s="65"/>
      <c r="AB23" s="213" t="str">
        <f>IF(SUM(E23:O23)='[1]Passage Estimates'!$D23, "Ok", "Check")</f>
        <v>Ok</v>
      </c>
      <c r="AC23">
        <f>IF(B23="Custom",Q23,IF(B23="Imputation",INDEX('[3]Alt Est Detailed Bin Table'!$B$9:$M$132,MATCH(A23,'[3]Alt Est Detailed Bin Table'!$A$10:$A$132),MATCH(P23,'[3]Alt Est Detailed Bin Table'!$B$9:$M$9)),INDEX('[3]Detailed Bin Table'!$B$9:$M$132,MATCH($A23,'[3]Detailed Bin Table'!$A$9:$A$132,0),MATCH($B23,'[3]Detailed Bin Table'!$B$9:$M$9,0)))*24)</f>
        <v>1091.52</v>
      </c>
    </row>
    <row r="24" spans="1:29" x14ac:dyDescent="0.3">
      <c r="A24" s="20">
        <f>'1. Mixture Model Inputs'!A24</f>
        <v>45126</v>
      </c>
      <c r="B24" s="13" t="str">
        <f>'[1]Passage Estimates'!$C24</f>
        <v>S1+M2+A2</v>
      </c>
      <c r="C24" s="207">
        <v>73</v>
      </c>
      <c r="D24" s="209">
        <v>164</v>
      </c>
      <c r="E24" s="34">
        <f>IF(B24="Custom", Q24, IF(B24="Imputation", INDEX('[3]Alt Est Detailed Bin Table'!$B$10:$M$132, MATCH(A24, '[3]Alt Est Detailed Bin Table'!$A$10:$A$132), MATCH(P24, '[3]Alt Est Detailed Bin Table'!$B$9:$M$9,0)), INDEX('[3]Detailed Bin Table'!$B$9:$M$132,MATCH($A24,'[3]Detailed Bin Table'!$A$9:$A$132,0),MATCH($B24,'[3]Detailed Bin Table'!$B$9:$M$9,0)))*24)</f>
        <v>611.28</v>
      </c>
      <c r="F24" s="34">
        <f>IF(B24="Custom", Q24, IF(B24="Imputation", INDEX('[3]Alt Est Detailed Bin Table'!$N$10:$Y$132, MATCH(A24, '[3]Alt Est Detailed Bin Table'!$A$10:$A$132), MATCH(P24, '[3]Alt Est Detailed Bin Table'!$N$9:$Y$9,0)), INDEX('[3]Detailed Bin Table'!$N$9:$Y$132,MATCH($A24,'[3]Detailed Bin Table'!$A$9:$A$132,0),MATCH($B24,'[3]Detailed Bin Table'!$N$9:$Y$9,0)))*24)</f>
        <v>761.52</v>
      </c>
      <c r="G24" s="34">
        <f>IF(B24="Custom", Q24, IF(B24="Imputation", INDEX('[3]Alt Est Detailed Bin Table'!$Z$10:$AK$132, MATCH(A24, '[3]Alt Est Detailed Bin Table'!$A$10:$A$132), MATCH(P24, '[3]Alt Est Detailed Bin Table'!$Z$9:$AK$9,0)), INDEX('[3]Detailed Bin Table'!$Z$9:$AK$132,MATCH($A24,'[3]Detailed Bin Table'!$A$9:$A$132,0),MATCH($B24,'[3]Detailed Bin Table'!$Z$9:$AK$9,0)))*24)</f>
        <v>810</v>
      </c>
      <c r="H24" s="34">
        <f>IF(B24="Custom", Q24, IF(B24="Imputation", INDEX('[3]Alt Est Detailed Bin Table'!$AL$10:$AW$132, MATCH(A24, '[3]Alt Est Detailed Bin Table'!$A$10:$A$132), MATCH(P24, '[3]Alt Est Detailed Bin Table'!$AL$9:$AW$9,0)), INDEX('[3]Detailed Bin Table'!$AL$9:$AW$132,MATCH($A24,'[3]Detailed Bin Table'!$A$9:$A$132,0),MATCH($B24,'[3]Detailed Bin Table'!$AL$9:$AW$9,0)))*24)</f>
        <v>896.40000000000009</v>
      </c>
      <c r="I24" s="34">
        <f>IF(B24="Custom", Q24, IF(B24="Imputation", INDEX('[3]Alt Est Detailed Bin Table'!$AX$10:$BI$132, MATCH(A24, '[3]Alt Est Detailed Bin Table'!$A$10:$A$132), MATCH(P24, '[3]Alt Est Detailed Bin Table'!$AX$9:$BI$9,0)), INDEX('[3]Detailed Bin Table'!$AX$9:$BI$132,MATCH($A24,'[3]Detailed Bin Table'!$A$9:$A$132,0),MATCH($B24,'[3]Detailed Bin Table'!$AX$9:$BI$9,0)))*24)</f>
        <v>461.52</v>
      </c>
      <c r="J24" s="34">
        <f>IF(B24="Custom", V24, INDEX('[3]Detailed Bin Table'!$BJ$9:$BO$132,MATCH($A24,'[3]Detailed Bin Table'!$A$9:$A$132,0),MATCH($B24,'[3]Detailed Bin Table'!$BJ$9:$BO$9,0))*24)</f>
        <v>0</v>
      </c>
      <c r="K24" s="33">
        <f>IF(B24="Custom", Q24, IF(B24="Imputation", INDEX('[3]Alt Est Detailed Bin Table'!$BP$10:$CC$132, MATCH(A24, '[3]Alt Est Detailed Bin Table'!$A$10:$A$132), MATCH(P24, '[3]Alt Est Detailed Bin Table'!$BP$9:$CC$9,0)), INDEX('[3]Detailed Bin Table'!$BP$9:$CC$132,MATCH($A24,'[3]Detailed Bin Table'!$A$9:$A$132,0),MATCH($B24,'[3]Detailed Bin Table'!$BP$9:$CC$9,0)))*24)</f>
        <v>8137.9199999999983</v>
      </c>
      <c r="L24" s="223">
        <f>IF(B24="Custom", Q24, IF(B24="Imputation", INDEX('[3]Alt Est Detailed Bin Table'!$CD$10:$CK$132, MATCH(A24, '[3]Alt Est Detailed Bin Table'!$A$10:$A$132), MATCH(P24, '[3]Alt Est Detailed Bin Table'!$CD$9:$CK$9,0)), INDEX('[3]Detailed Bin Table'!$CD$9:$CK$132,MATCH($A24,'[3]Detailed Bin Table'!$A$9:$A$132,0),MATCH($B24,'[3]Detailed Bin Table'!$CD$9:$CK$9,0)))*24)</f>
        <v>-36.96</v>
      </c>
      <c r="M24" s="34">
        <f>IF(B24="Custom", Q24, IF(B24="Imputation", INDEX('[3]Alt Est Detailed Bin Table'!$CL$10:$CS$132, MATCH(A24, '[3]Alt Est Detailed Bin Table'!$A$10:$A$132), MATCH(P24, '[3]Alt Est Detailed Bin Table'!$CL$9:$CS$9,0)), INDEX('[3]Detailed Bin Table'!$CL$9:$CS$132,MATCH($A24,'[3]Detailed Bin Table'!$A$9:$A$132,0),MATCH($B24,'[3]Detailed Bin Table'!$CL$9:$CS$9,0)))*24)</f>
        <v>-73.679999999999993</v>
      </c>
      <c r="N24" s="34">
        <f>IF(B24="Custom", Q24, IF(B24="Imputation", INDEX('[3]Alt Est Detailed Bin Table'!$CT$10:$DA$132, MATCH(A24, '[3]Alt Est Detailed Bin Table'!$A$10:$A$132), MATCH(P24, '[3]Alt Est Detailed Bin Table'!$CT$9:$DA$9,0)), INDEX('[3]Detailed Bin Table'!$CT$9:$DA$132,MATCH($A24,'[3]Detailed Bin Table'!$A$9:$A$132,0),MATCH($B24,'[3]Detailed Bin Table'!$CT$9:$DA$9,0)))*24)</f>
        <v>28.799999999999997</v>
      </c>
      <c r="O24" s="34">
        <f>IF(B24="Custom", Q24, IF(B24="Imputation", INDEX('[3]Alt Est Detailed Bin Table'!$DB$10:$DI$132, MATCH(A24, '[3]Alt Est Detailed Bin Table'!$A$10:$A$132), MATCH(P24, '[3]Alt Est Detailed Bin Table'!$DB$9:$DI$9,0)), INDEX('[3]Detailed Bin Table'!$DB$9:$DI$132,MATCH($A24,'[3]Detailed Bin Table'!$A$9:$A$132,0),MATCH($B24,'[3]Detailed Bin Table'!$DB$9:$DI$9,0)))*24)</f>
        <v>57.36</v>
      </c>
      <c r="P24" s="215"/>
      <c r="Q24" s="62"/>
      <c r="R24" s="63"/>
      <c r="S24" s="63"/>
      <c r="T24" s="63"/>
      <c r="U24" s="63"/>
      <c r="V24" s="63"/>
      <c r="W24" s="64"/>
      <c r="X24" s="63"/>
      <c r="Y24" s="63"/>
      <c r="Z24" s="63"/>
      <c r="AA24" s="65"/>
      <c r="AB24" s="213" t="str">
        <f>IF(SUM(E24:O24)='[1]Passage Estimates'!$D24, "Ok", "Check")</f>
        <v>Ok</v>
      </c>
      <c r="AC24">
        <f>IF(B24="Custom",Q24,IF(B24="Imputation",INDEX('[3]Alt Est Detailed Bin Table'!$B$9:$M$132,MATCH(A24,'[3]Alt Est Detailed Bin Table'!$A$10:$A$132),MATCH(P24,'[3]Alt Est Detailed Bin Table'!$B$9:$M$9)),INDEX('[3]Detailed Bin Table'!$B$9:$M$132,MATCH($A24,'[3]Detailed Bin Table'!$A$9:$A$132,0),MATCH($B24,'[3]Detailed Bin Table'!$B$9:$M$9,0)))*24)</f>
        <v>611.28</v>
      </c>
    </row>
    <row r="25" spans="1:29" x14ac:dyDescent="0.3">
      <c r="A25" s="20">
        <f>'1. Mixture Model Inputs'!A25</f>
        <v>45127</v>
      </c>
      <c r="B25" s="13" t="str">
        <f>'[1]Passage Estimates'!$C25</f>
        <v>S1+M2+A2</v>
      </c>
      <c r="C25" s="207">
        <v>7</v>
      </c>
      <c r="D25" s="209">
        <v>328</v>
      </c>
      <c r="E25" s="34">
        <f>IF(B25="Custom", Q25, IF(B25="Imputation", INDEX('[3]Alt Est Detailed Bin Table'!$B$10:$M$132, MATCH(A25, '[3]Alt Est Detailed Bin Table'!$A$10:$A$132), MATCH(P25, '[3]Alt Est Detailed Bin Table'!$B$9:$M$9,0)), INDEX('[3]Detailed Bin Table'!$B$9:$M$132,MATCH($A25,'[3]Detailed Bin Table'!$A$9:$A$132,0),MATCH($B25,'[3]Detailed Bin Table'!$B$9:$M$9,0)))*24)</f>
        <v>680.16000000000008</v>
      </c>
      <c r="F25" s="34">
        <f>IF(B25="Custom", Q25, IF(B25="Imputation", INDEX('[3]Alt Est Detailed Bin Table'!$N$10:$Y$132, MATCH(A25, '[3]Alt Est Detailed Bin Table'!$A$10:$A$132), MATCH(P25, '[3]Alt Est Detailed Bin Table'!$N$9:$Y$9,0)), INDEX('[3]Detailed Bin Table'!$N$9:$Y$132,MATCH($A25,'[3]Detailed Bin Table'!$A$9:$A$132,0),MATCH($B25,'[3]Detailed Bin Table'!$N$9:$Y$9,0)))*24)</f>
        <v>790.08</v>
      </c>
      <c r="G25" s="34">
        <f>IF(B25="Custom", Q25, IF(B25="Imputation", INDEX('[3]Alt Est Detailed Bin Table'!$Z$10:$AK$132, MATCH(A25, '[3]Alt Est Detailed Bin Table'!$A$10:$A$132), MATCH(P25, '[3]Alt Est Detailed Bin Table'!$Z$9:$AK$9,0)), INDEX('[3]Detailed Bin Table'!$Z$9:$AK$132,MATCH($A25,'[3]Detailed Bin Table'!$A$9:$A$132,0),MATCH($B25,'[3]Detailed Bin Table'!$Z$9:$AK$9,0)))*24)</f>
        <v>787.19999999999993</v>
      </c>
      <c r="H25" s="34">
        <f>IF(B25="Custom", Q25, IF(B25="Imputation", INDEX('[3]Alt Est Detailed Bin Table'!$AL$10:$AW$132, MATCH(A25, '[3]Alt Est Detailed Bin Table'!$A$10:$A$132), MATCH(P25, '[3]Alt Est Detailed Bin Table'!$AL$9:$AW$9,0)), INDEX('[3]Detailed Bin Table'!$AL$9:$AW$132,MATCH($A25,'[3]Detailed Bin Table'!$A$9:$A$132,0),MATCH($B25,'[3]Detailed Bin Table'!$AL$9:$AW$9,0)))*24)</f>
        <v>474.48000000000008</v>
      </c>
      <c r="I25" s="34">
        <f>IF(B25="Custom", Q25, IF(B25="Imputation", INDEX('[3]Alt Est Detailed Bin Table'!$AX$10:$BI$132, MATCH(A25, '[3]Alt Est Detailed Bin Table'!$A$10:$A$132), MATCH(P25, '[3]Alt Est Detailed Bin Table'!$AX$9:$BI$9,0)), INDEX('[3]Detailed Bin Table'!$AX$9:$BI$132,MATCH($A25,'[3]Detailed Bin Table'!$A$9:$A$132,0),MATCH($B25,'[3]Detailed Bin Table'!$AX$9:$BI$9,0)))*24)</f>
        <v>150</v>
      </c>
      <c r="J25" s="34">
        <f>IF(B25="Custom", V25, INDEX('[3]Detailed Bin Table'!$BJ$9:$BO$132,MATCH($A25,'[3]Detailed Bin Table'!$A$9:$A$132,0),MATCH($B25,'[3]Detailed Bin Table'!$BJ$9:$BO$9,0))*24)</f>
        <v>0</v>
      </c>
      <c r="K25" s="33">
        <f>IF(B25="Custom", Q25, IF(B25="Imputation", INDEX('[3]Alt Est Detailed Bin Table'!$BP$10:$CC$132, MATCH(A25, '[3]Alt Est Detailed Bin Table'!$A$10:$A$132), MATCH(P25, '[3]Alt Est Detailed Bin Table'!$BP$9:$CC$9,0)), INDEX('[3]Detailed Bin Table'!$BP$9:$CC$132,MATCH($A25,'[3]Detailed Bin Table'!$A$9:$A$132,0),MATCH($B25,'[3]Detailed Bin Table'!$BP$9:$CC$9,0)))*24)</f>
        <v>10627.920000000002</v>
      </c>
      <c r="L25" s="223">
        <f>IF(B25="Custom", Q25, IF(B25="Imputation", INDEX('[3]Alt Est Detailed Bin Table'!$CD$10:$CK$132, MATCH(A25, '[3]Alt Est Detailed Bin Table'!$A$10:$A$132), MATCH(P25, '[3]Alt Est Detailed Bin Table'!$CD$9:$CK$9,0)), INDEX('[3]Detailed Bin Table'!$CD$9:$CK$132,MATCH($A25,'[3]Detailed Bin Table'!$A$9:$A$132,0),MATCH($B25,'[3]Detailed Bin Table'!$CD$9:$CK$9,0)))*24)</f>
        <v>186</v>
      </c>
      <c r="M25" s="34">
        <f>IF(B25="Custom", Q25, IF(B25="Imputation", INDEX('[3]Alt Est Detailed Bin Table'!$CL$10:$CS$132, MATCH(A25, '[3]Alt Est Detailed Bin Table'!$A$10:$A$132), MATCH(P25, '[3]Alt Est Detailed Bin Table'!$CL$9:$CS$9,0)), INDEX('[3]Detailed Bin Table'!$CL$9:$CS$132,MATCH($A25,'[3]Detailed Bin Table'!$A$9:$A$132,0),MATCH($B25,'[3]Detailed Bin Table'!$CL$9:$CS$9,0)))*24)</f>
        <v>185.76</v>
      </c>
      <c r="N25" s="34">
        <f>IF(B25="Custom", Q25, IF(B25="Imputation", INDEX('[3]Alt Est Detailed Bin Table'!$CT$10:$DA$132, MATCH(A25, '[3]Alt Est Detailed Bin Table'!$A$10:$A$132), MATCH(P25, '[3]Alt Est Detailed Bin Table'!$CT$9:$DA$9,0)), INDEX('[3]Detailed Bin Table'!$CT$9:$DA$132,MATCH($A25,'[3]Detailed Bin Table'!$A$9:$A$132,0),MATCH($B25,'[3]Detailed Bin Table'!$CT$9:$DA$9,0)))*24)</f>
        <v>185.52</v>
      </c>
      <c r="O25" s="34">
        <f>IF(B25="Custom", Q25, IF(B25="Imputation", INDEX('[3]Alt Est Detailed Bin Table'!$DB$10:$DI$132, MATCH(A25, '[3]Alt Est Detailed Bin Table'!$A$10:$A$132), MATCH(P25, '[3]Alt Est Detailed Bin Table'!$DB$9:$DI$9,0)), INDEX('[3]Detailed Bin Table'!$DB$9:$DI$132,MATCH($A25,'[3]Detailed Bin Table'!$A$9:$A$132,0),MATCH($B25,'[3]Detailed Bin Table'!$DB$9:$DI$9,0)))*24)</f>
        <v>32.880000000000003</v>
      </c>
      <c r="P25" s="215"/>
      <c r="Q25" s="62"/>
      <c r="R25" s="63"/>
      <c r="S25" s="63"/>
      <c r="T25" s="63"/>
      <c r="U25" s="63"/>
      <c r="V25" s="63"/>
      <c r="W25" s="64"/>
      <c r="X25" s="63"/>
      <c r="Y25" s="63"/>
      <c r="Z25" s="63"/>
      <c r="AA25" s="65"/>
      <c r="AB25" s="213" t="str">
        <f>IF(SUM(E25:O25)='[1]Passage Estimates'!$D25, "Ok", "Check")</f>
        <v>Ok</v>
      </c>
      <c r="AC25">
        <f>IF(B25="Custom",Q25,IF(B25="Imputation",INDEX('[3]Alt Est Detailed Bin Table'!$B$9:$M$132,MATCH(A25,'[3]Alt Est Detailed Bin Table'!$A$10:$A$132),MATCH(P25,'[3]Alt Est Detailed Bin Table'!$B$9:$M$9)),INDEX('[3]Detailed Bin Table'!$B$9:$M$132,MATCH($A25,'[3]Detailed Bin Table'!$A$9:$A$132,0),MATCH($B25,'[3]Detailed Bin Table'!$B$9:$M$9,0)))*24)</f>
        <v>680.16000000000008</v>
      </c>
    </row>
    <row r="26" spans="1:29" x14ac:dyDescent="0.3">
      <c r="A26" s="20">
        <f>'1. Mixture Model Inputs'!A26</f>
        <v>45128</v>
      </c>
      <c r="B26" s="13" t="str">
        <f>'[1]Passage Estimates'!$C26</f>
        <v>S1+M2+A2</v>
      </c>
      <c r="C26" s="207">
        <v>274</v>
      </c>
      <c r="D26" s="209">
        <v>371</v>
      </c>
      <c r="E26" s="34">
        <f>IF(B26="Custom", Q26, IF(B26="Imputation", INDEX('[3]Alt Est Detailed Bin Table'!$B$10:$M$132, MATCH(A26, '[3]Alt Est Detailed Bin Table'!$A$10:$A$132), MATCH(P26, '[3]Alt Est Detailed Bin Table'!$B$9:$M$9,0)), INDEX('[3]Detailed Bin Table'!$B$9:$M$132,MATCH($A26,'[3]Detailed Bin Table'!$A$9:$A$132,0),MATCH($B26,'[3]Detailed Bin Table'!$B$9:$M$9,0)))*24)</f>
        <v>396.72</v>
      </c>
      <c r="F26" s="34">
        <f>IF(B26="Custom", Q26, IF(B26="Imputation", INDEX('[3]Alt Est Detailed Bin Table'!$N$10:$Y$132, MATCH(A26, '[3]Alt Est Detailed Bin Table'!$A$10:$A$132), MATCH(P26, '[3]Alt Est Detailed Bin Table'!$N$9:$Y$9,0)), INDEX('[3]Detailed Bin Table'!$N$9:$Y$132,MATCH($A26,'[3]Detailed Bin Table'!$A$9:$A$132,0),MATCH($B26,'[3]Detailed Bin Table'!$N$9:$Y$9,0)))*24)</f>
        <v>736.56000000000006</v>
      </c>
      <c r="G26" s="34">
        <f>IF(B26="Custom", Q26, IF(B26="Imputation", INDEX('[3]Alt Est Detailed Bin Table'!$Z$10:$AK$132, MATCH(A26, '[3]Alt Est Detailed Bin Table'!$A$10:$A$132), MATCH(P26, '[3]Alt Est Detailed Bin Table'!$Z$9:$AK$9,0)), INDEX('[3]Detailed Bin Table'!$Z$9:$AK$132,MATCH($A26,'[3]Detailed Bin Table'!$A$9:$A$132,0),MATCH($B26,'[3]Detailed Bin Table'!$Z$9:$AK$9,0)))*24)</f>
        <v>562.79999999999995</v>
      </c>
      <c r="H26" s="34">
        <f>IF(B26="Custom", Q26, IF(B26="Imputation", INDEX('[3]Alt Est Detailed Bin Table'!$AL$10:$AW$132, MATCH(A26, '[3]Alt Est Detailed Bin Table'!$A$10:$A$132), MATCH(P26, '[3]Alt Est Detailed Bin Table'!$AL$9:$AW$9,0)), INDEX('[3]Detailed Bin Table'!$AL$9:$AW$132,MATCH($A26,'[3]Detailed Bin Table'!$A$9:$A$132,0),MATCH($B26,'[3]Detailed Bin Table'!$AL$9:$AW$9,0)))*24)</f>
        <v>622.08000000000004</v>
      </c>
      <c r="I26" s="34">
        <f>IF(B26="Custom", Q26, IF(B26="Imputation", INDEX('[3]Alt Est Detailed Bin Table'!$AX$10:$BI$132, MATCH(A26, '[3]Alt Est Detailed Bin Table'!$A$10:$A$132), MATCH(P26, '[3]Alt Est Detailed Bin Table'!$AX$9:$BI$9,0)), INDEX('[3]Detailed Bin Table'!$AX$9:$BI$132,MATCH($A26,'[3]Detailed Bin Table'!$A$9:$A$132,0),MATCH($B26,'[3]Detailed Bin Table'!$AX$9:$BI$9,0)))*24)</f>
        <v>322.56000000000006</v>
      </c>
      <c r="J26" s="34">
        <f>IF(B26="Custom", V26, INDEX('[3]Detailed Bin Table'!$BJ$9:$BO$132,MATCH($A26,'[3]Detailed Bin Table'!$A$9:$A$132,0),MATCH($B26,'[3]Detailed Bin Table'!$BJ$9:$BO$9,0))*24)</f>
        <v>0</v>
      </c>
      <c r="K26" s="33">
        <f>IF(B26="Custom", Q26, IF(B26="Imputation", INDEX('[3]Alt Est Detailed Bin Table'!$BP$10:$CC$132, MATCH(A26, '[3]Alt Est Detailed Bin Table'!$A$10:$A$132), MATCH(P26, '[3]Alt Est Detailed Bin Table'!$BP$9:$CC$9,0)), INDEX('[3]Detailed Bin Table'!$BP$9:$CC$132,MATCH($A26,'[3]Detailed Bin Table'!$A$9:$A$132,0),MATCH($B26,'[3]Detailed Bin Table'!$BP$9:$CC$9,0)))*24)</f>
        <v>7104.9599999999991</v>
      </c>
      <c r="L26" s="223">
        <f>IF(B26="Custom", Q26, IF(B26="Imputation", INDEX('[3]Alt Est Detailed Bin Table'!$CD$10:$CK$132, MATCH(A26, '[3]Alt Est Detailed Bin Table'!$A$10:$A$132), MATCH(P26, '[3]Alt Est Detailed Bin Table'!$CD$9:$CK$9,0)), INDEX('[3]Detailed Bin Table'!$CD$9:$CK$132,MATCH($A26,'[3]Detailed Bin Table'!$A$9:$A$132,0),MATCH($B26,'[3]Detailed Bin Table'!$CD$9:$CK$9,0)))*24)</f>
        <v>105.12</v>
      </c>
      <c r="M26" s="34">
        <f>IF(B26="Custom", Q26, IF(B26="Imputation", INDEX('[3]Alt Est Detailed Bin Table'!$CL$10:$CS$132, MATCH(A26, '[3]Alt Est Detailed Bin Table'!$A$10:$A$132), MATCH(P26, '[3]Alt Est Detailed Bin Table'!$CL$9:$CS$9,0)), INDEX('[3]Detailed Bin Table'!$CL$9:$CS$132,MATCH($A26,'[3]Detailed Bin Table'!$A$9:$A$132,0),MATCH($B26,'[3]Detailed Bin Table'!$CL$9:$CS$9,0)))*24)</f>
        <v>194.16</v>
      </c>
      <c r="N26" s="34">
        <f>IF(B26="Custom", Q26, IF(B26="Imputation", INDEX('[3]Alt Est Detailed Bin Table'!$CT$10:$DA$132, MATCH(A26, '[3]Alt Est Detailed Bin Table'!$A$10:$A$132), MATCH(P26, '[3]Alt Est Detailed Bin Table'!$CT$9:$DA$9,0)), INDEX('[3]Detailed Bin Table'!$CT$9:$DA$132,MATCH($A26,'[3]Detailed Bin Table'!$A$9:$A$132,0),MATCH($B26,'[3]Detailed Bin Table'!$CT$9:$DA$9,0)))*24)</f>
        <v>125.03999999999999</v>
      </c>
      <c r="O26" s="34">
        <f>IF(B26="Custom", Q26, IF(B26="Imputation", INDEX('[3]Alt Est Detailed Bin Table'!$DB$10:$DI$132, MATCH(A26, '[3]Alt Est Detailed Bin Table'!$A$10:$A$132), MATCH(P26, '[3]Alt Est Detailed Bin Table'!$DB$9:$DI$9,0)), INDEX('[3]Detailed Bin Table'!$DB$9:$DI$132,MATCH($A26,'[3]Detailed Bin Table'!$A$9:$A$132,0),MATCH($B26,'[3]Detailed Bin Table'!$DB$9:$DI$9,0)))*24)</f>
        <v>40.08</v>
      </c>
      <c r="P26" s="215"/>
      <c r="Q26" s="62"/>
      <c r="R26" s="63"/>
      <c r="S26" s="63"/>
      <c r="T26" s="63"/>
      <c r="U26" s="63"/>
      <c r="V26" s="63"/>
      <c r="W26" s="64"/>
      <c r="X26" s="63"/>
      <c r="Y26" s="63"/>
      <c r="Z26" s="63"/>
      <c r="AA26" s="65"/>
      <c r="AB26" s="213" t="str">
        <f>IF(SUM(E26:O26)='[1]Passage Estimates'!$D26, "Ok", "Check")</f>
        <v>Ok</v>
      </c>
      <c r="AC26">
        <f>IF(B26="Custom",Q26,IF(B26="Imputation",INDEX('[3]Alt Est Detailed Bin Table'!$B$9:$M$132,MATCH(A26,'[3]Alt Est Detailed Bin Table'!$A$10:$A$132),MATCH(P26,'[3]Alt Est Detailed Bin Table'!$B$9:$M$9)),INDEX('[3]Detailed Bin Table'!$B$9:$M$132,MATCH($A26,'[3]Detailed Bin Table'!$A$9:$A$132,0),MATCH($B26,'[3]Detailed Bin Table'!$B$9:$M$9,0)))*24)</f>
        <v>396.72</v>
      </c>
    </row>
    <row r="27" spans="1:29" x14ac:dyDescent="0.3">
      <c r="A27" s="20">
        <f>'1. Mixture Model Inputs'!A27</f>
        <v>45129</v>
      </c>
      <c r="B27" s="13" t="str">
        <f>'[1]Passage Estimates'!$C27</f>
        <v>S1+M2+A2</v>
      </c>
      <c r="C27" s="207">
        <v>340</v>
      </c>
      <c r="D27" s="209">
        <v>954</v>
      </c>
      <c r="E27" s="34">
        <f>IF(B27="Custom", Q27, IF(B27="Imputation", INDEX('[3]Alt Est Detailed Bin Table'!$B$10:$M$132, MATCH(A27, '[3]Alt Est Detailed Bin Table'!$A$10:$A$132), MATCH(P27, '[3]Alt Est Detailed Bin Table'!$B$9:$M$9,0)), INDEX('[3]Detailed Bin Table'!$B$9:$M$132,MATCH($A27,'[3]Detailed Bin Table'!$A$9:$A$132,0),MATCH($B27,'[3]Detailed Bin Table'!$B$9:$M$9,0)))*24)</f>
        <v>1112.4000000000001</v>
      </c>
      <c r="F27" s="34">
        <f>IF(B27="Custom", Q27, IF(B27="Imputation", INDEX('[3]Alt Est Detailed Bin Table'!$N$10:$Y$132, MATCH(A27, '[3]Alt Est Detailed Bin Table'!$A$10:$A$132), MATCH(P27, '[3]Alt Est Detailed Bin Table'!$N$9:$Y$9,0)), INDEX('[3]Detailed Bin Table'!$N$9:$Y$132,MATCH($A27,'[3]Detailed Bin Table'!$A$9:$A$132,0),MATCH($B27,'[3]Detailed Bin Table'!$N$9:$Y$9,0)))*24)</f>
        <v>1029.5999999999999</v>
      </c>
      <c r="G27" s="34">
        <f>IF(B27="Custom", Q27, IF(B27="Imputation", INDEX('[3]Alt Est Detailed Bin Table'!$Z$10:$AK$132, MATCH(A27, '[3]Alt Est Detailed Bin Table'!$A$10:$A$132), MATCH(P27, '[3]Alt Est Detailed Bin Table'!$Z$9:$AK$9,0)), INDEX('[3]Detailed Bin Table'!$Z$9:$AK$132,MATCH($A27,'[3]Detailed Bin Table'!$A$9:$A$132,0),MATCH($B27,'[3]Detailed Bin Table'!$Z$9:$AK$9,0)))*24)</f>
        <v>1065.3600000000001</v>
      </c>
      <c r="H27" s="34">
        <f>IF(B27="Custom", Q27, IF(B27="Imputation", INDEX('[3]Alt Est Detailed Bin Table'!$AL$10:$AW$132, MATCH(A27, '[3]Alt Est Detailed Bin Table'!$A$10:$A$132), MATCH(P27, '[3]Alt Est Detailed Bin Table'!$AL$9:$AW$9,0)), INDEX('[3]Detailed Bin Table'!$AL$9:$AW$132,MATCH($A27,'[3]Detailed Bin Table'!$A$9:$A$132,0),MATCH($B27,'[3]Detailed Bin Table'!$AL$9:$AW$9,0)))*24)</f>
        <v>1063.6799999999998</v>
      </c>
      <c r="I27" s="34">
        <f>IF(B27="Custom", Q27, IF(B27="Imputation", INDEX('[3]Alt Est Detailed Bin Table'!$AX$10:$BI$132, MATCH(A27, '[3]Alt Est Detailed Bin Table'!$A$10:$A$132), MATCH(P27, '[3]Alt Est Detailed Bin Table'!$AX$9:$BI$9,0)), INDEX('[3]Detailed Bin Table'!$AX$9:$BI$132,MATCH($A27,'[3]Detailed Bin Table'!$A$9:$A$132,0),MATCH($B27,'[3]Detailed Bin Table'!$AX$9:$BI$9,0)))*24)</f>
        <v>246.95999999999998</v>
      </c>
      <c r="J27" s="34">
        <f>IF(B27="Custom", V27, INDEX('[3]Detailed Bin Table'!$BJ$9:$BO$132,MATCH($A27,'[3]Detailed Bin Table'!$A$9:$A$132,0),MATCH($B27,'[3]Detailed Bin Table'!$BJ$9:$BO$9,0))*24)</f>
        <v>0</v>
      </c>
      <c r="K27" s="33">
        <f ca="1">IF(B27="Custom", Q27, IF(B27="Imputation", INDEX('[3]Alt Est Detailed Bin Table'!$BP$10:$CC$132, MATCH(A27, '[3]Alt Est Detailed Bin Table'!$A$10:$A$132), MATCH(P27, '[3]Alt Est Detailed Bin Table'!$BP$9:$CC$9,0)), INDEX('[3]Detailed Bin Table'!$BP$9:$CC$132,MATCH($A27,'[3]Detailed Bin Table'!$A$9:$A$132,0),MATCH($B27,'[3]Detailed Bin Table'!$BP$9:$CC$9,0)))*24)</f>
        <v>6460.3199999999988</v>
      </c>
      <c r="L27" s="223">
        <f>IF(B27="Custom", Q27, IF(B27="Imputation", INDEX('[3]Alt Est Detailed Bin Table'!$CD$10:$CK$132, MATCH(A27, '[3]Alt Est Detailed Bin Table'!$A$10:$A$132), MATCH(P27, '[3]Alt Est Detailed Bin Table'!$CD$9:$CK$9,0)), INDEX('[3]Detailed Bin Table'!$CD$9:$CK$132,MATCH($A27,'[3]Detailed Bin Table'!$A$9:$A$132,0),MATCH($B27,'[3]Detailed Bin Table'!$CD$9:$CK$9,0)))*24)</f>
        <v>28.08</v>
      </c>
      <c r="M27" s="34">
        <f>IF(B27="Custom", Q27, IF(B27="Imputation", INDEX('[3]Alt Est Detailed Bin Table'!$CL$10:$CS$132, MATCH(A27, '[3]Alt Est Detailed Bin Table'!$A$10:$A$132), MATCH(P27, '[3]Alt Est Detailed Bin Table'!$CL$9:$CS$9,0)), INDEX('[3]Detailed Bin Table'!$CL$9:$CS$132,MATCH($A27,'[3]Detailed Bin Table'!$A$9:$A$132,0),MATCH($B27,'[3]Detailed Bin Table'!$CL$9:$CS$9,0)))*24)</f>
        <v>178.32</v>
      </c>
      <c r="N27" s="34">
        <f>IF(B27="Custom", Q27, IF(B27="Imputation", INDEX('[3]Alt Est Detailed Bin Table'!$CT$10:$DA$132, MATCH(A27, '[3]Alt Est Detailed Bin Table'!$A$10:$A$132), MATCH(P27, '[3]Alt Est Detailed Bin Table'!$CT$9:$DA$9,0)), INDEX('[3]Detailed Bin Table'!$CT$9:$DA$132,MATCH($A27,'[3]Detailed Bin Table'!$A$9:$A$132,0),MATCH($B27,'[3]Detailed Bin Table'!$CT$9:$DA$9,0)))*24)</f>
        <v>77.039999999999992</v>
      </c>
      <c r="O27" s="34">
        <f>IF(B27="Custom", Q27, IF(B27="Imputation", INDEX('[3]Alt Est Detailed Bin Table'!$DB$10:$DI$132, MATCH(A27, '[3]Alt Est Detailed Bin Table'!$A$10:$A$132), MATCH(P27, '[3]Alt Est Detailed Bin Table'!$DB$9:$DI$9,0)), INDEX('[3]Detailed Bin Table'!$DB$9:$DI$132,MATCH($A27,'[3]Detailed Bin Table'!$A$9:$A$132,0),MATCH($B27,'[3]Detailed Bin Table'!$DB$9:$DI$9,0)))*24)</f>
        <v>172.8</v>
      </c>
      <c r="P27" s="215"/>
      <c r="Q27" s="62"/>
      <c r="R27" s="63"/>
      <c r="S27" s="63"/>
      <c r="T27" s="63"/>
      <c r="U27" s="63"/>
      <c r="V27" s="63"/>
      <c r="W27" s="64"/>
      <c r="X27" s="63"/>
      <c r="Y27" s="63"/>
      <c r="Z27" s="63"/>
      <c r="AA27" s="65"/>
      <c r="AB27" s="213" t="str">
        <f ca="1">IF(SUM(E27:O27)='[1]Passage Estimates'!$D27, "Ok", "Check")</f>
        <v>Ok</v>
      </c>
      <c r="AC27">
        <f>IF(B27="Custom",Q27,IF(B27="Imputation",INDEX('[3]Alt Est Detailed Bin Table'!$B$9:$M$132,MATCH(A27,'[3]Alt Est Detailed Bin Table'!$A$10:$A$132),MATCH(P27,'[3]Alt Est Detailed Bin Table'!$B$9:$M$9)),INDEX('[3]Detailed Bin Table'!$B$9:$M$132,MATCH($A27,'[3]Detailed Bin Table'!$A$9:$A$132,0),MATCH($B27,'[3]Detailed Bin Table'!$B$9:$M$9,0)))*24)</f>
        <v>1112.4000000000001</v>
      </c>
    </row>
    <row r="28" spans="1:29" x14ac:dyDescent="0.3">
      <c r="A28" s="20">
        <f>'1. Mixture Model Inputs'!A28</f>
        <v>45130</v>
      </c>
      <c r="B28" s="13" t="str">
        <f>'[1]Passage Estimates'!$C28</f>
        <v>S1+M2+A2</v>
      </c>
      <c r="C28" s="207">
        <v>124</v>
      </c>
      <c r="D28" s="209">
        <v>523</v>
      </c>
      <c r="E28" s="34">
        <f>IF(B28="Custom", Q28, IF(B28="Imputation", INDEX('[3]Alt Est Detailed Bin Table'!$B$10:$M$132, MATCH(A28, '[3]Alt Est Detailed Bin Table'!$A$10:$A$132), MATCH(P28, '[3]Alt Est Detailed Bin Table'!$B$9:$M$9,0)), INDEX('[3]Detailed Bin Table'!$B$9:$M$132,MATCH($A28,'[3]Detailed Bin Table'!$A$9:$A$132,0),MATCH($B28,'[3]Detailed Bin Table'!$B$9:$M$9,0)))*24)</f>
        <v>928.31999999999994</v>
      </c>
      <c r="F28" s="34">
        <f>IF(B28="Custom", Q28, IF(B28="Imputation", INDEX('[3]Alt Est Detailed Bin Table'!$N$10:$Y$132, MATCH(A28, '[3]Alt Est Detailed Bin Table'!$A$10:$A$132), MATCH(P28, '[3]Alt Est Detailed Bin Table'!$N$9:$Y$9,0)), INDEX('[3]Detailed Bin Table'!$N$9:$Y$132,MATCH($A28,'[3]Detailed Bin Table'!$A$9:$A$132,0),MATCH($B28,'[3]Detailed Bin Table'!$N$9:$Y$9,0)))*24)</f>
        <v>1069.92</v>
      </c>
      <c r="G28" s="34">
        <f>IF(B28="Custom", Q28, IF(B28="Imputation", INDEX('[3]Alt Est Detailed Bin Table'!$Z$10:$AK$132, MATCH(A28, '[3]Alt Est Detailed Bin Table'!$A$10:$A$132), MATCH(P28, '[3]Alt Est Detailed Bin Table'!$Z$9:$AK$9,0)), INDEX('[3]Detailed Bin Table'!$Z$9:$AK$132,MATCH($A28,'[3]Detailed Bin Table'!$A$9:$A$132,0),MATCH($B28,'[3]Detailed Bin Table'!$Z$9:$AK$9,0)))*24)</f>
        <v>1284.96</v>
      </c>
      <c r="H28" s="34">
        <f>IF(B28="Custom", Q28, IF(B28="Imputation", INDEX('[3]Alt Est Detailed Bin Table'!$AL$10:$AW$132, MATCH(A28, '[3]Alt Est Detailed Bin Table'!$A$10:$A$132), MATCH(P28, '[3]Alt Est Detailed Bin Table'!$AL$9:$AW$9,0)), INDEX('[3]Detailed Bin Table'!$AL$9:$AW$132,MATCH($A28,'[3]Detailed Bin Table'!$A$9:$A$132,0),MATCH($B28,'[3]Detailed Bin Table'!$AL$9:$AW$9,0)))*24)</f>
        <v>962.40000000000009</v>
      </c>
      <c r="I28" s="34">
        <f>IF(B28="Custom", Q28, IF(B28="Imputation", INDEX('[3]Alt Est Detailed Bin Table'!$AX$10:$BI$132, MATCH(A28, '[3]Alt Est Detailed Bin Table'!$A$10:$A$132), MATCH(P28, '[3]Alt Est Detailed Bin Table'!$AX$9:$BI$9,0)), INDEX('[3]Detailed Bin Table'!$AX$9:$BI$132,MATCH($A28,'[3]Detailed Bin Table'!$A$9:$A$132,0),MATCH($B28,'[3]Detailed Bin Table'!$AX$9:$BI$9,0)))*24)</f>
        <v>594.96</v>
      </c>
      <c r="J28" s="34">
        <f>IF(B28="Custom", V28, INDEX('[3]Detailed Bin Table'!$BJ$9:$BO$132,MATCH($A28,'[3]Detailed Bin Table'!$A$9:$A$132,0),MATCH($B28,'[3]Detailed Bin Table'!$BJ$9:$BO$9,0))*24)</f>
        <v>0</v>
      </c>
      <c r="K28" s="33">
        <f>IF(B28="Custom", Q28, IF(B28="Imputation", INDEX('[3]Alt Est Detailed Bin Table'!$BP$10:$CC$132, MATCH(A28, '[3]Alt Est Detailed Bin Table'!$A$10:$A$132), MATCH(P28, '[3]Alt Est Detailed Bin Table'!$BP$9:$CC$9,0)), INDEX('[3]Detailed Bin Table'!$BP$9:$CC$132,MATCH($A28,'[3]Detailed Bin Table'!$A$9:$A$132,0),MATCH($B28,'[3]Detailed Bin Table'!$BP$9:$CC$9,0)))*24)</f>
        <v>4884.7199999999993</v>
      </c>
      <c r="L28" s="223">
        <f>IF(B28="Custom", Q28, IF(B28="Imputation", INDEX('[3]Alt Est Detailed Bin Table'!$CD$10:$CK$132, MATCH(A28, '[3]Alt Est Detailed Bin Table'!$A$10:$A$132), MATCH(P28, '[3]Alt Est Detailed Bin Table'!$CD$9:$CK$9,0)), INDEX('[3]Detailed Bin Table'!$CD$9:$CK$132,MATCH($A28,'[3]Detailed Bin Table'!$A$9:$A$132,0),MATCH($B28,'[3]Detailed Bin Table'!$CD$9:$CK$9,0)))*24)</f>
        <v>204.71999999999997</v>
      </c>
      <c r="M28" s="34">
        <f>IF(B28="Custom", Q28, IF(B28="Imputation", INDEX('[3]Alt Est Detailed Bin Table'!$CL$10:$CS$132, MATCH(A28, '[3]Alt Est Detailed Bin Table'!$A$10:$A$132), MATCH(P28, '[3]Alt Est Detailed Bin Table'!$CL$9:$CS$9,0)), INDEX('[3]Detailed Bin Table'!$CL$9:$CS$132,MATCH($A28,'[3]Detailed Bin Table'!$A$9:$A$132,0),MATCH($B28,'[3]Detailed Bin Table'!$CL$9:$CS$9,0)))*24)</f>
        <v>234.48</v>
      </c>
      <c r="N28" s="34">
        <f>IF(B28="Custom", Q28, IF(B28="Imputation", INDEX('[3]Alt Est Detailed Bin Table'!$CT$10:$DA$132, MATCH(A28, '[3]Alt Est Detailed Bin Table'!$A$10:$A$132), MATCH(P28, '[3]Alt Est Detailed Bin Table'!$CT$9:$DA$9,0)), INDEX('[3]Detailed Bin Table'!$CT$9:$DA$132,MATCH($A28,'[3]Detailed Bin Table'!$A$9:$A$132,0),MATCH($B28,'[3]Detailed Bin Table'!$CT$9:$DA$9,0)))*24)</f>
        <v>254.88</v>
      </c>
      <c r="O28" s="34">
        <f>IF(B28="Custom", Q28, IF(B28="Imputation", INDEX('[3]Alt Est Detailed Bin Table'!$DB$10:$DI$132, MATCH(A28, '[3]Alt Est Detailed Bin Table'!$A$10:$A$132), MATCH(P28, '[3]Alt Est Detailed Bin Table'!$DB$9:$DI$9,0)), INDEX('[3]Detailed Bin Table'!$DB$9:$DI$132,MATCH($A28,'[3]Detailed Bin Table'!$A$9:$A$132,0),MATCH($B28,'[3]Detailed Bin Table'!$DB$9:$DI$9,0)))*24)</f>
        <v>137.52000000000001</v>
      </c>
      <c r="P28" s="215"/>
      <c r="Q28" s="62"/>
      <c r="R28" s="63"/>
      <c r="S28" s="63"/>
      <c r="T28" s="63"/>
      <c r="U28" s="63"/>
      <c r="V28" s="63"/>
      <c r="W28" s="64"/>
      <c r="X28" s="63"/>
      <c r="Y28" s="63"/>
      <c r="Z28" s="63"/>
      <c r="AA28" s="65"/>
      <c r="AB28" s="213" t="str">
        <f>IF(SUM(E28:O28)='[1]Passage Estimates'!$D28, "Ok", "Check")</f>
        <v>Ok</v>
      </c>
      <c r="AC28">
        <f>IF(B28="Custom",Q28,IF(B28="Imputation",INDEX('[3]Alt Est Detailed Bin Table'!$B$9:$M$132,MATCH(A28,'[3]Alt Est Detailed Bin Table'!$A$10:$A$132),MATCH(P28,'[3]Alt Est Detailed Bin Table'!$B$9:$M$9)),INDEX('[3]Detailed Bin Table'!$B$9:$M$132,MATCH($A28,'[3]Detailed Bin Table'!$A$9:$A$132,0),MATCH($B28,'[3]Detailed Bin Table'!$B$9:$M$9,0)))*24)</f>
        <v>928.31999999999994</v>
      </c>
    </row>
    <row r="29" spans="1:29" x14ac:dyDescent="0.3">
      <c r="A29" s="20">
        <f>'1. Mixture Model Inputs'!A29</f>
        <v>45131</v>
      </c>
      <c r="B29" s="13" t="str">
        <f>'[1]Passage Estimates'!$C29</f>
        <v>S1+M2+A2</v>
      </c>
      <c r="C29" s="207">
        <v>362</v>
      </c>
      <c r="D29" s="209">
        <v>1987</v>
      </c>
      <c r="E29" s="34">
        <f>IF(B29="Custom", Q29, IF(B29="Imputation", INDEX('[3]Alt Est Detailed Bin Table'!$B$10:$M$132, MATCH(A29, '[3]Alt Est Detailed Bin Table'!$A$10:$A$132), MATCH(P29, '[3]Alt Est Detailed Bin Table'!$B$9:$M$9,0)), INDEX('[3]Detailed Bin Table'!$B$9:$M$132,MATCH($A29,'[3]Detailed Bin Table'!$A$9:$A$132,0),MATCH($B29,'[3]Detailed Bin Table'!$B$9:$M$9,0)))*24)</f>
        <v>1692.48</v>
      </c>
      <c r="F29" s="34">
        <f>IF(B29="Custom", Q29, IF(B29="Imputation", INDEX('[3]Alt Est Detailed Bin Table'!$N$10:$Y$132, MATCH(A29, '[3]Alt Est Detailed Bin Table'!$A$10:$A$132), MATCH(P29, '[3]Alt Est Detailed Bin Table'!$N$9:$Y$9,0)), INDEX('[3]Detailed Bin Table'!$N$9:$Y$132,MATCH($A29,'[3]Detailed Bin Table'!$A$9:$A$132,0),MATCH($B29,'[3]Detailed Bin Table'!$N$9:$Y$9,0)))*24)</f>
        <v>1457.52</v>
      </c>
      <c r="G29" s="34">
        <f>IF(B29="Custom", Q29, IF(B29="Imputation", INDEX('[3]Alt Est Detailed Bin Table'!$Z$10:$AK$132, MATCH(A29, '[3]Alt Est Detailed Bin Table'!$A$10:$A$132), MATCH(P29, '[3]Alt Est Detailed Bin Table'!$Z$9:$AK$9,0)), INDEX('[3]Detailed Bin Table'!$Z$9:$AK$132,MATCH($A29,'[3]Detailed Bin Table'!$A$9:$A$132,0),MATCH($B29,'[3]Detailed Bin Table'!$Z$9:$AK$9,0)))*24)</f>
        <v>1442.1599999999999</v>
      </c>
      <c r="H29" s="34">
        <f>IF(B29="Custom", Q29, IF(B29="Imputation", INDEX('[3]Alt Est Detailed Bin Table'!$AL$10:$AW$132, MATCH(A29, '[3]Alt Est Detailed Bin Table'!$A$10:$A$132), MATCH(P29, '[3]Alt Est Detailed Bin Table'!$AL$9:$AW$9,0)), INDEX('[3]Detailed Bin Table'!$AL$9:$AW$132,MATCH($A29,'[3]Detailed Bin Table'!$A$9:$A$132,0),MATCH($B29,'[3]Detailed Bin Table'!$AL$9:$AW$9,0)))*24)</f>
        <v>979.44</v>
      </c>
      <c r="I29" s="34">
        <f>IF(B29="Custom", Q29, IF(B29="Imputation", INDEX('[3]Alt Est Detailed Bin Table'!$AX$10:$BI$132, MATCH(A29, '[3]Alt Est Detailed Bin Table'!$A$10:$A$132), MATCH(P29, '[3]Alt Est Detailed Bin Table'!$AX$9:$BI$9,0)), INDEX('[3]Detailed Bin Table'!$AX$9:$BI$132,MATCH($A29,'[3]Detailed Bin Table'!$A$9:$A$132,0),MATCH($B29,'[3]Detailed Bin Table'!$AX$9:$BI$9,0)))*24)</f>
        <v>596.87999999999988</v>
      </c>
      <c r="J29" s="34">
        <f>IF(B29="Custom", V29, INDEX('[3]Detailed Bin Table'!$BJ$9:$BO$132,MATCH($A29,'[3]Detailed Bin Table'!$A$9:$A$132,0),MATCH($B29,'[3]Detailed Bin Table'!$BJ$9:$BO$9,0))*24)</f>
        <v>0</v>
      </c>
      <c r="K29" s="33">
        <f ca="1">IF(B29="Custom", Q29, IF(B29="Imputation", INDEX('[3]Alt Est Detailed Bin Table'!$BP$10:$CC$132, MATCH(A29, '[3]Alt Est Detailed Bin Table'!$A$10:$A$132), MATCH(P29, '[3]Alt Est Detailed Bin Table'!$BP$9:$CC$9,0)), INDEX('[3]Detailed Bin Table'!$BP$9:$CC$132,MATCH($A29,'[3]Detailed Bin Table'!$A$9:$A$132,0),MATCH($B29,'[3]Detailed Bin Table'!$BP$9:$CC$9,0)))*24)</f>
        <v>7522.5537327144211</v>
      </c>
      <c r="L29" s="223">
        <f>IF(B29="Custom", Q29, IF(B29="Imputation", INDEX('[3]Alt Est Detailed Bin Table'!$CD$10:$CK$132, MATCH(A29, '[3]Alt Est Detailed Bin Table'!$A$10:$A$132), MATCH(P29, '[3]Alt Est Detailed Bin Table'!$CD$9:$CK$9,0)), INDEX('[3]Detailed Bin Table'!$CD$9:$CK$132,MATCH($A29,'[3]Detailed Bin Table'!$A$9:$A$132,0),MATCH($B29,'[3]Detailed Bin Table'!$CD$9:$CK$9,0)))*24)</f>
        <v>160.80000000000001</v>
      </c>
      <c r="M29" s="34">
        <f>IF(B29="Custom", Q29, IF(B29="Imputation", INDEX('[3]Alt Est Detailed Bin Table'!$CL$10:$CS$132, MATCH(A29, '[3]Alt Est Detailed Bin Table'!$A$10:$A$132), MATCH(P29, '[3]Alt Est Detailed Bin Table'!$CL$9:$CS$9,0)), INDEX('[3]Detailed Bin Table'!$CL$9:$CS$132,MATCH($A29,'[3]Detailed Bin Table'!$A$9:$A$132,0),MATCH($B29,'[3]Detailed Bin Table'!$CL$9:$CS$9,0)))*24)</f>
        <v>-48.239999999999995</v>
      </c>
      <c r="N29" s="34">
        <f>IF(B29="Custom", Q29, IF(B29="Imputation", INDEX('[3]Alt Est Detailed Bin Table'!$CT$10:$DA$132, MATCH(A29, '[3]Alt Est Detailed Bin Table'!$A$10:$A$132), MATCH(P29, '[3]Alt Est Detailed Bin Table'!$CT$9:$DA$9,0)), INDEX('[3]Detailed Bin Table'!$CT$9:$DA$132,MATCH($A29,'[3]Detailed Bin Table'!$A$9:$A$132,0),MATCH($B29,'[3]Detailed Bin Table'!$CT$9:$DA$9,0)))*24)</f>
        <v>144.96</v>
      </c>
      <c r="O29" s="34">
        <f>IF(B29="Custom", Q29, IF(B29="Imputation", INDEX('[3]Alt Est Detailed Bin Table'!$DB$10:$DI$132, MATCH(A29, '[3]Alt Est Detailed Bin Table'!$A$10:$A$132), MATCH(P29, '[3]Alt Est Detailed Bin Table'!$DB$9:$DI$9,0)), INDEX('[3]Detailed Bin Table'!$DB$9:$DI$132,MATCH($A29,'[3]Detailed Bin Table'!$A$9:$A$132,0),MATCH($B29,'[3]Detailed Bin Table'!$DB$9:$DI$9,0)))*24)</f>
        <v>146.88</v>
      </c>
      <c r="P29" s="215"/>
      <c r="Q29" s="62"/>
      <c r="R29" s="63"/>
      <c r="S29" s="63"/>
      <c r="T29" s="63"/>
      <c r="U29" s="63"/>
      <c r="V29" s="63"/>
      <c r="W29" s="64"/>
      <c r="X29" s="63"/>
      <c r="Y29" s="63"/>
      <c r="Z29" s="63"/>
      <c r="AA29" s="65"/>
      <c r="AB29" s="213" t="str">
        <f ca="1">IF(SUM(E29:O29)='[1]Passage Estimates'!$D29, "Ok", "Check")</f>
        <v>Ok</v>
      </c>
      <c r="AC29">
        <f>IF(B29="Custom",Q29,IF(B29="Imputation",INDEX('[3]Alt Est Detailed Bin Table'!$B$9:$M$132,MATCH(A29,'[3]Alt Est Detailed Bin Table'!$A$10:$A$132),MATCH(P29,'[3]Alt Est Detailed Bin Table'!$B$9:$M$9)),INDEX('[3]Detailed Bin Table'!$B$9:$M$132,MATCH($A29,'[3]Detailed Bin Table'!$A$9:$A$132,0),MATCH($B29,'[3]Detailed Bin Table'!$B$9:$M$9,0)))*24)</f>
        <v>1692.48</v>
      </c>
    </row>
    <row r="30" spans="1:29" x14ac:dyDescent="0.3">
      <c r="A30" s="20">
        <f>'1. Mixture Model Inputs'!A30</f>
        <v>45132</v>
      </c>
      <c r="B30" s="13" t="str">
        <f>'[1]Passage Estimates'!$C30</f>
        <v>S1+M2+A2</v>
      </c>
      <c r="C30" s="207">
        <v>130</v>
      </c>
      <c r="D30" s="209">
        <v>763</v>
      </c>
      <c r="E30" s="34">
        <f>IF(B30="Custom", Q30, IF(B30="Imputation", INDEX('[3]Alt Est Detailed Bin Table'!$B$10:$M$132, MATCH(A30, '[3]Alt Est Detailed Bin Table'!$A$10:$A$132), MATCH(P30, '[3]Alt Est Detailed Bin Table'!$B$9:$M$9,0)), INDEX('[3]Detailed Bin Table'!$B$9:$M$132,MATCH($A30,'[3]Detailed Bin Table'!$A$9:$A$132,0),MATCH($B30,'[3]Detailed Bin Table'!$B$9:$M$9,0)))*24)</f>
        <v>802.56</v>
      </c>
      <c r="F30" s="34">
        <f>IF(B30="Custom", Q30, IF(B30="Imputation", INDEX('[3]Alt Est Detailed Bin Table'!$N$10:$Y$132, MATCH(A30, '[3]Alt Est Detailed Bin Table'!$A$10:$A$132), MATCH(P30, '[3]Alt Est Detailed Bin Table'!$N$9:$Y$9,0)), INDEX('[3]Detailed Bin Table'!$N$9:$Y$132,MATCH($A30,'[3]Detailed Bin Table'!$A$9:$A$132,0),MATCH($B30,'[3]Detailed Bin Table'!$N$9:$Y$9,0)))*24)</f>
        <v>1231.1999999999998</v>
      </c>
      <c r="G30" s="34">
        <f>IF(B30="Custom", Q30, IF(B30="Imputation", INDEX('[3]Alt Est Detailed Bin Table'!$Z$10:$AK$132, MATCH(A30, '[3]Alt Est Detailed Bin Table'!$A$10:$A$132), MATCH(P30, '[3]Alt Est Detailed Bin Table'!$Z$9:$AK$9,0)), INDEX('[3]Detailed Bin Table'!$Z$9:$AK$132,MATCH($A30,'[3]Detailed Bin Table'!$A$9:$A$132,0),MATCH($B30,'[3]Detailed Bin Table'!$Z$9:$AK$9,0)))*24)</f>
        <v>973.19999999999993</v>
      </c>
      <c r="H30" s="34">
        <f>IF(B30="Custom", Q30, IF(B30="Imputation", INDEX('[3]Alt Est Detailed Bin Table'!$AL$10:$AW$132, MATCH(A30, '[3]Alt Est Detailed Bin Table'!$A$10:$A$132), MATCH(P30, '[3]Alt Est Detailed Bin Table'!$AL$9:$AW$9,0)), INDEX('[3]Detailed Bin Table'!$AL$9:$AW$132,MATCH($A30,'[3]Detailed Bin Table'!$A$9:$A$132,0),MATCH($B30,'[3]Detailed Bin Table'!$AL$9:$AW$9,0)))*24)</f>
        <v>1045.1999999999998</v>
      </c>
      <c r="I30" s="34">
        <f>IF(B30="Custom", Q30, IF(B30="Imputation", INDEX('[3]Alt Est Detailed Bin Table'!$AX$10:$BI$132, MATCH(A30, '[3]Alt Est Detailed Bin Table'!$A$10:$A$132), MATCH(P30, '[3]Alt Est Detailed Bin Table'!$AX$9:$BI$9,0)), INDEX('[3]Detailed Bin Table'!$AX$9:$BI$132,MATCH($A30,'[3]Detailed Bin Table'!$A$9:$A$132,0),MATCH($B30,'[3]Detailed Bin Table'!$AX$9:$BI$9,0)))*24)</f>
        <v>498.48</v>
      </c>
      <c r="J30" s="34">
        <f>IF(B30="Custom", V30, INDEX('[3]Detailed Bin Table'!$BJ$9:$BO$132,MATCH($A30,'[3]Detailed Bin Table'!$A$9:$A$132,0),MATCH($B30,'[3]Detailed Bin Table'!$BJ$9:$BO$9,0))*24)</f>
        <v>0</v>
      </c>
      <c r="K30" s="33">
        <f>IF(B30="Custom", Q30, IF(B30="Imputation", INDEX('[3]Alt Est Detailed Bin Table'!$BP$10:$CC$132, MATCH(A30, '[3]Alt Est Detailed Bin Table'!$A$10:$A$132), MATCH(P30, '[3]Alt Est Detailed Bin Table'!$BP$9:$CC$9,0)), INDEX('[3]Detailed Bin Table'!$BP$9:$CC$132,MATCH($A30,'[3]Detailed Bin Table'!$A$9:$A$132,0),MATCH($B30,'[3]Detailed Bin Table'!$BP$9:$CC$9,0)))*24)</f>
        <v>6296.4</v>
      </c>
      <c r="L30" s="223">
        <f>IF(B30="Custom", Q30, IF(B30="Imputation", INDEX('[3]Alt Est Detailed Bin Table'!$CD$10:$CK$132, MATCH(A30, '[3]Alt Est Detailed Bin Table'!$A$10:$A$132), MATCH(P30, '[3]Alt Est Detailed Bin Table'!$CD$9:$CK$9,0)), INDEX('[3]Detailed Bin Table'!$CD$9:$CK$132,MATCH($A30,'[3]Detailed Bin Table'!$A$9:$A$132,0),MATCH($B30,'[3]Detailed Bin Table'!$CD$9:$CK$9,0)))*24)</f>
        <v>120.47999999999999</v>
      </c>
      <c r="M30" s="34">
        <f>IF(B30="Custom", Q30, IF(B30="Imputation", INDEX('[3]Alt Est Detailed Bin Table'!$CL$10:$CS$132, MATCH(A30, '[3]Alt Est Detailed Bin Table'!$A$10:$A$132), MATCH(P30, '[3]Alt Est Detailed Bin Table'!$CL$9:$CS$9,0)), INDEX('[3]Detailed Bin Table'!$CL$9:$CS$132,MATCH($A30,'[3]Detailed Bin Table'!$A$9:$A$132,0),MATCH($B30,'[3]Detailed Bin Table'!$CL$9:$CS$9,0)))*24)</f>
        <v>353.76</v>
      </c>
      <c r="N30" s="34">
        <f>IF(B30="Custom", Q30, IF(B30="Imputation", INDEX('[3]Alt Est Detailed Bin Table'!$CT$10:$DA$132, MATCH(A30, '[3]Alt Est Detailed Bin Table'!$A$10:$A$132), MATCH(P30, '[3]Alt Est Detailed Bin Table'!$CT$9:$DA$9,0)), INDEX('[3]Detailed Bin Table'!$CT$9:$DA$132,MATCH($A30,'[3]Detailed Bin Table'!$A$9:$A$132,0),MATCH($B30,'[3]Detailed Bin Table'!$CT$9:$DA$9,0)))*24)</f>
        <v>188.88</v>
      </c>
      <c r="O30" s="34">
        <f>IF(B30="Custom", Q30, IF(B30="Imputation", INDEX('[3]Alt Est Detailed Bin Table'!$DB$10:$DI$132, MATCH(A30, '[3]Alt Est Detailed Bin Table'!$A$10:$A$132), MATCH(P30, '[3]Alt Est Detailed Bin Table'!$DB$9:$DI$9,0)), INDEX('[3]Detailed Bin Table'!$DB$9:$DI$132,MATCH($A30,'[3]Detailed Bin Table'!$A$9:$A$132,0),MATCH($B30,'[3]Detailed Bin Table'!$DB$9:$DI$9,0)))*24)</f>
        <v>226.07999999999998</v>
      </c>
      <c r="P30" s="215"/>
      <c r="Q30" s="62"/>
      <c r="R30" s="63"/>
      <c r="S30" s="63"/>
      <c r="T30" s="63"/>
      <c r="U30" s="63"/>
      <c r="V30" s="63"/>
      <c r="W30" s="64"/>
      <c r="X30" s="63"/>
      <c r="Y30" s="63"/>
      <c r="Z30" s="63"/>
      <c r="AA30" s="65"/>
      <c r="AB30" s="213" t="str">
        <f>IF(SUM(E30:O30)='[1]Passage Estimates'!$D30, "Ok", "Check")</f>
        <v>Ok</v>
      </c>
      <c r="AC30">
        <f>IF(B30="Custom",Q30,IF(B30="Imputation",INDEX('[3]Alt Est Detailed Bin Table'!$B$9:$M$132,MATCH(A30,'[3]Alt Est Detailed Bin Table'!$A$10:$A$132),MATCH(P30,'[3]Alt Est Detailed Bin Table'!$B$9:$M$9)),INDEX('[3]Detailed Bin Table'!$B$9:$M$132,MATCH($A30,'[3]Detailed Bin Table'!$A$9:$A$132,0),MATCH($B30,'[3]Detailed Bin Table'!$B$9:$M$9,0)))*24)</f>
        <v>802.56</v>
      </c>
    </row>
    <row r="31" spans="1:29" x14ac:dyDescent="0.3">
      <c r="A31" s="20">
        <f>'1. Mixture Model Inputs'!A31</f>
        <v>45133</v>
      </c>
      <c r="B31" s="13" t="str">
        <f>'[1]Passage Estimates'!$C31</f>
        <v>S1+M2+A2</v>
      </c>
      <c r="C31" s="207">
        <f>(275+419)</f>
        <v>694</v>
      </c>
      <c r="D31" s="209">
        <v>715</v>
      </c>
      <c r="E31" s="34">
        <f>IF(B31="Custom", Q31, IF(B31="Imputation", INDEX('[3]Alt Est Detailed Bin Table'!$B$10:$M$132, MATCH(A31, '[3]Alt Est Detailed Bin Table'!$A$10:$A$132), MATCH(P31, '[3]Alt Est Detailed Bin Table'!$B$9:$M$9,0)), INDEX('[3]Detailed Bin Table'!$B$9:$M$132,MATCH($A31,'[3]Detailed Bin Table'!$A$9:$A$132,0),MATCH($B31,'[3]Detailed Bin Table'!$B$9:$M$9,0)))*24)</f>
        <v>704.88</v>
      </c>
      <c r="F31" s="34">
        <f>IF(B31="Custom", Q31, IF(B31="Imputation", INDEX('[3]Alt Est Detailed Bin Table'!$N$10:$Y$132, MATCH(A31, '[3]Alt Est Detailed Bin Table'!$A$10:$A$132), MATCH(P31, '[3]Alt Est Detailed Bin Table'!$N$9:$Y$9,0)), INDEX('[3]Detailed Bin Table'!$N$9:$Y$132,MATCH($A31,'[3]Detailed Bin Table'!$A$9:$A$132,0),MATCH($B31,'[3]Detailed Bin Table'!$N$9:$Y$9,0)))*24)</f>
        <v>1146.72</v>
      </c>
      <c r="G31" s="34">
        <f>IF(B31="Custom", Q31, IF(B31="Imputation", INDEX('[3]Alt Est Detailed Bin Table'!$Z$10:$AK$132, MATCH(A31, '[3]Alt Est Detailed Bin Table'!$A$10:$A$132), MATCH(P31, '[3]Alt Est Detailed Bin Table'!$Z$9:$AK$9,0)), INDEX('[3]Detailed Bin Table'!$Z$9:$AK$132,MATCH($A31,'[3]Detailed Bin Table'!$A$9:$A$132,0),MATCH($B31,'[3]Detailed Bin Table'!$Z$9:$AK$9,0)))*24)</f>
        <v>1264.8000000000002</v>
      </c>
      <c r="H31" s="34">
        <f>IF(B31="Custom", Q31, IF(B31="Imputation", INDEX('[3]Alt Est Detailed Bin Table'!$AL$10:$AW$132, MATCH(A31, '[3]Alt Est Detailed Bin Table'!$A$10:$A$132), MATCH(P31, '[3]Alt Est Detailed Bin Table'!$AL$9:$AW$9,0)), INDEX('[3]Detailed Bin Table'!$AL$9:$AW$132,MATCH($A31,'[3]Detailed Bin Table'!$A$9:$A$132,0),MATCH($B31,'[3]Detailed Bin Table'!$AL$9:$AW$9,0)))*24)</f>
        <v>945.83999999999992</v>
      </c>
      <c r="I31" s="34">
        <f>IF(B31="Custom", Q31, IF(B31="Imputation", INDEX('[3]Alt Est Detailed Bin Table'!$AX$10:$BI$132, MATCH(A31, '[3]Alt Est Detailed Bin Table'!$A$10:$A$132), MATCH(P31, '[3]Alt Est Detailed Bin Table'!$AX$9:$BI$9,0)), INDEX('[3]Detailed Bin Table'!$AX$9:$BI$132,MATCH($A31,'[3]Detailed Bin Table'!$A$9:$A$132,0),MATCH($B31,'[3]Detailed Bin Table'!$AX$9:$BI$9,0)))*24)</f>
        <v>587.04</v>
      </c>
      <c r="J31" s="34">
        <f>IF(B31="Custom", V31, INDEX('[3]Detailed Bin Table'!$BJ$9:$BO$132,MATCH($A31,'[3]Detailed Bin Table'!$A$9:$A$132,0),MATCH($B31,'[3]Detailed Bin Table'!$BJ$9:$BO$9,0))*24)</f>
        <v>0</v>
      </c>
      <c r="K31" s="33">
        <f>IF(B31="Custom", Q31, IF(B31="Imputation", INDEX('[3]Alt Est Detailed Bin Table'!$BP$10:$CC$132, MATCH(A31, '[3]Alt Est Detailed Bin Table'!$A$10:$A$132), MATCH(P31, '[3]Alt Est Detailed Bin Table'!$BP$9:$CC$9,0)), INDEX('[3]Detailed Bin Table'!$BP$9:$CC$132,MATCH($A31,'[3]Detailed Bin Table'!$A$9:$A$132,0),MATCH($B31,'[3]Detailed Bin Table'!$BP$9:$CC$9,0)))*24)</f>
        <v>8477.2800000000097</v>
      </c>
      <c r="L31" s="223">
        <f>IF(B31="Custom", Q31, IF(B31="Imputation", INDEX('[3]Alt Est Detailed Bin Table'!$CD$10:$CK$132, MATCH(A31, '[3]Alt Est Detailed Bin Table'!$A$10:$A$132), MATCH(P31, '[3]Alt Est Detailed Bin Table'!$CD$9:$CK$9,0)), INDEX('[3]Detailed Bin Table'!$CD$9:$CK$132,MATCH($A31,'[3]Detailed Bin Table'!$A$9:$A$132,0),MATCH($B31,'[3]Detailed Bin Table'!$CD$9:$CK$9,0)))*24)</f>
        <v>223.92000000000002</v>
      </c>
      <c r="M31" s="34">
        <f>IF(B31="Custom", Q31, IF(B31="Imputation", INDEX('[3]Alt Est Detailed Bin Table'!$CL$10:$CS$132, MATCH(A31, '[3]Alt Est Detailed Bin Table'!$A$10:$A$132), MATCH(P31, '[3]Alt Est Detailed Bin Table'!$CL$9:$CS$9,0)), INDEX('[3]Detailed Bin Table'!$CL$9:$CS$132,MATCH($A31,'[3]Detailed Bin Table'!$A$9:$A$132,0),MATCH($B31,'[3]Detailed Bin Table'!$CL$9:$CS$9,0)))*24)</f>
        <v>41.519999999999996</v>
      </c>
      <c r="N31" s="34">
        <f>IF(B31="Custom", Q31, IF(B31="Imputation", INDEX('[3]Alt Est Detailed Bin Table'!$CT$10:$DA$132, MATCH(A31, '[3]Alt Est Detailed Bin Table'!$A$10:$A$132), MATCH(P31, '[3]Alt Est Detailed Bin Table'!$CT$9:$DA$9,0)), INDEX('[3]Detailed Bin Table'!$CT$9:$DA$132,MATCH($A31,'[3]Detailed Bin Table'!$A$9:$A$132,0),MATCH($B31,'[3]Detailed Bin Table'!$CT$9:$DA$9,0)))*24)</f>
        <v>99.600000000000009</v>
      </c>
      <c r="O31" s="34">
        <f>IF(B31="Custom", Q31, IF(B31="Imputation", INDEX('[3]Alt Est Detailed Bin Table'!$DB$10:$DI$132, MATCH(A31, '[3]Alt Est Detailed Bin Table'!$A$10:$A$132), MATCH(P31, '[3]Alt Est Detailed Bin Table'!$DB$9:$DI$9,0)), INDEX('[3]Detailed Bin Table'!$DB$9:$DI$132,MATCH($A31,'[3]Detailed Bin Table'!$A$9:$A$132,0),MATCH($B31,'[3]Detailed Bin Table'!$DB$9:$DI$9,0)))*24)</f>
        <v>71.039999999999992</v>
      </c>
      <c r="P31" s="215"/>
      <c r="Q31" s="62"/>
      <c r="R31" s="63"/>
      <c r="S31" s="63"/>
      <c r="T31" s="63"/>
      <c r="U31" s="63"/>
      <c r="V31" s="63"/>
      <c r="W31" s="64"/>
      <c r="X31" s="63"/>
      <c r="Y31" s="63"/>
      <c r="Z31" s="63"/>
      <c r="AA31" s="65"/>
      <c r="AB31" s="213" t="str">
        <f>IF(SUM(E31:O31)='[1]Passage Estimates'!$D31, "Ok", "Check")</f>
        <v>Ok</v>
      </c>
      <c r="AC31">
        <f>IF(B31="Custom",Q31,IF(B31="Imputation",INDEX('[3]Alt Est Detailed Bin Table'!$B$9:$M$132,MATCH(A31,'[3]Alt Est Detailed Bin Table'!$A$10:$A$132),MATCH(P31,'[3]Alt Est Detailed Bin Table'!$B$9:$M$9)),INDEX('[3]Detailed Bin Table'!$B$9:$M$132,MATCH($A31,'[3]Detailed Bin Table'!$A$9:$A$132,0),MATCH($B31,'[3]Detailed Bin Table'!$B$9:$M$9,0)))*24)</f>
        <v>704.88</v>
      </c>
    </row>
    <row r="32" spans="1:29" x14ac:dyDescent="0.3">
      <c r="A32" s="20">
        <f>'1. Mixture Model Inputs'!A32</f>
        <v>45134</v>
      </c>
      <c r="B32" s="13" t="str">
        <f>'[1]Passage Estimates'!$C32</f>
        <v>S1+M2+A2</v>
      </c>
      <c r="C32" s="207">
        <f>(61+687)</f>
        <v>748</v>
      </c>
      <c r="D32" s="209">
        <v>252</v>
      </c>
      <c r="E32" s="34">
        <f>IF(B32="Custom", Q32, IF(B32="Imputation", INDEX('[3]Alt Est Detailed Bin Table'!$B$10:$M$132, MATCH(A32, '[3]Alt Est Detailed Bin Table'!$A$10:$A$132), MATCH(P32, '[3]Alt Est Detailed Bin Table'!$B$9:$M$9,0)), INDEX('[3]Detailed Bin Table'!$B$9:$M$132,MATCH($A32,'[3]Detailed Bin Table'!$A$9:$A$132,0),MATCH($B32,'[3]Detailed Bin Table'!$B$9:$M$9,0)))*24)</f>
        <v>801.83999999999992</v>
      </c>
      <c r="F32" s="34">
        <f>IF(B32="Custom", Q32, IF(B32="Imputation", INDEX('[3]Alt Est Detailed Bin Table'!$N$10:$Y$132, MATCH(A32, '[3]Alt Est Detailed Bin Table'!$A$10:$A$132), MATCH(P32, '[3]Alt Est Detailed Bin Table'!$N$9:$Y$9,0)), INDEX('[3]Detailed Bin Table'!$N$9:$Y$132,MATCH($A32,'[3]Detailed Bin Table'!$A$9:$A$132,0),MATCH($B32,'[3]Detailed Bin Table'!$N$9:$Y$9,0)))*24)</f>
        <v>1102.08</v>
      </c>
      <c r="G32" s="34">
        <f>IF(B32="Custom", Q32, IF(B32="Imputation", INDEX('[3]Alt Est Detailed Bin Table'!$Z$10:$AK$132, MATCH(A32, '[3]Alt Est Detailed Bin Table'!$A$10:$A$132), MATCH(P32, '[3]Alt Est Detailed Bin Table'!$Z$9:$AK$9,0)), INDEX('[3]Detailed Bin Table'!$Z$9:$AK$132,MATCH($A32,'[3]Detailed Bin Table'!$A$9:$A$132,0),MATCH($B32,'[3]Detailed Bin Table'!$Z$9:$AK$9,0)))*24)</f>
        <v>765.84</v>
      </c>
      <c r="H32" s="34">
        <f>IF(B32="Custom", Q32, IF(B32="Imputation", INDEX('[3]Alt Est Detailed Bin Table'!$AL$10:$AW$132, MATCH(A32, '[3]Alt Est Detailed Bin Table'!$A$10:$A$132), MATCH(P32, '[3]Alt Est Detailed Bin Table'!$AL$9:$AW$9,0)), INDEX('[3]Detailed Bin Table'!$AL$9:$AW$132,MATCH($A32,'[3]Detailed Bin Table'!$A$9:$A$132,0),MATCH($B32,'[3]Detailed Bin Table'!$AL$9:$AW$9,0)))*24)</f>
        <v>766.56</v>
      </c>
      <c r="I32" s="34">
        <f>IF(B32="Custom", Q32, IF(B32="Imputation", INDEX('[3]Alt Est Detailed Bin Table'!$AX$10:$BI$132, MATCH(A32, '[3]Alt Est Detailed Bin Table'!$A$10:$A$132), MATCH(P32, '[3]Alt Est Detailed Bin Table'!$AX$9:$BI$9,0)), INDEX('[3]Detailed Bin Table'!$AX$9:$BI$132,MATCH($A32,'[3]Detailed Bin Table'!$A$9:$A$132,0),MATCH($B32,'[3]Detailed Bin Table'!$AX$9:$BI$9,0)))*24)</f>
        <v>432.96</v>
      </c>
      <c r="J32" s="34">
        <f>IF(B32="Custom", V32, INDEX('[3]Detailed Bin Table'!$BJ$9:$BO$132,MATCH($A32,'[3]Detailed Bin Table'!$A$9:$A$132,0),MATCH($B32,'[3]Detailed Bin Table'!$BJ$9:$BO$9,0))*24)</f>
        <v>0</v>
      </c>
      <c r="K32" s="33">
        <f>IF(B32="Custom", Q32, IF(B32="Imputation", INDEX('[3]Alt Est Detailed Bin Table'!$BP$10:$CC$132, MATCH(A32, '[3]Alt Est Detailed Bin Table'!$A$10:$A$132), MATCH(P32, '[3]Alt Est Detailed Bin Table'!$BP$9:$CC$9,0)), INDEX('[3]Detailed Bin Table'!$BP$9:$CC$132,MATCH($A32,'[3]Detailed Bin Table'!$A$9:$A$132,0),MATCH($B32,'[3]Detailed Bin Table'!$BP$9:$CC$9,0)))*24)</f>
        <v>7370.880000000001</v>
      </c>
      <c r="L32" s="223">
        <f>IF(B32="Custom", Q32, IF(B32="Imputation", INDEX('[3]Alt Est Detailed Bin Table'!$CD$10:$CK$132, MATCH(A32, '[3]Alt Est Detailed Bin Table'!$A$10:$A$132), MATCH(P32, '[3]Alt Est Detailed Bin Table'!$CD$9:$CK$9,0)), INDEX('[3]Detailed Bin Table'!$CD$9:$CK$132,MATCH($A32,'[3]Detailed Bin Table'!$A$9:$A$132,0),MATCH($B32,'[3]Detailed Bin Table'!$CD$9:$CK$9,0)))*24)</f>
        <v>-16.559999999999999</v>
      </c>
      <c r="M32" s="34">
        <f>IF(B32="Custom", Q32, IF(B32="Imputation", INDEX('[3]Alt Est Detailed Bin Table'!$CL$10:$CS$132, MATCH(A32, '[3]Alt Est Detailed Bin Table'!$A$10:$A$132), MATCH(P32, '[3]Alt Est Detailed Bin Table'!$CL$9:$CS$9,0)), INDEX('[3]Detailed Bin Table'!$CL$9:$CS$132,MATCH($A32,'[3]Detailed Bin Table'!$A$9:$A$132,0),MATCH($B32,'[3]Detailed Bin Table'!$CL$9:$CS$9,0)))*24)</f>
        <v>132.72</v>
      </c>
      <c r="N32" s="34">
        <f>IF(B32="Custom", Q32, IF(B32="Imputation", INDEX('[3]Alt Est Detailed Bin Table'!$CT$10:$DA$132, MATCH(A32, '[3]Alt Est Detailed Bin Table'!$A$10:$A$132), MATCH(P32, '[3]Alt Est Detailed Bin Table'!$CT$9:$DA$9,0)), INDEX('[3]Detailed Bin Table'!$CT$9:$DA$132,MATCH($A32,'[3]Detailed Bin Table'!$A$9:$A$132,0),MATCH($B32,'[3]Detailed Bin Table'!$CT$9:$DA$9,0)))*24)</f>
        <v>171.35999999999999</v>
      </c>
      <c r="O32" s="34">
        <f>IF(B32="Custom", Q32, IF(B32="Imputation", INDEX('[3]Alt Est Detailed Bin Table'!$DB$10:$DI$132, MATCH(A32, '[3]Alt Est Detailed Bin Table'!$A$10:$A$132), MATCH(P32, '[3]Alt Est Detailed Bin Table'!$DB$9:$DI$9,0)), INDEX('[3]Detailed Bin Table'!$DB$9:$DI$132,MATCH($A32,'[3]Detailed Bin Table'!$A$9:$A$132,0),MATCH($B32,'[3]Detailed Bin Table'!$DB$9:$DI$9,0)))*24)</f>
        <v>64.800000000000011</v>
      </c>
      <c r="P32" s="215"/>
      <c r="Q32" s="62"/>
      <c r="R32" s="63"/>
      <c r="S32" s="63"/>
      <c r="T32" s="63"/>
      <c r="U32" s="63"/>
      <c r="V32" s="63"/>
      <c r="W32" s="64"/>
      <c r="X32" s="63"/>
      <c r="Y32" s="63"/>
      <c r="Z32" s="63"/>
      <c r="AA32" s="65"/>
      <c r="AB32" s="213" t="str">
        <f>IF(SUM(E32:O32)='[1]Passage Estimates'!$D32, "Ok", "Check")</f>
        <v>Ok</v>
      </c>
      <c r="AC32">
        <f>IF(B32="Custom",Q32,IF(B32="Imputation",INDEX('[3]Alt Est Detailed Bin Table'!$B$9:$M$132,MATCH(A32,'[3]Alt Est Detailed Bin Table'!$A$10:$A$132),MATCH(P32,'[3]Alt Est Detailed Bin Table'!$B$9:$M$9)),INDEX('[3]Detailed Bin Table'!$B$9:$M$132,MATCH($A32,'[3]Detailed Bin Table'!$A$9:$A$132,0),MATCH($B32,'[3]Detailed Bin Table'!$B$9:$M$9,0)))*24)</f>
        <v>801.83999999999992</v>
      </c>
    </row>
    <row r="33" spans="1:31" x14ac:dyDescent="0.3">
      <c r="A33" s="20">
        <f>'1. Mixture Model Inputs'!A33</f>
        <v>45135</v>
      </c>
      <c r="B33" s="13" t="str">
        <f>'[1]Passage Estimates'!$C33</f>
        <v>S1+M2+A2</v>
      </c>
      <c r="C33" s="207">
        <v>243</v>
      </c>
      <c r="D33" s="209">
        <v>834</v>
      </c>
      <c r="E33" s="34">
        <f>IF(B33="Custom", Q33, IF(B33="Imputation", INDEX('[3]Alt Est Detailed Bin Table'!$B$10:$M$132, MATCH(A33, '[3]Alt Est Detailed Bin Table'!$A$10:$A$132), MATCH(P33, '[3]Alt Est Detailed Bin Table'!$B$9:$M$9,0)), INDEX('[3]Detailed Bin Table'!$B$9:$M$132,MATCH($A33,'[3]Detailed Bin Table'!$A$9:$A$132,0),MATCH($B33,'[3]Detailed Bin Table'!$B$9:$M$9,0)))*24)</f>
        <v>981.59999999999991</v>
      </c>
      <c r="F33" s="34">
        <f>IF(B33="Custom", Q33, IF(B33="Imputation", INDEX('[3]Alt Est Detailed Bin Table'!$N$10:$Y$132, MATCH(A33, '[3]Alt Est Detailed Bin Table'!$A$10:$A$132), MATCH(P33, '[3]Alt Est Detailed Bin Table'!$N$9:$Y$9,0)), INDEX('[3]Detailed Bin Table'!$N$9:$Y$132,MATCH($A33,'[3]Detailed Bin Table'!$A$9:$A$132,0),MATCH($B33,'[3]Detailed Bin Table'!$N$9:$Y$9,0)))*24)</f>
        <v>1242</v>
      </c>
      <c r="G33" s="34">
        <f>IF(B33="Custom", Q33, IF(B33="Imputation", INDEX('[3]Alt Est Detailed Bin Table'!$Z$10:$AK$132, MATCH(A33, '[3]Alt Est Detailed Bin Table'!$A$10:$A$132), MATCH(P33, '[3]Alt Est Detailed Bin Table'!$Z$9:$AK$9,0)), INDEX('[3]Detailed Bin Table'!$Z$9:$AK$132,MATCH($A33,'[3]Detailed Bin Table'!$A$9:$A$132,0),MATCH($B33,'[3]Detailed Bin Table'!$Z$9:$AK$9,0)))*24)</f>
        <v>910.80000000000007</v>
      </c>
      <c r="H33" s="34">
        <f>IF(B33="Custom", Q33, IF(B33="Imputation", INDEX('[3]Alt Est Detailed Bin Table'!$AL$10:$AW$132, MATCH(A33, '[3]Alt Est Detailed Bin Table'!$A$10:$A$132), MATCH(P33, '[3]Alt Est Detailed Bin Table'!$AL$9:$AW$9,0)), INDEX('[3]Detailed Bin Table'!$AL$9:$AW$132,MATCH($A33,'[3]Detailed Bin Table'!$A$9:$A$132,0),MATCH($B33,'[3]Detailed Bin Table'!$AL$9:$AW$9,0)))*24)</f>
        <v>536.40000000000009</v>
      </c>
      <c r="I33" s="34">
        <f>IF(B33="Custom", Q33, IF(B33="Imputation", INDEX('[3]Alt Est Detailed Bin Table'!$AX$10:$BI$132, MATCH(A33, '[3]Alt Est Detailed Bin Table'!$A$10:$A$132), MATCH(P33, '[3]Alt Est Detailed Bin Table'!$AX$9:$BI$9,0)), INDEX('[3]Detailed Bin Table'!$AX$9:$BI$132,MATCH($A33,'[3]Detailed Bin Table'!$A$9:$A$132,0),MATCH($B33,'[3]Detailed Bin Table'!$AX$9:$BI$9,0)))*24)</f>
        <v>383.04</v>
      </c>
      <c r="J33" s="34">
        <f>IF(B33="Custom", V33, INDEX('[3]Detailed Bin Table'!$BJ$9:$BO$132,MATCH($A33,'[3]Detailed Bin Table'!$A$9:$A$132,0),MATCH($B33,'[3]Detailed Bin Table'!$BJ$9:$BO$9,0))*24)</f>
        <v>0</v>
      </c>
      <c r="K33" s="33">
        <f>IF(B33="Custom", Q33, IF(B33="Imputation", INDEX('[3]Alt Est Detailed Bin Table'!$BP$10:$CC$132, MATCH(A33, '[3]Alt Est Detailed Bin Table'!$A$10:$A$132), MATCH(P33, '[3]Alt Est Detailed Bin Table'!$BP$9:$CC$9,0)), INDEX('[3]Detailed Bin Table'!$BP$9:$CC$132,MATCH($A33,'[3]Detailed Bin Table'!$A$9:$A$132,0),MATCH($B33,'[3]Detailed Bin Table'!$BP$9:$CC$9,0)))*24)</f>
        <v>5582.16</v>
      </c>
      <c r="L33" s="223">
        <f>IF(B33="Custom", Q33, IF(B33="Imputation", INDEX('[3]Alt Est Detailed Bin Table'!$CD$10:$CK$132, MATCH(A33, '[3]Alt Est Detailed Bin Table'!$A$10:$A$132), MATCH(P33, '[3]Alt Est Detailed Bin Table'!$CD$9:$CK$9,0)), INDEX('[3]Detailed Bin Table'!$CD$9:$CK$132,MATCH($A33,'[3]Detailed Bin Table'!$A$9:$A$132,0),MATCH($B33,'[3]Detailed Bin Table'!$CD$9:$CK$9,0)))*24)</f>
        <v>32.880000000000003</v>
      </c>
      <c r="M33" s="34">
        <f>IF(B33="Custom", Q33, IF(B33="Imputation", INDEX('[3]Alt Est Detailed Bin Table'!$CL$10:$CS$132, MATCH(A33, '[3]Alt Est Detailed Bin Table'!$A$10:$A$132), MATCH(P33, '[3]Alt Est Detailed Bin Table'!$CL$9:$CS$9,0)), INDEX('[3]Detailed Bin Table'!$CL$9:$CS$132,MATCH($A33,'[3]Detailed Bin Table'!$A$9:$A$132,0),MATCH($B33,'[3]Detailed Bin Table'!$CL$9:$CS$9,0)))*24)</f>
        <v>124.56</v>
      </c>
      <c r="N33" s="34">
        <f>IF(B33="Custom", Q33, IF(B33="Imputation", INDEX('[3]Alt Est Detailed Bin Table'!$CT$10:$DA$132, MATCH(A33, '[3]Alt Est Detailed Bin Table'!$A$10:$A$132), MATCH(P33, '[3]Alt Est Detailed Bin Table'!$CT$9:$DA$9,0)), INDEX('[3]Detailed Bin Table'!$CT$9:$DA$132,MATCH($A33,'[3]Detailed Bin Table'!$A$9:$A$132,0),MATCH($B33,'[3]Detailed Bin Table'!$CT$9:$DA$9,0)))*24)</f>
        <v>343.44</v>
      </c>
      <c r="O33" s="34">
        <f>IF(B33="Custom", Q33, IF(B33="Imputation", INDEX('[3]Alt Est Detailed Bin Table'!$DB$10:$DI$132, MATCH(A33, '[3]Alt Est Detailed Bin Table'!$A$10:$A$132), MATCH(P33, '[3]Alt Est Detailed Bin Table'!$DB$9:$DI$9,0)), INDEX('[3]Detailed Bin Table'!$DB$9:$DI$132,MATCH($A33,'[3]Detailed Bin Table'!$A$9:$A$132,0),MATCH($B33,'[3]Detailed Bin Table'!$DB$9:$DI$9,0)))*24)</f>
        <v>145.19999999999999</v>
      </c>
      <c r="P33" s="215"/>
      <c r="Q33" s="62"/>
      <c r="R33" s="63"/>
      <c r="S33" s="63"/>
      <c r="T33" s="63"/>
      <c r="U33" s="63"/>
      <c r="V33" s="63"/>
      <c r="W33" s="64"/>
      <c r="X33" s="63"/>
      <c r="Y33" s="63"/>
      <c r="Z33" s="63"/>
      <c r="AA33" s="65"/>
      <c r="AB33" s="213" t="str">
        <f>IF(SUM(E33:O33)='[1]Passage Estimates'!$D33, "Ok", "Check")</f>
        <v>Ok</v>
      </c>
      <c r="AC33">
        <f>IF(B33="Custom",Q33,IF(B33="Imputation",INDEX('[3]Alt Est Detailed Bin Table'!$B$9:$M$132,MATCH(A33,'[3]Alt Est Detailed Bin Table'!$A$10:$A$132),MATCH(P33,'[3]Alt Est Detailed Bin Table'!$B$9:$M$9)),INDEX('[3]Detailed Bin Table'!$B$9:$M$132,MATCH($A33,'[3]Detailed Bin Table'!$A$9:$A$132,0),MATCH($B33,'[3]Detailed Bin Table'!$B$9:$M$9,0)))*24)</f>
        <v>981.59999999999991</v>
      </c>
    </row>
    <row r="34" spans="1:31" x14ac:dyDescent="0.3">
      <c r="A34" s="20">
        <f>'1. Mixture Model Inputs'!A34</f>
        <v>45136</v>
      </c>
      <c r="B34" s="13" t="str">
        <f>'[1]Passage Estimates'!$C34</f>
        <v>S1+M2+A2</v>
      </c>
      <c r="C34" s="207">
        <v>223</v>
      </c>
      <c r="D34" s="209">
        <v>331</v>
      </c>
      <c r="E34" s="34">
        <f>IF(B34="Custom", Q34, IF(B34="Imputation", INDEX('[3]Alt Est Detailed Bin Table'!$B$10:$M$132, MATCH(A34, '[3]Alt Est Detailed Bin Table'!$A$10:$A$132), MATCH(P34, '[3]Alt Est Detailed Bin Table'!$B$9:$M$9,0)), INDEX('[3]Detailed Bin Table'!$B$9:$M$132,MATCH($A34,'[3]Detailed Bin Table'!$A$9:$A$132,0),MATCH($B34,'[3]Detailed Bin Table'!$B$9:$M$9,0)))*24)</f>
        <v>1172.1600000000001</v>
      </c>
      <c r="F34" s="34">
        <f>IF(B34="Custom", Q34, IF(B34="Imputation", INDEX('[3]Alt Est Detailed Bin Table'!$N$10:$Y$132, MATCH(A34, '[3]Alt Est Detailed Bin Table'!$A$10:$A$132), MATCH(P34, '[3]Alt Est Detailed Bin Table'!$N$9:$Y$9,0)), INDEX('[3]Detailed Bin Table'!$N$9:$Y$132,MATCH($A34,'[3]Detailed Bin Table'!$A$9:$A$132,0),MATCH($B34,'[3]Detailed Bin Table'!$N$9:$Y$9,0)))*24)</f>
        <v>1566.2400000000002</v>
      </c>
      <c r="G34" s="34">
        <f>IF(B34="Custom", Q34, IF(B34="Imputation", INDEX('[3]Alt Est Detailed Bin Table'!$Z$10:$AK$132, MATCH(A34, '[3]Alt Est Detailed Bin Table'!$A$10:$A$132), MATCH(P34, '[3]Alt Est Detailed Bin Table'!$Z$9:$AK$9,0)), INDEX('[3]Detailed Bin Table'!$Z$9:$AK$132,MATCH($A34,'[3]Detailed Bin Table'!$A$9:$A$132,0),MATCH($B34,'[3]Detailed Bin Table'!$Z$9:$AK$9,0)))*24)</f>
        <v>1200.96</v>
      </c>
      <c r="H34" s="34">
        <f>IF(B34="Custom", Q34, IF(B34="Imputation", INDEX('[3]Alt Est Detailed Bin Table'!$AL$10:$AW$132, MATCH(A34, '[3]Alt Est Detailed Bin Table'!$A$10:$A$132), MATCH(P34, '[3]Alt Est Detailed Bin Table'!$AL$9:$AW$9,0)), INDEX('[3]Detailed Bin Table'!$AL$9:$AW$132,MATCH($A34,'[3]Detailed Bin Table'!$A$9:$A$132,0),MATCH($B34,'[3]Detailed Bin Table'!$AL$9:$AW$9,0)))*24)</f>
        <v>856.56</v>
      </c>
      <c r="I34" s="34">
        <f>IF(B34="Custom", Q34, IF(B34="Imputation", INDEX('[3]Alt Est Detailed Bin Table'!$AX$10:$BI$132, MATCH(A34, '[3]Alt Est Detailed Bin Table'!$A$10:$A$132), MATCH(P34, '[3]Alt Est Detailed Bin Table'!$AX$9:$BI$9,0)), INDEX('[3]Detailed Bin Table'!$AX$9:$BI$132,MATCH($A34,'[3]Detailed Bin Table'!$A$9:$A$132,0),MATCH($B34,'[3]Detailed Bin Table'!$AX$9:$BI$9,0)))*24)</f>
        <v>368.4</v>
      </c>
      <c r="J34" s="34">
        <f>IF(B34="Custom", V34, INDEX('[3]Detailed Bin Table'!$BJ$9:$BO$132,MATCH($A34,'[3]Detailed Bin Table'!$A$9:$A$132,0),MATCH($B34,'[3]Detailed Bin Table'!$BJ$9:$BO$9,0))*24)</f>
        <v>0</v>
      </c>
      <c r="K34" s="33">
        <f>IF(B34="Custom", Q34, IF(B34="Imputation", INDEX('[3]Alt Est Detailed Bin Table'!$BP$10:$CC$132, MATCH(A34, '[3]Alt Est Detailed Bin Table'!$A$10:$A$132), MATCH(P34, '[3]Alt Est Detailed Bin Table'!$BP$9:$CC$9,0)), INDEX('[3]Detailed Bin Table'!$BP$9:$CC$132,MATCH($A34,'[3]Detailed Bin Table'!$A$9:$A$132,0),MATCH($B34,'[3]Detailed Bin Table'!$BP$9:$CC$9,0)))*24)</f>
        <v>6370.5600000000013</v>
      </c>
      <c r="L34" s="223">
        <f>IF(B34="Custom", Q34, IF(B34="Imputation", INDEX('[3]Alt Est Detailed Bin Table'!$CD$10:$CK$132, MATCH(A34, '[3]Alt Est Detailed Bin Table'!$A$10:$A$132), MATCH(P34, '[3]Alt Est Detailed Bin Table'!$CD$9:$CK$9,0)), INDEX('[3]Detailed Bin Table'!$CD$9:$CK$132,MATCH($A34,'[3]Detailed Bin Table'!$A$9:$A$132,0),MATCH($B34,'[3]Detailed Bin Table'!$CD$9:$CK$9,0)))*24)</f>
        <v>57.84</v>
      </c>
      <c r="M34" s="34">
        <f>IF(B34="Custom", Q34, IF(B34="Imputation", INDEX('[3]Alt Est Detailed Bin Table'!$CL$10:$CS$132, MATCH(A34, '[3]Alt Est Detailed Bin Table'!$A$10:$A$132), MATCH(P34, '[3]Alt Est Detailed Bin Table'!$CL$9:$CS$9,0)), INDEX('[3]Detailed Bin Table'!$CL$9:$CS$132,MATCH($A34,'[3]Detailed Bin Table'!$A$9:$A$132,0),MATCH($B34,'[3]Detailed Bin Table'!$CL$9:$CS$9,0)))*24)</f>
        <v>248.39999999999998</v>
      </c>
      <c r="N34" s="34">
        <f>IF(B34="Custom", Q34, IF(B34="Imputation", INDEX('[3]Alt Est Detailed Bin Table'!$CT$10:$DA$132, MATCH(A34, '[3]Alt Est Detailed Bin Table'!$A$10:$A$132), MATCH(P34, '[3]Alt Est Detailed Bin Table'!$CT$9:$DA$9,0)), INDEX('[3]Detailed Bin Table'!$CT$9:$DA$132,MATCH($A34,'[3]Detailed Bin Table'!$A$9:$A$132,0),MATCH($B34,'[3]Detailed Bin Table'!$CT$9:$DA$9,0)))*24)</f>
        <v>485.52</v>
      </c>
      <c r="O34" s="34">
        <f>IF(B34="Custom", Q34, IF(B34="Imputation", INDEX('[3]Alt Est Detailed Bin Table'!$DB$10:$DI$132, MATCH(A34, '[3]Alt Est Detailed Bin Table'!$A$10:$A$132), MATCH(P34, '[3]Alt Est Detailed Bin Table'!$DB$9:$DI$9,0)), INDEX('[3]Detailed Bin Table'!$DB$9:$DI$132,MATCH($A34,'[3]Detailed Bin Table'!$A$9:$A$132,0),MATCH($B34,'[3]Detailed Bin Table'!$DB$9:$DI$9,0)))*24)</f>
        <v>299.52</v>
      </c>
      <c r="P34" s="215"/>
      <c r="Q34" s="62"/>
      <c r="R34" s="63"/>
      <c r="S34" s="63"/>
      <c r="T34" s="63"/>
      <c r="U34" s="63"/>
      <c r="V34" s="63"/>
      <c r="W34" s="64"/>
      <c r="X34" s="63"/>
      <c r="Y34" s="63"/>
      <c r="Z34" s="63"/>
      <c r="AA34" s="65"/>
      <c r="AB34" s="213" t="str">
        <f>IF(SUM(E34:O34)='[1]Passage Estimates'!$D34, "Ok", "Check")</f>
        <v>Ok</v>
      </c>
      <c r="AC34">
        <f>IF(B34="Custom",Q34,IF(B34="Imputation",INDEX('[3]Alt Est Detailed Bin Table'!$B$9:$M$132,MATCH(A34,'[3]Alt Est Detailed Bin Table'!$A$10:$A$132),MATCH(P34,'[3]Alt Est Detailed Bin Table'!$B$9:$M$9)),INDEX('[3]Detailed Bin Table'!$B$9:$M$132,MATCH($A34,'[3]Detailed Bin Table'!$A$9:$A$132,0),MATCH($B34,'[3]Detailed Bin Table'!$B$9:$M$9,0)))*24)</f>
        <v>1172.1600000000001</v>
      </c>
    </row>
    <row r="35" spans="1:31" x14ac:dyDescent="0.3">
      <c r="A35" s="20">
        <f>'1. Mixture Model Inputs'!A35</f>
        <v>45137</v>
      </c>
      <c r="B35" s="13" t="str">
        <f>'[1]Passage Estimates'!$C35</f>
        <v>S1+M2+A2</v>
      </c>
      <c r="C35" s="207">
        <v>102</v>
      </c>
      <c r="D35" s="209">
        <v>622</v>
      </c>
      <c r="E35" s="34">
        <f>IF(B35="Custom", Q35, IF(B35="Imputation", INDEX('[3]Alt Est Detailed Bin Table'!$B$10:$M$132, MATCH(A35, '[3]Alt Est Detailed Bin Table'!$A$10:$A$132), MATCH(P35, '[3]Alt Est Detailed Bin Table'!$B$9:$M$9,0)), INDEX('[3]Detailed Bin Table'!$B$9:$M$132,MATCH($A35,'[3]Detailed Bin Table'!$A$9:$A$132,0),MATCH($B35,'[3]Detailed Bin Table'!$B$9:$M$9,0)))*24)</f>
        <v>876</v>
      </c>
      <c r="F35" s="34">
        <f>IF(B35="Custom", Q35, IF(B35="Imputation", INDEX('[3]Alt Est Detailed Bin Table'!$N$10:$Y$132, MATCH(A35, '[3]Alt Est Detailed Bin Table'!$A$10:$A$132), MATCH(P35, '[3]Alt Est Detailed Bin Table'!$N$9:$Y$9,0)), INDEX('[3]Detailed Bin Table'!$N$9:$Y$132,MATCH($A35,'[3]Detailed Bin Table'!$A$9:$A$132,0),MATCH($B35,'[3]Detailed Bin Table'!$N$9:$Y$9,0)))*24)</f>
        <v>1178.8799999999999</v>
      </c>
      <c r="G35" s="34">
        <f>IF(B35="Custom", Q35, IF(B35="Imputation", INDEX('[3]Alt Est Detailed Bin Table'!$Z$10:$AK$132, MATCH(A35, '[3]Alt Est Detailed Bin Table'!$A$10:$A$132), MATCH(P35, '[3]Alt Est Detailed Bin Table'!$Z$9:$AK$9,0)), INDEX('[3]Detailed Bin Table'!$Z$9:$AK$132,MATCH($A35,'[3]Detailed Bin Table'!$A$9:$A$132,0),MATCH($B35,'[3]Detailed Bin Table'!$Z$9:$AK$9,0)))*24)</f>
        <v>896.87999999999988</v>
      </c>
      <c r="H35" s="34">
        <f>IF(B35="Custom", Q35, IF(B35="Imputation", INDEX('[3]Alt Est Detailed Bin Table'!$AL$10:$AW$132, MATCH(A35, '[3]Alt Est Detailed Bin Table'!$A$10:$A$132), MATCH(P35, '[3]Alt Est Detailed Bin Table'!$AL$9:$AW$9,0)), INDEX('[3]Detailed Bin Table'!$AL$9:$AW$132,MATCH($A35,'[3]Detailed Bin Table'!$A$9:$A$132,0),MATCH($B35,'[3]Detailed Bin Table'!$AL$9:$AW$9,0)))*24)</f>
        <v>1051.1999999999998</v>
      </c>
      <c r="I35" s="34">
        <f>IF(B35="Custom", Q35, IF(B35="Imputation", INDEX('[3]Alt Est Detailed Bin Table'!$AX$10:$BI$132, MATCH(A35, '[3]Alt Est Detailed Bin Table'!$A$10:$A$132), MATCH(P35, '[3]Alt Est Detailed Bin Table'!$AX$9:$BI$9,0)), INDEX('[3]Detailed Bin Table'!$AX$9:$BI$132,MATCH($A35,'[3]Detailed Bin Table'!$A$9:$A$132,0),MATCH($B35,'[3]Detailed Bin Table'!$AX$9:$BI$9,0)))*24)</f>
        <v>648.71999999999991</v>
      </c>
      <c r="J35" s="34">
        <f>IF(B35="Custom", V35, INDEX('[3]Detailed Bin Table'!$BJ$9:$BO$132,MATCH($A35,'[3]Detailed Bin Table'!$A$9:$A$132,0),MATCH($B35,'[3]Detailed Bin Table'!$BJ$9:$BO$9,0))*24)</f>
        <v>0</v>
      </c>
      <c r="K35" s="33">
        <f>IF(B35="Custom", Q35, IF(B35="Imputation", INDEX('[3]Alt Est Detailed Bin Table'!$BP$10:$CC$132, MATCH(A35, '[3]Alt Est Detailed Bin Table'!$A$10:$A$132), MATCH(P35, '[3]Alt Est Detailed Bin Table'!$BP$9:$CC$9,0)), INDEX('[3]Detailed Bin Table'!$BP$9:$CC$132,MATCH($A35,'[3]Detailed Bin Table'!$A$9:$A$132,0),MATCH($B35,'[3]Detailed Bin Table'!$BP$9:$CC$9,0)))*24)</f>
        <v>4337.760000000002</v>
      </c>
      <c r="L35" s="223">
        <f>IF(B35="Custom", Q35, IF(B35="Imputation", INDEX('[3]Alt Est Detailed Bin Table'!$CD$10:$CK$132, MATCH(A35, '[3]Alt Est Detailed Bin Table'!$A$10:$A$132), MATCH(P35, '[3]Alt Est Detailed Bin Table'!$CD$9:$CK$9,0)), INDEX('[3]Detailed Bin Table'!$CD$9:$CK$132,MATCH($A35,'[3]Detailed Bin Table'!$A$9:$A$132,0),MATCH($B35,'[3]Detailed Bin Table'!$CD$9:$CK$9,0)))*24)</f>
        <v>263.52</v>
      </c>
      <c r="M35" s="34">
        <f>IF(B35="Custom", Q35, IF(B35="Imputation", INDEX('[3]Alt Est Detailed Bin Table'!$CL$10:$CS$132, MATCH(A35, '[3]Alt Est Detailed Bin Table'!$A$10:$A$132), MATCH(P35, '[3]Alt Est Detailed Bin Table'!$CL$9:$CS$9,0)), INDEX('[3]Detailed Bin Table'!$CL$9:$CS$132,MATCH($A35,'[3]Detailed Bin Table'!$A$9:$A$132,0),MATCH($B35,'[3]Detailed Bin Table'!$CL$9:$CS$9,0)))*24)</f>
        <v>377.76</v>
      </c>
      <c r="N35" s="34">
        <f>IF(B35="Custom", Q35, IF(B35="Imputation", INDEX('[3]Alt Est Detailed Bin Table'!$CT$10:$DA$132, MATCH(A35, '[3]Alt Est Detailed Bin Table'!$A$10:$A$132), MATCH(P35, '[3]Alt Est Detailed Bin Table'!$CT$9:$DA$9,0)), INDEX('[3]Detailed Bin Table'!$CT$9:$DA$132,MATCH($A35,'[3]Detailed Bin Table'!$A$9:$A$132,0),MATCH($B35,'[3]Detailed Bin Table'!$CT$9:$DA$9,0)))*24)</f>
        <v>306.48</v>
      </c>
      <c r="O35" s="34">
        <f>IF(B35="Custom", Q35, IF(B35="Imputation", INDEX('[3]Alt Est Detailed Bin Table'!$DB$10:$DI$132, MATCH(A35, '[3]Alt Est Detailed Bin Table'!$A$10:$A$132), MATCH(P35, '[3]Alt Est Detailed Bin Table'!$DB$9:$DI$9,0)), INDEX('[3]Detailed Bin Table'!$DB$9:$DI$132,MATCH($A35,'[3]Detailed Bin Table'!$A$9:$A$132,0),MATCH($B35,'[3]Detailed Bin Table'!$DB$9:$DI$9,0)))*24)</f>
        <v>264.48</v>
      </c>
      <c r="P35" s="215"/>
      <c r="Q35" s="62"/>
      <c r="R35" s="63"/>
      <c r="S35" s="63"/>
      <c r="T35" s="63"/>
      <c r="U35" s="63"/>
      <c r="V35" s="63"/>
      <c r="W35" s="64"/>
      <c r="X35" s="63"/>
      <c r="Y35" s="63"/>
      <c r="Z35" s="63"/>
      <c r="AA35" s="65"/>
      <c r="AB35" s="213" t="str">
        <f>IF(SUM(E35:O35)='[1]Passage Estimates'!$D35, "Ok", "Check")</f>
        <v>Ok</v>
      </c>
      <c r="AC35">
        <f>IF(B35="Custom",Q35,IF(B35="Imputation",INDEX('[3]Alt Est Detailed Bin Table'!$B$9:$M$132,MATCH(A35,'[3]Alt Est Detailed Bin Table'!$A$10:$A$132),MATCH(P35,'[3]Alt Est Detailed Bin Table'!$B$9:$M$9)),INDEX('[3]Detailed Bin Table'!$B$9:$M$132,MATCH($A35,'[3]Detailed Bin Table'!$A$9:$A$132,0),MATCH($B35,'[3]Detailed Bin Table'!$B$9:$M$9,0)))*24)</f>
        <v>876</v>
      </c>
    </row>
    <row r="36" spans="1:31" x14ac:dyDescent="0.3">
      <c r="A36" s="20">
        <f>'1. Mixture Model Inputs'!A36</f>
        <v>45138</v>
      </c>
      <c r="B36" s="13" t="str">
        <f>'[1]Passage Estimates'!$C36</f>
        <v>S1+M2+A2</v>
      </c>
      <c r="C36" s="207">
        <v>142</v>
      </c>
      <c r="D36" s="209">
        <v>677</v>
      </c>
      <c r="E36" s="34">
        <f>IF(B36="Custom", Q36, IF(B36="Imputation", INDEX('[3]Alt Est Detailed Bin Table'!$B$10:$M$132, MATCH(A36, '[3]Alt Est Detailed Bin Table'!$A$10:$A$132), MATCH(P36, '[3]Alt Est Detailed Bin Table'!$B$9:$M$9,0)), INDEX('[3]Detailed Bin Table'!$B$9:$M$132,MATCH($A36,'[3]Detailed Bin Table'!$A$9:$A$132,0),MATCH($B36,'[3]Detailed Bin Table'!$B$9:$M$9,0)))*24)</f>
        <v>750.24</v>
      </c>
      <c r="F36" s="34">
        <f>IF(B36="Custom", Q36, IF(B36="Imputation", INDEX('[3]Alt Est Detailed Bin Table'!$N$10:$Y$132, MATCH(A36, '[3]Alt Est Detailed Bin Table'!$A$10:$A$132), MATCH(P36, '[3]Alt Est Detailed Bin Table'!$N$9:$Y$9,0)), INDEX('[3]Detailed Bin Table'!$N$9:$Y$132,MATCH($A36,'[3]Detailed Bin Table'!$A$9:$A$132,0),MATCH($B36,'[3]Detailed Bin Table'!$N$9:$Y$9,0)))*24)</f>
        <v>1304.1599999999999</v>
      </c>
      <c r="G36" s="34">
        <f>IF(B36="Custom", Q36, IF(B36="Imputation", INDEX('[3]Alt Est Detailed Bin Table'!$Z$10:$AK$132, MATCH(A36, '[3]Alt Est Detailed Bin Table'!$A$10:$A$132), MATCH(P36, '[3]Alt Est Detailed Bin Table'!$Z$9:$AK$9,0)), INDEX('[3]Detailed Bin Table'!$Z$9:$AK$132,MATCH($A36,'[3]Detailed Bin Table'!$A$9:$A$132,0),MATCH($B36,'[3]Detailed Bin Table'!$Z$9:$AK$9,0)))*24)</f>
        <v>1540.56</v>
      </c>
      <c r="H36" s="34">
        <f>IF(B36="Custom", Q36, IF(B36="Imputation", INDEX('[3]Alt Est Detailed Bin Table'!$AL$10:$AW$132, MATCH(A36, '[3]Alt Est Detailed Bin Table'!$A$10:$A$132), MATCH(P36, '[3]Alt Est Detailed Bin Table'!$AL$9:$AW$9,0)), INDEX('[3]Detailed Bin Table'!$AL$9:$AW$132,MATCH($A36,'[3]Detailed Bin Table'!$A$9:$A$132,0),MATCH($B36,'[3]Detailed Bin Table'!$AL$9:$AW$9,0)))*24)</f>
        <v>1165.44</v>
      </c>
      <c r="I36" s="34">
        <f>IF(B36="Custom", Q36, IF(B36="Imputation", INDEX('[3]Alt Est Detailed Bin Table'!$AX$10:$BI$132, MATCH(A36, '[3]Alt Est Detailed Bin Table'!$A$10:$A$132), MATCH(P36, '[3]Alt Est Detailed Bin Table'!$AX$9:$BI$9,0)), INDEX('[3]Detailed Bin Table'!$AX$9:$BI$132,MATCH($A36,'[3]Detailed Bin Table'!$A$9:$A$132,0),MATCH($B36,'[3]Detailed Bin Table'!$AX$9:$BI$9,0)))*24)</f>
        <v>940.31999999999994</v>
      </c>
      <c r="J36" s="34">
        <f>IF(B36="Custom", V36, INDEX('[3]Detailed Bin Table'!$BJ$9:$BO$132,MATCH($A36,'[3]Detailed Bin Table'!$A$9:$A$132,0),MATCH($B36,'[3]Detailed Bin Table'!$BJ$9:$BO$9,0))*24)</f>
        <v>0</v>
      </c>
      <c r="K36" s="33">
        <f>IF(B36="Custom", Q36, IF(B36="Imputation", INDEX('[3]Alt Est Detailed Bin Table'!$BP$10:$CC$132, MATCH(A36, '[3]Alt Est Detailed Bin Table'!$A$10:$A$132), MATCH(P36, '[3]Alt Est Detailed Bin Table'!$BP$9:$CC$9,0)), INDEX('[3]Detailed Bin Table'!$BP$9:$CC$132,MATCH($A36,'[3]Detailed Bin Table'!$A$9:$A$132,0),MATCH($B36,'[3]Detailed Bin Table'!$BP$9:$CC$9,0)))*24)</f>
        <v>8228.4000000000015</v>
      </c>
      <c r="L36" s="223">
        <f>IF(B36="Custom", Q36, IF(B36="Imputation", INDEX('[3]Alt Est Detailed Bin Table'!$CD$10:$CK$132, MATCH(A36, '[3]Alt Est Detailed Bin Table'!$A$10:$A$132), MATCH(P36, '[3]Alt Est Detailed Bin Table'!$CD$9:$CK$9,0)), INDEX('[3]Detailed Bin Table'!$CD$9:$CK$132,MATCH($A36,'[3]Detailed Bin Table'!$A$9:$A$132,0),MATCH($B36,'[3]Detailed Bin Table'!$CD$9:$CK$9,0)))*24)</f>
        <v>128.88</v>
      </c>
      <c r="M36" s="34">
        <f>IF(B36="Custom", Q36, IF(B36="Imputation", INDEX('[3]Alt Est Detailed Bin Table'!$CL$10:$CS$132, MATCH(A36, '[3]Alt Est Detailed Bin Table'!$A$10:$A$132), MATCH(P36, '[3]Alt Est Detailed Bin Table'!$CL$9:$CS$9,0)), INDEX('[3]Detailed Bin Table'!$CL$9:$CS$132,MATCH($A36,'[3]Detailed Bin Table'!$A$9:$A$132,0),MATCH($B36,'[3]Detailed Bin Table'!$CL$9:$CS$9,0)))*24)</f>
        <v>120.72</v>
      </c>
      <c r="N36" s="34">
        <f>IF(B36="Custom", Q36, IF(B36="Imputation", INDEX('[3]Alt Est Detailed Bin Table'!$CT$10:$DA$132, MATCH(A36, '[3]Alt Est Detailed Bin Table'!$A$10:$A$132), MATCH(P36, '[3]Alt Est Detailed Bin Table'!$CT$9:$DA$9,0)), INDEX('[3]Detailed Bin Table'!$CT$9:$DA$132,MATCH($A36,'[3]Detailed Bin Table'!$A$9:$A$132,0),MATCH($B36,'[3]Detailed Bin Table'!$CT$9:$DA$9,0)))*24)</f>
        <v>390</v>
      </c>
      <c r="O36" s="34">
        <f>IF(B36="Custom", Q36, IF(B36="Imputation", INDEX('[3]Alt Est Detailed Bin Table'!$DB$10:$DI$132, MATCH(A36, '[3]Alt Est Detailed Bin Table'!$A$10:$A$132), MATCH(P36, '[3]Alt Est Detailed Bin Table'!$DB$9:$DI$9,0)), INDEX('[3]Detailed Bin Table'!$DB$9:$DI$132,MATCH($A36,'[3]Detailed Bin Table'!$A$9:$A$132,0),MATCH($B36,'[3]Detailed Bin Table'!$DB$9:$DI$9,0)))*24)</f>
        <v>230.39999999999998</v>
      </c>
      <c r="P36" s="215"/>
      <c r="Q36" s="62"/>
      <c r="R36" s="63"/>
      <c r="S36" s="63"/>
      <c r="T36" s="63"/>
      <c r="U36" s="63"/>
      <c r="V36" s="63"/>
      <c r="W36" s="64"/>
      <c r="X36" s="63"/>
      <c r="Y36" s="63"/>
      <c r="Z36" s="63"/>
      <c r="AA36" s="65"/>
      <c r="AB36" s="213" t="str">
        <f>IF(SUM(E36:O36)='[1]Passage Estimates'!$D36, "Ok", "Check")</f>
        <v>Ok</v>
      </c>
      <c r="AC36">
        <f>IF(B36="Custom",Q36,IF(B36="Imputation",INDEX('[3]Alt Est Detailed Bin Table'!$B$9:$M$132,MATCH(A36,'[3]Alt Est Detailed Bin Table'!$A$10:$A$132),MATCH(P36,'[3]Alt Est Detailed Bin Table'!$B$9:$M$9)),INDEX('[3]Detailed Bin Table'!$B$9:$M$132,MATCH($A36,'[3]Detailed Bin Table'!$A$9:$A$132,0),MATCH($B36,'[3]Detailed Bin Table'!$B$9:$M$9,0)))*24)</f>
        <v>750.24</v>
      </c>
    </row>
    <row r="37" spans="1:31" x14ac:dyDescent="0.3">
      <c r="A37" s="20">
        <f>'1. Mixture Model Inputs'!A37</f>
        <v>45139</v>
      </c>
      <c r="B37" s="13" t="str">
        <f>'[1]Passage Estimates'!$C37</f>
        <v>S1+M2+A2</v>
      </c>
      <c r="C37" s="207">
        <f>(131+506)</f>
        <v>637</v>
      </c>
      <c r="D37" s="209">
        <v>644</v>
      </c>
      <c r="E37" s="34">
        <f>IF(B37="Custom", Q37, IF(B37="Imputation", INDEX('[3]Alt Est Detailed Bin Table'!$B$10:$M$132, MATCH(A37, '[3]Alt Est Detailed Bin Table'!$A$10:$A$132), MATCH(P37, '[3]Alt Est Detailed Bin Table'!$B$9:$M$9,0)), INDEX('[3]Detailed Bin Table'!$B$9:$M$132,MATCH($A37,'[3]Detailed Bin Table'!$A$9:$A$132,0),MATCH($B37,'[3]Detailed Bin Table'!$B$9:$M$9,0)))*24)</f>
        <v>622.80000000000007</v>
      </c>
      <c r="F37" s="34">
        <f>IF(B37="Custom", Q37, IF(B37="Imputation", INDEX('[3]Alt Est Detailed Bin Table'!$N$10:$Y$132, MATCH(A37, '[3]Alt Est Detailed Bin Table'!$A$10:$A$132), MATCH(P37, '[3]Alt Est Detailed Bin Table'!$N$9:$Y$9,0)), INDEX('[3]Detailed Bin Table'!$N$9:$Y$132,MATCH($A37,'[3]Detailed Bin Table'!$A$9:$A$132,0),MATCH($B37,'[3]Detailed Bin Table'!$N$9:$Y$9,0)))*24)</f>
        <v>903.11999999999989</v>
      </c>
      <c r="G37" s="34">
        <f>IF(B37="Custom", Q37, IF(B37="Imputation", INDEX('[3]Alt Est Detailed Bin Table'!$Z$10:$AK$132, MATCH(A37, '[3]Alt Est Detailed Bin Table'!$A$10:$A$132), MATCH(P37, '[3]Alt Est Detailed Bin Table'!$Z$9:$AK$9,0)), INDEX('[3]Detailed Bin Table'!$Z$9:$AK$132,MATCH($A37,'[3]Detailed Bin Table'!$A$9:$A$132,0),MATCH($B37,'[3]Detailed Bin Table'!$Z$9:$AK$9,0)))*24)</f>
        <v>1101.8399999999999</v>
      </c>
      <c r="H37" s="34">
        <f>IF(B37="Custom", Q37, IF(B37="Imputation", INDEX('[3]Alt Est Detailed Bin Table'!$AL$10:$AW$132, MATCH(A37, '[3]Alt Est Detailed Bin Table'!$A$10:$A$132), MATCH(P37, '[3]Alt Est Detailed Bin Table'!$AL$9:$AW$9,0)), INDEX('[3]Detailed Bin Table'!$AL$9:$AW$132,MATCH($A37,'[3]Detailed Bin Table'!$A$9:$A$132,0),MATCH($B37,'[3]Detailed Bin Table'!$AL$9:$AW$9,0)))*24)</f>
        <v>808.31999999999994</v>
      </c>
      <c r="I37" s="34">
        <f>IF(B37="Custom", Q37, IF(B37="Imputation", INDEX('[3]Alt Est Detailed Bin Table'!$AX$10:$BI$132, MATCH(A37, '[3]Alt Est Detailed Bin Table'!$A$10:$A$132), MATCH(P37, '[3]Alt Est Detailed Bin Table'!$AX$9:$BI$9,0)), INDEX('[3]Detailed Bin Table'!$AX$9:$BI$132,MATCH($A37,'[3]Detailed Bin Table'!$A$9:$A$132,0),MATCH($B37,'[3]Detailed Bin Table'!$AX$9:$BI$9,0)))*24)</f>
        <v>971.76</v>
      </c>
      <c r="J37" s="34">
        <f>IF(B37="Custom", V37, INDEX('[3]Detailed Bin Table'!$BJ$9:$BO$132,MATCH($A37,'[3]Detailed Bin Table'!$A$9:$A$132,0),MATCH($B37,'[3]Detailed Bin Table'!$BJ$9:$BO$9,0))*24)</f>
        <v>0</v>
      </c>
      <c r="K37" s="33">
        <f>IF(B37="Custom", Q37, IF(B37="Imputation", INDEX('[3]Alt Est Detailed Bin Table'!$BP$10:$CC$132, MATCH(A37, '[3]Alt Est Detailed Bin Table'!$A$10:$A$132), MATCH(P37, '[3]Alt Est Detailed Bin Table'!$BP$9:$CC$9,0)), INDEX('[3]Detailed Bin Table'!$BP$9:$CC$132,MATCH($A37,'[3]Detailed Bin Table'!$A$9:$A$132,0),MATCH($B37,'[3]Detailed Bin Table'!$BP$9:$CC$9,0)))*24)</f>
        <v>8679.600000000004</v>
      </c>
      <c r="L37" s="223">
        <f>IF(B37="Custom", Q37, IF(B37="Imputation", INDEX('[3]Alt Est Detailed Bin Table'!$CD$10:$CK$132, MATCH(A37, '[3]Alt Est Detailed Bin Table'!$A$10:$A$132), MATCH(P37, '[3]Alt Est Detailed Bin Table'!$CD$9:$CK$9,0)), INDEX('[3]Detailed Bin Table'!$CD$9:$CK$132,MATCH($A37,'[3]Detailed Bin Table'!$A$9:$A$132,0),MATCH($B37,'[3]Detailed Bin Table'!$CD$9:$CK$9,0)))*24)</f>
        <v>-271.68</v>
      </c>
      <c r="M37" s="34">
        <f>IF(B37="Custom", Q37, IF(B37="Imputation", INDEX('[3]Alt Est Detailed Bin Table'!$CL$10:$CS$132, MATCH(A37, '[3]Alt Est Detailed Bin Table'!$A$10:$A$132), MATCH(P37, '[3]Alt Est Detailed Bin Table'!$CL$9:$CS$9,0)), INDEX('[3]Detailed Bin Table'!$CL$9:$CS$132,MATCH($A37,'[3]Detailed Bin Table'!$A$9:$A$132,0),MATCH($B37,'[3]Detailed Bin Table'!$CL$9:$CS$9,0)))*24)</f>
        <v>-84</v>
      </c>
      <c r="N37" s="34">
        <f>IF(B37="Custom", Q37, IF(B37="Imputation", INDEX('[3]Alt Est Detailed Bin Table'!$CT$10:$DA$132, MATCH(A37, '[3]Alt Est Detailed Bin Table'!$A$10:$A$132), MATCH(P37, '[3]Alt Est Detailed Bin Table'!$CT$9:$DA$9,0)), INDEX('[3]Detailed Bin Table'!$CT$9:$DA$132,MATCH($A37,'[3]Detailed Bin Table'!$A$9:$A$132,0),MATCH($B37,'[3]Detailed Bin Table'!$CT$9:$DA$9,0)))*24)</f>
        <v>78</v>
      </c>
      <c r="O37" s="34">
        <f>IF(B37="Custom", Q37, IF(B37="Imputation", INDEX('[3]Alt Est Detailed Bin Table'!$DB$10:$DI$132, MATCH(A37, '[3]Alt Est Detailed Bin Table'!$A$10:$A$132), MATCH(P37, '[3]Alt Est Detailed Bin Table'!$DB$9:$DI$9,0)), INDEX('[3]Detailed Bin Table'!$DB$9:$DI$132,MATCH($A37,'[3]Detailed Bin Table'!$A$9:$A$132,0),MATCH($B37,'[3]Detailed Bin Table'!$DB$9:$DI$9,0)))*24)</f>
        <v>125.03999999999999</v>
      </c>
      <c r="P37" s="215"/>
      <c r="Q37" s="62"/>
      <c r="R37" s="63"/>
      <c r="S37" s="63"/>
      <c r="T37" s="63"/>
      <c r="U37" s="63"/>
      <c r="V37" s="63"/>
      <c r="W37" s="64"/>
      <c r="X37" s="63"/>
      <c r="Y37" s="63"/>
      <c r="Z37" s="63"/>
      <c r="AA37" s="65"/>
      <c r="AB37" s="213" t="str">
        <f>IF(SUM(E37:O37)='[1]Passage Estimates'!$D37, "Ok", "Check")</f>
        <v>Ok</v>
      </c>
      <c r="AC37">
        <f>IF(B37="Custom",Q37,IF(B37="Imputation",INDEX('[3]Alt Est Detailed Bin Table'!$B$9:$M$132,MATCH(A37,'[3]Alt Est Detailed Bin Table'!$A$10:$A$132),MATCH(P37,'[3]Alt Est Detailed Bin Table'!$B$9:$M$9)),INDEX('[3]Detailed Bin Table'!$B$9:$M$132,MATCH($A37,'[3]Detailed Bin Table'!$A$9:$A$132,0),MATCH($B37,'[3]Detailed Bin Table'!$B$9:$M$9,0)))*24)</f>
        <v>622.80000000000007</v>
      </c>
    </row>
    <row r="38" spans="1:31" x14ac:dyDescent="0.3">
      <c r="A38" s="20">
        <f>'1. Mixture Model Inputs'!A38</f>
        <v>45140</v>
      </c>
      <c r="B38" s="13" t="str">
        <f>'[1]Passage Estimates'!$C38</f>
        <v>S1+M2+A2</v>
      </c>
      <c r="C38" s="55">
        <f>(103+723)</f>
        <v>826</v>
      </c>
      <c r="D38" s="209">
        <v>1018</v>
      </c>
      <c r="E38" s="34">
        <f>IF(B38="Custom", Q38, IF(B38="Imputation", INDEX('[3]Alt Est Detailed Bin Table'!$B$10:$M$132, MATCH(A38, '[3]Alt Est Detailed Bin Table'!$A$10:$A$132), MATCH(P38, '[3]Alt Est Detailed Bin Table'!$B$9:$M$9,0)), INDEX('[3]Detailed Bin Table'!$B$9:$M$132,MATCH($A38,'[3]Detailed Bin Table'!$A$9:$A$132,0),MATCH($B38,'[3]Detailed Bin Table'!$B$9:$M$9,0)))*24)</f>
        <v>684</v>
      </c>
      <c r="F38" s="34">
        <f>IF(B38="Custom", Q38, IF(B38="Imputation", INDEX('[3]Alt Est Detailed Bin Table'!$N$10:$Y$132, MATCH(A38, '[3]Alt Est Detailed Bin Table'!$A$10:$A$132), MATCH(P38, '[3]Alt Est Detailed Bin Table'!$N$9:$Y$9,0)), INDEX('[3]Detailed Bin Table'!$N$9:$Y$132,MATCH($A38,'[3]Detailed Bin Table'!$A$9:$A$132,0),MATCH($B38,'[3]Detailed Bin Table'!$N$9:$Y$9,0)))*24)</f>
        <v>1311.84</v>
      </c>
      <c r="G38" s="34">
        <f>IF(B38="Custom", Q38, IF(B38="Imputation", INDEX('[3]Alt Est Detailed Bin Table'!$Z$10:$AK$132, MATCH(A38, '[3]Alt Est Detailed Bin Table'!$A$10:$A$132), MATCH(P38, '[3]Alt Est Detailed Bin Table'!$Z$9:$AK$9,0)), INDEX('[3]Detailed Bin Table'!$Z$9:$AK$132,MATCH($A38,'[3]Detailed Bin Table'!$A$9:$A$132,0),MATCH($B38,'[3]Detailed Bin Table'!$Z$9:$AK$9,0)))*24)</f>
        <v>1578.2399999999998</v>
      </c>
      <c r="H38" s="34">
        <f>IF(B38="Custom", Q38, IF(B38="Imputation", INDEX('[3]Alt Est Detailed Bin Table'!$AL$10:$AW$132, MATCH(A38, '[3]Alt Est Detailed Bin Table'!$A$10:$A$132), MATCH(P38, '[3]Alt Est Detailed Bin Table'!$AL$9:$AW$9,0)), INDEX('[3]Detailed Bin Table'!$AL$9:$AW$132,MATCH($A38,'[3]Detailed Bin Table'!$A$9:$A$132,0),MATCH($B38,'[3]Detailed Bin Table'!$AL$9:$AW$9,0)))*24)</f>
        <v>1088.1600000000001</v>
      </c>
      <c r="I38" s="34">
        <f>IF(B38="Custom", Q38, IF(B38="Imputation", INDEX('[3]Alt Est Detailed Bin Table'!$AX$10:$BI$132, MATCH(A38, '[3]Alt Est Detailed Bin Table'!$A$10:$A$132), MATCH(P38, '[3]Alt Est Detailed Bin Table'!$AX$9:$BI$9,0)), INDEX('[3]Detailed Bin Table'!$AX$9:$BI$132,MATCH($A38,'[3]Detailed Bin Table'!$A$9:$A$132,0),MATCH($B38,'[3]Detailed Bin Table'!$AX$9:$BI$9,0)))*24)</f>
        <v>681.59999999999991</v>
      </c>
      <c r="J38" s="34">
        <f>IF(B38="Custom", V38, INDEX('[3]Detailed Bin Table'!$BJ$9:$BO$132,MATCH($A38,'[3]Detailed Bin Table'!$A$9:$A$132,0),MATCH($B38,'[3]Detailed Bin Table'!$BJ$9:$BO$9,0))*24)</f>
        <v>0</v>
      </c>
      <c r="K38" s="33">
        <f>IF(B38="Custom", Q38, IF(B38="Imputation", INDEX('[3]Alt Est Detailed Bin Table'!$BP$10:$CC$132, MATCH(A38, '[3]Alt Est Detailed Bin Table'!$A$10:$A$132), MATCH(P38, '[3]Alt Est Detailed Bin Table'!$BP$9:$CC$9,0)), INDEX('[3]Detailed Bin Table'!$BP$9:$CC$132,MATCH($A38,'[3]Detailed Bin Table'!$A$9:$A$132,0),MATCH($B38,'[3]Detailed Bin Table'!$BP$9:$CC$9,0)))*24)</f>
        <v>6053.5199999999995</v>
      </c>
      <c r="L38" s="223">
        <f>IF(B38="Custom", Q38, IF(B38="Imputation", INDEX('[3]Alt Est Detailed Bin Table'!$CD$10:$CK$132, MATCH(A38, '[3]Alt Est Detailed Bin Table'!$A$10:$A$132), MATCH(P38, '[3]Alt Est Detailed Bin Table'!$CD$9:$CK$9,0)), INDEX('[3]Detailed Bin Table'!$CD$9:$CK$132,MATCH($A38,'[3]Detailed Bin Table'!$A$9:$A$132,0),MATCH($B38,'[3]Detailed Bin Table'!$CD$9:$CK$9,0)))*24)</f>
        <v>-67.199999999999989</v>
      </c>
      <c r="M38" s="34">
        <f>IF(B38="Custom", Q38, IF(B38="Imputation", INDEX('[3]Alt Est Detailed Bin Table'!$CL$10:$CS$132, MATCH(A38, '[3]Alt Est Detailed Bin Table'!$A$10:$A$132), MATCH(P38, '[3]Alt Est Detailed Bin Table'!$CL$9:$CS$9,0)), INDEX('[3]Detailed Bin Table'!$CL$9:$CS$132,MATCH($A38,'[3]Detailed Bin Table'!$A$9:$A$132,0),MATCH($B38,'[3]Detailed Bin Table'!$CL$9:$CS$9,0)))*24)</f>
        <v>126</v>
      </c>
      <c r="N38" s="34">
        <f>IF(B38="Custom", Q38, IF(B38="Imputation", INDEX('[3]Alt Est Detailed Bin Table'!$CT$10:$DA$132, MATCH(A38, '[3]Alt Est Detailed Bin Table'!$A$10:$A$132), MATCH(P38, '[3]Alt Est Detailed Bin Table'!$CT$9:$DA$9,0)), INDEX('[3]Detailed Bin Table'!$CT$9:$DA$132,MATCH($A38,'[3]Detailed Bin Table'!$A$9:$A$132,0),MATCH($B38,'[3]Detailed Bin Table'!$CT$9:$DA$9,0)))*24)</f>
        <v>368.88</v>
      </c>
      <c r="O38" s="34">
        <f>IF(B38="Custom", Q38, IF(B38="Imputation", INDEX('[3]Alt Est Detailed Bin Table'!$DB$10:$DI$132, MATCH(A38, '[3]Alt Est Detailed Bin Table'!$A$10:$A$132), MATCH(P38, '[3]Alt Est Detailed Bin Table'!$DB$9:$DI$9,0)), INDEX('[3]Detailed Bin Table'!$DB$9:$DI$132,MATCH($A38,'[3]Detailed Bin Table'!$A$9:$A$132,0),MATCH($B38,'[3]Detailed Bin Table'!$DB$9:$DI$9,0)))*24)</f>
        <v>136.32</v>
      </c>
      <c r="P38" s="215"/>
      <c r="Q38" s="62"/>
      <c r="R38" s="63"/>
      <c r="S38" s="63"/>
      <c r="T38" s="63"/>
      <c r="U38" s="63"/>
      <c r="V38" s="63"/>
      <c r="W38" s="64"/>
      <c r="X38" s="63"/>
      <c r="Y38" s="63"/>
      <c r="Z38" s="63"/>
      <c r="AA38" s="65"/>
      <c r="AB38" s="213" t="str">
        <f>IF(SUM(E38:O38)='[1]Passage Estimates'!$D38, "Ok", "Check")</f>
        <v>Ok</v>
      </c>
      <c r="AC38">
        <f>IF(B38="Custom",Q38,IF(B38="Imputation",INDEX('[3]Alt Est Detailed Bin Table'!$B$9:$M$132,MATCH(A38,'[3]Alt Est Detailed Bin Table'!$A$10:$A$132),MATCH(P38,'[3]Alt Est Detailed Bin Table'!$B$9:$M$9)),INDEX('[3]Detailed Bin Table'!$B$9:$M$132,MATCH($A38,'[3]Detailed Bin Table'!$A$9:$A$132,0),MATCH($B38,'[3]Detailed Bin Table'!$B$9:$M$9,0)))*24)</f>
        <v>684</v>
      </c>
    </row>
    <row r="39" spans="1:31" x14ac:dyDescent="0.3">
      <c r="A39" s="20">
        <f>'1. Mixture Model Inputs'!A39</f>
        <v>45141</v>
      </c>
      <c r="B39" s="13" t="str">
        <f>'[1]Passage Estimates'!$C39</f>
        <v>S1+M2+A2</v>
      </c>
      <c r="C39" s="206">
        <v>137</v>
      </c>
      <c r="D39" s="206">
        <v>799</v>
      </c>
      <c r="E39" s="34">
        <f>IF(B39="Custom", Q39, IF(B39="Imputation", INDEX('[3]Alt Est Detailed Bin Table'!$B$10:$M$132, MATCH(A39, '[3]Alt Est Detailed Bin Table'!$A$10:$A$132), MATCH(P39, '[3]Alt Est Detailed Bin Table'!$B$9:$M$9,0)), INDEX('[3]Detailed Bin Table'!$B$9:$M$132,MATCH($A39,'[3]Detailed Bin Table'!$A$9:$A$132,0),MATCH($B39,'[3]Detailed Bin Table'!$B$9:$M$9,0)))*24)</f>
        <v>1133.76</v>
      </c>
      <c r="F39" s="34">
        <f>IF(B39="Custom", Q39, IF(B39="Imputation", INDEX('[3]Alt Est Detailed Bin Table'!$N$10:$Y$132, MATCH(A39, '[3]Alt Est Detailed Bin Table'!$A$10:$A$132), MATCH(P39, '[3]Alt Est Detailed Bin Table'!$N$9:$Y$9,0)), INDEX('[3]Detailed Bin Table'!$N$9:$Y$132,MATCH($A39,'[3]Detailed Bin Table'!$A$9:$A$132,0),MATCH($B39,'[3]Detailed Bin Table'!$N$9:$Y$9,0)))*24)</f>
        <v>1761.6000000000001</v>
      </c>
      <c r="G39" s="34">
        <f>IF(B39="Custom", Q39, IF(B39="Imputation", INDEX('[3]Alt Est Detailed Bin Table'!$Z$10:$AK$132, MATCH(A39, '[3]Alt Est Detailed Bin Table'!$A$10:$A$132), MATCH(P39, '[3]Alt Est Detailed Bin Table'!$Z$9:$AK$9,0)), INDEX('[3]Detailed Bin Table'!$Z$9:$AK$132,MATCH($A39,'[3]Detailed Bin Table'!$A$9:$A$132,0),MATCH($B39,'[3]Detailed Bin Table'!$Z$9:$AK$9,0)))*24)</f>
        <v>1391.76</v>
      </c>
      <c r="H39" s="34">
        <f>IF(B39="Custom", Q39, IF(B39="Imputation", INDEX('[3]Alt Est Detailed Bin Table'!$AL$10:$AW$132, MATCH(A39, '[3]Alt Est Detailed Bin Table'!$A$10:$A$132), MATCH(P39, '[3]Alt Est Detailed Bin Table'!$AL$9:$AW$9,0)), INDEX('[3]Detailed Bin Table'!$AL$9:$AW$132,MATCH($A39,'[3]Detailed Bin Table'!$A$9:$A$132,0),MATCH($B39,'[3]Detailed Bin Table'!$AL$9:$AW$9,0)))*24)</f>
        <v>1656.4800000000002</v>
      </c>
      <c r="I39" s="34">
        <f>IF(B39="Custom", Q39, IF(B39="Imputation", INDEX('[3]Alt Est Detailed Bin Table'!$AX$10:$BI$132, MATCH(A39, '[3]Alt Est Detailed Bin Table'!$A$10:$A$132), MATCH(P39, '[3]Alt Est Detailed Bin Table'!$AX$9:$BI$9,0)), INDEX('[3]Detailed Bin Table'!$AX$9:$BI$132,MATCH($A39,'[3]Detailed Bin Table'!$A$9:$A$132,0),MATCH($B39,'[3]Detailed Bin Table'!$AX$9:$BI$9,0)))*24)</f>
        <v>931.19999999999993</v>
      </c>
      <c r="J39" s="34">
        <f>IF(B39="Custom", V39, INDEX('[3]Detailed Bin Table'!$BJ$9:$BO$132,MATCH($A39,'[3]Detailed Bin Table'!$A$9:$A$132,0),MATCH($B39,'[3]Detailed Bin Table'!$BJ$9:$BO$9,0))*24)</f>
        <v>0</v>
      </c>
      <c r="K39" s="33">
        <f>IF(B39="Custom", Q39, IF(B39="Imputation", INDEX('[3]Alt Est Detailed Bin Table'!$BP$10:$CC$132, MATCH(A39, '[3]Alt Est Detailed Bin Table'!$A$10:$A$132), MATCH(P39, '[3]Alt Est Detailed Bin Table'!$BP$9:$CC$9,0)), INDEX('[3]Detailed Bin Table'!$BP$9:$CC$132,MATCH($A39,'[3]Detailed Bin Table'!$A$9:$A$132,0),MATCH($B39,'[3]Detailed Bin Table'!$BP$9:$CC$9,0)))*24)</f>
        <v>13764.240000000005</v>
      </c>
      <c r="L39" s="223">
        <f>IF(B39="Custom", Q39, IF(B39="Imputation", INDEX('[3]Alt Est Detailed Bin Table'!$CD$10:$CK$132, MATCH(A39, '[3]Alt Est Detailed Bin Table'!$A$10:$A$132), MATCH(P39, '[3]Alt Est Detailed Bin Table'!$CD$9:$CK$9,0)), INDEX('[3]Detailed Bin Table'!$CD$9:$CK$132,MATCH($A39,'[3]Detailed Bin Table'!$A$9:$A$132,0),MATCH($B39,'[3]Detailed Bin Table'!$CD$9:$CK$9,0)))*24)</f>
        <v>90</v>
      </c>
      <c r="M39" s="34">
        <f>IF(B39="Custom", Q39, IF(B39="Imputation", INDEX('[3]Alt Est Detailed Bin Table'!$CL$10:$CS$132, MATCH(A39, '[3]Alt Est Detailed Bin Table'!$A$10:$A$132), MATCH(P39, '[3]Alt Est Detailed Bin Table'!$CL$9:$CS$9,0)), INDEX('[3]Detailed Bin Table'!$CL$9:$CS$132,MATCH($A39,'[3]Detailed Bin Table'!$A$9:$A$132,0),MATCH($B39,'[3]Detailed Bin Table'!$CL$9:$CS$9,0)))*24)</f>
        <v>295.92</v>
      </c>
      <c r="N39" s="34">
        <f>IF(B39="Custom", Q39, IF(B39="Imputation", INDEX('[3]Alt Est Detailed Bin Table'!$CT$10:$DA$132, MATCH(A39, '[3]Alt Est Detailed Bin Table'!$A$10:$A$132), MATCH(P39, '[3]Alt Est Detailed Bin Table'!$CT$9:$DA$9,0)), INDEX('[3]Detailed Bin Table'!$CT$9:$DA$132,MATCH($A39,'[3]Detailed Bin Table'!$A$9:$A$132,0),MATCH($B39,'[3]Detailed Bin Table'!$CT$9:$DA$9,0)))*24)</f>
        <v>424.79999999999995</v>
      </c>
      <c r="O39" s="34">
        <f>IF(B39="Custom", Q39, IF(B39="Imputation", INDEX('[3]Alt Est Detailed Bin Table'!$DB$10:$DI$132, MATCH(A39, '[3]Alt Est Detailed Bin Table'!$A$10:$A$132), MATCH(P39, '[3]Alt Est Detailed Bin Table'!$DB$9:$DI$9,0)), INDEX('[3]Detailed Bin Table'!$DB$9:$DI$132,MATCH($A39,'[3]Detailed Bin Table'!$A$9:$A$132,0),MATCH($B39,'[3]Detailed Bin Table'!$DB$9:$DI$9,0)))*24)</f>
        <v>531.84</v>
      </c>
      <c r="P39" s="215"/>
      <c r="Q39" s="62"/>
      <c r="R39" s="63"/>
      <c r="S39" s="63"/>
      <c r="T39" s="63"/>
      <c r="U39" s="63"/>
      <c r="V39" s="63"/>
      <c r="W39" s="64"/>
      <c r="X39" s="63"/>
      <c r="Y39" s="63"/>
      <c r="Z39" s="63"/>
      <c r="AA39" s="65"/>
      <c r="AB39" s="213" t="str">
        <f>IF(SUM(E39:O39)='[1]Passage Estimates'!$D39, "Ok", "Check")</f>
        <v>Ok</v>
      </c>
      <c r="AC39">
        <f>IF(B39="Imputation",INDEX('[3]Alt Est Detailed Bin Table'!$B$9:$M$132,MATCH(A39,'[3]Alt Est Detailed Bin Table'!$A$10:$A$132),MATCH(P39,'[3]Alt Est Detailed Bin Table'!$B$9:$M$9)),INDEX('[3]Detailed Bin Table'!$B$9:$M$132,MATCH($A39,'[3]Detailed Bin Table'!$A$9:$A$132,0),MATCH($B39,'[3]Detailed Bin Table'!$B$9:$M$9,0)))*24</f>
        <v>1133.76</v>
      </c>
      <c r="AD39" s="196"/>
      <c r="AE39" s="196"/>
    </row>
    <row r="40" spans="1:31" x14ac:dyDescent="0.3">
      <c r="A40" s="20">
        <f>'1. Mixture Model Inputs'!A40</f>
        <v>45142</v>
      </c>
      <c r="B40" s="13" t="str">
        <f>'[1]Passage Estimates'!$C40</f>
        <v>Imputation</v>
      </c>
      <c r="C40" s="206">
        <v>111</v>
      </c>
      <c r="D40" s="209">
        <v>591</v>
      </c>
      <c r="E40" s="34">
        <f>IF(B40="Custom", Q40, IF(B40="Imputation", INDEX('[3]Alt Est Detailed Bin Table'!$B$10:$M$132, MATCH(A40, '[3]Alt Est Detailed Bin Table'!$A$10:$A$132), MATCH(P40, '[3]Alt Est Detailed Bin Table'!$B$9:$M$9,0)), INDEX('[3]Detailed Bin Table'!$B$9:$M$132,MATCH($A40,'[3]Detailed Bin Table'!$A$9:$A$132,0),MATCH($B40,'[3]Detailed Bin Table'!$B$9:$M$9,0)))*24)</f>
        <v>702</v>
      </c>
      <c r="F40" s="34">
        <f>IF(B40="Custom", Q40, IF(B40="Imputation", INDEX('[3]Alt Est Detailed Bin Table'!$N$10:$Y$132, MATCH(A40, '[3]Alt Est Detailed Bin Table'!$A$10:$A$132), MATCH(P40, '[3]Alt Est Detailed Bin Table'!$N$9:$Y$9,0)), INDEX('[3]Detailed Bin Table'!$N$9:$Y$132,MATCH($A40,'[3]Detailed Bin Table'!$A$9:$A$132,0),MATCH($B40,'[3]Detailed Bin Table'!$N$9:$Y$9,0)))*24)</f>
        <v>874.08</v>
      </c>
      <c r="G40" s="34">
        <f>IF(B40="Custom", Q40, IF(B40="Imputation", INDEX('[3]Alt Est Detailed Bin Table'!$Z$10:$AK$132, MATCH(A40, '[3]Alt Est Detailed Bin Table'!$A$10:$A$132), MATCH(P40, '[3]Alt Est Detailed Bin Table'!$Z$9:$AK$9,0)), INDEX('[3]Detailed Bin Table'!$Z$9:$AK$132,MATCH($A40,'[3]Detailed Bin Table'!$A$9:$A$132,0),MATCH($B40,'[3]Detailed Bin Table'!$Z$9:$AK$9,0)))*24)</f>
        <v>1430.6399999999999</v>
      </c>
      <c r="H40" s="34">
        <f>IF(B40="Custom", Q40, IF(B40="Imputation", INDEX('[3]Alt Est Detailed Bin Table'!$AL$10:$AW$132, MATCH(A40, '[3]Alt Est Detailed Bin Table'!$A$10:$A$132), MATCH(P40, '[3]Alt Est Detailed Bin Table'!$AL$9:$AW$9,0)), INDEX('[3]Detailed Bin Table'!$AL$9:$AW$132,MATCH($A40,'[3]Detailed Bin Table'!$A$9:$A$132,0),MATCH($B40,'[3]Detailed Bin Table'!$AL$9:$AW$9,0)))*24)</f>
        <v>1316.16</v>
      </c>
      <c r="I40" s="34">
        <f>IF(B40="Custom", Q40, IF(B40="Imputation", INDEX('[3]Alt Est Detailed Bin Table'!$AX$10:$BI$132, MATCH(A40, '[3]Alt Est Detailed Bin Table'!$A$10:$A$132), MATCH(P40, '[3]Alt Est Detailed Bin Table'!$AX$9:$BI$9,0)), INDEX('[3]Detailed Bin Table'!$AX$9:$BI$132,MATCH($A40,'[3]Detailed Bin Table'!$A$9:$A$132,0),MATCH($B40,'[3]Detailed Bin Table'!$AX$9:$BI$9,0)))*24)</f>
        <v>854.64</v>
      </c>
      <c r="J40" s="34">
        <v>0</v>
      </c>
      <c r="K40" s="33">
        <f>IF(B40="Custom", Q40, IF(B40="Imputation", INDEX('[3]Alt Est Detailed Bin Table'!$BP$10:$CC$132, MATCH(A40, '[3]Alt Est Detailed Bin Table'!$A$10:$A$132), MATCH(P40, '[3]Alt Est Detailed Bin Table'!$BP$9:$CC$9,0)), INDEX('[3]Detailed Bin Table'!$BP$9:$CC$132,MATCH($A40,'[3]Detailed Bin Table'!$A$9:$A$132,0),MATCH($B40,'[3]Detailed Bin Table'!$BP$9:$CC$9,0)))*24)</f>
        <v>11761.401600000005</v>
      </c>
      <c r="L40" s="223">
        <f>IF(B40="Custom", Q40, IF(B40="Imputation", INDEX('[3]Alt Est Detailed Bin Table'!$CD$10:$CK$132, MATCH(A40, '[3]Alt Est Detailed Bin Table'!$A$10:$A$132), MATCH(P40, '[3]Alt Est Detailed Bin Table'!$CD$9:$CK$9,0)), INDEX('[3]Detailed Bin Table'!$CD$9:$CK$132,MATCH($A40,'[3]Detailed Bin Table'!$A$9:$A$132,0),MATCH($B40,'[3]Detailed Bin Table'!$CD$9:$CK$9,0)))*24)</f>
        <v>16.559999999999999</v>
      </c>
      <c r="M40" s="34">
        <f>IF(B40="Custom", Q40, IF(B40="Imputation", INDEX('[3]Alt Est Detailed Bin Table'!$CL$10:$CS$132, MATCH(A40, '[3]Alt Est Detailed Bin Table'!$A$10:$A$132), MATCH(P40, '[3]Alt Est Detailed Bin Table'!$CL$9:$CS$9,0)), INDEX('[3]Detailed Bin Table'!$CL$9:$CS$132,MATCH($A40,'[3]Detailed Bin Table'!$A$9:$A$132,0),MATCH($B40,'[3]Detailed Bin Table'!$CL$9:$CS$9,0)))*24)</f>
        <v>224.16</v>
      </c>
      <c r="N40" s="34">
        <f>IF(B40="Custom", Q40, IF(B40="Imputation", INDEX('[3]Alt Est Detailed Bin Table'!$CT$10:$DA$132, MATCH(A40, '[3]Alt Est Detailed Bin Table'!$A$10:$A$132), MATCH(P40, '[3]Alt Est Detailed Bin Table'!$CT$9:$DA$9,0)), INDEX('[3]Detailed Bin Table'!$CT$9:$DA$132,MATCH($A40,'[3]Detailed Bin Table'!$A$9:$A$132,0),MATCH($B40,'[3]Detailed Bin Table'!$CT$9:$DA$9,0)))*24)</f>
        <v>363.12</v>
      </c>
      <c r="O40" s="34">
        <f>IF(B40="Custom", Q40, IF(B40="Imputation", INDEX('[3]Alt Est Detailed Bin Table'!$DB$10:$DI$132, MATCH(A40, '[3]Alt Est Detailed Bin Table'!$A$10:$A$132), MATCH(P40, '[3]Alt Est Detailed Bin Table'!$DB$9:$DI$9,0)), INDEX('[3]Detailed Bin Table'!$DB$9:$DI$132,MATCH($A40,'[3]Detailed Bin Table'!$A$9:$A$132,0),MATCH($B40,'[3]Detailed Bin Table'!$DB$9:$DI$9,0)))*24)</f>
        <v>590.64</v>
      </c>
      <c r="P40" s="215" t="s">
        <v>161</v>
      </c>
      <c r="Q40" s="62"/>
      <c r="R40" s="63"/>
      <c r="S40" s="63"/>
      <c r="T40" s="63"/>
      <c r="U40" s="63"/>
      <c r="V40" s="63"/>
      <c r="W40" s="64"/>
      <c r="X40" s="63"/>
      <c r="Y40" s="63"/>
      <c r="Z40" s="63"/>
      <c r="AA40" s="65"/>
      <c r="AB40" s="213" t="str">
        <f>IF(SUM(E40:O40)='[1]Passage Estimates'!$D40, "Ok", "Check")</f>
        <v>Ok</v>
      </c>
      <c r="AC40">
        <f>IF(B40="Imputation",INDEX('[3]Alt Est Detailed Bin Table'!$B$9:$M$132,MATCH(A40,'[3]Alt Est Detailed Bin Table'!$A$10:$A$132),MATCH(P40,'[3]Alt Est Detailed Bin Table'!$B$9:$M$9)),INDEX('[3]Detailed Bin Table'!$B$9:$M$132,MATCH($A40,'[3]Detailed Bin Table'!$A$9:$A$132,0),MATCH($B40,'[3]Detailed Bin Table'!$B$9:$M$9,0)))*24</f>
        <v>0</v>
      </c>
      <c r="AD40">
        <f>29*24</f>
        <v>696</v>
      </c>
    </row>
    <row r="41" spans="1:31" x14ac:dyDescent="0.3">
      <c r="A41" s="20">
        <f>'1. Mixture Model Inputs'!A41</f>
        <v>45143</v>
      </c>
      <c r="B41" s="13" t="str">
        <f>'[1]Passage Estimates'!$C41</f>
        <v>A1+S1+M2+A2</v>
      </c>
      <c r="C41" s="206">
        <v>1166</v>
      </c>
      <c r="D41" s="206">
        <v>1990</v>
      </c>
      <c r="E41" s="34">
        <f>IF(B41="Custom", Q41, IF(B41="Imputation", INDEX('[3]Alt Est Detailed Bin Table'!$B$10:$M$132, MATCH(A41, '[3]Alt Est Detailed Bin Table'!$A$10:$A$132), MATCH(P41, '[3]Alt Est Detailed Bin Table'!$B$9:$M$9,0)), INDEX('[3]Detailed Bin Table'!$B$9:$M$132,MATCH($A41,'[3]Detailed Bin Table'!$A$9:$A$132,0),MATCH($B41,'[3]Detailed Bin Table'!$B$9:$M$9,0)))*24)</f>
        <v>3156.24</v>
      </c>
      <c r="F41" s="34">
        <f>IF(B41="Custom", Q41, IF(B41="Imputation", INDEX('[3]Alt Est Detailed Bin Table'!$N$10:$Y$132, MATCH(A41, '[3]Alt Est Detailed Bin Table'!$A$10:$A$132), MATCH(P41, '[3]Alt Est Detailed Bin Table'!$N$9:$Y$9,0)), INDEX('[3]Detailed Bin Table'!$N$9:$Y$132,MATCH($A41,'[3]Detailed Bin Table'!$A$9:$A$132,0),MATCH($B41,'[3]Detailed Bin Table'!$N$9:$Y$9,0)))*24)</f>
        <v>3882.24</v>
      </c>
      <c r="G41" s="34">
        <f>IF(B41="Custom", Q41, IF(B41="Imputation", INDEX('[3]Alt Est Detailed Bin Table'!$Z$10:$AK$132, MATCH(A41, '[3]Alt Est Detailed Bin Table'!$A$10:$A$132), MATCH(P41, '[3]Alt Est Detailed Bin Table'!$Z$9:$AK$9,0)), INDEX('[3]Detailed Bin Table'!$Z$9:$AK$132,MATCH($A41,'[3]Detailed Bin Table'!$A$9:$A$132,0),MATCH($B41,'[3]Detailed Bin Table'!$Z$9:$AK$9,0)))*24)</f>
        <v>2291.2799999999997</v>
      </c>
      <c r="H41" s="34">
        <f>IF(B41="Custom", Q41, IF(B41="Imputation", INDEX('[3]Alt Est Detailed Bin Table'!$AL$10:$AW$132, MATCH(A41, '[3]Alt Est Detailed Bin Table'!$A$10:$A$132), MATCH(P41, '[3]Alt Est Detailed Bin Table'!$AL$9:$AW$9,0)), INDEX('[3]Detailed Bin Table'!$AL$9:$AW$132,MATCH($A41,'[3]Detailed Bin Table'!$A$9:$A$132,0),MATCH($B41,'[3]Detailed Bin Table'!$AL$9:$AW$9,0)))*24)</f>
        <v>1960.8000000000002</v>
      </c>
      <c r="I41" s="34">
        <f>IF(B41="Custom", Q41, IF(B41="Imputation", INDEX('[3]Alt Est Detailed Bin Table'!$AX$10:$BI$132, MATCH(A41, '[3]Alt Est Detailed Bin Table'!$A$10:$A$132), MATCH(P41, '[3]Alt Est Detailed Bin Table'!$AX$9:$BI$9,0)), INDEX('[3]Detailed Bin Table'!$AX$9:$BI$132,MATCH($A41,'[3]Detailed Bin Table'!$A$9:$A$132,0),MATCH($B41,'[3]Detailed Bin Table'!$AX$9:$BI$9,0)))*24)</f>
        <v>1710.9599999999998</v>
      </c>
      <c r="J41" s="34">
        <f>IF(B41="Custom", V41, INDEX('[3]Detailed Bin Table'!$BJ$9:$BO$132,MATCH($A41,'[3]Detailed Bin Table'!$A$9:$A$132,0),MATCH($B41,'[3]Detailed Bin Table'!$BJ$9:$BO$9,0))*24)</f>
        <v>0</v>
      </c>
      <c r="K41" s="33">
        <f>IF(B41="Custom", Q41, IF(B41="Imputation", INDEX('[3]Alt Est Detailed Bin Table'!$BP$10:$CC$132, MATCH(A41, '[3]Alt Est Detailed Bin Table'!$A$10:$A$132), MATCH(P41, '[3]Alt Est Detailed Bin Table'!$BP$9:$CC$9,0)), INDEX('[3]Detailed Bin Table'!$BP$9:$CC$132,MATCH($A41,'[3]Detailed Bin Table'!$A$9:$A$132,0),MATCH($B41,'[3]Detailed Bin Table'!$BP$9:$CC$9,0)))*24)</f>
        <v>10506.24</v>
      </c>
      <c r="L41" s="223">
        <f>IF(B41="Custom", Q41, IF(B41="Imputation", INDEX('[3]Alt Est Detailed Bin Table'!$CD$10:$CK$132, MATCH(A41, '[3]Alt Est Detailed Bin Table'!$A$10:$A$132), MATCH(P41, '[3]Alt Est Detailed Bin Table'!$CD$9:$CK$9,0)), INDEX('[3]Detailed Bin Table'!$CD$9:$CK$132,MATCH($A41,'[3]Detailed Bin Table'!$A$9:$A$132,0),MATCH($B41,'[3]Detailed Bin Table'!$CD$9:$CK$9,0)))*24)</f>
        <v>156.47999999999999</v>
      </c>
      <c r="M41" s="34">
        <f>IF(B41="Custom", Q41, IF(B41="Imputation", INDEX('[3]Alt Est Detailed Bin Table'!$CL$10:$CS$132, MATCH(A41, '[3]Alt Est Detailed Bin Table'!$A$10:$A$132), MATCH(P41, '[3]Alt Est Detailed Bin Table'!$CL$9:$CS$9,0)), INDEX('[3]Detailed Bin Table'!$CL$9:$CS$132,MATCH($A41,'[3]Detailed Bin Table'!$A$9:$A$132,0),MATCH($B41,'[3]Detailed Bin Table'!$CL$9:$CS$9,0)))*24)</f>
        <v>452.64</v>
      </c>
      <c r="N41" s="34">
        <f>IF(B41="Custom", Q41, IF(B41="Imputation", INDEX('[3]Alt Est Detailed Bin Table'!$CT$10:$DA$132, MATCH(A41, '[3]Alt Est Detailed Bin Table'!$A$10:$A$132), MATCH(P41, '[3]Alt Est Detailed Bin Table'!$CT$9:$DA$9,0)), INDEX('[3]Detailed Bin Table'!$CT$9:$DA$132,MATCH($A41,'[3]Detailed Bin Table'!$A$9:$A$132,0),MATCH($B41,'[3]Detailed Bin Table'!$CT$9:$DA$9,0)))*24)</f>
        <v>264.48</v>
      </c>
      <c r="O41" s="34">
        <f>IF(B41="Custom", Q41, IF(B41="Imputation", INDEX('[3]Alt Est Detailed Bin Table'!$DB$10:$DI$132, MATCH(A41, '[3]Alt Est Detailed Bin Table'!$A$10:$A$132), MATCH(P41, '[3]Alt Est Detailed Bin Table'!$DB$9:$DI$9,0)), INDEX('[3]Detailed Bin Table'!$DB$9:$DI$132,MATCH($A41,'[3]Detailed Bin Table'!$A$9:$A$132,0),MATCH($B41,'[3]Detailed Bin Table'!$DB$9:$DI$9,0)))*24)</f>
        <v>326.15999999999997</v>
      </c>
      <c r="P41" s="215"/>
      <c r="Q41" s="62"/>
      <c r="R41" s="63"/>
      <c r="S41" s="63"/>
      <c r="T41" s="63"/>
      <c r="U41" s="63"/>
      <c r="V41" s="63"/>
      <c r="W41" s="64"/>
      <c r="X41" s="63"/>
      <c r="Y41" s="63"/>
      <c r="Z41" s="63"/>
      <c r="AA41" s="65"/>
      <c r="AB41" s="213" t="str">
        <f>IF(SUM(E41:O41)='[1]Passage Estimates'!$D41, "Ok", "Check")</f>
        <v>Ok</v>
      </c>
      <c r="AC41">
        <f>IF(B41="Custom",Q41,IF(B41="Imputation",INDEX('[3]Alt Est Detailed Bin Table'!$B$9:$M$132,MATCH(A41,'[3]Alt Est Detailed Bin Table'!$A$10:$A$132),MATCH(P41,'[3]Alt Est Detailed Bin Table'!$B$9:$M$9)),INDEX('[3]Detailed Bin Table'!$B$9:$M$132,MATCH($A41,'[3]Detailed Bin Table'!$A$9:$A$132,0),MATCH($B41,'[3]Detailed Bin Table'!$B$9:$M$9,0)))*24)</f>
        <v>3156.24</v>
      </c>
    </row>
    <row r="42" spans="1:31" x14ac:dyDescent="0.3">
      <c r="A42" s="20">
        <f>'1. Mixture Model Inputs'!A42</f>
        <v>45144</v>
      </c>
      <c r="B42" s="13" t="str">
        <f>'[1]Passage Estimates'!$C42</f>
        <v>A1+S1+M2+A2</v>
      </c>
      <c r="C42" s="206">
        <v>1246</v>
      </c>
      <c r="D42" s="206">
        <v>3287</v>
      </c>
      <c r="E42" s="34">
        <f>IF(B42="Custom", Q42, IF(B42="Imputation", INDEX('[3]Alt Est Detailed Bin Table'!$B$10:$M$132, MATCH(A42, '[3]Alt Est Detailed Bin Table'!$A$10:$A$132), MATCH(P42, '[3]Alt Est Detailed Bin Table'!$B$9:$M$9,0)), INDEX('[3]Detailed Bin Table'!$B$9:$M$132,MATCH($A42,'[3]Detailed Bin Table'!$A$9:$A$132,0),MATCH($B42,'[3]Detailed Bin Table'!$B$9:$M$9,0)))*24)</f>
        <v>4532.3999999999996</v>
      </c>
      <c r="F42" s="34">
        <f>IF(B42="Custom", Q42, IF(B42="Imputation", INDEX('[3]Alt Est Detailed Bin Table'!$N$10:$Y$132, MATCH(A42, '[3]Alt Est Detailed Bin Table'!$A$10:$A$132), MATCH(P42, '[3]Alt Est Detailed Bin Table'!$N$9:$Y$9,0)), INDEX('[3]Detailed Bin Table'!$N$9:$Y$132,MATCH($A42,'[3]Detailed Bin Table'!$A$9:$A$132,0),MATCH($B42,'[3]Detailed Bin Table'!$N$9:$Y$9,0)))*24)</f>
        <v>2661.84</v>
      </c>
      <c r="G42" s="34">
        <f>IF(B42="Custom", Q42, IF(B42="Imputation", INDEX('[3]Alt Est Detailed Bin Table'!$Z$10:$AK$132, MATCH(A42, '[3]Alt Est Detailed Bin Table'!$A$10:$A$132), MATCH(P42, '[3]Alt Est Detailed Bin Table'!$Z$9:$AK$9,0)), INDEX('[3]Detailed Bin Table'!$Z$9:$AK$132,MATCH($A42,'[3]Detailed Bin Table'!$A$9:$A$132,0),MATCH($B42,'[3]Detailed Bin Table'!$Z$9:$AK$9,0)))*24)</f>
        <v>4065.3599999999997</v>
      </c>
      <c r="H42" s="34">
        <f>IF(B42="Custom", Q42, IF(B42="Imputation", INDEX('[3]Alt Est Detailed Bin Table'!$AL$10:$AW$132, MATCH(A42, '[3]Alt Est Detailed Bin Table'!$A$10:$A$132), MATCH(P42, '[3]Alt Est Detailed Bin Table'!$AL$9:$AW$9,0)), INDEX('[3]Detailed Bin Table'!$AL$9:$AW$132,MATCH($A42,'[3]Detailed Bin Table'!$A$9:$A$132,0),MATCH($B42,'[3]Detailed Bin Table'!$AL$9:$AW$9,0)))*24)</f>
        <v>2664.2400000000002</v>
      </c>
      <c r="I42" s="34">
        <f>IF(B42="Custom", Q42, IF(B42="Imputation", INDEX('[3]Alt Est Detailed Bin Table'!$AX$10:$BI$132, MATCH(A42, '[3]Alt Est Detailed Bin Table'!$A$10:$A$132), MATCH(P42, '[3]Alt Est Detailed Bin Table'!$AX$9:$BI$9,0)), INDEX('[3]Detailed Bin Table'!$AX$9:$BI$132,MATCH($A42,'[3]Detailed Bin Table'!$A$9:$A$132,0),MATCH($B42,'[3]Detailed Bin Table'!$AX$9:$BI$9,0)))*24)</f>
        <v>1683.84</v>
      </c>
      <c r="J42" s="34">
        <f>IF(B42="Custom", V42, INDEX('[3]Detailed Bin Table'!$BJ$9:$BO$132,MATCH($A42,'[3]Detailed Bin Table'!$A$9:$A$132,0),MATCH($B42,'[3]Detailed Bin Table'!$BJ$9:$BO$9,0))*24)</f>
        <v>0</v>
      </c>
      <c r="K42" s="33">
        <f>IF(B42="Custom", Q42, IF(B42="Imputation", INDEX('[3]Alt Est Detailed Bin Table'!$BP$10:$CC$132, MATCH(A42, '[3]Alt Est Detailed Bin Table'!$A$10:$A$132), MATCH(P42, '[3]Alt Est Detailed Bin Table'!$BP$9:$CC$9,0)), INDEX('[3]Detailed Bin Table'!$BP$9:$CC$132,MATCH($A42,'[3]Detailed Bin Table'!$A$9:$A$132,0),MATCH($B42,'[3]Detailed Bin Table'!$BP$9:$CC$9,0)))*24)</f>
        <v>12890.880000000005</v>
      </c>
      <c r="L42" s="223">
        <f>IF(B42="Custom", Q42, IF(B42="Imputation", INDEX('[3]Alt Est Detailed Bin Table'!$CD$10:$CK$132, MATCH(A42, '[3]Alt Est Detailed Bin Table'!$A$10:$A$132), MATCH(P42, '[3]Alt Est Detailed Bin Table'!$CD$9:$CK$9,0)), INDEX('[3]Detailed Bin Table'!$CD$9:$CK$132,MATCH($A42,'[3]Detailed Bin Table'!$A$9:$A$132,0),MATCH($B42,'[3]Detailed Bin Table'!$CD$9:$CK$9,0)))*24)</f>
        <v>222.24</v>
      </c>
      <c r="M42" s="34">
        <f>IF(B42="Custom", Q42, IF(B42="Imputation", INDEX('[3]Alt Est Detailed Bin Table'!$CL$10:$CS$132, MATCH(A42, '[3]Alt Est Detailed Bin Table'!$A$10:$A$132), MATCH(P42, '[3]Alt Est Detailed Bin Table'!$CL$9:$CS$9,0)), INDEX('[3]Detailed Bin Table'!$CL$9:$CS$132,MATCH($A42,'[3]Detailed Bin Table'!$A$9:$A$132,0),MATCH($B42,'[3]Detailed Bin Table'!$CL$9:$CS$9,0)))*24)</f>
        <v>469.20000000000005</v>
      </c>
      <c r="N42" s="34">
        <f>IF(B42="Custom", Q42, IF(B42="Imputation", INDEX('[3]Alt Est Detailed Bin Table'!$CT$10:$DA$132, MATCH(A42, '[3]Alt Est Detailed Bin Table'!$A$10:$A$132), MATCH(P42, '[3]Alt Est Detailed Bin Table'!$CT$9:$DA$9,0)), INDEX('[3]Detailed Bin Table'!$CT$9:$DA$132,MATCH($A42,'[3]Detailed Bin Table'!$A$9:$A$132,0),MATCH($B42,'[3]Detailed Bin Table'!$CT$9:$DA$9,0)))*24)</f>
        <v>234.48</v>
      </c>
      <c r="O42" s="34">
        <f>IF(B42="Custom", Q42, IF(B42="Imputation", INDEX('[3]Alt Est Detailed Bin Table'!$DB$10:$DI$132, MATCH(A42, '[3]Alt Est Detailed Bin Table'!$A$10:$A$132), MATCH(P42, '[3]Alt Est Detailed Bin Table'!$DB$9:$DI$9,0)), INDEX('[3]Detailed Bin Table'!$DB$9:$DI$132,MATCH($A42,'[3]Detailed Bin Table'!$A$9:$A$132,0),MATCH($B42,'[3]Detailed Bin Table'!$DB$9:$DI$9,0)))*24)</f>
        <v>384.72</v>
      </c>
      <c r="P42" s="215"/>
      <c r="Q42" s="62"/>
      <c r="R42" s="63"/>
      <c r="S42" s="63"/>
      <c r="T42" s="63"/>
      <c r="U42" s="63"/>
      <c r="V42" s="63"/>
      <c r="W42" s="64"/>
      <c r="X42" s="63"/>
      <c r="Y42" s="63"/>
      <c r="Z42" s="63"/>
      <c r="AA42" s="65"/>
      <c r="AB42" s="213" t="str">
        <f>IF(SUM(E42:O42)='[1]Passage Estimates'!$D42, "Ok", "Check")</f>
        <v>Ok</v>
      </c>
      <c r="AC42">
        <f>IF(B42="Custom",Q42,IF(B42="Imputation",INDEX('[3]Alt Est Detailed Bin Table'!$B$9:$M$132,MATCH(A42,'[3]Alt Est Detailed Bin Table'!$A$10:$A$132),MATCH(P42,'[3]Alt Est Detailed Bin Table'!$B$9:$M$9)),INDEX('[3]Detailed Bin Table'!$B$9:$M$132,MATCH($A42,'[3]Detailed Bin Table'!$A$9:$A$132,0),MATCH($B42,'[3]Detailed Bin Table'!$B$9:$M$9,0)))*24)</f>
        <v>4532.3999999999996</v>
      </c>
    </row>
    <row r="43" spans="1:31" x14ac:dyDescent="0.3">
      <c r="A43" s="20">
        <f>'1. Mixture Model Inputs'!A43</f>
        <v>45145</v>
      </c>
      <c r="B43" s="13" t="str">
        <f>'[1]Passage Estimates'!$C43</f>
        <v>A1+S1+M2+A2</v>
      </c>
      <c r="C43" s="206">
        <v>1701</v>
      </c>
      <c r="D43" s="209">
        <v>2377</v>
      </c>
      <c r="E43" s="34">
        <f>IF(B43="Custom", Q43, IF(B43="Imputation", INDEX('[3]Alt Est Detailed Bin Table'!$B$10:$M$132, MATCH(A43, '[3]Alt Est Detailed Bin Table'!$A$10:$A$132), MATCH(P43, '[3]Alt Est Detailed Bin Table'!$B$9:$M$9,0)), INDEX('[3]Detailed Bin Table'!$B$9:$M$132,MATCH($A43,'[3]Detailed Bin Table'!$A$9:$A$132,0),MATCH($B43,'[3]Detailed Bin Table'!$B$9:$M$9,0)))*24)</f>
        <v>4078.08</v>
      </c>
      <c r="F43" s="34">
        <f>IF(B43="Custom", Q43, IF(B43="Imputation", INDEX('[3]Alt Est Detailed Bin Table'!$N$10:$Y$132, MATCH(A43, '[3]Alt Est Detailed Bin Table'!$A$10:$A$132), MATCH(P43, '[3]Alt Est Detailed Bin Table'!$N$9:$Y$9,0)), INDEX('[3]Detailed Bin Table'!$N$9:$Y$132,MATCH($A43,'[3]Detailed Bin Table'!$A$9:$A$132,0),MATCH($B43,'[3]Detailed Bin Table'!$N$9:$Y$9,0)))*24)</f>
        <v>4040.88</v>
      </c>
      <c r="G43" s="34">
        <f>IF(B43="Custom", Q43, IF(B43="Imputation", INDEX('[3]Alt Est Detailed Bin Table'!$Z$10:$AK$132, MATCH(A43, '[3]Alt Est Detailed Bin Table'!$A$10:$A$132), MATCH(P43, '[3]Alt Est Detailed Bin Table'!$Z$9:$AK$9,0)), INDEX('[3]Detailed Bin Table'!$Z$9:$AK$132,MATCH($A43,'[3]Detailed Bin Table'!$A$9:$A$132,0),MATCH($B43,'[3]Detailed Bin Table'!$Z$9:$AK$9,0)))*24)</f>
        <v>3817.44</v>
      </c>
      <c r="H43" s="34">
        <f>IF(B43="Custom", Q43, IF(B43="Imputation", INDEX('[3]Alt Est Detailed Bin Table'!$AL$10:$AW$132, MATCH(A43, '[3]Alt Est Detailed Bin Table'!$A$10:$A$132), MATCH(P43, '[3]Alt Est Detailed Bin Table'!$AL$9:$AW$9,0)), INDEX('[3]Detailed Bin Table'!$AL$9:$AW$132,MATCH($A43,'[3]Detailed Bin Table'!$A$9:$A$132,0),MATCH($B43,'[3]Detailed Bin Table'!$AL$9:$AW$9,0)))*24)</f>
        <v>2866.08</v>
      </c>
      <c r="I43" s="34">
        <f>IF(B43="Custom", Q43, IF(B43="Imputation", INDEX('[3]Alt Est Detailed Bin Table'!$AX$10:$BI$132, MATCH(A43, '[3]Alt Est Detailed Bin Table'!$A$10:$A$132), MATCH(P43, '[3]Alt Est Detailed Bin Table'!$AX$9:$BI$9,0)), INDEX('[3]Detailed Bin Table'!$AX$9:$BI$132,MATCH($A43,'[3]Detailed Bin Table'!$A$9:$A$132,0),MATCH($B43,'[3]Detailed Bin Table'!$AX$9:$BI$9,0)))*24)</f>
        <v>1971.3600000000001</v>
      </c>
      <c r="J43" s="34">
        <f>IF(B43="Custom", V43, INDEX('[3]Detailed Bin Table'!$BJ$9:$BO$132,MATCH($A43,'[3]Detailed Bin Table'!$A$9:$A$132,0),MATCH($B43,'[3]Detailed Bin Table'!$BJ$9:$BO$9,0))*24)</f>
        <v>0</v>
      </c>
      <c r="K43" s="33">
        <f>IF(B43="Custom", Q43, IF(B43="Imputation", INDEX('[3]Alt Est Detailed Bin Table'!$BP$10:$CC$132, MATCH(A43, '[3]Alt Est Detailed Bin Table'!$A$10:$A$132), MATCH(P43, '[3]Alt Est Detailed Bin Table'!$BP$9:$CC$9,0)), INDEX('[3]Detailed Bin Table'!$BP$9:$CC$132,MATCH($A43,'[3]Detailed Bin Table'!$A$9:$A$132,0),MATCH($B43,'[3]Detailed Bin Table'!$BP$9:$CC$9,0)))*24)</f>
        <v>13064.639999999998</v>
      </c>
      <c r="L43" s="223">
        <f>IF(B43="Custom", Q43, IF(B43="Imputation", INDEX('[3]Alt Est Detailed Bin Table'!$CD$10:$CK$132, MATCH(A43, '[3]Alt Est Detailed Bin Table'!$A$10:$A$132), MATCH(P43, '[3]Alt Est Detailed Bin Table'!$CD$9:$CK$9,0)), INDEX('[3]Detailed Bin Table'!$CD$9:$CK$132,MATCH($A43,'[3]Detailed Bin Table'!$A$9:$A$132,0),MATCH($B43,'[3]Detailed Bin Table'!$CD$9:$CK$9,0)))*24)</f>
        <v>206.64</v>
      </c>
      <c r="M43" s="34">
        <f>IF(B43="Custom", Q43, IF(B43="Imputation", INDEX('[3]Alt Est Detailed Bin Table'!$CL$10:$CS$132, MATCH(A43, '[3]Alt Est Detailed Bin Table'!$A$10:$A$132), MATCH(P43, '[3]Alt Est Detailed Bin Table'!$CL$9:$CS$9,0)), INDEX('[3]Detailed Bin Table'!$CL$9:$CS$132,MATCH($A43,'[3]Detailed Bin Table'!$A$9:$A$132,0),MATCH($B43,'[3]Detailed Bin Table'!$CL$9:$CS$9,0)))*24)</f>
        <v>423.12</v>
      </c>
      <c r="N43" s="34">
        <f>IF(B43="Custom", Q43, IF(B43="Imputation", INDEX('[3]Alt Est Detailed Bin Table'!$CT$10:$DA$132, MATCH(A43, '[3]Alt Est Detailed Bin Table'!$A$10:$A$132), MATCH(P43, '[3]Alt Est Detailed Bin Table'!$CT$9:$DA$9,0)), INDEX('[3]Detailed Bin Table'!$CT$9:$DA$132,MATCH($A43,'[3]Detailed Bin Table'!$A$9:$A$132,0),MATCH($B43,'[3]Detailed Bin Table'!$CT$9:$DA$9,0)))*24)</f>
        <v>700.8</v>
      </c>
      <c r="O43" s="34">
        <f>IF(B43="Custom", Q43, IF(B43="Imputation", INDEX('[3]Alt Est Detailed Bin Table'!$DB$10:$DI$132, MATCH(A43, '[3]Alt Est Detailed Bin Table'!$A$10:$A$132), MATCH(P43, '[3]Alt Est Detailed Bin Table'!$DB$9:$DI$9,0)), INDEX('[3]Detailed Bin Table'!$DB$9:$DI$132,MATCH($A43,'[3]Detailed Bin Table'!$A$9:$A$132,0),MATCH($B43,'[3]Detailed Bin Table'!$DB$9:$DI$9,0)))*24)</f>
        <v>477.59999999999997</v>
      </c>
      <c r="P43" s="215"/>
      <c r="Q43" s="62"/>
      <c r="R43" s="63"/>
      <c r="S43" s="63"/>
      <c r="T43" s="201"/>
      <c r="U43" s="63"/>
      <c r="V43" s="63"/>
      <c r="W43" s="64"/>
      <c r="X43" s="63"/>
      <c r="Y43" s="63"/>
      <c r="Z43" s="63"/>
      <c r="AA43" s="65"/>
      <c r="AB43" s="213" t="str">
        <f>IF(SUM(E43:O43)='[1]Passage Estimates'!$D43, "Ok", "Check")</f>
        <v>Ok</v>
      </c>
      <c r="AC43">
        <f>IF(B43="Custom",Q43,IF(B43="Imputation",INDEX('[3]Alt Est Detailed Bin Table'!$B$9:$M$132,MATCH(A43,'[3]Alt Est Detailed Bin Table'!$A$10:$A$132),MATCH(P43,'[3]Alt Est Detailed Bin Table'!$B$9:$M$9)),INDEX('[3]Detailed Bin Table'!$B$9:$M$132,MATCH($A43,'[3]Detailed Bin Table'!$A$9:$A$132,0),MATCH($B43,'[3]Detailed Bin Table'!$B$9:$M$9,0)))*24)</f>
        <v>4078.08</v>
      </c>
    </row>
    <row r="44" spans="1:31" x14ac:dyDescent="0.3">
      <c r="A44" s="20">
        <f>'1. Mixture Model Inputs'!A44</f>
        <v>45146</v>
      </c>
      <c r="B44" s="13" t="str">
        <f>'[1]Passage Estimates'!$C44</f>
        <v>A1+S1+M2+A2</v>
      </c>
      <c r="C44" s="206">
        <v>1210</v>
      </c>
      <c r="D44" s="206">
        <v>4198</v>
      </c>
      <c r="E44" s="34">
        <f>IF(B44="Custom", Q44, IF(B44="Imputation", INDEX('[3]Alt Est Detailed Bin Table'!$B$10:$M$132, MATCH(A44, '[3]Alt Est Detailed Bin Table'!$A$10:$A$132), MATCH(P44, '[3]Alt Est Detailed Bin Table'!$B$9:$M$9,0)), INDEX('[3]Detailed Bin Table'!$B$9:$M$132,MATCH($A44,'[3]Detailed Bin Table'!$A$9:$A$132,0),MATCH($B44,'[3]Detailed Bin Table'!$B$9:$M$9,0)))*24)</f>
        <v>5408.16</v>
      </c>
      <c r="F44" s="34">
        <f>IF(B44="Custom", Q44, IF(B44="Imputation", INDEX('[3]Alt Est Detailed Bin Table'!$N$10:$Y$132, MATCH(A44, '[3]Alt Est Detailed Bin Table'!$A$10:$A$132), MATCH(P44, '[3]Alt Est Detailed Bin Table'!$N$9:$Y$9,0)), INDEX('[3]Detailed Bin Table'!$N$9:$Y$132,MATCH($A44,'[3]Detailed Bin Table'!$A$9:$A$132,0),MATCH($B44,'[3]Detailed Bin Table'!$N$9:$Y$9,0)))*24)</f>
        <v>4103.5199999999995</v>
      </c>
      <c r="G44" s="34">
        <f>IF(B44="Custom", Q44, IF(B44="Imputation", INDEX('[3]Alt Est Detailed Bin Table'!$Z$10:$AK$132, MATCH(A44, '[3]Alt Est Detailed Bin Table'!$A$10:$A$132), MATCH(P44, '[3]Alt Est Detailed Bin Table'!$Z$9:$AK$9,0)), INDEX('[3]Detailed Bin Table'!$Z$9:$AK$132,MATCH($A44,'[3]Detailed Bin Table'!$A$9:$A$132,0),MATCH($B44,'[3]Detailed Bin Table'!$Z$9:$AK$9,0)))*24)</f>
        <v>4028.3999999999996</v>
      </c>
      <c r="H44" s="34">
        <f>IF(B44="Custom", Q44, IF(B44="Imputation", INDEX('[3]Alt Est Detailed Bin Table'!$AL$10:$AW$132, MATCH(A44, '[3]Alt Est Detailed Bin Table'!$A$10:$A$132), MATCH(P44, '[3]Alt Est Detailed Bin Table'!$AL$9:$AW$9,0)), INDEX('[3]Detailed Bin Table'!$AL$9:$AW$132,MATCH($A44,'[3]Detailed Bin Table'!$A$9:$A$132,0),MATCH($B44,'[3]Detailed Bin Table'!$AL$9:$AW$9,0)))*24)</f>
        <v>2226.7200000000003</v>
      </c>
      <c r="I44" s="34">
        <f>IF(B44="Custom", Q44, IF(B44="Imputation", INDEX('[3]Alt Est Detailed Bin Table'!$AX$10:$BI$132, MATCH(A44, '[3]Alt Est Detailed Bin Table'!$A$10:$A$132), MATCH(P44, '[3]Alt Est Detailed Bin Table'!$AX$9:$BI$9,0)), INDEX('[3]Detailed Bin Table'!$AX$9:$BI$132,MATCH($A44,'[3]Detailed Bin Table'!$A$9:$A$132,0),MATCH($B44,'[3]Detailed Bin Table'!$AX$9:$BI$9,0)))*24)</f>
        <v>1783.9200000000003</v>
      </c>
      <c r="J44" s="34">
        <f>IF(B44="Custom", V44, INDEX('[3]Detailed Bin Table'!$BJ$9:$BO$132,MATCH($A44,'[3]Detailed Bin Table'!$A$9:$A$132,0),MATCH($B44,'[3]Detailed Bin Table'!$BJ$9:$BO$9,0))*24)</f>
        <v>0</v>
      </c>
      <c r="K44" s="33">
        <f>IF(B44="Custom", Q44, IF(B44="Imputation", INDEX('[3]Alt Est Detailed Bin Table'!$BP$10:$CC$132, MATCH(A44, '[3]Alt Est Detailed Bin Table'!$A$10:$A$132), MATCH(P44, '[3]Alt Est Detailed Bin Table'!$BP$9:$CC$9,0)), INDEX('[3]Detailed Bin Table'!$BP$9:$CC$132,MATCH($A44,'[3]Detailed Bin Table'!$A$9:$A$132,0),MATCH($B44,'[3]Detailed Bin Table'!$BP$9:$CC$9,0)))*24)</f>
        <v>16705.91999999998</v>
      </c>
      <c r="L44" s="223">
        <f>IF(B44="Custom", Q44, IF(B44="Imputation", INDEX('[3]Alt Est Detailed Bin Table'!$CD$10:$CK$132, MATCH(A44, '[3]Alt Est Detailed Bin Table'!$A$10:$A$132), MATCH(P44, '[3]Alt Est Detailed Bin Table'!$CD$9:$CK$9,0)), INDEX('[3]Detailed Bin Table'!$CD$9:$CK$132,MATCH($A44,'[3]Detailed Bin Table'!$A$9:$A$132,0),MATCH($B44,'[3]Detailed Bin Table'!$CD$9:$CK$9,0)))*24)</f>
        <v>127.92</v>
      </c>
      <c r="M44" s="34">
        <f>IF(B44="Custom", Q44, IF(B44="Imputation", INDEX('[3]Alt Est Detailed Bin Table'!$CL$10:$CS$132, MATCH(A44, '[3]Alt Est Detailed Bin Table'!$A$10:$A$132), MATCH(P44, '[3]Alt Est Detailed Bin Table'!$CL$9:$CS$9,0)), INDEX('[3]Detailed Bin Table'!$CL$9:$CS$132,MATCH($A44,'[3]Detailed Bin Table'!$A$9:$A$132,0),MATCH($B44,'[3]Detailed Bin Table'!$CL$9:$CS$9,0)))*24)</f>
        <v>580.56000000000006</v>
      </c>
      <c r="N44" s="34">
        <f>IF(B44="Custom", Q44, IF(B44="Imputation", INDEX('[3]Alt Est Detailed Bin Table'!$CT$10:$DA$132, MATCH(A44, '[3]Alt Est Detailed Bin Table'!$A$10:$A$132), MATCH(P44, '[3]Alt Est Detailed Bin Table'!$CT$9:$DA$9,0)), INDEX('[3]Detailed Bin Table'!$CT$9:$DA$132,MATCH($A44,'[3]Detailed Bin Table'!$A$9:$A$132,0),MATCH($B44,'[3]Detailed Bin Table'!$CT$9:$DA$9,0)))*24)</f>
        <v>821.28</v>
      </c>
      <c r="O44" s="34">
        <f>IF(B44="Custom", Q44, IF(B44="Imputation", INDEX('[3]Alt Est Detailed Bin Table'!$DB$10:$DI$132, MATCH(A44, '[3]Alt Est Detailed Bin Table'!$A$10:$A$132), MATCH(P44, '[3]Alt Est Detailed Bin Table'!$DB$9:$DI$9,0)), INDEX('[3]Detailed Bin Table'!$DB$9:$DI$132,MATCH($A44,'[3]Detailed Bin Table'!$A$9:$A$132,0),MATCH($B44,'[3]Detailed Bin Table'!$DB$9:$DI$9,0)))*24)</f>
        <v>830.40000000000009</v>
      </c>
      <c r="P44" s="215"/>
      <c r="Q44" s="62"/>
      <c r="R44" s="63"/>
      <c r="S44" s="63"/>
      <c r="T44" s="63"/>
      <c r="U44" s="63"/>
      <c r="V44" s="63"/>
      <c r="W44" s="64"/>
      <c r="X44" s="63"/>
      <c r="Y44" s="63"/>
      <c r="Z44" s="63"/>
      <c r="AA44" s="65"/>
      <c r="AB44" s="213" t="str">
        <f>IF(SUM(E44:O44)='[1]Passage Estimates'!$D44, "Ok", "Check")</f>
        <v>Ok</v>
      </c>
      <c r="AC44">
        <f>IF(B44="Custom",Q44,IF(B44="Imputation",INDEX('[3]Alt Est Detailed Bin Table'!$B$9:$M$132,MATCH(A44,'[3]Alt Est Detailed Bin Table'!$A$10:$A$132),MATCH(P44,'[3]Alt Est Detailed Bin Table'!$B$9:$M$9)),INDEX('[3]Detailed Bin Table'!$B$9:$M$132,MATCH($A44,'[3]Detailed Bin Table'!$A$9:$A$132,0),MATCH($B44,'[3]Detailed Bin Table'!$B$9:$M$9,0)))*24)</f>
        <v>5408.16</v>
      </c>
    </row>
    <row r="45" spans="1:31" x14ac:dyDescent="0.3">
      <c r="A45" s="20">
        <f>'1. Mixture Model Inputs'!A45</f>
        <v>45147</v>
      </c>
      <c r="B45" s="13" t="str">
        <f>'[1]Passage Estimates'!$C45</f>
        <v>A1+S1+M2+A2</v>
      </c>
      <c r="C45" s="206">
        <v>975</v>
      </c>
      <c r="D45" s="206">
        <v>1633</v>
      </c>
      <c r="E45" s="34">
        <f>IF(B45="Custom", Q45, IF(B45="Imputation", INDEX('[3]Alt Est Detailed Bin Table'!$B$10:$M$132, MATCH(A45, '[3]Alt Est Detailed Bin Table'!$A$10:$A$132), MATCH(P45, '[3]Alt Est Detailed Bin Table'!$B$9:$M$9,0)), INDEX('[3]Detailed Bin Table'!$B$9:$M$132,MATCH($A45,'[3]Detailed Bin Table'!$A$9:$A$132,0),MATCH($B45,'[3]Detailed Bin Table'!$B$9:$M$9,0)))*24)</f>
        <v>2607.36</v>
      </c>
      <c r="F45" s="34">
        <f>IF(B45="Custom", Q45, IF(B45="Imputation", INDEX('[3]Alt Est Detailed Bin Table'!$N$10:$Y$132, MATCH(A45, '[3]Alt Est Detailed Bin Table'!$A$10:$A$132), MATCH(P45, '[3]Alt Est Detailed Bin Table'!$N$9:$Y$9,0)), INDEX('[3]Detailed Bin Table'!$N$9:$Y$132,MATCH($A45,'[3]Detailed Bin Table'!$A$9:$A$132,0),MATCH($B45,'[3]Detailed Bin Table'!$N$9:$Y$9,0)))*24)</f>
        <v>2688.96</v>
      </c>
      <c r="G45" s="34">
        <f>IF(B45="Custom", Q45, IF(B45="Imputation", INDEX('[3]Alt Est Detailed Bin Table'!$Z$10:$AK$132, MATCH(A45, '[3]Alt Est Detailed Bin Table'!$A$10:$A$132), MATCH(P45, '[3]Alt Est Detailed Bin Table'!$Z$9:$AK$9,0)), INDEX('[3]Detailed Bin Table'!$Z$9:$AK$132,MATCH($A45,'[3]Detailed Bin Table'!$A$9:$A$132,0),MATCH($B45,'[3]Detailed Bin Table'!$Z$9:$AK$9,0)))*24)</f>
        <v>2989.92</v>
      </c>
      <c r="H45" s="34">
        <f>IF(B45="Custom", Q45, IF(B45="Imputation", INDEX('[3]Alt Est Detailed Bin Table'!$AL$10:$AW$132, MATCH(A45, '[3]Alt Est Detailed Bin Table'!$A$10:$A$132), MATCH(P45, '[3]Alt Est Detailed Bin Table'!$AL$9:$AW$9,0)), INDEX('[3]Detailed Bin Table'!$AL$9:$AW$132,MATCH($A45,'[3]Detailed Bin Table'!$A$9:$A$132,0),MATCH($B45,'[3]Detailed Bin Table'!$AL$9:$AW$9,0)))*24)</f>
        <v>2099.7599999999998</v>
      </c>
      <c r="I45" s="34">
        <f>IF(B45="Custom", Q45, IF(B45="Imputation", INDEX('[3]Alt Est Detailed Bin Table'!$AX$10:$BI$132, MATCH(A45, '[3]Alt Est Detailed Bin Table'!$A$10:$A$132), MATCH(P45, '[3]Alt Est Detailed Bin Table'!$AX$9:$BI$9,0)), INDEX('[3]Detailed Bin Table'!$AX$9:$BI$132,MATCH($A45,'[3]Detailed Bin Table'!$A$9:$A$132,0),MATCH($B45,'[3]Detailed Bin Table'!$AX$9:$BI$9,0)))*24)</f>
        <v>1265.28</v>
      </c>
      <c r="J45" s="34">
        <f>IF(B45="Custom", V45, INDEX('[3]Detailed Bin Table'!$BJ$9:$BO$132,MATCH($A45,'[3]Detailed Bin Table'!$A$9:$A$132,0),MATCH($B45,'[3]Detailed Bin Table'!$BJ$9:$BO$9,0))*24)</f>
        <v>0</v>
      </c>
      <c r="K45" s="33">
        <f>IF(B45="Custom", Q45, IF(B45="Imputation", INDEX('[3]Alt Est Detailed Bin Table'!$BP$10:$CC$132, MATCH(A45, '[3]Alt Est Detailed Bin Table'!$A$10:$A$132), MATCH(P45, '[3]Alt Est Detailed Bin Table'!$BP$9:$CC$9,0)), INDEX('[3]Detailed Bin Table'!$BP$9:$CC$132,MATCH($A45,'[3]Detailed Bin Table'!$A$9:$A$132,0),MATCH($B45,'[3]Detailed Bin Table'!$BP$9:$CC$9,0)))*24)</f>
        <v>11937.840000000004</v>
      </c>
      <c r="L45" s="223">
        <f>IF(B45="Custom", Q45, IF(B45="Imputation", INDEX('[3]Alt Est Detailed Bin Table'!$CD$10:$CK$132, MATCH(A45, '[3]Alt Est Detailed Bin Table'!$A$10:$A$132), MATCH(P45, '[3]Alt Est Detailed Bin Table'!$CD$9:$CK$9,0)), INDEX('[3]Detailed Bin Table'!$CD$9:$CK$132,MATCH($A45,'[3]Detailed Bin Table'!$A$9:$A$132,0),MATCH($B45,'[3]Detailed Bin Table'!$CD$9:$CK$9,0)))*24)</f>
        <v>-318.71999999999997</v>
      </c>
      <c r="M45" s="34">
        <f>IF(B45="Custom", Q45, IF(B45="Imputation", INDEX('[3]Alt Est Detailed Bin Table'!$CL$10:$CS$132, MATCH(A45, '[3]Alt Est Detailed Bin Table'!$A$10:$A$132), MATCH(P45, '[3]Alt Est Detailed Bin Table'!$CL$9:$CS$9,0)), INDEX('[3]Detailed Bin Table'!$CL$9:$CS$132,MATCH($A45,'[3]Detailed Bin Table'!$A$9:$A$132,0),MATCH($B45,'[3]Detailed Bin Table'!$CL$9:$CS$9,0)))*24)</f>
        <v>547.68000000000006</v>
      </c>
      <c r="N45" s="34">
        <f>IF(B45="Custom", Q45, IF(B45="Imputation", INDEX('[3]Alt Est Detailed Bin Table'!$CT$10:$DA$132, MATCH(A45, '[3]Alt Est Detailed Bin Table'!$A$10:$A$132), MATCH(P45, '[3]Alt Est Detailed Bin Table'!$CT$9:$DA$9,0)), INDEX('[3]Detailed Bin Table'!$CT$9:$DA$132,MATCH($A45,'[3]Detailed Bin Table'!$A$9:$A$132,0),MATCH($B45,'[3]Detailed Bin Table'!$CT$9:$DA$9,0)))*24)</f>
        <v>349.92</v>
      </c>
      <c r="O45" s="34">
        <f>IF(B45="Custom", Q45, IF(B45="Imputation", INDEX('[3]Alt Est Detailed Bin Table'!$DB$10:$DI$132, MATCH(A45, '[3]Alt Est Detailed Bin Table'!$A$10:$A$132), MATCH(P45, '[3]Alt Est Detailed Bin Table'!$DB$9:$DI$9,0)), INDEX('[3]Detailed Bin Table'!$DB$9:$DI$132,MATCH($A45,'[3]Detailed Bin Table'!$A$9:$A$132,0),MATCH($B45,'[3]Detailed Bin Table'!$DB$9:$DI$9,0)))*24)</f>
        <v>534.24</v>
      </c>
      <c r="P45" s="215"/>
      <c r="Q45" s="62"/>
      <c r="R45" s="63"/>
      <c r="S45" s="63"/>
      <c r="T45" s="63"/>
      <c r="U45" s="63"/>
      <c r="V45" s="63"/>
      <c r="W45" s="64"/>
      <c r="X45" s="63"/>
      <c r="Y45" s="63"/>
      <c r="Z45" s="63"/>
      <c r="AA45" s="65"/>
      <c r="AB45" s="213" t="str">
        <f>IF(SUM(E45:O45)='[1]Passage Estimates'!$D45, "Ok", "Check")</f>
        <v>Ok</v>
      </c>
      <c r="AC45">
        <f>IF(B45="Custom",Q45,IF(B45="Imputation",INDEX('[3]Alt Est Detailed Bin Table'!$B$9:$M$132,MATCH(A45,'[3]Alt Est Detailed Bin Table'!$A$10:$A$132),MATCH(P45,'[3]Alt Est Detailed Bin Table'!$B$9:$M$9)),INDEX('[3]Detailed Bin Table'!$B$9:$M$132,MATCH($A45,'[3]Detailed Bin Table'!$A$9:$A$132,0),MATCH($B45,'[3]Detailed Bin Table'!$B$9:$M$9,0)))*24)</f>
        <v>2607.36</v>
      </c>
    </row>
    <row r="46" spans="1:31" x14ac:dyDescent="0.3">
      <c r="A46" s="20">
        <f>'1. Mixture Model Inputs'!A46</f>
        <v>45148</v>
      </c>
      <c r="B46" s="13" t="str">
        <f>'[1]Passage Estimates'!$C46</f>
        <v>A1+S1+M2+A2</v>
      </c>
      <c r="C46" s="206">
        <v>1762</v>
      </c>
      <c r="D46" s="206">
        <v>4556</v>
      </c>
      <c r="E46" s="34">
        <f>IF(B46="Custom", Q46, IF(B46="Imputation", INDEX('[3]Alt Est Detailed Bin Table'!$B$10:$M$132, MATCH(A46, '[3]Alt Est Detailed Bin Table'!$A$10:$A$132), MATCH(P46, '[3]Alt Est Detailed Bin Table'!$B$9:$M$9,0)), INDEX('[3]Detailed Bin Table'!$B$9:$M$132,MATCH($A46,'[3]Detailed Bin Table'!$A$9:$A$132,0),MATCH($B46,'[3]Detailed Bin Table'!$B$9:$M$9,0)))*24)</f>
        <v>6318.24</v>
      </c>
      <c r="F46" s="34">
        <f>IF(B46="Custom", Q46, IF(B46="Imputation", INDEX('[3]Alt Est Detailed Bin Table'!$N$10:$Y$132, MATCH(A46, '[3]Alt Est Detailed Bin Table'!$A$10:$A$132), MATCH(P46, '[3]Alt Est Detailed Bin Table'!$N$9:$Y$9,0)), INDEX('[3]Detailed Bin Table'!$N$9:$Y$132,MATCH($A46,'[3]Detailed Bin Table'!$A$9:$A$132,0),MATCH($B46,'[3]Detailed Bin Table'!$N$9:$Y$9,0)))*24)</f>
        <v>7715.52</v>
      </c>
      <c r="G46" s="34">
        <f>IF(B46="Custom", Q46, IF(B46="Imputation", INDEX('[3]Alt Est Detailed Bin Table'!$Z$10:$AK$132, MATCH(A46, '[3]Alt Est Detailed Bin Table'!$A$10:$A$132), MATCH(P46, '[3]Alt Est Detailed Bin Table'!$Z$9:$AK$9,0)), INDEX('[3]Detailed Bin Table'!$Z$9:$AK$132,MATCH($A46,'[3]Detailed Bin Table'!$A$9:$A$132,0),MATCH($B46,'[3]Detailed Bin Table'!$Z$9:$AK$9,0)))*24)</f>
        <v>5397.84</v>
      </c>
      <c r="H46" s="34">
        <f>IF(B46="Custom", Q46, IF(B46="Imputation", INDEX('[3]Alt Est Detailed Bin Table'!$AL$10:$AW$132, MATCH(A46, '[3]Alt Est Detailed Bin Table'!$A$10:$A$132), MATCH(P46, '[3]Alt Est Detailed Bin Table'!$AL$9:$AW$9,0)), INDEX('[3]Detailed Bin Table'!$AL$9:$AW$132,MATCH($A46,'[3]Detailed Bin Table'!$A$9:$A$132,0),MATCH($B46,'[3]Detailed Bin Table'!$AL$9:$AW$9,0)))*24)</f>
        <v>2585.04</v>
      </c>
      <c r="I46" s="34">
        <f>IF(B46="Custom", Q46, IF(B46="Imputation", INDEX('[3]Alt Est Detailed Bin Table'!$AX$10:$BI$132, MATCH(A46, '[3]Alt Est Detailed Bin Table'!$A$10:$A$132), MATCH(P46, '[3]Alt Est Detailed Bin Table'!$AX$9:$BI$9,0)), INDEX('[3]Detailed Bin Table'!$AX$9:$BI$132,MATCH($A46,'[3]Detailed Bin Table'!$A$9:$A$132,0),MATCH($B46,'[3]Detailed Bin Table'!$AX$9:$BI$9,0)))*24)</f>
        <v>1937.0400000000002</v>
      </c>
      <c r="J46" s="34">
        <f>IF(B46="Custom", V46, INDEX('[3]Detailed Bin Table'!$BJ$9:$BO$132,MATCH($A46,'[3]Detailed Bin Table'!$A$9:$A$132,0),MATCH($B46,'[3]Detailed Bin Table'!$BJ$9:$BO$9,0))*24)</f>
        <v>0</v>
      </c>
      <c r="K46" s="33">
        <f>IF(B46="Custom", Q46, IF(B46="Imputation", INDEX('[3]Alt Est Detailed Bin Table'!$BP$10:$CC$132, MATCH(A46, '[3]Alt Est Detailed Bin Table'!$A$10:$A$132), MATCH(P46, '[3]Alt Est Detailed Bin Table'!$BP$9:$CC$9,0)), INDEX('[3]Detailed Bin Table'!$BP$9:$CC$132,MATCH($A46,'[3]Detailed Bin Table'!$A$9:$A$132,0),MATCH($B46,'[3]Detailed Bin Table'!$BP$9:$CC$9,0)))*24)</f>
        <v>14282.639999999989</v>
      </c>
      <c r="L46" s="223">
        <f>IF(B46="Custom", Q46, IF(B46="Imputation", INDEX('[3]Alt Est Detailed Bin Table'!$CD$10:$CK$132, MATCH(A46, '[3]Alt Est Detailed Bin Table'!$A$10:$A$132), MATCH(P46, '[3]Alt Est Detailed Bin Table'!$CD$9:$CK$9,0)), INDEX('[3]Detailed Bin Table'!$CD$9:$CK$132,MATCH($A46,'[3]Detailed Bin Table'!$A$9:$A$132,0),MATCH($B46,'[3]Detailed Bin Table'!$CD$9:$CK$9,0)))*24)</f>
        <v>-97.68</v>
      </c>
      <c r="M46" s="34">
        <f>IF(B46="Custom", Q46, IF(B46="Imputation", INDEX('[3]Alt Est Detailed Bin Table'!$CL$10:$CS$132, MATCH(A46, '[3]Alt Est Detailed Bin Table'!$A$10:$A$132), MATCH(P46, '[3]Alt Est Detailed Bin Table'!$CL$9:$CS$9,0)), INDEX('[3]Detailed Bin Table'!$CL$9:$CS$132,MATCH($A46,'[3]Detailed Bin Table'!$A$9:$A$132,0),MATCH($B46,'[3]Detailed Bin Table'!$CL$9:$CS$9,0)))*24)</f>
        <v>195.60000000000002</v>
      </c>
      <c r="N46" s="34">
        <f>IF(B46="Custom", Q46, IF(B46="Imputation", INDEX('[3]Alt Est Detailed Bin Table'!$CT$10:$DA$132, MATCH(A46, '[3]Alt Est Detailed Bin Table'!$A$10:$A$132), MATCH(P46, '[3]Alt Est Detailed Bin Table'!$CT$9:$DA$9,0)), INDEX('[3]Detailed Bin Table'!$CT$9:$DA$132,MATCH($A46,'[3]Detailed Bin Table'!$A$9:$A$132,0),MATCH($B46,'[3]Detailed Bin Table'!$CT$9:$DA$9,0)))*24)</f>
        <v>267.12</v>
      </c>
      <c r="O46" s="34">
        <f>IF(B46="Custom", Q46, IF(B46="Imputation", INDEX('[3]Alt Est Detailed Bin Table'!$DB$10:$DI$132, MATCH(A46, '[3]Alt Est Detailed Bin Table'!$A$10:$A$132), MATCH(P46, '[3]Alt Est Detailed Bin Table'!$DB$9:$DI$9,0)), INDEX('[3]Detailed Bin Table'!$DB$9:$DI$132,MATCH($A46,'[3]Detailed Bin Table'!$A$9:$A$132,0),MATCH($B46,'[3]Detailed Bin Table'!$DB$9:$DI$9,0)))*24)</f>
        <v>78.960000000000008</v>
      </c>
      <c r="P46" s="215"/>
      <c r="Q46" s="62"/>
      <c r="R46" s="63"/>
      <c r="S46" s="63"/>
      <c r="T46" s="63"/>
      <c r="U46" s="63"/>
      <c r="V46" s="63"/>
      <c r="W46" s="64"/>
      <c r="X46" s="63"/>
      <c r="Y46" s="63"/>
      <c r="Z46" s="63"/>
      <c r="AA46" s="65"/>
      <c r="AB46" s="213" t="str">
        <f>IF(SUM(E46:O46)='[1]Passage Estimates'!$D46, "Ok", "Check")</f>
        <v>Ok</v>
      </c>
      <c r="AC46">
        <f>IF(B46="Custom",Q46,IF(B46="Imputation",INDEX('[3]Alt Est Detailed Bin Table'!$B$9:$M$132,MATCH(A46,'[3]Alt Est Detailed Bin Table'!$A$10:$A$132),MATCH(P46,'[3]Alt Est Detailed Bin Table'!$B$9:$M$9)),INDEX('[3]Detailed Bin Table'!$B$9:$M$132,MATCH($A46,'[3]Detailed Bin Table'!$A$9:$A$132,0),MATCH($B46,'[3]Detailed Bin Table'!$B$9:$M$9,0)))*24)</f>
        <v>6318.24</v>
      </c>
    </row>
    <row r="47" spans="1:31" x14ac:dyDescent="0.3">
      <c r="A47" s="20">
        <f>'1. Mixture Model Inputs'!A47</f>
        <v>45149</v>
      </c>
      <c r="B47" s="13" t="str">
        <f>'[1]Passage Estimates'!$C47</f>
        <v>A1+S1+M2+A2</v>
      </c>
      <c r="C47" s="206">
        <v>1139</v>
      </c>
      <c r="D47" s="206">
        <v>3636</v>
      </c>
      <c r="E47" s="34">
        <f>IF(B47="Custom", Q47, IF(B47="Imputation", INDEX('[3]Alt Est Detailed Bin Table'!$B$10:$M$132, MATCH(A47, '[3]Alt Est Detailed Bin Table'!$A$10:$A$132), MATCH(P47, '[3]Alt Est Detailed Bin Table'!$B$9:$M$9,0)), INDEX('[3]Detailed Bin Table'!$B$9:$M$132,MATCH($A47,'[3]Detailed Bin Table'!$A$9:$A$132,0),MATCH($B47,'[3]Detailed Bin Table'!$B$9:$M$9,0)))*24)</f>
        <v>4774.7999999999993</v>
      </c>
      <c r="F47" s="34">
        <f>IF(B47="Custom", Q47, IF(B47="Imputation", INDEX('[3]Alt Est Detailed Bin Table'!$N$10:$Y$132, MATCH(A47, '[3]Alt Est Detailed Bin Table'!$A$10:$A$132), MATCH(P47, '[3]Alt Est Detailed Bin Table'!$N$9:$Y$9,0)), INDEX('[3]Detailed Bin Table'!$N$9:$Y$132,MATCH($A47,'[3]Detailed Bin Table'!$A$9:$A$132,0),MATCH($B47,'[3]Detailed Bin Table'!$N$9:$Y$9,0)))*24)</f>
        <v>6140.64</v>
      </c>
      <c r="G47" s="34">
        <f>IF(B47="Custom", Q47, IF(B47="Imputation", INDEX('[3]Alt Est Detailed Bin Table'!$Z$10:$AK$132, MATCH(A47, '[3]Alt Est Detailed Bin Table'!$A$10:$A$132), MATCH(P47, '[3]Alt Est Detailed Bin Table'!$Z$9:$AK$9,0)), INDEX('[3]Detailed Bin Table'!$Z$9:$AK$132,MATCH($A47,'[3]Detailed Bin Table'!$A$9:$A$132,0),MATCH($B47,'[3]Detailed Bin Table'!$Z$9:$AK$9,0)))*24)</f>
        <v>5838.24</v>
      </c>
      <c r="H47" s="34">
        <f>IF(B47="Custom", Q47, IF(B47="Imputation", INDEX('[3]Alt Est Detailed Bin Table'!$AL$10:$AW$132, MATCH(A47, '[3]Alt Est Detailed Bin Table'!$A$10:$A$132), MATCH(P47, '[3]Alt Est Detailed Bin Table'!$AL$9:$AW$9,0)), INDEX('[3]Detailed Bin Table'!$AL$9:$AW$132,MATCH($A47,'[3]Detailed Bin Table'!$A$9:$A$132,0),MATCH($B47,'[3]Detailed Bin Table'!$AL$9:$AW$9,0)))*24)</f>
        <v>5891.76</v>
      </c>
      <c r="I47" s="34">
        <f>IF(B47="Custom", Q47, IF(B47="Imputation", INDEX('[3]Alt Est Detailed Bin Table'!$AX$10:$BI$132, MATCH(A47, '[3]Alt Est Detailed Bin Table'!$A$10:$A$132), MATCH(P47, '[3]Alt Est Detailed Bin Table'!$AX$9:$BI$9,0)), INDEX('[3]Detailed Bin Table'!$AX$9:$BI$132,MATCH($A47,'[3]Detailed Bin Table'!$A$9:$A$132,0),MATCH($B47,'[3]Detailed Bin Table'!$AX$9:$BI$9,0)))*24)</f>
        <v>2988.96</v>
      </c>
      <c r="J47" s="34">
        <f>IF(B47="Custom", V47, INDEX('[3]Detailed Bin Table'!$BJ$9:$BO$132,MATCH($A47,'[3]Detailed Bin Table'!$A$9:$A$132,0),MATCH($B47,'[3]Detailed Bin Table'!$BJ$9:$BO$9,0))*24)</f>
        <v>0</v>
      </c>
      <c r="K47" s="33">
        <f>IF(B47="Custom", Q47, IF(B47="Imputation", INDEX('[3]Alt Est Detailed Bin Table'!$BP$10:$CC$132, MATCH(A47, '[3]Alt Est Detailed Bin Table'!$A$10:$A$132), MATCH(P47, '[3]Alt Est Detailed Bin Table'!$BP$9:$CC$9,0)), INDEX('[3]Detailed Bin Table'!$BP$9:$CC$132,MATCH($A47,'[3]Detailed Bin Table'!$A$9:$A$132,0),MATCH($B47,'[3]Detailed Bin Table'!$BP$9:$CC$9,0)))*24)</f>
        <v>16728.000000000011</v>
      </c>
      <c r="L47" s="223">
        <f>IF(B47="Custom", Q47, IF(B47="Imputation", INDEX('[3]Alt Est Detailed Bin Table'!$CD$10:$CK$132, MATCH(A47, '[3]Alt Est Detailed Bin Table'!$A$10:$A$132), MATCH(P47, '[3]Alt Est Detailed Bin Table'!$CD$9:$CK$9,0)), INDEX('[3]Detailed Bin Table'!$CD$9:$CK$132,MATCH($A47,'[3]Detailed Bin Table'!$A$9:$A$132,0),MATCH($B47,'[3]Detailed Bin Table'!$CD$9:$CK$9,0)))*24)</f>
        <v>-86.64</v>
      </c>
      <c r="M47" s="34">
        <f>IF(B47="Custom", Q47, IF(B47="Imputation", INDEX('[3]Alt Est Detailed Bin Table'!$CL$10:$CS$132, MATCH(A47, '[3]Alt Est Detailed Bin Table'!$A$10:$A$132), MATCH(P47, '[3]Alt Est Detailed Bin Table'!$CL$9:$CS$9,0)), INDEX('[3]Detailed Bin Table'!$CL$9:$CS$132,MATCH($A47,'[3]Detailed Bin Table'!$A$9:$A$132,0),MATCH($B47,'[3]Detailed Bin Table'!$CL$9:$CS$9,0)))*24)</f>
        <v>614.64</v>
      </c>
      <c r="N47" s="34">
        <f>IF(B47="Custom", Q47, IF(B47="Imputation", INDEX('[3]Alt Est Detailed Bin Table'!$CT$10:$DA$132, MATCH(A47, '[3]Alt Est Detailed Bin Table'!$A$10:$A$132), MATCH(P47, '[3]Alt Est Detailed Bin Table'!$CT$9:$DA$9,0)), INDEX('[3]Detailed Bin Table'!$CT$9:$DA$132,MATCH($A47,'[3]Detailed Bin Table'!$A$9:$A$132,0),MATCH($B47,'[3]Detailed Bin Table'!$CT$9:$DA$9,0)))*24)</f>
        <v>415.68</v>
      </c>
      <c r="O47" s="34">
        <f>IF(B47="Custom", Q47, IF(B47="Imputation", INDEX('[3]Alt Est Detailed Bin Table'!$DB$10:$DI$132, MATCH(A47, '[3]Alt Est Detailed Bin Table'!$A$10:$A$132), MATCH(P47, '[3]Alt Est Detailed Bin Table'!$DB$9:$DI$9,0)), INDEX('[3]Detailed Bin Table'!$DB$9:$DI$132,MATCH($A47,'[3]Detailed Bin Table'!$A$9:$A$132,0),MATCH($B47,'[3]Detailed Bin Table'!$DB$9:$DI$9,0)))*24)</f>
        <v>559.20000000000005</v>
      </c>
      <c r="P47" s="215"/>
      <c r="Q47" s="62"/>
      <c r="R47" s="63"/>
      <c r="S47" s="63"/>
      <c r="T47" s="63"/>
      <c r="U47" s="63"/>
      <c r="V47" s="63"/>
      <c r="W47" s="64"/>
      <c r="X47" s="63"/>
      <c r="Y47" s="63"/>
      <c r="Z47" s="63"/>
      <c r="AA47" s="65"/>
      <c r="AB47" s="213" t="str">
        <f>IF(SUM(E47:O47)='[1]Passage Estimates'!$D47, "Ok", "Check")</f>
        <v>Ok</v>
      </c>
      <c r="AC47">
        <f>IF(B47="Custom",Q47,IF(B47="Imputation",INDEX('[3]Alt Est Detailed Bin Table'!$B$9:$M$132,MATCH(A47,'[3]Alt Est Detailed Bin Table'!$A$10:$A$132),MATCH(P47,'[3]Alt Est Detailed Bin Table'!$B$9:$M$9)),INDEX('[3]Detailed Bin Table'!$B$9:$M$132,MATCH($A47,'[3]Detailed Bin Table'!$A$9:$A$132,0),MATCH($B47,'[3]Detailed Bin Table'!$B$9:$M$9,0)))*24)</f>
        <v>4774.7999999999993</v>
      </c>
    </row>
    <row r="48" spans="1:31" x14ac:dyDescent="0.3">
      <c r="A48" s="20">
        <f>'1. Mixture Model Inputs'!A48</f>
        <v>45150</v>
      </c>
      <c r="B48" s="13" t="str">
        <f>'[1]Passage Estimates'!$C48</f>
        <v>Imputation</v>
      </c>
      <c r="C48" s="206">
        <v>2089</v>
      </c>
      <c r="D48" s="206">
        <v>2819</v>
      </c>
      <c r="E48" s="34">
        <f>IF(B48="Custom", Q48, IF(B48="Imputation", INDEX('[3]Alt Est Detailed Bin Table'!$B$10:$M$132, MATCH(A48, '[3]Alt Est Detailed Bin Table'!$A$10:$A$132), MATCH(P48, '[3]Alt Est Detailed Bin Table'!$B$9:$M$9,0)), INDEX('[3]Detailed Bin Table'!$B$9:$M$132,MATCH($A48,'[3]Detailed Bin Table'!$A$9:$A$132,0),MATCH($B48,'[3]Detailed Bin Table'!$B$9:$M$9,0)))*24)</f>
        <v>4908.24</v>
      </c>
      <c r="F48" s="34">
        <f>IF(B48="Custom", Q48, IF(B48="Imputation", INDEX('[3]Alt Est Detailed Bin Table'!$N$10:$Y$132, MATCH(A48, '[3]Alt Est Detailed Bin Table'!$A$10:$A$132), MATCH(P48, '[3]Alt Est Detailed Bin Table'!$N$9:$Y$9,0)), INDEX('[3]Detailed Bin Table'!$N$9:$Y$132,MATCH($A48,'[3]Detailed Bin Table'!$A$9:$A$132,0),MATCH($B48,'[3]Detailed Bin Table'!$N$9:$Y$9,0)))*24)</f>
        <v>3399.6000000000004</v>
      </c>
      <c r="G48" s="34">
        <f>IF(B48="Custom", Q48, IF(B48="Imputation", INDEX('[3]Alt Est Detailed Bin Table'!$Z$10:$AK$132, MATCH(A48, '[3]Alt Est Detailed Bin Table'!$A$10:$A$132), MATCH(P48, '[3]Alt Est Detailed Bin Table'!$Z$9:$AK$9,0)), INDEX('[3]Detailed Bin Table'!$Z$9:$AK$132,MATCH($A48,'[3]Detailed Bin Table'!$A$9:$A$132,0),MATCH($B48,'[3]Detailed Bin Table'!$Z$9:$AK$9,0)))*24)</f>
        <v>2180.3999999999996</v>
      </c>
      <c r="H48" s="34">
        <f>IF(B48="Custom", Q48, IF(B48="Imputation", INDEX('[3]Alt Est Detailed Bin Table'!$AL$10:$AW$132, MATCH(A48, '[3]Alt Est Detailed Bin Table'!$A$10:$A$132), MATCH(P48, '[3]Alt Est Detailed Bin Table'!$AL$9:$AW$9,0)), INDEX('[3]Detailed Bin Table'!$AL$9:$AW$132,MATCH($A48,'[3]Detailed Bin Table'!$A$9:$A$132,0),MATCH($B48,'[3]Detailed Bin Table'!$AL$9:$AW$9,0)))*24)</f>
        <v>2180.3999999999996</v>
      </c>
      <c r="I48" s="34">
        <f>IF(B48="Custom", Q48, IF(B48="Imputation", INDEX('[3]Alt Est Detailed Bin Table'!$AX$10:$BI$132, MATCH(A48, '[3]Alt Est Detailed Bin Table'!$A$10:$A$132), MATCH(P48, '[3]Alt Est Detailed Bin Table'!$AX$9:$BI$9,0)), INDEX('[3]Detailed Bin Table'!$AX$9:$BI$132,MATCH($A48,'[3]Detailed Bin Table'!$A$9:$A$132,0),MATCH($B48,'[3]Detailed Bin Table'!$AX$9:$BI$9,0)))*24)</f>
        <v>2049.84</v>
      </c>
      <c r="J48" s="34">
        <v>0</v>
      </c>
      <c r="K48" s="33">
        <f>IF(B48="Custom", Q48, IF(B48="Imputation", INDEX('[3]Alt Est Detailed Bin Table'!$BP$10:$CC$132, MATCH(A48, '[3]Alt Est Detailed Bin Table'!$A$10:$A$132), MATCH(P48, '[3]Alt Est Detailed Bin Table'!$BP$9:$CC$9,0)), INDEX('[3]Detailed Bin Table'!$BP$9:$CC$132,MATCH($A48,'[3]Detailed Bin Table'!$A$9:$A$132,0),MATCH($B48,'[3]Detailed Bin Table'!$BP$9:$CC$9,0)))*24)</f>
        <v>25710.294239999988</v>
      </c>
      <c r="L48" s="223">
        <f>IF(B48="Custom", Q48, IF(B48="Imputation", INDEX('[3]Alt Est Detailed Bin Table'!$CD$10:$CK$132, MATCH(A48, '[3]Alt Est Detailed Bin Table'!$A$10:$A$132), MATCH(P48, '[3]Alt Est Detailed Bin Table'!$CD$9:$CK$9,0)), INDEX('[3]Detailed Bin Table'!$CD$9:$CK$132,MATCH($A48,'[3]Detailed Bin Table'!$A$9:$A$132,0),MATCH($B48,'[3]Detailed Bin Table'!$CD$9:$CK$9,0)))*24)</f>
        <v>292.56</v>
      </c>
      <c r="M48" s="34">
        <f>IF(B48="Custom", Q48, IF(B48="Imputation", INDEX('[3]Alt Est Detailed Bin Table'!$CL$10:$CS$132, MATCH(A48, '[3]Alt Est Detailed Bin Table'!$A$10:$A$132), MATCH(P48, '[3]Alt Est Detailed Bin Table'!$CL$9:$CS$9,0)), INDEX('[3]Detailed Bin Table'!$CL$9:$CS$132,MATCH($A48,'[3]Detailed Bin Table'!$A$9:$A$132,0),MATCH($B48,'[3]Detailed Bin Table'!$CL$9:$CS$9,0)))*24)</f>
        <v>563.52</v>
      </c>
      <c r="N48" s="34">
        <f>IF(B48="Custom", Q48, IF(B48="Imputation", INDEX('[3]Alt Est Detailed Bin Table'!$CT$10:$DA$132, MATCH(A48, '[3]Alt Est Detailed Bin Table'!$A$10:$A$132), MATCH(P48, '[3]Alt Est Detailed Bin Table'!$CT$9:$DA$9,0)), INDEX('[3]Detailed Bin Table'!$CT$9:$DA$132,MATCH($A48,'[3]Detailed Bin Table'!$A$9:$A$132,0),MATCH($B48,'[3]Detailed Bin Table'!$CT$9:$DA$9,0)))*24)</f>
        <v>1004.1600000000001</v>
      </c>
      <c r="O48" s="34">
        <f>IF(B48="Custom", Q48, IF(B48="Imputation", INDEX('[3]Alt Est Detailed Bin Table'!$DB$10:$DI$132, MATCH(A48, '[3]Alt Est Detailed Bin Table'!$A$10:$A$132), MATCH(P48, '[3]Alt Est Detailed Bin Table'!$DB$9:$DI$9,0)), INDEX('[3]Detailed Bin Table'!$DB$9:$DI$132,MATCH($A48,'[3]Detailed Bin Table'!$A$9:$A$132,0),MATCH($B48,'[3]Detailed Bin Table'!$DB$9:$DI$9,0)))*24)</f>
        <v>1317.6</v>
      </c>
      <c r="P48" s="215" t="s">
        <v>161</v>
      </c>
      <c r="Q48" s="62"/>
      <c r="R48" s="63"/>
      <c r="S48" s="63"/>
      <c r="T48" s="63"/>
      <c r="U48" s="63"/>
      <c r="V48" s="63"/>
      <c r="W48" s="64"/>
      <c r="X48" s="63"/>
      <c r="Y48" s="63"/>
      <c r="Z48" s="63"/>
      <c r="AA48" s="65"/>
      <c r="AB48" s="213" t="str">
        <f>IF(SUM(E48:O48)='[1]Passage Estimates'!$D48, "Ok", "Check")</f>
        <v>Ok</v>
      </c>
      <c r="AC48">
        <f>IF(B48="Custom",Q48,IF(B48="Imputation",INDEX('[3]Alt Est Detailed Bin Table'!$B$9:$M$132,MATCH(A48,'[3]Alt Est Detailed Bin Table'!$A$10:$A$132),MATCH(P48,'[3]Alt Est Detailed Bin Table'!$B$9:$M$9)),INDEX('[3]Detailed Bin Table'!$B$9:$M$132,MATCH($A48,'[3]Detailed Bin Table'!$A$9:$A$132,0),MATCH($B48,'[3]Detailed Bin Table'!$B$9:$M$9,0)))*24)</f>
        <v>0</v>
      </c>
    </row>
    <row r="49" spans="1:28" x14ac:dyDescent="0.3">
      <c r="A49" s="20">
        <f>'1. Mixture Model Inputs'!A49</f>
        <v>45151</v>
      </c>
      <c r="B49" s="13" t="str">
        <f>'[1]Passage Estimates'!$C49</f>
        <v>A1+S1+M2+A2</v>
      </c>
      <c r="C49" s="206">
        <v>1465</v>
      </c>
      <c r="D49" s="206">
        <v>3098</v>
      </c>
      <c r="E49" s="34">
        <f>IF(B49="Custom", Q49, IF(B49="Imputation", INDEX('[3]Alt Est Detailed Bin Table'!$B$10:$M$132, MATCH(A49, '[3]Alt Est Detailed Bin Table'!$A$10:$A$132), MATCH(P49, '[3]Alt Est Detailed Bin Table'!$B$9:$M$9,0)), INDEX('[3]Detailed Bin Table'!$B$9:$M$132,MATCH($A49,'[3]Detailed Bin Table'!$A$9:$A$132,0),MATCH($B49,'[3]Detailed Bin Table'!$B$9:$M$9,0)))*24)</f>
        <v>4562.88</v>
      </c>
      <c r="F49" s="34">
        <f>IF(B49="Custom", Q49, IF(B49="Imputation", INDEX('[3]Alt Est Detailed Bin Table'!$N$10:$Y$132, MATCH(A49, '[3]Alt Est Detailed Bin Table'!$A$10:$A$132), MATCH(P49, '[3]Alt Est Detailed Bin Table'!$N$9:$Y$9,0)), INDEX('[3]Detailed Bin Table'!$N$9:$Y$132,MATCH($A49,'[3]Detailed Bin Table'!$A$9:$A$132,0),MATCH($B49,'[3]Detailed Bin Table'!$N$9:$Y$9,0)))*24)</f>
        <v>5206.32</v>
      </c>
      <c r="G49" s="34">
        <f>IF(B49="Custom", Q49, IF(B49="Imputation", INDEX('[3]Alt Est Detailed Bin Table'!$Z$10:$AK$132, MATCH(A49, '[3]Alt Est Detailed Bin Table'!$A$10:$A$132), MATCH(P49, '[3]Alt Est Detailed Bin Table'!$Z$9:$AK$9,0)), INDEX('[3]Detailed Bin Table'!$Z$9:$AK$132,MATCH($A49,'[3]Detailed Bin Table'!$A$9:$A$132,0),MATCH($B49,'[3]Detailed Bin Table'!$Z$9:$AK$9,0)))*24)</f>
        <v>4739.28</v>
      </c>
      <c r="H49" s="34">
        <f>IF(B49="Custom", Q49, IF(B49="Imputation", INDEX('[3]Alt Est Detailed Bin Table'!$AL$10:$AW$132, MATCH(A49, '[3]Alt Est Detailed Bin Table'!$A$10:$A$132), MATCH(P49, '[3]Alt Est Detailed Bin Table'!$AL$9:$AW$9,0)), INDEX('[3]Detailed Bin Table'!$AL$9:$AW$132,MATCH($A49,'[3]Detailed Bin Table'!$A$9:$A$132,0),MATCH($B49,'[3]Detailed Bin Table'!$AL$9:$AW$9,0)))*24)</f>
        <v>3939.6000000000004</v>
      </c>
      <c r="I49" s="34">
        <f>IF(B49="Custom", Q49, IF(B49="Imputation", INDEX('[3]Alt Est Detailed Bin Table'!$AX$10:$BI$132, MATCH(A49, '[3]Alt Est Detailed Bin Table'!$A$10:$A$132), MATCH(P49, '[3]Alt Est Detailed Bin Table'!$AX$9:$BI$9,0)), INDEX('[3]Detailed Bin Table'!$AX$9:$BI$132,MATCH($A49,'[3]Detailed Bin Table'!$A$9:$A$132,0),MATCH($B49,'[3]Detailed Bin Table'!$AX$9:$BI$9,0)))*24)</f>
        <v>3825.84</v>
      </c>
      <c r="J49" s="34">
        <f>IF(B49="Custom", V49, INDEX('[3]Detailed Bin Table'!$BJ$9:$BO$132,MATCH($A49,'[3]Detailed Bin Table'!$A$9:$A$132,0),MATCH($B49,'[3]Detailed Bin Table'!$BJ$9:$BO$9,0))*24)</f>
        <v>0</v>
      </c>
      <c r="K49" s="33">
        <f>IF(B49="Custom", Q49, IF(B49="Imputation", INDEX('[3]Alt Est Detailed Bin Table'!$BP$10:$CC$132, MATCH(A49, '[3]Alt Est Detailed Bin Table'!$A$10:$A$132), MATCH(P49, '[3]Alt Est Detailed Bin Table'!$BP$9:$CC$9,0)), INDEX('[3]Detailed Bin Table'!$BP$9:$CC$132,MATCH($A49,'[3]Detailed Bin Table'!$A$9:$A$132,0),MATCH($B49,'[3]Detailed Bin Table'!$BP$9:$CC$9,0)))*24)</f>
        <v>15322.320000000007</v>
      </c>
      <c r="L49" s="223">
        <f>IF(B49="Custom", Q49, IF(B49="Imputation", INDEX('[3]Alt Est Detailed Bin Table'!$CD$10:$CK$132, MATCH(A49, '[3]Alt Est Detailed Bin Table'!$A$10:$A$132), MATCH(P49, '[3]Alt Est Detailed Bin Table'!$CD$9:$CK$9,0)), INDEX('[3]Detailed Bin Table'!$CD$9:$CK$132,MATCH($A49,'[3]Detailed Bin Table'!$A$9:$A$132,0),MATCH($B49,'[3]Detailed Bin Table'!$CD$9:$CK$9,0)))*24)</f>
        <v>631.20000000000005</v>
      </c>
      <c r="M49" s="34">
        <f>IF(B49="Custom", Q49, IF(B49="Imputation", INDEX('[3]Alt Est Detailed Bin Table'!$CL$10:$CS$132, MATCH(A49, '[3]Alt Est Detailed Bin Table'!$A$10:$A$132), MATCH(P49, '[3]Alt Est Detailed Bin Table'!$CL$9:$CS$9,0)), INDEX('[3]Detailed Bin Table'!$CL$9:$CS$132,MATCH($A49,'[3]Detailed Bin Table'!$A$9:$A$132,0),MATCH($B49,'[3]Detailed Bin Table'!$CL$9:$CS$9,0)))*24)</f>
        <v>1131.8399999999999</v>
      </c>
      <c r="N49" s="34">
        <f>IF(B49="Custom", Q49, IF(B49="Imputation", INDEX('[3]Alt Est Detailed Bin Table'!$CT$10:$DA$132, MATCH(A49, '[3]Alt Est Detailed Bin Table'!$A$10:$A$132), MATCH(P49, '[3]Alt Est Detailed Bin Table'!$CT$9:$DA$9,0)), INDEX('[3]Detailed Bin Table'!$CT$9:$DA$132,MATCH($A49,'[3]Detailed Bin Table'!$A$9:$A$132,0),MATCH($B49,'[3]Detailed Bin Table'!$CT$9:$DA$9,0)))*24)</f>
        <v>790.80000000000007</v>
      </c>
      <c r="O49" s="34">
        <f>IF(B49="Custom", Q49, IF(B49="Imputation", INDEX('[3]Alt Est Detailed Bin Table'!$DB$10:$DI$132, MATCH(A49, '[3]Alt Est Detailed Bin Table'!$A$10:$A$132), MATCH(P49, '[3]Alt Est Detailed Bin Table'!$DB$9:$DI$9,0)), INDEX('[3]Detailed Bin Table'!$DB$9:$DI$132,MATCH($A49,'[3]Detailed Bin Table'!$A$9:$A$132,0),MATCH($B49,'[3]Detailed Bin Table'!$DB$9:$DI$9,0)))*24)</f>
        <v>1450.8000000000002</v>
      </c>
      <c r="P49" s="215"/>
      <c r="Q49" s="62"/>
      <c r="R49" s="63"/>
      <c r="S49" s="63"/>
      <c r="T49" s="63"/>
      <c r="U49" s="63"/>
      <c r="V49" s="63"/>
      <c r="W49" s="64"/>
      <c r="X49" s="63"/>
      <c r="Y49" s="63"/>
      <c r="Z49" s="63"/>
      <c r="AA49" s="65"/>
      <c r="AB49" s="213" t="str">
        <f>IF(SUM(E49:O49)='[1]Passage Estimates'!$D49, "Ok", "Check")</f>
        <v>Ok</v>
      </c>
    </row>
    <row r="50" spans="1:28" x14ac:dyDescent="0.3">
      <c r="A50" s="20">
        <f>'1. Mixture Model Inputs'!A50</f>
        <v>45152</v>
      </c>
      <c r="B50" s="13" t="str">
        <f>'[1]Passage Estimates'!$C50</f>
        <v>A1+S1+M2+A2</v>
      </c>
      <c r="C50" s="206">
        <v>2759</v>
      </c>
      <c r="D50" s="206">
        <v>5762</v>
      </c>
      <c r="E50" s="34">
        <f>IF(B50="Custom", Q50, IF(B50="Imputation", INDEX('[3]Alt Est Detailed Bin Table'!$B$10:$M$132, MATCH(A50, '[3]Alt Est Detailed Bin Table'!$A$10:$A$132), MATCH(P50, '[3]Alt Est Detailed Bin Table'!$B$9:$M$9,0)), INDEX('[3]Detailed Bin Table'!$B$9:$M$132,MATCH($A50,'[3]Detailed Bin Table'!$A$9:$A$132,0),MATCH($B50,'[3]Detailed Bin Table'!$B$9:$M$9,0)))*24)</f>
        <v>8520.9600000000009</v>
      </c>
      <c r="F50" s="34">
        <f>IF(B50="Custom", Q50, IF(B50="Imputation", INDEX('[3]Alt Est Detailed Bin Table'!$N$10:$Y$132, MATCH(A50, '[3]Alt Est Detailed Bin Table'!$A$10:$A$132), MATCH(P50, '[3]Alt Est Detailed Bin Table'!$N$9:$Y$9,0)), INDEX('[3]Detailed Bin Table'!$N$9:$Y$132,MATCH($A50,'[3]Detailed Bin Table'!$A$9:$A$132,0),MATCH($B50,'[3]Detailed Bin Table'!$N$9:$Y$9,0)))*24)</f>
        <v>6199.68</v>
      </c>
      <c r="G50" s="34">
        <f>IF(B50="Custom", Q50, IF(B50="Imputation", INDEX('[3]Alt Est Detailed Bin Table'!$Z$10:$AK$132, MATCH(A50, '[3]Alt Est Detailed Bin Table'!$A$10:$A$132), MATCH(P50, '[3]Alt Est Detailed Bin Table'!$Z$9:$AK$9,0)), INDEX('[3]Detailed Bin Table'!$Z$9:$AK$132,MATCH($A50,'[3]Detailed Bin Table'!$A$9:$A$132,0),MATCH($B50,'[3]Detailed Bin Table'!$Z$9:$AK$9,0)))*24)</f>
        <v>3531.6000000000004</v>
      </c>
      <c r="H50" s="34">
        <f>IF(B50="Custom", Q50, IF(B50="Imputation", INDEX('[3]Alt Est Detailed Bin Table'!$AL$10:$AW$132, MATCH(A50, '[3]Alt Est Detailed Bin Table'!$A$10:$A$132), MATCH(P50, '[3]Alt Est Detailed Bin Table'!$AL$9:$AW$9,0)), INDEX('[3]Detailed Bin Table'!$AL$9:$AW$132,MATCH($A50,'[3]Detailed Bin Table'!$A$9:$A$132,0),MATCH($B50,'[3]Detailed Bin Table'!$AL$9:$AW$9,0)))*24)</f>
        <v>2330.88</v>
      </c>
      <c r="I50" s="34">
        <f>IF(B50="Custom", Q50, IF(B50="Imputation", INDEX('[3]Alt Est Detailed Bin Table'!$AX$10:$BI$132, MATCH(A50, '[3]Alt Est Detailed Bin Table'!$A$10:$A$132), MATCH(P50, '[3]Alt Est Detailed Bin Table'!$AX$9:$BI$9,0)), INDEX('[3]Detailed Bin Table'!$AX$9:$BI$132,MATCH($A50,'[3]Detailed Bin Table'!$A$9:$A$132,0),MATCH($B50,'[3]Detailed Bin Table'!$AX$9:$BI$9,0)))*24)</f>
        <v>1967.52</v>
      </c>
      <c r="J50" s="34">
        <f>IF(B50="Custom", V50, INDEX('[3]Detailed Bin Table'!$BJ$9:$BO$132,MATCH($A50,'[3]Detailed Bin Table'!$A$9:$A$132,0),MATCH($B50,'[3]Detailed Bin Table'!$BJ$9:$BO$9,0))*24)</f>
        <v>0</v>
      </c>
      <c r="K50" s="33">
        <f>IF(B50="Custom", Q50, IF(B50="Imputation", INDEX('[3]Alt Est Detailed Bin Table'!$BP$10:$CC$132, MATCH(A50, '[3]Alt Est Detailed Bin Table'!$A$10:$A$132), MATCH(P50, '[3]Alt Est Detailed Bin Table'!$BP$9:$CC$9,0)), INDEX('[3]Detailed Bin Table'!$BP$9:$CC$132,MATCH($A50,'[3]Detailed Bin Table'!$A$9:$A$132,0),MATCH($B50,'[3]Detailed Bin Table'!$BP$9:$CC$9,0)))*24)</f>
        <v>8762.4000000000087</v>
      </c>
      <c r="L50" s="223">
        <f>IF(B50="Custom", Q50, IF(B50="Imputation", INDEX('[3]Alt Est Detailed Bin Table'!$CD$10:$CK$132, MATCH(A50, '[3]Alt Est Detailed Bin Table'!$A$10:$A$132), MATCH(P50, '[3]Alt Est Detailed Bin Table'!$CD$9:$CK$9,0)), INDEX('[3]Detailed Bin Table'!$CD$9:$CK$132,MATCH($A50,'[3]Detailed Bin Table'!$A$9:$A$132,0),MATCH($B50,'[3]Detailed Bin Table'!$CD$9:$CK$9,0)))*24)</f>
        <v>-141.60000000000002</v>
      </c>
      <c r="M50" s="34">
        <f>IF(B50="Custom", Q50, IF(B50="Imputation", INDEX('[3]Alt Est Detailed Bin Table'!$CL$10:$CS$132, MATCH(A50, '[3]Alt Est Detailed Bin Table'!$A$10:$A$132), MATCH(P50, '[3]Alt Est Detailed Bin Table'!$CL$9:$CS$9,0)), INDEX('[3]Detailed Bin Table'!$CL$9:$CS$132,MATCH($A50,'[3]Detailed Bin Table'!$A$9:$A$132,0),MATCH($B50,'[3]Detailed Bin Table'!$CL$9:$CS$9,0)))*24)</f>
        <v>533.28</v>
      </c>
      <c r="N50" s="34">
        <f>IF(B50="Custom", Q50, IF(B50="Imputation", INDEX('[3]Alt Est Detailed Bin Table'!$CT$10:$DA$132, MATCH(A50, '[3]Alt Est Detailed Bin Table'!$A$10:$A$132), MATCH(P50, '[3]Alt Est Detailed Bin Table'!$CT$9:$DA$9,0)), INDEX('[3]Detailed Bin Table'!$CT$9:$DA$132,MATCH($A50,'[3]Detailed Bin Table'!$A$9:$A$132,0),MATCH($B50,'[3]Detailed Bin Table'!$CT$9:$DA$9,0)))*24)</f>
        <v>731.76</v>
      </c>
      <c r="O50" s="34">
        <f>IF(B50="Custom", Q50, IF(B50="Imputation", INDEX('[3]Alt Est Detailed Bin Table'!$DB$10:$DI$132, MATCH(A50, '[3]Alt Est Detailed Bin Table'!$A$10:$A$132), MATCH(P50, '[3]Alt Est Detailed Bin Table'!$DB$9:$DI$9,0)), INDEX('[3]Detailed Bin Table'!$DB$9:$DI$132,MATCH($A50,'[3]Detailed Bin Table'!$A$9:$A$132,0),MATCH($B50,'[3]Detailed Bin Table'!$DB$9:$DI$9,0)))*24)</f>
        <v>648.24</v>
      </c>
      <c r="P50" s="215"/>
      <c r="Q50" s="62"/>
      <c r="R50" s="63"/>
      <c r="S50" s="63"/>
      <c r="T50" s="63"/>
      <c r="U50" s="63"/>
      <c r="V50" s="63"/>
      <c r="W50" s="64"/>
      <c r="X50" s="63"/>
      <c r="Y50" s="63"/>
      <c r="Z50" s="63"/>
      <c r="AA50" s="65"/>
      <c r="AB50" s="213" t="str">
        <f>IF(SUM(E50:O50)='[1]Passage Estimates'!$D50, "Ok", "Check")</f>
        <v>Ok</v>
      </c>
    </row>
    <row r="51" spans="1:28" x14ac:dyDescent="0.3">
      <c r="A51" s="20">
        <f>'1. Mixture Model Inputs'!A51</f>
        <v>45153</v>
      </c>
      <c r="B51" s="13" t="str">
        <f>'[1]Passage Estimates'!$C51</f>
        <v>A1+S1+M2+A2</v>
      </c>
      <c r="C51" s="206">
        <v>2239</v>
      </c>
      <c r="D51" s="206">
        <v>7966</v>
      </c>
      <c r="E51" s="34">
        <f>IF(B51="Custom", Q51, IF(B51="Imputation", INDEX('[3]Alt Est Detailed Bin Table'!$B$10:$M$132, MATCH(A51, '[3]Alt Est Detailed Bin Table'!$A$10:$A$132), MATCH(P51, '[3]Alt Est Detailed Bin Table'!$B$9:$M$9,0)), INDEX('[3]Detailed Bin Table'!$B$9:$M$132,MATCH($A51,'[3]Detailed Bin Table'!$A$9:$A$132,0),MATCH($B51,'[3]Detailed Bin Table'!$B$9:$M$9,0)))*24)</f>
        <v>10204.799999999999</v>
      </c>
      <c r="F51" s="34">
        <f>IF(B51="Custom", Q51, IF(B51="Imputation", INDEX('[3]Alt Est Detailed Bin Table'!$N$10:$Y$132, MATCH(A51, '[3]Alt Est Detailed Bin Table'!$A$10:$A$132), MATCH(P51, '[3]Alt Est Detailed Bin Table'!$N$9:$Y$9,0)), INDEX('[3]Detailed Bin Table'!$N$9:$Y$132,MATCH($A51,'[3]Detailed Bin Table'!$A$9:$A$132,0),MATCH($B51,'[3]Detailed Bin Table'!$N$9:$Y$9,0)))*24)</f>
        <v>6361.68</v>
      </c>
      <c r="G51" s="34">
        <f>IF(B51="Custom", Q51, IF(B51="Imputation", INDEX('[3]Alt Est Detailed Bin Table'!$Z$10:$AK$132, MATCH(A51, '[3]Alt Est Detailed Bin Table'!$A$10:$A$132), MATCH(P51, '[3]Alt Est Detailed Bin Table'!$Z$9:$AK$9,0)), INDEX('[3]Detailed Bin Table'!$Z$9:$AK$132,MATCH($A51,'[3]Detailed Bin Table'!$A$9:$A$132,0),MATCH($B51,'[3]Detailed Bin Table'!$Z$9:$AK$9,0)))*24)</f>
        <v>3605.04</v>
      </c>
      <c r="H51" s="34">
        <f>IF(B51="Custom", Q51, IF(B51="Imputation", INDEX('[3]Alt Est Detailed Bin Table'!$AL$10:$AW$132, MATCH(A51, '[3]Alt Est Detailed Bin Table'!$A$10:$A$132), MATCH(P51, '[3]Alt Est Detailed Bin Table'!$AL$9:$AW$9,0)), INDEX('[3]Detailed Bin Table'!$AL$9:$AW$132,MATCH($A51,'[3]Detailed Bin Table'!$A$9:$A$132,0),MATCH($B51,'[3]Detailed Bin Table'!$AL$9:$AW$9,0)))*24)</f>
        <v>2747.2799999999997</v>
      </c>
      <c r="I51" s="34">
        <f>IF(B51="Custom", Q51, IF(B51="Imputation", INDEX('[3]Alt Est Detailed Bin Table'!$AX$10:$BI$132, MATCH(A51, '[3]Alt Est Detailed Bin Table'!$A$10:$A$132), MATCH(P51, '[3]Alt Est Detailed Bin Table'!$AX$9:$BI$9,0)), INDEX('[3]Detailed Bin Table'!$AX$9:$BI$132,MATCH($A51,'[3]Detailed Bin Table'!$A$9:$A$132,0),MATCH($B51,'[3]Detailed Bin Table'!$AX$9:$BI$9,0)))*24)</f>
        <v>2114.88</v>
      </c>
      <c r="J51" s="34">
        <f>IF(B51="Custom", V51, INDEX('[3]Detailed Bin Table'!$BJ$9:$BO$132,MATCH($A51,'[3]Detailed Bin Table'!$A$9:$A$132,0),MATCH($B51,'[3]Detailed Bin Table'!$BJ$9:$BO$9,0))*24)</f>
        <v>0</v>
      </c>
      <c r="K51" s="33">
        <f>IF(B51="Custom", Q51, IF(B51="Imputation", INDEX('[3]Alt Est Detailed Bin Table'!$BP$10:$CC$132, MATCH(A51, '[3]Alt Est Detailed Bin Table'!$A$10:$A$132), MATCH(P51, '[3]Alt Est Detailed Bin Table'!$BP$9:$CC$9,0)), INDEX('[3]Detailed Bin Table'!$BP$9:$CC$132,MATCH($A51,'[3]Detailed Bin Table'!$A$9:$A$132,0),MATCH($B51,'[3]Detailed Bin Table'!$BP$9:$CC$9,0)))*24)</f>
        <v>12572.639999999992</v>
      </c>
      <c r="L51" s="223">
        <f>IF(B51="Custom", Q51, IF(B51="Imputation", INDEX('[3]Alt Est Detailed Bin Table'!$CD$10:$CK$132, MATCH(A51, '[3]Alt Est Detailed Bin Table'!$A$10:$A$132), MATCH(P51, '[3]Alt Est Detailed Bin Table'!$CD$9:$CK$9,0)), INDEX('[3]Detailed Bin Table'!$CD$9:$CK$132,MATCH($A51,'[3]Detailed Bin Table'!$A$9:$A$132,0),MATCH($B51,'[3]Detailed Bin Table'!$CD$9:$CK$9,0)))*24)</f>
        <v>510.48</v>
      </c>
      <c r="M51" s="34">
        <f>IF(B51="Custom", Q51, IF(B51="Imputation", INDEX('[3]Alt Est Detailed Bin Table'!$CL$10:$CS$132, MATCH(A51, '[3]Alt Est Detailed Bin Table'!$A$10:$A$132), MATCH(P51, '[3]Alt Est Detailed Bin Table'!$CL$9:$CS$9,0)), INDEX('[3]Detailed Bin Table'!$CL$9:$CS$132,MATCH($A51,'[3]Detailed Bin Table'!$A$9:$A$132,0),MATCH($B51,'[3]Detailed Bin Table'!$CL$9:$CS$9,0)))*24)</f>
        <v>250.07999999999998</v>
      </c>
      <c r="N51" s="34">
        <f>IF(B51="Custom", Q51, IF(B51="Imputation", INDEX('[3]Alt Est Detailed Bin Table'!$CT$10:$DA$132, MATCH(A51, '[3]Alt Est Detailed Bin Table'!$A$10:$A$132), MATCH(P51, '[3]Alt Est Detailed Bin Table'!$CT$9:$DA$9,0)), INDEX('[3]Detailed Bin Table'!$CT$9:$DA$132,MATCH($A51,'[3]Detailed Bin Table'!$A$9:$A$132,0),MATCH($B51,'[3]Detailed Bin Table'!$CT$9:$DA$9,0)))*24)</f>
        <v>492.48</v>
      </c>
      <c r="O51" s="34">
        <f>IF(B51="Custom", Q51, IF(B51="Imputation", INDEX('[3]Alt Est Detailed Bin Table'!$DB$10:$DI$132, MATCH(A51, '[3]Alt Est Detailed Bin Table'!$A$10:$A$132), MATCH(P51, '[3]Alt Est Detailed Bin Table'!$DB$9:$DI$9,0)), INDEX('[3]Detailed Bin Table'!$DB$9:$DI$132,MATCH($A51,'[3]Detailed Bin Table'!$A$9:$A$132,0),MATCH($B51,'[3]Detailed Bin Table'!$DB$9:$DI$9,0)))*24)</f>
        <v>502.56000000000006</v>
      </c>
      <c r="P51" s="215"/>
      <c r="Q51" s="62"/>
      <c r="R51" s="63"/>
      <c r="S51" s="63"/>
      <c r="T51" s="63"/>
      <c r="U51" s="63"/>
      <c r="V51" s="63"/>
      <c r="W51" s="64"/>
      <c r="X51" s="63"/>
      <c r="Y51" s="63"/>
      <c r="Z51" s="63"/>
      <c r="AA51" s="65"/>
      <c r="AB51" s="213" t="str">
        <f>IF(SUM(E51:O51)='[1]Passage Estimates'!$D51, "Ok", "Check")</f>
        <v>Ok</v>
      </c>
    </row>
    <row r="52" spans="1:28" x14ac:dyDescent="0.3">
      <c r="A52" s="20">
        <f>'1. Mixture Model Inputs'!A52</f>
        <v>45154</v>
      </c>
      <c r="B52" s="13" t="str">
        <f>'[1]Passage Estimates'!$C52</f>
        <v>A1+S1+M2+A2</v>
      </c>
      <c r="C52" s="206">
        <v>2155</v>
      </c>
      <c r="D52" s="206">
        <v>8968</v>
      </c>
      <c r="E52" s="34">
        <f>IF(B52="Custom", Q52, IF(B52="Imputation", INDEX('[3]Alt Est Detailed Bin Table'!$B$10:$M$132, MATCH(A52, '[3]Alt Est Detailed Bin Table'!$A$10:$A$132), MATCH(P52, '[3]Alt Est Detailed Bin Table'!$B$9:$M$9,0)), INDEX('[3]Detailed Bin Table'!$B$9:$M$132,MATCH($A52,'[3]Detailed Bin Table'!$A$9:$A$132,0),MATCH($B52,'[3]Detailed Bin Table'!$B$9:$M$9,0)))*24)</f>
        <v>11122.32</v>
      </c>
      <c r="F52" s="34">
        <f>IF(B52="Custom", Q52, IF(B52="Imputation", INDEX('[3]Alt Est Detailed Bin Table'!$N$10:$Y$132, MATCH(A52, '[3]Alt Est Detailed Bin Table'!$A$10:$A$132), MATCH(P52, '[3]Alt Est Detailed Bin Table'!$N$9:$Y$9,0)), INDEX('[3]Detailed Bin Table'!$N$9:$Y$132,MATCH($A52,'[3]Detailed Bin Table'!$A$9:$A$132,0),MATCH($B52,'[3]Detailed Bin Table'!$N$9:$Y$9,0)))*24)</f>
        <v>8298</v>
      </c>
      <c r="G52" s="34">
        <f>IF(B52="Custom", Q52, IF(B52="Imputation", INDEX('[3]Alt Est Detailed Bin Table'!$Z$10:$AK$132, MATCH(A52, '[3]Alt Est Detailed Bin Table'!$A$10:$A$132), MATCH(P52, '[3]Alt Est Detailed Bin Table'!$Z$9:$AK$9,0)), INDEX('[3]Detailed Bin Table'!$Z$9:$AK$132,MATCH($A52,'[3]Detailed Bin Table'!$A$9:$A$132,0),MATCH($B52,'[3]Detailed Bin Table'!$Z$9:$AK$9,0)))*24)</f>
        <v>5460.24</v>
      </c>
      <c r="H52" s="34">
        <f>IF(B52="Custom", Q52, IF(B52="Imputation", INDEX('[3]Alt Est Detailed Bin Table'!$AL$10:$AW$132, MATCH(A52, '[3]Alt Est Detailed Bin Table'!$A$10:$A$132), MATCH(P52, '[3]Alt Est Detailed Bin Table'!$AL$9:$AW$9,0)), INDEX('[3]Detailed Bin Table'!$AL$9:$AW$132,MATCH($A52,'[3]Detailed Bin Table'!$A$9:$A$132,0),MATCH($B52,'[3]Detailed Bin Table'!$AL$9:$AW$9,0)))*24)</f>
        <v>3659.5199999999995</v>
      </c>
      <c r="I52" s="34">
        <f>IF(B52="Custom", Q52, IF(B52="Imputation", INDEX('[3]Alt Est Detailed Bin Table'!$AX$10:$BI$132, MATCH(A52, '[3]Alt Est Detailed Bin Table'!$A$10:$A$132), MATCH(P52, '[3]Alt Est Detailed Bin Table'!$AX$9:$BI$9,0)), INDEX('[3]Detailed Bin Table'!$AX$9:$BI$132,MATCH($A52,'[3]Detailed Bin Table'!$A$9:$A$132,0),MATCH($B52,'[3]Detailed Bin Table'!$AX$9:$BI$9,0)))*24)</f>
        <v>3507.6000000000004</v>
      </c>
      <c r="J52" s="34">
        <f>IF(B52="Custom", V52, INDEX('[3]Detailed Bin Table'!$BJ$9:$BO$132,MATCH($A52,'[3]Detailed Bin Table'!$A$9:$A$132,0),MATCH($B52,'[3]Detailed Bin Table'!$BJ$9:$BO$9,0))*24)</f>
        <v>0</v>
      </c>
      <c r="K52" s="33">
        <f>IF(B52="Custom", Q52, IF(B52="Imputation", INDEX('[3]Alt Est Detailed Bin Table'!$BP$10:$CC$132, MATCH(A52, '[3]Alt Est Detailed Bin Table'!$A$10:$A$132), MATCH(P52, '[3]Alt Est Detailed Bin Table'!$BP$9:$CC$9,0)), INDEX('[3]Detailed Bin Table'!$BP$9:$CC$132,MATCH($A52,'[3]Detailed Bin Table'!$A$9:$A$132,0),MATCH($B52,'[3]Detailed Bin Table'!$BP$9:$CC$9,0)))*24)</f>
        <v>13272.239999999983</v>
      </c>
      <c r="L52" s="223">
        <f>IF(B52="Custom", Q52, IF(B52="Imputation", INDEX('[3]Alt Est Detailed Bin Table'!$CD$10:$CK$132, MATCH(A52, '[3]Alt Est Detailed Bin Table'!$A$10:$A$132), MATCH(P52, '[3]Alt Est Detailed Bin Table'!$CD$9:$CK$9,0)), INDEX('[3]Detailed Bin Table'!$CD$9:$CK$132,MATCH($A52,'[3]Detailed Bin Table'!$A$9:$A$132,0),MATCH($B52,'[3]Detailed Bin Table'!$CD$9:$CK$9,0)))*24)</f>
        <v>340.32</v>
      </c>
      <c r="M52" s="34">
        <f>IF(B52="Custom", Q52, IF(B52="Imputation", INDEX('[3]Alt Est Detailed Bin Table'!$CL$10:$CS$132, MATCH(A52, '[3]Alt Est Detailed Bin Table'!$A$10:$A$132), MATCH(P52, '[3]Alt Est Detailed Bin Table'!$CL$9:$CS$9,0)), INDEX('[3]Detailed Bin Table'!$CL$9:$CS$132,MATCH($A52,'[3]Detailed Bin Table'!$A$9:$A$132,0),MATCH($B52,'[3]Detailed Bin Table'!$CL$9:$CS$9,0)))*24)</f>
        <v>280.32</v>
      </c>
      <c r="N52" s="34">
        <f>IF(B52="Custom", Q52, IF(B52="Imputation", INDEX('[3]Alt Est Detailed Bin Table'!$CT$10:$DA$132, MATCH(A52, '[3]Alt Est Detailed Bin Table'!$A$10:$A$132), MATCH(P52, '[3]Alt Est Detailed Bin Table'!$CT$9:$DA$9,0)), INDEX('[3]Detailed Bin Table'!$CT$9:$DA$132,MATCH($A52,'[3]Detailed Bin Table'!$A$9:$A$132,0),MATCH($B52,'[3]Detailed Bin Table'!$CT$9:$DA$9,0)))*24)</f>
        <v>696.96</v>
      </c>
      <c r="O52" s="34">
        <f>IF(B52="Custom", Q52, IF(B52="Imputation", INDEX('[3]Alt Est Detailed Bin Table'!$DB$10:$DI$132, MATCH(A52, '[3]Alt Est Detailed Bin Table'!$A$10:$A$132), MATCH(P52, '[3]Alt Est Detailed Bin Table'!$DB$9:$DI$9,0)), INDEX('[3]Detailed Bin Table'!$DB$9:$DI$132,MATCH($A52,'[3]Detailed Bin Table'!$A$9:$A$132,0),MATCH($B52,'[3]Detailed Bin Table'!$DB$9:$DI$9,0)))*24)</f>
        <v>402.24</v>
      </c>
      <c r="P52" s="215"/>
      <c r="Q52" s="62"/>
      <c r="R52" s="63"/>
      <c r="S52" s="63"/>
      <c r="T52" s="63"/>
      <c r="U52" s="63"/>
      <c r="V52" s="63"/>
      <c r="W52" s="64"/>
      <c r="X52" s="63"/>
      <c r="Y52" s="63"/>
      <c r="Z52" s="63"/>
      <c r="AA52" s="65"/>
      <c r="AB52" s="213" t="str">
        <f>IF(SUM(E52:O52)='[1]Passage Estimates'!$D52, "Ok", "Check")</f>
        <v>Ok</v>
      </c>
    </row>
    <row r="53" spans="1:28" x14ac:dyDescent="0.3">
      <c r="A53" s="20">
        <f>'1. Mixture Model Inputs'!A53</f>
        <v>45155</v>
      </c>
      <c r="B53" s="13" t="str">
        <f>'[1]Passage Estimates'!$C53</f>
        <v>A1+S1+M2+A2</v>
      </c>
      <c r="C53" s="206">
        <v>2900</v>
      </c>
      <c r="D53" s="206">
        <v>10807</v>
      </c>
      <c r="E53" s="34">
        <f>IF(B53="Custom", Q53, IF(B53="Imputation", INDEX('[3]Alt Est Detailed Bin Table'!$B$10:$M$132, MATCH(A53, '[3]Alt Est Detailed Bin Table'!$A$10:$A$132), MATCH(P53, '[3]Alt Est Detailed Bin Table'!$B$9:$M$9,0)), INDEX('[3]Detailed Bin Table'!$B$9:$M$132,MATCH($A53,'[3]Detailed Bin Table'!$A$9:$A$132,0),MATCH($B53,'[3]Detailed Bin Table'!$B$9:$M$9,0)))*24)</f>
        <v>13706.64</v>
      </c>
      <c r="F53" s="34">
        <f>IF(B53="Custom", Q53, IF(B53="Imputation", INDEX('[3]Alt Est Detailed Bin Table'!$N$10:$Y$132, MATCH(A53, '[3]Alt Est Detailed Bin Table'!$A$10:$A$132), MATCH(P53, '[3]Alt Est Detailed Bin Table'!$N$9:$Y$9,0)), INDEX('[3]Detailed Bin Table'!$N$9:$Y$132,MATCH($A53,'[3]Detailed Bin Table'!$A$9:$A$132,0),MATCH($B53,'[3]Detailed Bin Table'!$N$9:$Y$9,0)))*24)</f>
        <v>8159.0399999999991</v>
      </c>
      <c r="G53" s="34">
        <f>IF(B53="Custom", Q53, IF(B53="Imputation", INDEX('[3]Alt Est Detailed Bin Table'!$Z$10:$AK$132, MATCH(A53, '[3]Alt Est Detailed Bin Table'!$A$10:$A$132), MATCH(P53, '[3]Alt Est Detailed Bin Table'!$Z$9:$AK$9,0)), INDEX('[3]Detailed Bin Table'!$Z$9:$AK$132,MATCH($A53,'[3]Detailed Bin Table'!$A$9:$A$132,0),MATCH($B53,'[3]Detailed Bin Table'!$Z$9:$AK$9,0)))*24)</f>
        <v>6009.12</v>
      </c>
      <c r="H53" s="34">
        <f>IF(B53="Custom", Q53, IF(B53="Imputation", INDEX('[3]Alt Est Detailed Bin Table'!$AL$10:$AW$132, MATCH(A53, '[3]Alt Est Detailed Bin Table'!$A$10:$A$132), MATCH(P53, '[3]Alt Est Detailed Bin Table'!$AL$9:$AW$9,0)), INDEX('[3]Detailed Bin Table'!$AL$9:$AW$132,MATCH($A53,'[3]Detailed Bin Table'!$A$9:$A$132,0),MATCH($B53,'[3]Detailed Bin Table'!$AL$9:$AW$9,0)))*24)</f>
        <v>3955.2000000000003</v>
      </c>
      <c r="I53" s="34">
        <f>IF(B53="Custom", Q53, IF(B53="Imputation", INDEX('[3]Alt Est Detailed Bin Table'!$AX$10:$BI$132, MATCH(A53, '[3]Alt Est Detailed Bin Table'!$A$10:$A$132), MATCH(P53, '[3]Alt Est Detailed Bin Table'!$AX$9:$BI$9,0)), INDEX('[3]Detailed Bin Table'!$AX$9:$BI$132,MATCH($A53,'[3]Detailed Bin Table'!$A$9:$A$132,0),MATCH($B53,'[3]Detailed Bin Table'!$AX$9:$BI$9,0)))*24)</f>
        <v>3980.4000000000005</v>
      </c>
      <c r="J53" s="34">
        <f>IF(B53="Custom", V53, INDEX('[3]Detailed Bin Table'!$BJ$9:$BO$132,MATCH($A53,'[3]Detailed Bin Table'!$A$9:$A$132,0),MATCH($B53,'[3]Detailed Bin Table'!$BJ$9:$BO$9,0))*24)</f>
        <v>0</v>
      </c>
      <c r="K53" s="33">
        <f>IF(B53="Custom", Q53, IF(B53="Imputation", INDEX('[3]Alt Est Detailed Bin Table'!$BP$10:$CC$132, MATCH(A53, '[3]Alt Est Detailed Bin Table'!$A$10:$A$132), MATCH(P53, '[3]Alt Est Detailed Bin Table'!$BP$9:$CC$9,0)), INDEX('[3]Detailed Bin Table'!$BP$9:$CC$132,MATCH($A53,'[3]Detailed Bin Table'!$A$9:$A$132,0),MATCH($B53,'[3]Detailed Bin Table'!$BP$9:$CC$9,0)))*24)</f>
        <v>25335.839999999997</v>
      </c>
      <c r="L53" s="223">
        <f>IF(B53="Custom", Q53, IF(B53="Imputation", INDEX('[3]Alt Est Detailed Bin Table'!$CD$10:$CK$132, MATCH(A53, '[3]Alt Est Detailed Bin Table'!$A$10:$A$132), MATCH(P53, '[3]Alt Est Detailed Bin Table'!$CD$9:$CK$9,0)), INDEX('[3]Detailed Bin Table'!$CD$9:$CK$132,MATCH($A53,'[3]Detailed Bin Table'!$A$9:$A$132,0),MATCH($B53,'[3]Detailed Bin Table'!$CD$9:$CK$9,0)))*24)</f>
        <v>524.40000000000009</v>
      </c>
      <c r="M53" s="34">
        <f>IF(B53="Custom", Q53, IF(B53="Imputation", INDEX('[3]Alt Est Detailed Bin Table'!$CL$10:$CS$132, MATCH(A53, '[3]Alt Est Detailed Bin Table'!$A$10:$A$132), MATCH(P53, '[3]Alt Est Detailed Bin Table'!$CL$9:$CS$9,0)), INDEX('[3]Detailed Bin Table'!$CL$9:$CS$132,MATCH($A53,'[3]Detailed Bin Table'!$A$9:$A$132,0),MATCH($B53,'[3]Detailed Bin Table'!$CL$9:$CS$9,0)))*24)</f>
        <v>982.08</v>
      </c>
      <c r="N53" s="34">
        <f>IF(B53="Custom", Q53, IF(B53="Imputation", INDEX('[3]Alt Est Detailed Bin Table'!$CT$10:$DA$132, MATCH(A53, '[3]Alt Est Detailed Bin Table'!$A$10:$A$132), MATCH(P53, '[3]Alt Est Detailed Bin Table'!$CT$9:$DA$9,0)), INDEX('[3]Detailed Bin Table'!$CT$9:$DA$132,MATCH($A53,'[3]Detailed Bin Table'!$A$9:$A$132,0),MATCH($B53,'[3]Detailed Bin Table'!$CT$9:$DA$9,0)))*24)</f>
        <v>1431.3600000000001</v>
      </c>
      <c r="O53" s="34">
        <f>IF(B53="Custom", Q53, IF(B53="Imputation", INDEX('[3]Alt Est Detailed Bin Table'!$DB$10:$DI$132, MATCH(A53, '[3]Alt Est Detailed Bin Table'!$A$10:$A$132), MATCH(P53, '[3]Alt Est Detailed Bin Table'!$DB$9:$DI$9,0)), INDEX('[3]Detailed Bin Table'!$DB$9:$DI$132,MATCH($A53,'[3]Detailed Bin Table'!$A$9:$A$132,0),MATCH($B53,'[3]Detailed Bin Table'!$DB$9:$DI$9,0)))*24)</f>
        <v>903.59999999999991</v>
      </c>
      <c r="P53" s="215"/>
      <c r="Q53" s="62"/>
      <c r="R53" s="63"/>
      <c r="S53" s="63"/>
      <c r="T53" s="63"/>
      <c r="U53" s="63"/>
      <c r="V53" s="63"/>
      <c r="W53" s="64"/>
      <c r="X53" s="63"/>
      <c r="Y53" s="63"/>
      <c r="Z53" s="63"/>
      <c r="AA53" s="65"/>
      <c r="AB53" s="213" t="str">
        <f>IF(SUM(E53:O53)='[1]Passage Estimates'!$D53, "Ok", "Check")</f>
        <v>Ok</v>
      </c>
    </row>
    <row r="54" spans="1:28" x14ac:dyDescent="0.3">
      <c r="A54" s="20">
        <f>'1. Mixture Model Inputs'!A54</f>
        <v>45156</v>
      </c>
      <c r="B54" s="13" t="str">
        <f>'[1]Passage Estimates'!$C54</f>
        <v>A1+S1+M2+A2</v>
      </c>
      <c r="C54" s="206">
        <v>3567</v>
      </c>
      <c r="D54" s="206">
        <v>13054</v>
      </c>
      <c r="E54" s="34">
        <f>IF(B54="Custom", Q54, IF(B54="Imputation", INDEX('[3]Alt Est Detailed Bin Table'!$B$10:$M$132, MATCH(A54, '[3]Alt Est Detailed Bin Table'!$A$10:$A$132), MATCH(P54, '[3]Alt Est Detailed Bin Table'!$B$9:$M$9,0)), INDEX('[3]Detailed Bin Table'!$B$9:$M$132,MATCH($A54,'[3]Detailed Bin Table'!$A$9:$A$132,0),MATCH($B54,'[3]Detailed Bin Table'!$B$9:$M$9,0)))*24)</f>
        <v>16620.48</v>
      </c>
      <c r="F54" s="34">
        <f>IF(B54="Custom", Q54, IF(B54="Imputation", INDEX('[3]Alt Est Detailed Bin Table'!$N$10:$Y$132, MATCH(A54, '[3]Alt Est Detailed Bin Table'!$A$10:$A$132), MATCH(P54, '[3]Alt Est Detailed Bin Table'!$N$9:$Y$9,0)), INDEX('[3]Detailed Bin Table'!$N$9:$Y$132,MATCH($A54,'[3]Detailed Bin Table'!$A$9:$A$132,0),MATCH($B54,'[3]Detailed Bin Table'!$N$9:$Y$9,0)))*24)</f>
        <v>17602.800000000003</v>
      </c>
      <c r="G54" s="34">
        <f>IF(B54="Custom", Q54, IF(B54="Imputation", INDEX('[3]Alt Est Detailed Bin Table'!$Z$10:$AK$132, MATCH(A54, '[3]Alt Est Detailed Bin Table'!$A$10:$A$132), MATCH(P54, '[3]Alt Est Detailed Bin Table'!$Z$9:$AK$9,0)), INDEX('[3]Detailed Bin Table'!$Z$9:$AK$132,MATCH($A54,'[3]Detailed Bin Table'!$A$9:$A$132,0),MATCH($B54,'[3]Detailed Bin Table'!$Z$9:$AK$9,0)))*24)</f>
        <v>10116</v>
      </c>
      <c r="H54" s="34">
        <f>IF(B54="Custom", Q54, IF(B54="Imputation", INDEX('[3]Alt Est Detailed Bin Table'!$AL$10:$AW$132, MATCH(A54, '[3]Alt Est Detailed Bin Table'!$A$10:$A$132), MATCH(P54, '[3]Alt Est Detailed Bin Table'!$AL$9:$AW$9,0)), INDEX('[3]Detailed Bin Table'!$AL$9:$AW$132,MATCH($A54,'[3]Detailed Bin Table'!$A$9:$A$132,0),MATCH($B54,'[3]Detailed Bin Table'!$AL$9:$AW$9,0)))*24)</f>
        <v>7763.52</v>
      </c>
      <c r="I54" s="34">
        <f>IF(B54="Custom", Q54, IF(B54="Imputation", INDEX('[3]Alt Est Detailed Bin Table'!$AX$10:$BI$132, MATCH(A54, '[3]Alt Est Detailed Bin Table'!$A$10:$A$132), MATCH(P54, '[3]Alt Est Detailed Bin Table'!$AX$9:$BI$9,0)), INDEX('[3]Detailed Bin Table'!$AX$9:$BI$132,MATCH($A54,'[3]Detailed Bin Table'!$A$9:$A$132,0),MATCH($B54,'[3]Detailed Bin Table'!$AX$9:$BI$9,0)))*24)</f>
        <v>5232.24</v>
      </c>
      <c r="J54" s="34">
        <f>IF(B54="Custom", V54, INDEX('[3]Detailed Bin Table'!$BJ$9:$BO$132,MATCH($A54,'[3]Detailed Bin Table'!$A$9:$A$132,0),MATCH($B54,'[3]Detailed Bin Table'!$BJ$9:$BO$9,0))*24)</f>
        <v>0</v>
      </c>
      <c r="K54" s="33">
        <f>IF(B54="Custom", Q54, IF(B54="Imputation", INDEX('[3]Alt Est Detailed Bin Table'!$BP$10:$CC$132, MATCH(A54, '[3]Alt Est Detailed Bin Table'!$A$10:$A$132), MATCH(P54, '[3]Alt Est Detailed Bin Table'!$BP$9:$CC$9,0)), INDEX('[3]Detailed Bin Table'!$BP$9:$CC$132,MATCH($A54,'[3]Detailed Bin Table'!$A$9:$A$132,0),MATCH($B54,'[3]Detailed Bin Table'!$BP$9:$CC$9,0)))*24)</f>
        <v>23246.88000000003</v>
      </c>
      <c r="L54" s="223">
        <f>IF(B54="Custom", Q54, IF(B54="Imputation", INDEX('[3]Alt Est Detailed Bin Table'!$CD$10:$CK$132, MATCH(A54, '[3]Alt Est Detailed Bin Table'!$A$10:$A$132), MATCH(P54, '[3]Alt Est Detailed Bin Table'!$CD$9:$CK$9,0)), INDEX('[3]Detailed Bin Table'!$CD$9:$CK$132,MATCH($A54,'[3]Detailed Bin Table'!$A$9:$A$132,0),MATCH($B54,'[3]Detailed Bin Table'!$CD$9:$CK$9,0)))*24)</f>
        <v>990.72</v>
      </c>
      <c r="M54" s="34">
        <f>IF(B54="Custom", Q54, IF(B54="Imputation", INDEX('[3]Alt Est Detailed Bin Table'!$CL$10:$CS$132, MATCH(A54, '[3]Alt Est Detailed Bin Table'!$A$10:$A$132), MATCH(P54, '[3]Alt Est Detailed Bin Table'!$CL$9:$CS$9,0)), INDEX('[3]Detailed Bin Table'!$CL$9:$CS$132,MATCH($A54,'[3]Detailed Bin Table'!$A$9:$A$132,0),MATCH($B54,'[3]Detailed Bin Table'!$CL$9:$CS$9,0)))*24)</f>
        <v>873.36</v>
      </c>
      <c r="N54" s="34">
        <f>IF(B54="Custom", Q54, IF(B54="Imputation", INDEX('[3]Alt Est Detailed Bin Table'!$CT$10:$DA$132, MATCH(A54, '[3]Alt Est Detailed Bin Table'!$A$10:$A$132), MATCH(P54, '[3]Alt Est Detailed Bin Table'!$CT$9:$DA$9,0)), INDEX('[3]Detailed Bin Table'!$CT$9:$DA$132,MATCH($A54,'[3]Detailed Bin Table'!$A$9:$A$132,0),MATCH($B54,'[3]Detailed Bin Table'!$CT$9:$DA$9,0)))*24)</f>
        <v>1305.8399999999999</v>
      </c>
      <c r="O54" s="34">
        <f>IF(B54="Custom", Q54, IF(B54="Imputation", INDEX('[3]Alt Est Detailed Bin Table'!$DB$10:$DI$132, MATCH(A54, '[3]Alt Est Detailed Bin Table'!$A$10:$A$132), MATCH(P54, '[3]Alt Est Detailed Bin Table'!$DB$9:$DI$9,0)), INDEX('[3]Detailed Bin Table'!$DB$9:$DI$132,MATCH($A54,'[3]Detailed Bin Table'!$A$9:$A$132,0),MATCH($B54,'[3]Detailed Bin Table'!$DB$9:$DI$9,0)))*24)</f>
        <v>1258.8000000000002</v>
      </c>
      <c r="P54" s="215"/>
      <c r="Q54" s="62"/>
      <c r="R54" s="63"/>
      <c r="S54" s="63"/>
      <c r="T54" s="63"/>
      <c r="U54" s="63"/>
      <c r="V54" s="63"/>
      <c r="W54" s="64"/>
      <c r="X54" s="63"/>
      <c r="Y54" s="63"/>
      <c r="Z54" s="63"/>
      <c r="AA54" s="65"/>
      <c r="AB54" s="213" t="str">
        <f>IF(SUM(E54:O54)='[1]Passage Estimates'!$D54, "Ok", "Check")</f>
        <v>Ok</v>
      </c>
    </row>
    <row r="55" spans="1:28" x14ac:dyDescent="0.3">
      <c r="A55" s="20">
        <f>'1. Mixture Model Inputs'!A55</f>
        <v>45157</v>
      </c>
      <c r="B55" s="13" t="str">
        <f>'[1]Passage Estimates'!$C55</f>
        <v>Imputation</v>
      </c>
      <c r="C55" s="206">
        <f>2710</f>
        <v>2710</v>
      </c>
      <c r="D55" s="206">
        <v>8428</v>
      </c>
      <c r="E55" s="34">
        <f>IF(B55="Custom", Q55, IF(B55="Imputation", INDEX('[3]Alt Est Detailed Bin Table'!$B$10:$M$132, MATCH(A55, '[3]Alt Est Detailed Bin Table'!$A$10:$A$132), MATCH(P55, '[3]Alt Est Detailed Bin Table'!$B$9:$M$9,0)), INDEX('[3]Detailed Bin Table'!$B$9:$M$132,MATCH($A55,'[3]Detailed Bin Table'!$A$9:$A$132,0),MATCH($B55,'[3]Detailed Bin Table'!$B$9:$M$9,0)))*24)</f>
        <v>11137.92</v>
      </c>
      <c r="F55" s="34">
        <f>IF(B55="Custom", Q55, IF(B55="Imputation", INDEX('[3]Alt Est Detailed Bin Table'!$N$10:$Y$132, MATCH(A55, '[3]Alt Est Detailed Bin Table'!$A$10:$A$132), MATCH(P55, '[3]Alt Est Detailed Bin Table'!$N$9:$Y$9,0)), INDEX('[3]Detailed Bin Table'!$N$9:$Y$132,MATCH($A55,'[3]Detailed Bin Table'!$A$9:$A$132,0),MATCH($B55,'[3]Detailed Bin Table'!$N$9:$Y$9,0)))*24)</f>
        <v>16860.239999999998</v>
      </c>
      <c r="G55" s="34">
        <f>IF(B55="Custom", Q55, IF(B55="Imputation", INDEX('[3]Alt Est Detailed Bin Table'!$Z$10:$AK$132, MATCH(A55, '[3]Alt Est Detailed Bin Table'!$A$10:$A$132), MATCH(P55, '[3]Alt Est Detailed Bin Table'!$Z$9:$AK$9,0)), INDEX('[3]Detailed Bin Table'!$Z$9:$AK$132,MATCH($A55,'[3]Detailed Bin Table'!$A$9:$A$132,0),MATCH($B55,'[3]Detailed Bin Table'!$Z$9:$AK$9,0)))*24)</f>
        <v>10398</v>
      </c>
      <c r="H55" s="34">
        <f>IF(B55="Custom", Q55, IF(B55="Imputation", INDEX('[3]Alt Est Detailed Bin Table'!$AL$10:$AW$132, MATCH(A55, '[3]Alt Est Detailed Bin Table'!$A$10:$A$132), MATCH(P55, '[3]Alt Est Detailed Bin Table'!$AL$9:$AW$9,0)), INDEX('[3]Detailed Bin Table'!$AL$9:$AW$132,MATCH($A55,'[3]Detailed Bin Table'!$A$9:$A$132,0),MATCH($B55,'[3]Detailed Bin Table'!$AL$9:$AW$9,0)))*24)</f>
        <v>6043.92</v>
      </c>
      <c r="I55" s="34">
        <f>IF(B55="Custom", Q55, IF(B55="Imputation", INDEX('[3]Alt Est Detailed Bin Table'!$AX$10:$BI$132, MATCH(A55, '[3]Alt Est Detailed Bin Table'!$A$10:$A$132), MATCH(P55, '[3]Alt Est Detailed Bin Table'!$AX$9:$BI$9,0)), INDEX('[3]Detailed Bin Table'!$AX$9:$BI$132,MATCH($A55,'[3]Detailed Bin Table'!$A$9:$A$132,0),MATCH($B55,'[3]Detailed Bin Table'!$AX$9:$BI$9,0)))*24)</f>
        <v>2637.36</v>
      </c>
      <c r="J55" s="34">
        <v>0</v>
      </c>
      <c r="K55" s="33">
        <f>IF(B55="Custom", Q55, IF(B55="Imputation", INDEX('[3]Alt Est Detailed Bin Table'!$BP$10:$CC$132, MATCH(A55, '[3]Alt Est Detailed Bin Table'!$A$10:$A$132), MATCH(P55, '[3]Alt Est Detailed Bin Table'!$BP$9:$CC$9,0)), INDEX('[3]Detailed Bin Table'!$BP$9:$CC$132,MATCH($A55,'[3]Detailed Bin Table'!$A$9:$A$132,0),MATCH($B55,'[3]Detailed Bin Table'!$BP$9:$CC$9,0)))*24)</f>
        <v>26467.003199999948</v>
      </c>
      <c r="L55" s="223">
        <f>IF(B55="Custom", Q55, IF(B55="Imputation", INDEX('[3]Alt Est Detailed Bin Table'!$CD$10:$CK$132, MATCH(A55, '[3]Alt Est Detailed Bin Table'!$A$10:$A$132), MATCH(P55, '[3]Alt Est Detailed Bin Table'!$CD$9:$CK$9,0)), INDEX('[3]Detailed Bin Table'!$CD$9:$CK$132,MATCH($A55,'[3]Detailed Bin Table'!$A$9:$A$132,0),MATCH($B55,'[3]Detailed Bin Table'!$CD$9:$CK$9,0)))*24)</f>
        <v>1777.44</v>
      </c>
      <c r="M55" s="34">
        <f>IF(B55="Custom", Q55, IF(B55="Imputation", INDEX('[3]Alt Est Detailed Bin Table'!$CL$10:$CS$132, MATCH(A55, '[3]Alt Est Detailed Bin Table'!$A$10:$A$132), MATCH(P55, '[3]Alt Est Detailed Bin Table'!$CL$9:$CS$9,0)), INDEX('[3]Detailed Bin Table'!$CL$9:$CS$132,MATCH($A55,'[3]Detailed Bin Table'!$A$9:$A$132,0),MATCH($B55,'[3]Detailed Bin Table'!$CL$9:$CS$9,0)))*24)</f>
        <v>3959.04</v>
      </c>
      <c r="N55" s="34">
        <f>IF(B55="Custom", Q55, IF(B55="Imputation", INDEX('[3]Alt Est Detailed Bin Table'!$CT$10:$DA$132, MATCH(A55, '[3]Alt Est Detailed Bin Table'!$A$10:$A$132), MATCH(P55, '[3]Alt Est Detailed Bin Table'!$CT$9:$DA$9,0)), INDEX('[3]Detailed Bin Table'!$CT$9:$DA$132,MATCH($A55,'[3]Detailed Bin Table'!$A$9:$A$132,0),MATCH($B55,'[3]Detailed Bin Table'!$CT$9:$DA$9,0)))*24)</f>
        <v>4108.5599999999995</v>
      </c>
      <c r="O55" s="34">
        <f>IF(B55="Custom", Q55, IF(B55="Imputation", INDEX('[3]Alt Est Detailed Bin Table'!$DB$10:$DI$132, MATCH(A55, '[3]Alt Est Detailed Bin Table'!$A$10:$A$132), MATCH(P55, '[3]Alt Est Detailed Bin Table'!$DB$9:$DI$9,0)), INDEX('[3]Detailed Bin Table'!$DB$9:$DI$132,MATCH($A55,'[3]Detailed Bin Table'!$A$9:$A$132,0),MATCH($B55,'[3]Detailed Bin Table'!$DB$9:$DI$9,0)))*24)</f>
        <v>3423.84</v>
      </c>
      <c r="P55" s="215" t="s">
        <v>161</v>
      </c>
      <c r="Q55" s="62"/>
      <c r="R55" s="63"/>
      <c r="S55" s="63"/>
      <c r="T55" s="63"/>
      <c r="U55" s="63"/>
      <c r="V55" s="63"/>
      <c r="W55" s="64"/>
      <c r="X55" s="63"/>
      <c r="Y55" s="63"/>
      <c r="Z55" s="63"/>
      <c r="AA55" s="65"/>
      <c r="AB55" s="213" t="str">
        <f>IF(SUM(E55:O55)='[1]Passage Estimates'!$D55, "Ok", "Check")</f>
        <v>Ok</v>
      </c>
    </row>
    <row r="56" spans="1:28" x14ac:dyDescent="0.3">
      <c r="A56" s="20">
        <f>'1. Mixture Model Inputs'!A56</f>
        <v>45158</v>
      </c>
      <c r="B56" s="13" t="str">
        <f>'[1]Passage Estimates'!$C56</f>
        <v>A1+S1+M2+A2</v>
      </c>
      <c r="C56" s="206">
        <f>5004</f>
        <v>5004</v>
      </c>
      <c r="D56" s="206">
        <v>11551</v>
      </c>
      <c r="E56" s="34">
        <f>IF(B56="Custom", Q56, IF(B56="Imputation", INDEX('[3]Alt Est Detailed Bin Table'!$B$10:$M$132, MATCH(A56, '[3]Alt Est Detailed Bin Table'!$A$10:$A$132), MATCH(P56, '[3]Alt Est Detailed Bin Table'!$B$9:$M$9,0)), INDEX('[3]Detailed Bin Table'!$B$9:$M$132,MATCH($A56,'[3]Detailed Bin Table'!$A$9:$A$132,0),MATCH($B56,'[3]Detailed Bin Table'!$B$9:$M$9,0)))*24)</f>
        <v>16555.199999999997</v>
      </c>
      <c r="F56" s="34">
        <f>IF(B56="Custom", Q56, IF(B56="Imputation", INDEX('[3]Alt Est Detailed Bin Table'!$N$10:$Y$132, MATCH(A56, '[3]Alt Est Detailed Bin Table'!$A$10:$A$132), MATCH(P56, '[3]Alt Est Detailed Bin Table'!$N$9:$Y$9,0)), INDEX('[3]Detailed Bin Table'!$N$9:$Y$132,MATCH($A56,'[3]Detailed Bin Table'!$A$9:$A$132,0),MATCH($B56,'[3]Detailed Bin Table'!$N$9:$Y$9,0)))*24)</f>
        <v>24869.040000000001</v>
      </c>
      <c r="G56" s="34">
        <f>IF(B56="Custom", Q56, IF(B56="Imputation", INDEX('[3]Alt Est Detailed Bin Table'!$Z$10:$AK$132, MATCH(A56, '[3]Alt Est Detailed Bin Table'!$A$10:$A$132), MATCH(P56, '[3]Alt Est Detailed Bin Table'!$Z$9:$AK$9,0)), INDEX('[3]Detailed Bin Table'!$Z$9:$AK$132,MATCH($A56,'[3]Detailed Bin Table'!$A$9:$A$132,0),MATCH($B56,'[3]Detailed Bin Table'!$Z$9:$AK$9,0)))*24)</f>
        <v>14834.880000000001</v>
      </c>
      <c r="H56" s="34">
        <f>IF(B56="Custom", Q56, IF(B56="Imputation", INDEX('[3]Alt Est Detailed Bin Table'!$AL$10:$AW$132, MATCH(A56, '[3]Alt Est Detailed Bin Table'!$A$10:$A$132), MATCH(P56, '[3]Alt Est Detailed Bin Table'!$AL$9:$AW$9,0)), INDEX('[3]Detailed Bin Table'!$AL$9:$AW$132,MATCH($A56,'[3]Detailed Bin Table'!$A$9:$A$132,0),MATCH($B56,'[3]Detailed Bin Table'!$AL$9:$AW$9,0)))*24)</f>
        <v>9027.84</v>
      </c>
      <c r="I56" s="34">
        <f>IF(B56="Custom", Q56, IF(B56="Imputation", INDEX('[3]Alt Est Detailed Bin Table'!$AX$10:$BI$132, MATCH(A56, '[3]Alt Est Detailed Bin Table'!$A$10:$A$132), MATCH(P56, '[3]Alt Est Detailed Bin Table'!$AX$9:$BI$9,0)), INDEX('[3]Detailed Bin Table'!$AX$9:$BI$132,MATCH($A56,'[3]Detailed Bin Table'!$A$9:$A$132,0),MATCH($B56,'[3]Detailed Bin Table'!$AX$9:$BI$9,0)))*24)</f>
        <v>6011.76</v>
      </c>
      <c r="J56" s="34">
        <f>IF(B56="Custom", V56, INDEX('[3]Detailed Bin Table'!$BJ$9:$BO$132,MATCH($A56,'[3]Detailed Bin Table'!$A$9:$A$132,0),MATCH($B56,'[3]Detailed Bin Table'!$BJ$9:$BO$9,0))*24)</f>
        <v>0</v>
      </c>
      <c r="K56" s="33">
        <f>IF(B56="Custom", Q56, IF(B56="Imputation", INDEX('[3]Alt Est Detailed Bin Table'!$BP$10:$CC$132, MATCH(A56, '[3]Alt Est Detailed Bin Table'!$A$10:$A$132), MATCH(P56, '[3]Alt Est Detailed Bin Table'!$BP$9:$CC$9,0)), INDEX('[3]Detailed Bin Table'!$BP$9:$CC$132,MATCH($A56,'[3]Detailed Bin Table'!$A$9:$A$132,0),MATCH($B56,'[3]Detailed Bin Table'!$BP$9:$CC$9,0)))*24)</f>
        <v>25514.880000000052</v>
      </c>
      <c r="L56" s="223">
        <f>IF(B56="Custom", Q56, IF(B56="Imputation", INDEX('[3]Alt Est Detailed Bin Table'!$CD$10:$CK$132, MATCH(A56, '[3]Alt Est Detailed Bin Table'!$A$10:$A$132), MATCH(P56, '[3]Alt Est Detailed Bin Table'!$CD$9:$CK$9,0)), INDEX('[3]Detailed Bin Table'!$CD$9:$CK$132,MATCH($A56,'[3]Detailed Bin Table'!$A$9:$A$132,0),MATCH($B56,'[3]Detailed Bin Table'!$CD$9:$CK$9,0)))*24)</f>
        <v>2253.36</v>
      </c>
      <c r="M56" s="34">
        <f>IF(B56="Custom", Q56, IF(B56="Imputation", INDEX('[3]Alt Est Detailed Bin Table'!$CL$10:$CS$132, MATCH(A56, '[3]Alt Est Detailed Bin Table'!$A$10:$A$132), MATCH(P56, '[3]Alt Est Detailed Bin Table'!$CL$9:$CS$9,0)), INDEX('[3]Detailed Bin Table'!$CL$9:$CS$132,MATCH($A56,'[3]Detailed Bin Table'!$A$9:$A$132,0),MATCH($B56,'[3]Detailed Bin Table'!$CL$9:$CS$9,0)))*24)</f>
        <v>2819.7599999999998</v>
      </c>
      <c r="N56" s="34">
        <f>IF(B56="Custom", Q56, IF(B56="Imputation", INDEX('[3]Alt Est Detailed Bin Table'!$CT$10:$DA$132, MATCH(A56, '[3]Alt Est Detailed Bin Table'!$A$10:$A$132), MATCH(P56, '[3]Alt Est Detailed Bin Table'!$CT$9:$DA$9,0)), INDEX('[3]Detailed Bin Table'!$CT$9:$DA$132,MATCH($A56,'[3]Detailed Bin Table'!$A$9:$A$132,0),MATCH($B56,'[3]Detailed Bin Table'!$CT$9:$DA$9,0)))*24)</f>
        <v>4578.4800000000005</v>
      </c>
      <c r="O56" s="34">
        <f>IF(B56="Custom", Q56, IF(B56="Imputation", INDEX('[3]Alt Est Detailed Bin Table'!$DB$10:$DI$132, MATCH(A56, '[3]Alt Est Detailed Bin Table'!$A$10:$A$132), MATCH(P56, '[3]Alt Est Detailed Bin Table'!$DB$9:$DI$9,0)), INDEX('[3]Detailed Bin Table'!$DB$9:$DI$132,MATCH($A56,'[3]Detailed Bin Table'!$A$9:$A$132,0),MATCH($B56,'[3]Detailed Bin Table'!$DB$9:$DI$9,0)))*24)</f>
        <v>3817.92</v>
      </c>
      <c r="P56" s="215"/>
      <c r="Q56" s="62"/>
      <c r="R56" s="63"/>
      <c r="S56" s="63"/>
      <c r="T56" s="63"/>
      <c r="U56" s="63"/>
      <c r="V56" s="63"/>
      <c r="W56" s="64"/>
      <c r="X56" s="63"/>
      <c r="Y56" s="63"/>
      <c r="Z56" s="63"/>
      <c r="AA56" s="65"/>
      <c r="AB56" s="213" t="str">
        <f>IF(SUM(E56:O56)='[1]Passage Estimates'!$D56, "Ok", "Check")</f>
        <v>Ok</v>
      </c>
    </row>
    <row r="57" spans="1:28" x14ac:dyDescent="0.3">
      <c r="A57" s="20">
        <f>'1. Mixture Model Inputs'!A57</f>
        <v>45159</v>
      </c>
      <c r="B57" s="13" t="str">
        <f>'[1]Passage Estimates'!$C57</f>
        <v>A1+S1+M2+A2</v>
      </c>
      <c r="C57" s="206">
        <v>4357</v>
      </c>
      <c r="D57" s="206">
        <v>12180</v>
      </c>
      <c r="E57" s="34">
        <f>IF(B57="Custom", Q57, IF(B57="Imputation", INDEX('[3]Alt Est Detailed Bin Table'!$B$10:$M$132, MATCH(A57, '[3]Alt Est Detailed Bin Table'!$A$10:$A$132), MATCH(P57, '[3]Alt Est Detailed Bin Table'!$B$9:$M$9,0)), INDEX('[3]Detailed Bin Table'!$B$9:$M$132,MATCH($A57,'[3]Detailed Bin Table'!$A$9:$A$132,0),MATCH($B57,'[3]Detailed Bin Table'!$B$9:$M$9,0)))*24)</f>
        <v>16537.199999999997</v>
      </c>
      <c r="F57" s="34">
        <f>IF(B57="Custom", Q57, IF(B57="Imputation", INDEX('[3]Alt Est Detailed Bin Table'!$N$10:$Y$132, MATCH(A57, '[3]Alt Est Detailed Bin Table'!$A$10:$A$132), MATCH(P57, '[3]Alt Est Detailed Bin Table'!$N$9:$Y$9,0)), INDEX('[3]Detailed Bin Table'!$N$9:$Y$132,MATCH($A57,'[3]Detailed Bin Table'!$A$9:$A$132,0),MATCH($B57,'[3]Detailed Bin Table'!$N$9:$Y$9,0)))*24)</f>
        <v>36823.440000000002</v>
      </c>
      <c r="G57" s="34">
        <f>IF(B57="Custom", Q57, IF(B57="Imputation", INDEX('[3]Alt Est Detailed Bin Table'!$Z$10:$AK$132, MATCH(A57, '[3]Alt Est Detailed Bin Table'!$A$10:$A$132), MATCH(P57, '[3]Alt Est Detailed Bin Table'!$Z$9:$AK$9,0)), INDEX('[3]Detailed Bin Table'!$Z$9:$AK$132,MATCH($A57,'[3]Detailed Bin Table'!$A$9:$A$132,0),MATCH($B57,'[3]Detailed Bin Table'!$Z$9:$AK$9,0)))*24)</f>
        <v>18128.88</v>
      </c>
      <c r="H57" s="34">
        <f>IF(B57="Custom", Q57, IF(B57="Imputation", INDEX('[3]Alt Est Detailed Bin Table'!$AL$10:$AW$132, MATCH(A57, '[3]Alt Est Detailed Bin Table'!$A$10:$A$132), MATCH(P57, '[3]Alt Est Detailed Bin Table'!$AL$9:$AW$9,0)), INDEX('[3]Detailed Bin Table'!$AL$9:$AW$132,MATCH($A57,'[3]Detailed Bin Table'!$A$9:$A$132,0),MATCH($B57,'[3]Detailed Bin Table'!$AL$9:$AW$9,0)))*24)</f>
        <v>13329.36</v>
      </c>
      <c r="I57" s="34">
        <f>IF(B57="Custom", Q57, IF(B57="Imputation", INDEX('[3]Alt Est Detailed Bin Table'!$AX$10:$BI$132, MATCH(A57, '[3]Alt Est Detailed Bin Table'!$A$10:$A$132), MATCH(P57, '[3]Alt Est Detailed Bin Table'!$AX$9:$BI$9,0)), INDEX('[3]Detailed Bin Table'!$AX$9:$BI$132,MATCH($A57,'[3]Detailed Bin Table'!$A$9:$A$132,0),MATCH($B57,'[3]Detailed Bin Table'!$AX$9:$BI$9,0)))*24)</f>
        <v>6444</v>
      </c>
      <c r="J57" s="34">
        <f>IF(B57="Custom", V57, INDEX('[3]Detailed Bin Table'!$BJ$9:$BO$132,MATCH($A57,'[3]Detailed Bin Table'!$A$9:$A$132,0),MATCH($B57,'[3]Detailed Bin Table'!$BJ$9:$BO$9,0))*24)</f>
        <v>0</v>
      </c>
      <c r="K57" s="33">
        <f>IF(B57="Custom", Q57, IF(B57="Imputation", INDEX('[3]Alt Est Detailed Bin Table'!$BP$10:$CC$132, MATCH(A57, '[3]Alt Est Detailed Bin Table'!$A$10:$A$132), MATCH(P57, '[3]Alt Est Detailed Bin Table'!$BP$9:$CC$9,0)), INDEX('[3]Detailed Bin Table'!$BP$9:$CC$132,MATCH($A57,'[3]Detailed Bin Table'!$A$9:$A$132,0),MATCH($B57,'[3]Detailed Bin Table'!$BP$9:$CC$9,0)))*24)</f>
        <v>36489.600000000035</v>
      </c>
      <c r="L57" s="223">
        <f>IF(B57="Custom", Q57, IF(B57="Imputation", INDEX('[3]Alt Est Detailed Bin Table'!$CD$10:$CK$132, MATCH(A57, '[3]Alt Est Detailed Bin Table'!$A$10:$A$132), MATCH(P57, '[3]Alt Est Detailed Bin Table'!$CD$9:$CK$9,0)), INDEX('[3]Detailed Bin Table'!$CD$9:$CK$132,MATCH($A57,'[3]Detailed Bin Table'!$A$9:$A$132,0),MATCH($B57,'[3]Detailed Bin Table'!$CD$9:$CK$9,0)))*24)</f>
        <v>2145.36</v>
      </c>
      <c r="M57" s="34">
        <f>IF(B57="Custom", Q57, IF(B57="Imputation", INDEX('[3]Alt Est Detailed Bin Table'!$CL$10:$CS$132, MATCH(A57, '[3]Alt Est Detailed Bin Table'!$A$10:$A$132), MATCH(P57, '[3]Alt Est Detailed Bin Table'!$CL$9:$CS$9,0)), INDEX('[3]Detailed Bin Table'!$CL$9:$CS$132,MATCH($A57,'[3]Detailed Bin Table'!$A$9:$A$132,0),MATCH($B57,'[3]Detailed Bin Table'!$CL$9:$CS$9,0)))*24)</f>
        <v>3571.92</v>
      </c>
      <c r="N57" s="34">
        <f>IF(B57="Custom", Q57, IF(B57="Imputation", INDEX('[3]Alt Est Detailed Bin Table'!$CT$10:$DA$132, MATCH(A57, '[3]Alt Est Detailed Bin Table'!$A$10:$A$132), MATCH(P57, '[3]Alt Est Detailed Bin Table'!$CT$9:$DA$9,0)), INDEX('[3]Detailed Bin Table'!$CT$9:$DA$132,MATCH($A57,'[3]Detailed Bin Table'!$A$9:$A$132,0),MATCH($B57,'[3]Detailed Bin Table'!$CT$9:$DA$9,0)))*24)</f>
        <v>5935.4400000000005</v>
      </c>
      <c r="O57" s="34">
        <f>IF(B57="Custom", Q57, IF(B57="Imputation", INDEX('[3]Alt Est Detailed Bin Table'!$DB$10:$DI$132, MATCH(A57, '[3]Alt Est Detailed Bin Table'!$A$10:$A$132), MATCH(P57, '[3]Alt Est Detailed Bin Table'!$DB$9:$DI$9,0)), INDEX('[3]Detailed Bin Table'!$DB$9:$DI$132,MATCH($A57,'[3]Detailed Bin Table'!$A$9:$A$132,0),MATCH($B57,'[3]Detailed Bin Table'!$DB$9:$DI$9,0)))*24)</f>
        <v>3156.4800000000005</v>
      </c>
      <c r="P57" s="215"/>
      <c r="Q57" s="62"/>
      <c r="R57" s="63"/>
      <c r="S57" s="63"/>
      <c r="T57" s="63"/>
      <c r="U57" s="63"/>
      <c r="V57" s="63"/>
      <c r="W57" s="64"/>
      <c r="X57" s="63"/>
      <c r="Y57" s="63"/>
      <c r="Z57" s="63"/>
      <c r="AA57" s="65"/>
      <c r="AB57" s="213" t="str">
        <f>IF(SUM(E57:O57)='[1]Passage Estimates'!$D57, "Ok", "Check")</f>
        <v>Ok</v>
      </c>
    </row>
    <row r="58" spans="1:28" x14ac:dyDescent="0.3">
      <c r="A58" s="20">
        <f>'1. Mixture Model Inputs'!A58</f>
        <v>45160</v>
      </c>
      <c r="B58" s="13" t="str">
        <f>'[1]Passage Estimates'!$C58</f>
        <v>A1+S1+M2+A2</v>
      </c>
      <c r="C58" s="206">
        <v>7535</v>
      </c>
      <c r="D58" s="206">
        <v>21776</v>
      </c>
      <c r="E58" s="34">
        <f>IF(B58="Custom", Q58, IF(B58="Imputation", INDEX('[3]Alt Est Detailed Bin Table'!$B$10:$M$132, MATCH(A58, '[3]Alt Est Detailed Bin Table'!$A$10:$A$132), MATCH(P58, '[3]Alt Est Detailed Bin Table'!$B$9:$M$9,0)), INDEX('[3]Detailed Bin Table'!$B$9:$M$132,MATCH($A58,'[3]Detailed Bin Table'!$A$9:$A$132,0),MATCH($B58,'[3]Detailed Bin Table'!$B$9:$M$9,0)))*24)</f>
        <v>29310.720000000001</v>
      </c>
      <c r="F58" s="34">
        <f>IF(B58="Custom", Q58, IF(B58="Imputation", INDEX('[3]Alt Est Detailed Bin Table'!$N$10:$Y$132, MATCH(A58, '[3]Alt Est Detailed Bin Table'!$A$10:$A$132), MATCH(P58, '[3]Alt Est Detailed Bin Table'!$N$9:$Y$9,0)), INDEX('[3]Detailed Bin Table'!$N$9:$Y$132,MATCH($A58,'[3]Detailed Bin Table'!$A$9:$A$132,0),MATCH($B58,'[3]Detailed Bin Table'!$N$9:$Y$9,0)))*24)</f>
        <v>49970.64</v>
      </c>
      <c r="G58" s="34">
        <f>IF(B58="Custom", Q58, IF(B58="Imputation", INDEX('[3]Alt Est Detailed Bin Table'!$Z$10:$AK$132, MATCH(A58, '[3]Alt Est Detailed Bin Table'!$A$10:$A$132), MATCH(P58, '[3]Alt Est Detailed Bin Table'!$Z$9:$AK$9,0)), INDEX('[3]Detailed Bin Table'!$Z$9:$AK$132,MATCH($A58,'[3]Detailed Bin Table'!$A$9:$A$132,0),MATCH($B58,'[3]Detailed Bin Table'!$Z$9:$AK$9,0)))*24)</f>
        <v>33503.520000000004</v>
      </c>
      <c r="H58" s="34">
        <f>IF(B58="Custom", Q58, IF(B58="Imputation", INDEX('[3]Alt Est Detailed Bin Table'!$AL$10:$AW$132, MATCH(A58, '[3]Alt Est Detailed Bin Table'!$A$10:$A$132), MATCH(P58, '[3]Alt Est Detailed Bin Table'!$AL$9:$AW$9,0)), INDEX('[3]Detailed Bin Table'!$AL$9:$AW$132,MATCH($A58,'[3]Detailed Bin Table'!$A$9:$A$132,0),MATCH($B58,'[3]Detailed Bin Table'!$AL$9:$AW$9,0)))*24)</f>
        <v>20178.48</v>
      </c>
      <c r="I58" s="34">
        <f>IF(B58="Custom", Q58, IF(B58="Imputation", INDEX('[3]Alt Est Detailed Bin Table'!$AX$10:$BI$132, MATCH(A58, '[3]Alt Est Detailed Bin Table'!$A$10:$A$132), MATCH(P58, '[3]Alt Est Detailed Bin Table'!$AX$9:$BI$9,0)), INDEX('[3]Detailed Bin Table'!$AX$9:$BI$132,MATCH($A58,'[3]Detailed Bin Table'!$A$9:$A$132,0),MATCH($B58,'[3]Detailed Bin Table'!$AX$9:$BI$9,0)))*24)</f>
        <v>12899.76</v>
      </c>
      <c r="J58" s="34">
        <f>IF(B58="Custom", V58, INDEX('[3]Detailed Bin Table'!$BJ$9:$BO$132,MATCH($A58,'[3]Detailed Bin Table'!$A$9:$A$132,0),MATCH($B58,'[3]Detailed Bin Table'!$BJ$9:$BO$9,0))*24)</f>
        <v>0</v>
      </c>
      <c r="K58" s="33">
        <f>IF(B58="Custom", Q58, IF(B58="Imputation", INDEX('[3]Alt Est Detailed Bin Table'!$BP$10:$CC$132, MATCH(A58, '[3]Alt Est Detailed Bin Table'!$A$10:$A$132), MATCH(P58, '[3]Alt Est Detailed Bin Table'!$BP$9:$CC$9,0)), INDEX('[3]Detailed Bin Table'!$BP$9:$CC$132,MATCH($A58,'[3]Detailed Bin Table'!$A$9:$A$132,0),MATCH($B58,'[3]Detailed Bin Table'!$BP$9:$CC$9,0)))*24)</f>
        <v>42953.76000000006</v>
      </c>
      <c r="L58" s="223">
        <f>IF(B58="Custom", Q58, IF(B58="Imputation", INDEX('[3]Alt Est Detailed Bin Table'!$CD$10:$CK$132, MATCH(A58, '[3]Alt Est Detailed Bin Table'!$A$10:$A$132), MATCH(P58, '[3]Alt Est Detailed Bin Table'!$CD$9:$CK$9,0)), INDEX('[3]Detailed Bin Table'!$CD$9:$CK$132,MATCH($A58,'[3]Detailed Bin Table'!$A$9:$A$132,0),MATCH($B58,'[3]Detailed Bin Table'!$CD$9:$CK$9,0)))*24)</f>
        <v>2707.44</v>
      </c>
      <c r="M58" s="34">
        <f>IF(B58="Custom", Q58, IF(B58="Imputation", INDEX('[3]Alt Est Detailed Bin Table'!$CL$10:$CS$132, MATCH(A58, '[3]Alt Est Detailed Bin Table'!$A$10:$A$132), MATCH(P58, '[3]Alt Est Detailed Bin Table'!$CL$9:$CS$9,0)), INDEX('[3]Detailed Bin Table'!$CL$9:$CS$132,MATCH($A58,'[3]Detailed Bin Table'!$A$9:$A$132,0),MATCH($B58,'[3]Detailed Bin Table'!$CL$9:$CS$9,0)))*24)</f>
        <v>5692.08</v>
      </c>
      <c r="N58" s="34">
        <f>IF(B58="Custom", Q58, IF(B58="Imputation", INDEX('[3]Alt Est Detailed Bin Table'!$CT$10:$DA$132, MATCH(A58, '[3]Alt Est Detailed Bin Table'!$A$10:$A$132), MATCH(P58, '[3]Alt Est Detailed Bin Table'!$CT$9:$DA$9,0)), INDEX('[3]Detailed Bin Table'!$CT$9:$DA$132,MATCH($A58,'[3]Detailed Bin Table'!$A$9:$A$132,0),MATCH($B58,'[3]Detailed Bin Table'!$CT$9:$DA$9,0)))*24)</f>
        <v>6334.5599999999995</v>
      </c>
      <c r="O58" s="34">
        <f>IF(B58="Custom", Q58, IF(B58="Imputation", INDEX('[3]Alt Est Detailed Bin Table'!$DB$10:$DI$132, MATCH(A58, '[3]Alt Est Detailed Bin Table'!$A$10:$A$132), MATCH(P58, '[3]Alt Est Detailed Bin Table'!$DB$9:$DI$9,0)), INDEX('[3]Detailed Bin Table'!$DB$9:$DI$132,MATCH($A58,'[3]Detailed Bin Table'!$A$9:$A$132,0),MATCH($B58,'[3]Detailed Bin Table'!$DB$9:$DI$9,0)))*24)</f>
        <v>6137.04</v>
      </c>
      <c r="P58" s="215"/>
      <c r="Q58" s="62"/>
      <c r="R58" s="63"/>
      <c r="S58" s="63"/>
      <c r="T58" s="63"/>
      <c r="U58" s="63"/>
      <c r="V58" s="63"/>
      <c r="W58" s="64"/>
      <c r="X58" s="63"/>
      <c r="Y58" s="63"/>
      <c r="Z58" s="63"/>
      <c r="AA58" s="65"/>
      <c r="AB58" s="213" t="str">
        <f>IF(SUM(E58:O58)='[1]Passage Estimates'!$D58, "Ok", "Check")</f>
        <v>Ok</v>
      </c>
    </row>
    <row r="59" spans="1:28" x14ac:dyDescent="0.3">
      <c r="A59" s="20">
        <f>'1. Mixture Model Inputs'!A59</f>
        <v>45161</v>
      </c>
      <c r="B59" s="13" t="str">
        <f>'[1]Passage Estimates'!$C59</f>
        <v>Imputation</v>
      </c>
      <c r="C59" s="206">
        <v>7890</v>
      </c>
      <c r="D59" s="206">
        <v>29835</v>
      </c>
      <c r="E59" s="34">
        <f>IF(B59="Custom", Q59, IF(B59="Imputation", INDEX('[3]Alt Est Detailed Bin Table'!$B$10:$M$132, MATCH(A59, '[3]Alt Est Detailed Bin Table'!$A$10:$A$132), MATCH(P59, '[3]Alt Est Detailed Bin Table'!$B$9:$M$9,0)), INDEX('[3]Detailed Bin Table'!$B$9:$M$132,MATCH($A59,'[3]Detailed Bin Table'!$A$9:$A$132,0),MATCH($B59,'[3]Detailed Bin Table'!$B$9:$M$9,0)))*24)</f>
        <v>37725.360000000001</v>
      </c>
      <c r="F59" s="34">
        <f>IF(B59="Custom", Q59, IF(B59="Imputation", INDEX('[3]Alt Est Detailed Bin Table'!$N$10:$Y$132, MATCH(A59, '[3]Alt Est Detailed Bin Table'!$A$10:$A$132), MATCH(P59, '[3]Alt Est Detailed Bin Table'!$N$9:$Y$9,0)), INDEX('[3]Detailed Bin Table'!$N$9:$Y$132,MATCH($A59,'[3]Detailed Bin Table'!$A$9:$A$132,0),MATCH($B59,'[3]Detailed Bin Table'!$N$9:$Y$9,0)))*24)</f>
        <v>45450.720000000001</v>
      </c>
      <c r="G59" s="34">
        <f>IF(B59="Custom", Q59, IF(B59="Imputation", INDEX('[3]Alt Est Detailed Bin Table'!$Z$10:$AK$132, MATCH(A59, '[3]Alt Est Detailed Bin Table'!$A$10:$A$132), MATCH(P59, '[3]Alt Est Detailed Bin Table'!$Z$9:$AK$9,0)), INDEX('[3]Detailed Bin Table'!$Z$9:$AK$132,MATCH($A59,'[3]Detailed Bin Table'!$A$9:$A$132,0),MATCH($B59,'[3]Detailed Bin Table'!$Z$9:$AK$9,0)))*24)</f>
        <v>22824</v>
      </c>
      <c r="H59" s="34">
        <f>IF(B59="Custom", Q59, IF(B59="Imputation", INDEX('[3]Alt Est Detailed Bin Table'!$AL$10:$AW$132, MATCH(A59, '[3]Alt Est Detailed Bin Table'!$A$10:$A$132), MATCH(P59, '[3]Alt Est Detailed Bin Table'!$AL$9:$AW$9,0)), INDEX('[3]Detailed Bin Table'!$AL$9:$AW$132,MATCH($A59,'[3]Detailed Bin Table'!$A$9:$A$132,0),MATCH($B59,'[3]Detailed Bin Table'!$AL$9:$AW$9,0)))*24)</f>
        <v>13416</v>
      </c>
      <c r="I59" s="34">
        <f>IF(B59="Custom", Q59, IF(B59="Imputation", INDEX('[3]Alt Est Detailed Bin Table'!$AX$10:$BI$132, MATCH(A59, '[3]Alt Est Detailed Bin Table'!$A$10:$A$132), MATCH(P59, '[3]Alt Est Detailed Bin Table'!$AX$9:$BI$9,0)), INDEX('[3]Detailed Bin Table'!$AX$9:$BI$132,MATCH($A59,'[3]Detailed Bin Table'!$A$9:$A$132,0),MATCH($B59,'[3]Detailed Bin Table'!$AX$9:$BI$9,0)))*24)</f>
        <v>6451.92</v>
      </c>
      <c r="J59" s="34">
        <v>0</v>
      </c>
      <c r="K59" s="33">
        <f>IF(B59="Custom", Q59, IF(B59="Imputation", INDEX('[3]Alt Est Detailed Bin Table'!$BP$10:$CC$132, MATCH(A59, '[3]Alt Est Detailed Bin Table'!$A$10:$A$132), MATCH(P59, '[3]Alt Est Detailed Bin Table'!$BP$9:$CC$9,0)), INDEX('[3]Detailed Bin Table'!$BP$9:$CC$132,MATCH($A59,'[3]Detailed Bin Table'!$A$9:$A$132,0),MATCH($B59,'[3]Detailed Bin Table'!$BP$9:$CC$9,0)))*24)</f>
        <v>57227.040000000001</v>
      </c>
      <c r="L59" s="223">
        <f>IF(B59="Custom", Q59, IF(B59="Imputation", INDEX('[3]Alt Est Detailed Bin Table'!$CD$10:$CK$132, MATCH(A59, '[3]Alt Est Detailed Bin Table'!$A$10:$A$132), MATCH(P59, '[3]Alt Est Detailed Bin Table'!$CD$9:$CK$9,0)), INDEX('[3]Detailed Bin Table'!$CD$9:$CK$132,MATCH($A59,'[3]Detailed Bin Table'!$A$9:$A$132,0),MATCH($B59,'[3]Detailed Bin Table'!$CD$9:$CK$9,0)))*24)</f>
        <v>4525.2000000000007</v>
      </c>
      <c r="M59" s="34">
        <f>IF(B59="Custom", Q59, IF(B59="Imputation", INDEX('[3]Alt Est Detailed Bin Table'!$CL$10:$CS$132, MATCH(A59, '[3]Alt Est Detailed Bin Table'!$A$10:$A$132), MATCH(P59, '[3]Alt Est Detailed Bin Table'!$CL$9:$CS$9,0)), INDEX('[3]Detailed Bin Table'!$CL$9:$CS$132,MATCH($A59,'[3]Detailed Bin Table'!$A$9:$A$132,0),MATCH($B59,'[3]Detailed Bin Table'!$CL$9:$CS$9,0)))*24)</f>
        <v>10578.72</v>
      </c>
      <c r="N59" s="34">
        <f>IF(B59="Custom", Q59, IF(B59="Imputation", INDEX('[3]Alt Est Detailed Bin Table'!$CT$10:$DA$132, MATCH(A59, '[3]Alt Est Detailed Bin Table'!$A$10:$A$132), MATCH(P59, '[3]Alt Est Detailed Bin Table'!$CT$9:$DA$9,0)), INDEX('[3]Detailed Bin Table'!$CT$9:$DA$132,MATCH($A59,'[3]Detailed Bin Table'!$A$9:$A$132,0),MATCH($B59,'[3]Detailed Bin Table'!$CT$9:$DA$9,0)))*24)</f>
        <v>13480.800000000001</v>
      </c>
      <c r="O59" s="34">
        <f>IF(B59="Custom", Q59, IF(B59="Imputation", INDEX('[3]Alt Est Detailed Bin Table'!$DB$10:$DI$132, MATCH(A59, '[3]Alt Est Detailed Bin Table'!$A$10:$A$132), MATCH(P59, '[3]Alt Est Detailed Bin Table'!$DB$9:$DI$9,0)), INDEX('[3]Detailed Bin Table'!$DB$9:$DI$132,MATCH($A59,'[3]Detailed Bin Table'!$A$9:$A$132,0),MATCH($B59,'[3]Detailed Bin Table'!$DB$9:$DI$9,0)))*24)</f>
        <v>15881.52</v>
      </c>
      <c r="P59" s="215" t="s">
        <v>161</v>
      </c>
      <c r="Q59" s="62"/>
      <c r="R59" s="63"/>
      <c r="S59" s="63"/>
      <c r="T59" s="63"/>
      <c r="U59" s="63"/>
      <c r="V59" s="63"/>
      <c r="W59" s="64"/>
      <c r="X59" s="63"/>
      <c r="Y59" s="63"/>
      <c r="Z59" s="63"/>
      <c r="AA59" s="65"/>
      <c r="AB59" s="213" t="str">
        <f>IF(SUM(E59:O59)='[1]Passage Estimates'!$D59, "Ok", "Check")</f>
        <v>Ok</v>
      </c>
    </row>
    <row r="60" spans="1:28" x14ac:dyDescent="0.3">
      <c r="A60" s="20">
        <f>'1. Mixture Model Inputs'!A60</f>
        <v>45162</v>
      </c>
      <c r="B60" s="13" t="str">
        <f>'[1]Passage Estimates'!$C60</f>
        <v>A1+S1+M2+A2</v>
      </c>
      <c r="C60" s="206">
        <v>4252</v>
      </c>
      <c r="D60" s="206">
        <v>23981</v>
      </c>
      <c r="E60" s="34">
        <f>IF(B60="Custom", Q60, IF(B60="Imputation", INDEX('[3]Alt Est Detailed Bin Table'!$B$10:$M$132, MATCH(A60, '[3]Alt Est Detailed Bin Table'!$A$10:$A$132), MATCH(P60, '[3]Alt Est Detailed Bin Table'!$B$9:$M$9,0)), INDEX('[3]Detailed Bin Table'!$B$9:$M$132,MATCH($A60,'[3]Detailed Bin Table'!$A$9:$A$132,0),MATCH($B60,'[3]Detailed Bin Table'!$B$9:$M$9,0)))*24)</f>
        <v>28233.360000000001</v>
      </c>
      <c r="F60" s="34">
        <f>IF(B60="Custom", Q60, IF(B60="Imputation", INDEX('[3]Alt Est Detailed Bin Table'!$N$10:$Y$132, MATCH(A60, '[3]Alt Est Detailed Bin Table'!$A$10:$A$132), MATCH(P60, '[3]Alt Est Detailed Bin Table'!$N$9:$Y$9,0)), INDEX('[3]Detailed Bin Table'!$N$9:$Y$132,MATCH($A60,'[3]Detailed Bin Table'!$A$9:$A$132,0),MATCH($B60,'[3]Detailed Bin Table'!$N$9:$Y$9,0)))*24)</f>
        <v>33804.479999999996</v>
      </c>
      <c r="G60" s="34">
        <f>IF(B60="Custom", Q60, IF(B60="Imputation", INDEX('[3]Alt Est Detailed Bin Table'!$Z$10:$AK$132, MATCH(A60, '[3]Alt Est Detailed Bin Table'!$A$10:$A$132), MATCH(P60, '[3]Alt Est Detailed Bin Table'!$Z$9:$AK$9,0)), INDEX('[3]Detailed Bin Table'!$Z$9:$AK$132,MATCH($A60,'[3]Detailed Bin Table'!$A$9:$A$132,0),MATCH($B60,'[3]Detailed Bin Table'!$Z$9:$AK$9,0)))*24)</f>
        <v>21936</v>
      </c>
      <c r="H60" s="34">
        <f>IF(B60="Custom", Q60, IF(B60="Imputation", INDEX('[3]Alt Est Detailed Bin Table'!$AL$10:$AW$132, MATCH(A60, '[3]Alt Est Detailed Bin Table'!$A$10:$A$132), MATCH(P60, '[3]Alt Est Detailed Bin Table'!$AL$9:$AW$9,0)), INDEX('[3]Detailed Bin Table'!$AL$9:$AW$132,MATCH($A60,'[3]Detailed Bin Table'!$A$9:$A$132,0),MATCH($B60,'[3]Detailed Bin Table'!$AL$9:$AW$9,0)))*24)</f>
        <v>15144</v>
      </c>
      <c r="I60" s="34">
        <f>IF(B60="Custom", Q60, IF(B60="Imputation", INDEX('[3]Alt Est Detailed Bin Table'!$AX$10:$BI$132, MATCH(A60, '[3]Alt Est Detailed Bin Table'!$A$10:$A$132), MATCH(P60, '[3]Alt Est Detailed Bin Table'!$AX$9:$BI$9,0)), INDEX('[3]Detailed Bin Table'!$AX$9:$BI$132,MATCH($A60,'[3]Detailed Bin Table'!$A$9:$A$132,0),MATCH($B60,'[3]Detailed Bin Table'!$AX$9:$BI$9,0)))*24)</f>
        <v>10576.079999999998</v>
      </c>
      <c r="J60" s="34">
        <f>IF(B60="Custom", V60, INDEX('[3]Detailed Bin Table'!$BJ$9:$BO$132,MATCH($A60,'[3]Detailed Bin Table'!$A$9:$A$132,0),MATCH($B60,'[3]Detailed Bin Table'!$BJ$9:$BO$9,0))*24)</f>
        <v>0</v>
      </c>
      <c r="K60" s="33">
        <f>IF(B60="Custom", Q60, IF(B60="Imputation", INDEX('[3]Alt Est Detailed Bin Table'!$BP$10:$CC$132, MATCH(A60, '[3]Alt Est Detailed Bin Table'!$A$10:$A$132), MATCH(P60, '[3]Alt Est Detailed Bin Table'!$BP$9:$CC$9,0)), INDEX('[3]Detailed Bin Table'!$BP$9:$CC$132,MATCH($A60,'[3]Detailed Bin Table'!$A$9:$A$132,0),MATCH($B60,'[3]Detailed Bin Table'!$BP$9:$CC$9,0)))*24)</f>
        <v>53849.280000000028</v>
      </c>
      <c r="L60" s="223">
        <f>IF(B60="Custom", Q60, IF(B60="Imputation", INDEX('[3]Alt Est Detailed Bin Table'!$CD$10:$CK$132, MATCH(A60, '[3]Alt Est Detailed Bin Table'!$A$10:$A$132), MATCH(P60, '[3]Alt Est Detailed Bin Table'!$CD$9:$CK$9,0)), INDEX('[3]Detailed Bin Table'!$CD$9:$CK$132,MATCH($A60,'[3]Detailed Bin Table'!$A$9:$A$132,0),MATCH($B60,'[3]Detailed Bin Table'!$CD$9:$CK$9,0)))*24)</f>
        <v>4095.3599999999997</v>
      </c>
      <c r="M60" s="34">
        <f>IF(B60="Custom", Q60, IF(B60="Imputation", INDEX('[3]Alt Est Detailed Bin Table'!$CL$10:$CS$132, MATCH(A60, '[3]Alt Est Detailed Bin Table'!$A$10:$A$132), MATCH(P60, '[3]Alt Est Detailed Bin Table'!$CL$9:$CS$9,0)), INDEX('[3]Detailed Bin Table'!$CL$9:$CS$132,MATCH($A60,'[3]Detailed Bin Table'!$A$9:$A$132,0),MATCH($B60,'[3]Detailed Bin Table'!$CL$9:$CS$9,0)))*24)</f>
        <v>7044.48</v>
      </c>
      <c r="N60" s="34">
        <f>IF(B60="Custom", Q60, IF(B60="Imputation", INDEX('[3]Alt Est Detailed Bin Table'!$CT$10:$DA$132, MATCH(A60, '[3]Alt Est Detailed Bin Table'!$A$10:$A$132), MATCH(P60, '[3]Alt Est Detailed Bin Table'!$CT$9:$DA$9,0)), INDEX('[3]Detailed Bin Table'!$CT$9:$DA$132,MATCH($A60,'[3]Detailed Bin Table'!$A$9:$A$132,0),MATCH($B60,'[3]Detailed Bin Table'!$CT$9:$DA$9,0)))*24)</f>
        <v>8673.119999999999</v>
      </c>
      <c r="O60" s="34">
        <f>IF(B60="Custom", Q60, IF(B60="Imputation", INDEX('[3]Alt Est Detailed Bin Table'!$DB$10:$DI$132, MATCH(A60, '[3]Alt Est Detailed Bin Table'!$A$10:$A$132), MATCH(P60, '[3]Alt Est Detailed Bin Table'!$DB$9:$DI$9,0)), INDEX('[3]Detailed Bin Table'!$DB$9:$DI$132,MATCH($A60,'[3]Detailed Bin Table'!$A$9:$A$132,0),MATCH($B60,'[3]Detailed Bin Table'!$DB$9:$DI$9,0)))*24)</f>
        <v>7378.7999999999993</v>
      </c>
      <c r="P60" s="215"/>
      <c r="Q60" s="62"/>
      <c r="R60" s="63"/>
      <c r="S60" s="63"/>
      <c r="T60" s="63"/>
      <c r="U60" s="63"/>
      <c r="V60" s="63"/>
      <c r="W60" s="64"/>
      <c r="X60" s="63"/>
      <c r="Y60" s="63"/>
      <c r="Z60" s="63"/>
      <c r="AA60" s="65"/>
      <c r="AB60" s="213" t="str">
        <f>IF(SUM(E60:O60)='[1]Passage Estimates'!$D60, "Ok", "Check")</f>
        <v>Ok</v>
      </c>
    </row>
    <row r="61" spans="1:28" x14ac:dyDescent="0.3">
      <c r="A61" s="20">
        <f>'1. Mixture Model Inputs'!A61</f>
        <v>45163</v>
      </c>
      <c r="B61" s="13" t="str">
        <f>'[1]Passage Estimates'!$C61</f>
        <v>A1+S1+M2+A2</v>
      </c>
      <c r="C61" s="206">
        <v>1938</v>
      </c>
      <c r="D61" s="206">
        <v>7999</v>
      </c>
      <c r="E61" s="34">
        <f>IF(B61="Custom", Q61, IF(B61="Imputation", INDEX('[3]Alt Est Detailed Bin Table'!$B$10:$M$132, MATCH(A61, '[3]Alt Est Detailed Bin Table'!$A$10:$A$132), MATCH(P61, '[3]Alt Est Detailed Bin Table'!$B$9:$M$9,0)), INDEX('[3]Detailed Bin Table'!$B$9:$M$132,MATCH($A61,'[3]Detailed Bin Table'!$A$9:$A$132,0),MATCH($B61,'[3]Detailed Bin Table'!$B$9:$M$9,0)))*24)</f>
        <v>9936.9600000000009</v>
      </c>
      <c r="F61" s="34">
        <f>IF(B61="Custom", Q61, IF(B61="Imputation", INDEX('[3]Alt Est Detailed Bin Table'!$N$10:$Y$132, MATCH(A61, '[3]Alt Est Detailed Bin Table'!$A$10:$A$132), MATCH(P61, '[3]Alt Est Detailed Bin Table'!$N$9:$Y$9,0)), INDEX('[3]Detailed Bin Table'!$N$9:$Y$132,MATCH($A61,'[3]Detailed Bin Table'!$A$9:$A$132,0),MATCH($B61,'[3]Detailed Bin Table'!$N$9:$Y$9,0)))*24)</f>
        <v>19448.64</v>
      </c>
      <c r="G61" s="34">
        <f>IF(B61="Custom", Q61, IF(B61="Imputation", INDEX('[3]Alt Est Detailed Bin Table'!$Z$10:$AK$132, MATCH(A61, '[3]Alt Est Detailed Bin Table'!$A$10:$A$132), MATCH(P61, '[3]Alt Est Detailed Bin Table'!$Z$9:$AK$9,0)), INDEX('[3]Detailed Bin Table'!$Z$9:$AK$132,MATCH($A61,'[3]Detailed Bin Table'!$A$9:$A$132,0),MATCH($B61,'[3]Detailed Bin Table'!$Z$9:$AK$9,0)))*24)</f>
        <v>12420</v>
      </c>
      <c r="H61" s="34">
        <f>IF(B61="Custom", Q61, IF(B61="Imputation", INDEX('[3]Alt Est Detailed Bin Table'!$AL$10:$AW$132, MATCH(A61, '[3]Alt Est Detailed Bin Table'!$A$10:$A$132), MATCH(P61, '[3]Alt Est Detailed Bin Table'!$AL$9:$AW$9,0)), INDEX('[3]Detailed Bin Table'!$AL$9:$AW$132,MATCH($A61,'[3]Detailed Bin Table'!$A$9:$A$132,0),MATCH($B61,'[3]Detailed Bin Table'!$AL$9:$AW$9,0)))*24)</f>
        <v>7860</v>
      </c>
      <c r="I61" s="34">
        <f>IF(B61="Custom", Q61, IF(B61="Imputation", INDEX('[3]Alt Est Detailed Bin Table'!$AX$10:$BI$132, MATCH(A61, '[3]Alt Est Detailed Bin Table'!$A$10:$A$132), MATCH(P61, '[3]Alt Est Detailed Bin Table'!$AX$9:$BI$9,0)), INDEX('[3]Detailed Bin Table'!$AX$9:$BI$132,MATCH($A61,'[3]Detailed Bin Table'!$A$9:$A$132,0),MATCH($B61,'[3]Detailed Bin Table'!$AX$9:$BI$9,0)))*24)</f>
        <v>6928.7999999999993</v>
      </c>
      <c r="J61" s="34">
        <f>IF(B61="Custom", V61, INDEX('[3]Detailed Bin Table'!$BJ$9:$BO$132,MATCH($A61,'[3]Detailed Bin Table'!$A$9:$A$132,0),MATCH($B61,'[3]Detailed Bin Table'!$BJ$9:$BO$9,0))*24)</f>
        <v>0</v>
      </c>
      <c r="K61" s="33">
        <f>IF(B61="Custom", Q61, IF(B61="Imputation", INDEX('[3]Alt Est Detailed Bin Table'!$BP$10:$CC$132, MATCH(A61, '[3]Alt Est Detailed Bin Table'!$A$10:$A$132), MATCH(P61, '[3]Alt Est Detailed Bin Table'!$BP$9:$CC$9,0)), INDEX('[3]Detailed Bin Table'!$BP$9:$CC$132,MATCH($A61,'[3]Detailed Bin Table'!$A$9:$A$132,0),MATCH($B61,'[3]Detailed Bin Table'!$BP$9:$CC$9,0)))*24)</f>
        <v>47880.959999999955</v>
      </c>
      <c r="L61" s="223">
        <f>IF(B61="Custom", Q61, IF(B61="Imputation", INDEX('[3]Alt Est Detailed Bin Table'!$CD$10:$CK$132, MATCH(A61, '[3]Alt Est Detailed Bin Table'!$A$10:$A$132), MATCH(P61, '[3]Alt Est Detailed Bin Table'!$CD$9:$CK$9,0)), INDEX('[3]Detailed Bin Table'!$CD$9:$CK$132,MATCH($A61,'[3]Detailed Bin Table'!$A$9:$A$132,0),MATCH($B61,'[3]Detailed Bin Table'!$CD$9:$CK$9,0)))*24)</f>
        <v>3471.12</v>
      </c>
      <c r="M61" s="34">
        <f>IF(B61="Custom", Q61, IF(B61="Imputation", INDEX('[3]Alt Est Detailed Bin Table'!$CL$10:$CS$132, MATCH(A61, '[3]Alt Est Detailed Bin Table'!$A$10:$A$132), MATCH(P61, '[3]Alt Est Detailed Bin Table'!$CL$9:$CS$9,0)), INDEX('[3]Detailed Bin Table'!$CL$9:$CS$132,MATCH($A61,'[3]Detailed Bin Table'!$A$9:$A$132,0),MATCH($B61,'[3]Detailed Bin Table'!$CL$9:$CS$9,0)))*24)</f>
        <v>5856.72</v>
      </c>
      <c r="N61" s="34">
        <f>IF(B61="Custom", Q61, IF(B61="Imputation", INDEX('[3]Alt Est Detailed Bin Table'!$CT$10:$DA$132, MATCH(A61, '[3]Alt Est Detailed Bin Table'!$A$10:$A$132), MATCH(P61, '[3]Alt Est Detailed Bin Table'!$CT$9:$DA$9,0)), INDEX('[3]Detailed Bin Table'!$CT$9:$DA$132,MATCH($A61,'[3]Detailed Bin Table'!$A$9:$A$132,0),MATCH($B61,'[3]Detailed Bin Table'!$CT$9:$DA$9,0)))*24)</f>
        <v>5860.08</v>
      </c>
      <c r="O61" s="34">
        <f>IF(B61="Custom", Q61, IF(B61="Imputation", INDEX('[3]Alt Est Detailed Bin Table'!$DB$10:$DI$132, MATCH(A61, '[3]Alt Est Detailed Bin Table'!$A$10:$A$132), MATCH(P61, '[3]Alt Est Detailed Bin Table'!$DB$9:$DI$9,0)), INDEX('[3]Detailed Bin Table'!$DB$9:$DI$132,MATCH($A61,'[3]Detailed Bin Table'!$A$9:$A$132,0),MATCH($B61,'[3]Detailed Bin Table'!$DB$9:$DI$9,0)))*24)</f>
        <v>4148.6400000000003</v>
      </c>
      <c r="P61" s="215"/>
      <c r="Q61" s="62"/>
      <c r="R61" s="63"/>
      <c r="S61" s="63"/>
      <c r="T61" s="63"/>
      <c r="U61" s="63"/>
      <c r="V61" s="63"/>
      <c r="W61" s="64"/>
      <c r="X61" s="63"/>
      <c r="Y61" s="63"/>
      <c r="Z61" s="63"/>
      <c r="AA61" s="65"/>
      <c r="AB61" s="213" t="str">
        <f>IF(SUM(E61:O61)='[1]Passage Estimates'!$D61, "Ok", "Check")</f>
        <v>Ok</v>
      </c>
    </row>
    <row r="62" spans="1:28" x14ac:dyDescent="0.3">
      <c r="A62" s="20">
        <f>'1. Mixture Model Inputs'!A62</f>
        <v>45164</v>
      </c>
      <c r="B62" s="13" t="str">
        <f>'[1]Passage Estimates'!$C62</f>
        <v>Imputation</v>
      </c>
      <c r="C62" s="206">
        <v>1644</v>
      </c>
      <c r="D62" s="206">
        <v>7726</v>
      </c>
      <c r="E62" s="34">
        <f>IF(B62="Custom", Q62, IF(B62="Imputation", INDEX('[3]Alt Est Detailed Bin Table'!$B$10:$M$132, MATCH(A62, '[3]Alt Est Detailed Bin Table'!$A$10:$A$132), MATCH(P62, '[3]Alt Est Detailed Bin Table'!$B$9:$M$9,0)), INDEX('[3]Detailed Bin Table'!$B$9:$M$132,MATCH($A62,'[3]Detailed Bin Table'!$A$9:$A$132,0),MATCH($B62,'[3]Detailed Bin Table'!$B$9:$M$9,0)))*24)</f>
        <v>9370.32</v>
      </c>
      <c r="F62" s="34">
        <f>IF(B62="Custom", Q62, IF(B62="Imputation", INDEX('[3]Alt Est Detailed Bin Table'!$N$10:$Y$132, MATCH(A62, '[3]Alt Est Detailed Bin Table'!$A$10:$A$132), MATCH(P62, '[3]Alt Est Detailed Bin Table'!$N$9:$Y$9,0)), INDEX('[3]Detailed Bin Table'!$N$9:$Y$132,MATCH($A62,'[3]Detailed Bin Table'!$A$9:$A$132,0),MATCH($B62,'[3]Detailed Bin Table'!$N$9:$Y$9,0)))*24)</f>
        <v>13518.72</v>
      </c>
      <c r="G62" s="34">
        <f>IF(B62="Custom", Q62, IF(B62="Imputation", INDEX('[3]Alt Est Detailed Bin Table'!$Z$10:$AK$132, MATCH(A62, '[3]Alt Est Detailed Bin Table'!$A$10:$A$132), MATCH(P62, '[3]Alt Est Detailed Bin Table'!$Z$9:$AK$9,0)), INDEX('[3]Detailed Bin Table'!$Z$9:$AK$132,MATCH($A62,'[3]Detailed Bin Table'!$A$9:$A$132,0),MATCH($B62,'[3]Detailed Bin Table'!$Z$9:$AK$9,0)))*24)</f>
        <v>9768</v>
      </c>
      <c r="H62" s="34">
        <f>IF(B62="Custom", Q62, IF(B62="Imputation", INDEX('[3]Alt Est Detailed Bin Table'!$AL$10:$AW$132, MATCH(A62, '[3]Alt Est Detailed Bin Table'!$A$10:$A$132), MATCH(P62, '[3]Alt Est Detailed Bin Table'!$AL$9:$AW$9,0)), INDEX('[3]Detailed Bin Table'!$AL$9:$AW$132,MATCH($A62,'[3]Detailed Bin Table'!$A$9:$A$132,0),MATCH($B62,'[3]Detailed Bin Table'!$AL$9:$AW$9,0)))*24)</f>
        <v>6804</v>
      </c>
      <c r="I62" s="34">
        <f>IF(B62="Custom", Q62, IF(B62="Imputation", INDEX('[3]Alt Est Detailed Bin Table'!$AX$10:$BI$132, MATCH(A62, '[3]Alt Est Detailed Bin Table'!$A$10:$A$132), MATCH(P62, '[3]Alt Est Detailed Bin Table'!$AX$9:$BI$9,0)), INDEX('[3]Detailed Bin Table'!$AX$9:$BI$132,MATCH($A62,'[3]Detailed Bin Table'!$A$9:$A$132,0),MATCH($B62,'[3]Detailed Bin Table'!$AX$9:$BI$9,0)))*24)</f>
        <v>6442.8000000000011</v>
      </c>
      <c r="J62" s="34">
        <v>0</v>
      </c>
      <c r="K62" s="33">
        <f>IF(B62="Custom", Q62, IF(B62="Imputation", INDEX('[3]Alt Est Detailed Bin Table'!$BP$10:$CC$132, MATCH(A62, '[3]Alt Est Detailed Bin Table'!$A$10:$A$132), MATCH(P62, '[3]Alt Est Detailed Bin Table'!$BP$9:$CC$9,0)), INDEX('[3]Detailed Bin Table'!$BP$9:$CC$132,MATCH($A62,'[3]Detailed Bin Table'!$A$9:$A$132,0),MATCH($B62,'[3]Detailed Bin Table'!$BP$9:$CC$9,0)))*24)</f>
        <v>55367.280000000013</v>
      </c>
      <c r="L62" s="223">
        <f>IF(B62="Custom", Q62, IF(B62="Imputation", INDEX('[3]Alt Est Detailed Bin Table'!$CD$10:$CK$132, MATCH(A62, '[3]Alt Est Detailed Bin Table'!$A$10:$A$132), MATCH(P62, '[3]Alt Est Detailed Bin Table'!$CD$9:$CK$9,0)), INDEX('[3]Detailed Bin Table'!$CD$9:$CK$132,MATCH($A62,'[3]Detailed Bin Table'!$A$9:$A$132,0),MATCH($B62,'[3]Detailed Bin Table'!$CD$9:$CK$9,0)))*24)</f>
        <v>2376</v>
      </c>
      <c r="M62" s="34">
        <f>IF(B62="Custom", Q62, IF(B62="Imputation", INDEX('[3]Alt Est Detailed Bin Table'!$CL$10:$CS$132, MATCH(A62, '[3]Alt Est Detailed Bin Table'!$A$10:$A$132), MATCH(P62, '[3]Alt Est Detailed Bin Table'!$CL$9:$CS$9,0)), INDEX('[3]Detailed Bin Table'!$CL$9:$CS$132,MATCH($A62,'[3]Detailed Bin Table'!$A$9:$A$132,0),MATCH($B62,'[3]Detailed Bin Table'!$CL$9:$CS$9,0)))*24)</f>
        <v>4098.4800000000005</v>
      </c>
      <c r="N62" s="34">
        <f>IF(B62="Custom", Q62, IF(B62="Imputation", INDEX('[3]Alt Est Detailed Bin Table'!$CT$10:$DA$132, MATCH(A62, '[3]Alt Est Detailed Bin Table'!$A$10:$A$132), MATCH(P62, '[3]Alt Est Detailed Bin Table'!$CT$9:$DA$9,0)), INDEX('[3]Detailed Bin Table'!$CT$9:$DA$132,MATCH($A62,'[3]Detailed Bin Table'!$A$9:$A$132,0),MATCH($B62,'[3]Detailed Bin Table'!$CT$9:$DA$9,0)))*24)</f>
        <v>4087.92</v>
      </c>
      <c r="O62" s="34">
        <f>IF(B62="Custom", Q62, IF(B62="Imputation", INDEX('[3]Alt Est Detailed Bin Table'!$DB$10:$DI$132, MATCH(A62, '[3]Alt Est Detailed Bin Table'!$A$10:$A$132), MATCH(P62, '[3]Alt Est Detailed Bin Table'!$DB$9:$DI$9,0)), INDEX('[3]Detailed Bin Table'!$DB$9:$DI$132,MATCH($A62,'[3]Detailed Bin Table'!$A$9:$A$132,0),MATCH($B62,'[3]Detailed Bin Table'!$DB$9:$DI$9,0)))*24)</f>
        <v>2925.6000000000004</v>
      </c>
      <c r="P62" s="215" t="s">
        <v>161</v>
      </c>
      <c r="Q62" s="62"/>
      <c r="R62" s="63"/>
      <c r="S62" s="63"/>
      <c r="T62" s="63"/>
      <c r="U62" s="63"/>
      <c r="V62" s="63"/>
      <c r="W62" s="64"/>
      <c r="X62" s="63"/>
      <c r="Y62" s="63"/>
      <c r="Z62" s="63"/>
      <c r="AA62" s="65"/>
      <c r="AB62" s="213" t="str">
        <f>IF(SUM(E62:O62)='[1]Passage Estimates'!$D62, "Ok", "Check")</f>
        <v>Ok</v>
      </c>
    </row>
    <row r="63" spans="1:28" x14ac:dyDescent="0.3">
      <c r="A63" s="20">
        <f>'1. Mixture Model Inputs'!A63</f>
        <v>45165</v>
      </c>
      <c r="B63" s="13" t="str">
        <f>'[1]Passage Estimates'!$C63</f>
        <v>Imputation</v>
      </c>
      <c r="C63" s="206">
        <f>E63*0.3</f>
        <v>2590.9513043478264</v>
      </c>
      <c r="D63" s="206">
        <f>E63*0.7</f>
        <v>6045.5530434782613</v>
      </c>
      <c r="E63" s="34">
        <f>IF(B63="Custom", Q63, IF(B63="Imputation", INDEX('[3]Alt Est Detailed Bin Table'!$B$10:$M$132, MATCH(A63, '[3]Alt Est Detailed Bin Table'!$A$10:$A$132), MATCH(P63, '[3]Alt Est Detailed Bin Table'!$B$9:$M$9,0)), INDEX('[3]Detailed Bin Table'!$B$9:$M$132,MATCH($A63,'[3]Detailed Bin Table'!$A$9:$A$132,0),MATCH($B63,'[3]Detailed Bin Table'!$B$9:$M$9,0)))*24)</f>
        <v>8636.5043478260886</v>
      </c>
      <c r="F63" s="34">
        <f>IF(B63="Custom", Q63, IF(B63="Imputation", INDEX('[3]Alt Est Detailed Bin Table'!$N$10:$Y$132, MATCH(A63, '[3]Alt Est Detailed Bin Table'!$A$10:$A$132), MATCH(P63, '[3]Alt Est Detailed Bin Table'!$N$9:$Y$9,0)), INDEX('[3]Detailed Bin Table'!$N$9:$Y$132,MATCH($A63,'[3]Detailed Bin Table'!$A$9:$A$132,0),MATCH($B63,'[3]Detailed Bin Table'!$N$9:$Y$9,0)))*24)</f>
        <v>23544.208695652174</v>
      </c>
      <c r="G63" s="34">
        <f>IF(B63="Custom", Q63, IF(B63="Imputation", INDEX('[3]Alt Est Detailed Bin Table'!$Z$10:$AK$132, MATCH(A63, '[3]Alt Est Detailed Bin Table'!$A$10:$A$132), MATCH(P63, '[3]Alt Est Detailed Bin Table'!$Z$9:$AK$9,0)), INDEX('[3]Detailed Bin Table'!$Z$9:$AK$132,MATCH($A63,'[3]Detailed Bin Table'!$A$9:$A$132,0),MATCH($B63,'[3]Detailed Bin Table'!$Z$9:$AK$9,0)))*24)</f>
        <v>15619.074782608695</v>
      </c>
      <c r="H63" s="34">
        <f>IF(B63="Custom", Q63, IF(B63="Imputation", INDEX('[3]Alt Est Detailed Bin Table'!$AL$10:$AW$132, MATCH(A63, '[3]Alt Est Detailed Bin Table'!$A$10:$A$132), MATCH(P63, '[3]Alt Est Detailed Bin Table'!$AL$9:$AW$9,0)), INDEX('[3]Detailed Bin Table'!$AL$9:$AW$132,MATCH($A63,'[3]Detailed Bin Table'!$A$9:$A$132,0),MATCH($B63,'[3]Detailed Bin Table'!$AL$9:$AW$9,0)))*24)</f>
        <v>10972.899130434782</v>
      </c>
      <c r="I63" s="34">
        <f>IF(B63="Custom", Q63, IF(B63="Imputation", INDEX('[3]Alt Est Detailed Bin Table'!$AX$10:$BI$132, MATCH(A63, '[3]Alt Est Detailed Bin Table'!$A$10:$A$132), MATCH(P63, '[3]Alt Est Detailed Bin Table'!$AX$9:$BI$9,0)), INDEX('[3]Detailed Bin Table'!$AX$9:$BI$132,MATCH($A63,'[3]Detailed Bin Table'!$A$9:$A$132,0),MATCH($B63,'[3]Detailed Bin Table'!$AX$9:$BI$9,0)))*24)</f>
        <v>6547.5965217391313</v>
      </c>
      <c r="J63" s="34">
        <v>0</v>
      </c>
      <c r="K63" s="33">
        <f>IF(B63="Custom", Q63, IF(B63="Imputation", INDEX('[3]Alt Est Detailed Bin Table'!$BP$10:$CC$132, MATCH(A63, '[3]Alt Est Detailed Bin Table'!$A$10:$A$132), MATCH(P63, '[3]Alt Est Detailed Bin Table'!$BP$9:$CC$9,0)), INDEX('[3]Detailed Bin Table'!$BP$9:$CC$132,MATCH($A63,'[3]Detailed Bin Table'!$A$9:$A$132,0),MATCH($B63,'[3]Detailed Bin Table'!$BP$9:$CC$9,0)))*24)</f>
        <v>21302.063999999958</v>
      </c>
      <c r="L63" s="223">
        <f>IF(B63="Custom", Q63, IF(B63="Imputation", INDEX('[3]Alt Est Detailed Bin Table'!$CD$10:$CK$132, MATCH(A63, '[3]Alt Est Detailed Bin Table'!$A$10:$A$132), MATCH(P63, '[3]Alt Est Detailed Bin Table'!$CD$9:$CK$9,0)), INDEX('[3]Detailed Bin Table'!$CD$9:$CK$132,MATCH($A63,'[3]Detailed Bin Table'!$A$9:$A$132,0),MATCH($B63,'[3]Detailed Bin Table'!$CD$9:$CK$9,0)))*24)</f>
        <v>1980.2400000000002</v>
      </c>
      <c r="M63" s="34">
        <f>IF(B63="Custom", Q63, IF(B63="Imputation", INDEX('[3]Alt Est Detailed Bin Table'!$CL$10:$CS$132, MATCH(A63, '[3]Alt Est Detailed Bin Table'!$A$10:$A$132), MATCH(P63, '[3]Alt Est Detailed Bin Table'!$CL$9:$CS$9,0)), INDEX('[3]Detailed Bin Table'!$CL$9:$CS$132,MATCH($A63,'[3]Detailed Bin Table'!$A$9:$A$132,0),MATCH($B63,'[3]Detailed Bin Table'!$CL$9:$CS$9,0)))*24)</f>
        <v>3416.16</v>
      </c>
      <c r="N63" s="34">
        <f>IF(B63="Custom", Q63, IF(B63="Imputation", INDEX('[3]Alt Est Detailed Bin Table'!$CT$10:$DA$132, MATCH(A63, '[3]Alt Est Detailed Bin Table'!$A$10:$A$132), MATCH(P63, '[3]Alt Est Detailed Bin Table'!$CT$9:$DA$9,0)), INDEX('[3]Detailed Bin Table'!$CT$9:$DA$132,MATCH($A63,'[3]Detailed Bin Table'!$A$9:$A$132,0),MATCH($B63,'[3]Detailed Bin Table'!$CT$9:$DA$9,0)))*24)</f>
        <v>4137.6000000000004</v>
      </c>
      <c r="O63" s="34">
        <f>IF(B63="Custom", Q63, IF(B63="Imputation", INDEX('[3]Alt Est Detailed Bin Table'!$DB$10:$DI$132, MATCH(A63, '[3]Alt Est Detailed Bin Table'!$A$10:$A$132), MATCH(P63, '[3]Alt Est Detailed Bin Table'!$DB$9:$DI$9,0)), INDEX('[3]Detailed Bin Table'!$DB$9:$DI$132,MATCH($A63,'[3]Detailed Bin Table'!$A$9:$A$132,0),MATCH($B63,'[3]Detailed Bin Table'!$DB$9:$DI$9,0)))*24)</f>
        <v>2817.12</v>
      </c>
      <c r="P63" s="215" t="s">
        <v>161</v>
      </c>
      <c r="Q63" s="62"/>
      <c r="R63" s="63"/>
      <c r="S63" s="63"/>
      <c r="T63" s="63"/>
      <c r="U63" s="63"/>
      <c r="V63" s="63"/>
      <c r="W63" s="64"/>
      <c r="X63" s="63"/>
      <c r="Y63" s="63"/>
      <c r="Z63" s="63"/>
      <c r="AA63" s="65"/>
      <c r="AB63" s="213" t="str">
        <f>IF(SUM(E63:O63)='[1]Passage Estimates'!$D63, "Ok", "Check")</f>
        <v>Check</v>
      </c>
    </row>
    <row r="64" spans="1:28" x14ac:dyDescent="0.3">
      <c r="A64" s="20">
        <f>'1. Mixture Model Inputs'!A64</f>
        <v>45166</v>
      </c>
      <c r="B64" s="13" t="str">
        <f>'[1]Passage Estimates'!$C64</f>
        <v>A1+S1+M2+A2</v>
      </c>
      <c r="C64" s="206">
        <v>6216</v>
      </c>
      <c r="D64" s="206">
        <v>35330</v>
      </c>
      <c r="E64" s="34">
        <f>IF(B64="Custom", Q64, IF(B64="Imputation", INDEX('[3]Alt Est Detailed Bin Table'!$B$10:$M$132, MATCH(A64, '[3]Alt Est Detailed Bin Table'!$A$10:$A$132), MATCH(P64, '[3]Alt Est Detailed Bin Table'!$B$9:$M$9,0)), INDEX('[3]Detailed Bin Table'!$B$9:$M$132,MATCH($A64,'[3]Detailed Bin Table'!$A$9:$A$132,0),MATCH($B64,'[3]Detailed Bin Table'!$B$9:$M$9,0)))*24)</f>
        <v>41545.919999999998</v>
      </c>
      <c r="F64" s="34">
        <f>IF(B64="Custom", Q64, IF(B64="Imputation", INDEX('[3]Alt Est Detailed Bin Table'!$N$10:$Y$132, MATCH(A64, '[3]Alt Est Detailed Bin Table'!$A$10:$A$132), MATCH(P64, '[3]Alt Est Detailed Bin Table'!$N$9:$Y$9,0)), INDEX('[3]Detailed Bin Table'!$N$9:$Y$132,MATCH($A64,'[3]Detailed Bin Table'!$A$9:$A$132,0),MATCH($B64,'[3]Detailed Bin Table'!$N$9:$Y$9,0)))*24)</f>
        <v>87928.56</v>
      </c>
      <c r="G64" s="34">
        <f>IF(B64="Custom", Q64, IF(B64="Imputation", INDEX('[3]Alt Est Detailed Bin Table'!$Z$10:$AK$132, MATCH(A64, '[3]Alt Est Detailed Bin Table'!$A$10:$A$132), MATCH(P64, '[3]Alt Est Detailed Bin Table'!$Z$9:$AK$9,0)), INDEX('[3]Detailed Bin Table'!$Z$9:$AK$132,MATCH($A64,'[3]Detailed Bin Table'!$A$9:$A$132,0),MATCH($B64,'[3]Detailed Bin Table'!$Z$9:$AK$9,0)))*24)</f>
        <v>25205.279999999999</v>
      </c>
      <c r="H64" s="34">
        <f>IF(B64="Custom", Q64, IF(B64="Imputation", INDEX('[3]Alt Est Detailed Bin Table'!$AL$10:$AW$132, MATCH(A64, '[3]Alt Est Detailed Bin Table'!$A$10:$A$132), MATCH(P64, '[3]Alt Est Detailed Bin Table'!$AL$9:$AW$9,0)), INDEX('[3]Detailed Bin Table'!$AL$9:$AW$132,MATCH($A64,'[3]Detailed Bin Table'!$A$9:$A$132,0),MATCH($B64,'[3]Detailed Bin Table'!$AL$9:$AW$9,0)))*24)</f>
        <v>8381.76</v>
      </c>
      <c r="I64" s="34">
        <f>IF(B64="Custom", Q64, IF(B64="Imputation", INDEX('[3]Alt Est Detailed Bin Table'!$AX$10:$BI$132, MATCH(A64, '[3]Alt Est Detailed Bin Table'!$A$10:$A$132), MATCH(P64, '[3]Alt Est Detailed Bin Table'!$AX$9:$BI$9,0)), INDEX('[3]Detailed Bin Table'!$AX$9:$BI$132,MATCH($A64,'[3]Detailed Bin Table'!$A$9:$A$132,0),MATCH($B64,'[3]Detailed Bin Table'!$AX$9:$BI$9,0)))*24)</f>
        <v>4308.24</v>
      </c>
      <c r="J64" s="222">
        <f>IF(B64="Custom", Q64, IF(B64="Imputation", INDEX('[3]Alt Est Detailed Bin Table'!$BJ$10:$BO$132, MATCH(A64, '[3]Alt Est Detailed Bin Table'!$A$10:$A$132), MATCH(P64, '[3]Alt Est Detailed Bin Table'!$BJ$9:$BO$9,0)), INDEX('[3]Detailed Bin Table'!$BJ$9:$BO$132,MATCH($A64,'[3]Detailed Bin Table'!$A$9:$A$132,0),MATCH($B64,'[3]Detailed Bin Table'!$BJ$9:$BO$9,0)))*24)</f>
        <v>0</v>
      </c>
      <c r="K64" s="33">
        <f>IF(B64="Custom", Q64, IF(B64="Imputation", INDEX('[3]Alt Est Detailed Bin Table'!$BP$10:$CC$132, MATCH(A64, '[3]Alt Est Detailed Bin Table'!$A$10:$A$132), MATCH(P64, '[3]Alt Est Detailed Bin Table'!$BP$9:$CC$9,0)), INDEX('[3]Detailed Bin Table'!$BP$9:$CC$132,MATCH($A64,'[3]Detailed Bin Table'!$A$9:$A$132,0),MATCH($B64,'[3]Detailed Bin Table'!$BP$9:$CC$9,0)))*24)</f>
        <v>12197.999999999978</v>
      </c>
      <c r="L64" s="223">
        <f>IF(B64="Custom", Q64, IF(B64="Imputation", INDEX('[3]Alt Est Detailed Bin Table'!$CD$10:$CK$132, MATCH(A64, '[3]Alt Est Detailed Bin Table'!$A$10:$A$132), MATCH(P64, '[3]Alt Est Detailed Bin Table'!$CD$9:$CK$9,0)), INDEX('[3]Detailed Bin Table'!$CD$9:$CK$132,MATCH($A64,'[3]Detailed Bin Table'!$A$9:$A$132,0),MATCH($B64,'[3]Detailed Bin Table'!$CD$9:$CK$9,0)))*24)</f>
        <v>810.48</v>
      </c>
      <c r="M64" s="34">
        <f>IF(B64="Custom", Q64, IF(B64="Imputation", INDEX('[3]Alt Est Detailed Bin Table'!$CL$10:$CS$132, MATCH(A64, '[3]Alt Est Detailed Bin Table'!$A$10:$A$132), MATCH(P64, '[3]Alt Est Detailed Bin Table'!$CL$9:$CS$9,0)), INDEX('[3]Detailed Bin Table'!$CL$9:$CS$132,MATCH($A64,'[3]Detailed Bin Table'!$A$9:$A$132,0),MATCH($B64,'[3]Detailed Bin Table'!$CL$9:$CS$9,0)))*24)</f>
        <v>2038.08</v>
      </c>
      <c r="N64" s="34">
        <f>IF(B64="Custom", Q64, IF(B64="Imputation", INDEX('[3]Alt Est Detailed Bin Table'!$CT$10:$DA$132, MATCH(A64, '[3]Alt Est Detailed Bin Table'!$A$10:$A$132), MATCH(P64, '[3]Alt Est Detailed Bin Table'!$CT$9:$DA$9,0)), INDEX('[3]Detailed Bin Table'!$CT$9:$DA$132,MATCH($A64,'[3]Detailed Bin Table'!$A$9:$A$132,0),MATCH($B64,'[3]Detailed Bin Table'!$CT$9:$DA$9,0)))*24)</f>
        <v>3851.2799999999997</v>
      </c>
      <c r="O64" s="222">
        <f>IF(B64="Custom", Q64, IF(B64="Imputation", INDEX('[3]Alt Est Detailed Bin Table'!$DB$10:$DI$132, MATCH(A64, '[3]Alt Est Detailed Bin Table'!$A$10:$A$132), MATCH(P64, '[3]Alt Est Detailed Bin Table'!$DB$9:$DI$9,0)), INDEX('[3]Detailed Bin Table'!$DB$9:$DI$132,MATCH($A64,'[3]Detailed Bin Table'!$A$9:$A$132,0),MATCH($B64,'[3]Detailed Bin Table'!$DB$9:$DI$9,0)))*24)</f>
        <v>5084.3999999999996</v>
      </c>
      <c r="P64" s="215"/>
      <c r="Q64" s="62"/>
      <c r="R64" s="63"/>
      <c r="S64" s="63"/>
      <c r="T64" s="63"/>
      <c r="U64" s="63"/>
      <c r="V64" s="63"/>
      <c r="W64" s="64"/>
      <c r="X64" s="63"/>
      <c r="Y64" s="63"/>
      <c r="Z64" s="63"/>
      <c r="AA64" s="65"/>
      <c r="AB64" s="213" t="str">
        <f>IF(SUM(E64:O64)='[1]Passage Estimates'!$D64, "Ok", "Check")</f>
        <v>Ok</v>
      </c>
    </row>
    <row r="65" spans="1:28" x14ac:dyDescent="0.3">
      <c r="A65" s="20">
        <f>'1. Mixture Model Inputs'!A65</f>
        <v>45167</v>
      </c>
      <c r="B65" s="13" t="str">
        <f>'[1]Passage Estimates'!$C65</f>
        <v>A1+S1+M2+A2</v>
      </c>
      <c r="C65" s="206">
        <v>13626</v>
      </c>
      <c r="D65" s="206">
        <v>131630</v>
      </c>
      <c r="E65" s="34">
        <f>IF(B65="Custom", Q65, IF(B65="Imputation", INDEX('[3]Alt Est Detailed Bin Table'!$B$10:$M$132, MATCH(A65, '[3]Alt Est Detailed Bin Table'!$A$10:$A$132), MATCH(P65, '[3]Alt Est Detailed Bin Table'!$B$9:$M$9,0)), INDEX('[3]Detailed Bin Table'!$B$9:$M$132,MATCH($A65,'[3]Detailed Bin Table'!$A$9:$A$132,0),MATCH($B65,'[3]Detailed Bin Table'!$B$9:$M$9,0)))*24)</f>
        <v>145256.16</v>
      </c>
      <c r="F65" s="34">
        <f>IF(B65="Custom", Q65, IF(B65="Imputation", INDEX('[3]Alt Est Detailed Bin Table'!$N$10:$Y$132, MATCH(A65, '[3]Alt Est Detailed Bin Table'!$A$10:$A$132), MATCH(P65, '[3]Alt Est Detailed Bin Table'!$N$9:$Y$9,0)), INDEX('[3]Detailed Bin Table'!$N$9:$Y$132,MATCH($A65,'[3]Detailed Bin Table'!$A$9:$A$132,0),MATCH($B65,'[3]Detailed Bin Table'!$N$9:$Y$9,0)))*24)</f>
        <v>63875.040000000001</v>
      </c>
      <c r="G65" s="34">
        <f>IF(B65="Custom", Q65, IF(B65="Imputation", INDEX('[3]Alt Est Detailed Bin Table'!$Z$10:$AK$132, MATCH(A65, '[3]Alt Est Detailed Bin Table'!$A$10:$A$132), MATCH(P65, '[3]Alt Est Detailed Bin Table'!$Z$9:$AK$9,0)), INDEX('[3]Detailed Bin Table'!$Z$9:$AK$132,MATCH($A65,'[3]Detailed Bin Table'!$A$9:$A$132,0),MATCH($B65,'[3]Detailed Bin Table'!$Z$9:$AK$9,0)))*24)</f>
        <v>19934.64</v>
      </c>
      <c r="H65" s="34">
        <f>IF(B65="Custom", Q65, IF(B65="Imputation", INDEX('[3]Alt Est Detailed Bin Table'!$AL$10:$AW$132, MATCH(A65, '[3]Alt Est Detailed Bin Table'!$A$10:$A$132), MATCH(P65, '[3]Alt Est Detailed Bin Table'!$AL$9:$AW$9,0)), INDEX('[3]Detailed Bin Table'!$AL$9:$AW$132,MATCH($A65,'[3]Detailed Bin Table'!$A$9:$A$132,0),MATCH($B65,'[3]Detailed Bin Table'!$AL$9:$AW$9,0)))*24)</f>
        <v>8539.92</v>
      </c>
      <c r="I65" s="34">
        <f>IF(B65="Custom", Q65, IF(B65="Imputation", INDEX('[3]Alt Est Detailed Bin Table'!$AX$10:$BI$132, MATCH(A65, '[3]Alt Est Detailed Bin Table'!$A$10:$A$132), MATCH(P65, '[3]Alt Est Detailed Bin Table'!$AX$9:$BI$9,0)), INDEX('[3]Detailed Bin Table'!$AX$9:$BI$132,MATCH($A65,'[3]Detailed Bin Table'!$A$9:$A$132,0),MATCH($B65,'[3]Detailed Bin Table'!$AX$9:$BI$9,0)))*24)</f>
        <v>3731.76</v>
      </c>
      <c r="J65" s="222">
        <f>IF(B65="Custom", Q65, IF(B65="Imputation", INDEX('[3]Alt Est Detailed Bin Table'!$BJ$10:$BO$132, MATCH(A65, '[3]Alt Est Detailed Bin Table'!$A$10:$A$132), MATCH(P65, '[3]Alt Est Detailed Bin Table'!$BJ$9:$BO$9,0)), INDEX('[3]Detailed Bin Table'!$BJ$9:$BO$132,MATCH($A65,'[3]Detailed Bin Table'!$A$9:$A$132,0),MATCH($B65,'[3]Detailed Bin Table'!$BJ$9:$BO$9,0)))*24)</f>
        <v>0</v>
      </c>
      <c r="K65" s="33">
        <f>IF(B65="Custom", Q65, IF(B65="Imputation", INDEX('[3]Alt Est Detailed Bin Table'!$BP$10:$CC$132, MATCH(A65, '[3]Alt Est Detailed Bin Table'!$A$10:$A$132), MATCH(P65, '[3]Alt Est Detailed Bin Table'!$BP$9:$CC$9,0)), INDEX('[3]Detailed Bin Table'!$BP$9:$CC$132,MATCH($A65,'[3]Detailed Bin Table'!$A$9:$A$132,0),MATCH($B65,'[3]Detailed Bin Table'!$BP$9:$CC$9,0)))*24)</f>
        <v>8814.4799999999232</v>
      </c>
      <c r="L65" s="223">
        <f>IF(B65="Custom", Q65, IF(B65="Imputation", INDEX('[3]Alt Est Detailed Bin Table'!$CD$10:$CK$132, MATCH(A65, '[3]Alt Est Detailed Bin Table'!$A$10:$A$132), MATCH(P65, '[3]Alt Est Detailed Bin Table'!$CD$9:$CK$9,0)), INDEX('[3]Detailed Bin Table'!$CD$9:$CK$132,MATCH($A65,'[3]Detailed Bin Table'!$A$9:$A$132,0),MATCH($B65,'[3]Detailed Bin Table'!$CD$9:$CK$9,0)))*24)</f>
        <v>1072.8000000000002</v>
      </c>
      <c r="M65" s="34">
        <f>IF(B65="Custom", Q65, IF(B65="Imputation", INDEX('[3]Alt Est Detailed Bin Table'!$CL$10:$CS$132, MATCH(A65, '[3]Alt Est Detailed Bin Table'!$A$10:$A$132), MATCH(P65, '[3]Alt Est Detailed Bin Table'!$CL$9:$CS$9,0)), INDEX('[3]Detailed Bin Table'!$CL$9:$CS$132,MATCH($A65,'[3]Detailed Bin Table'!$A$9:$A$132,0),MATCH($B65,'[3]Detailed Bin Table'!$CL$9:$CS$9,0)))*24)</f>
        <v>1860.2400000000002</v>
      </c>
      <c r="N65" s="34">
        <f>IF(B65="Custom", Q65, IF(B65="Imputation", INDEX('[3]Alt Est Detailed Bin Table'!$CT$10:$DA$132, MATCH(A65, '[3]Alt Est Detailed Bin Table'!$A$10:$A$132), MATCH(P65, '[3]Alt Est Detailed Bin Table'!$CT$9:$DA$9,0)), INDEX('[3]Detailed Bin Table'!$CT$9:$DA$132,MATCH($A65,'[3]Detailed Bin Table'!$A$9:$A$132,0),MATCH($B65,'[3]Detailed Bin Table'!$CT$9:$DA$9,0)))*24)</f>
        <v>3111.84</v>
      </c>
      <c r="O65" s="222">
        <f>IF(B65="Custom", Q65, IF(B65="Imputation", INDEX('[3]Alt Est Detailed Bin Table'!$DB$10:$DI$132, MATCH(A65, '[3]Alt Est Detailed Bin Table'!$A$10:$A$132), MATCH(P65, '[3]Alt Est Detailed Bin Table'!$DB$9:$DI$9,0)), INDEX('[3]Detailed Bin Table'!$DB$9:$DI$132,MATCH($A65,'[3]Detailed Bin Table'!$A$9:$A$132,0),MATCH($B65,'[3]Detailed Bin Table'!$DB$9:$DI$9,0)))*24)</f>
        <v>7569.12</v>
      </c>
      <c r="P65" s="215"/>
      <c r="Q65" s="62"/>
      <c r="R65" s="63"/>
      <c r="S65" s="63"/>
      <c r="T65" s="63"/>
      <c r="U65" s="63"/>
      <c r="V65" s="63"/>
      <c r="W65" s="64"/>
      <c r="X65" s="63"/>
      <c r="Y65" s="63"/>
      <c r="Z65" s="63"/>
      <c r="AA65" s="65"/>
      <c r="AB65" s="213" t="str">
        <f>IF(SUM(E65:O65)='[1]Passage Estimates'!$D65, "Ok", "Check")</f>
        <v>Ok</v>
      </c>
    </row>
    <row r="66" spans="1:28" x14ac:dyDescent="0.3">
      <c r="A66" s="20">
        <f>'1. Mixture Model Inputs'!A66</f>
        <v>45168</v>
      </c>
      <c r="B66" s="13" t="str">
        <f>'[1]Passage Estimates'!$C66</f>
        <v>Imputation</v>
      </c>
      <c r="C66" s="206">
        <v>4414</v>
      </c>
      <c r="D66" s="206">
        <v>127313</v>
      </c>
      <c r="E66" s="34">
        <f>IF(B66="Custom", Q66, IF(B66="Imputation", INDEX('[3]Alt Est Detailed Bin Table'!$B$10:$M$132, MATCH(A66, '[3]Alt Est Detailed Bin Table'!$A$10:$A$132), MATCH(P66, '[3]Alt Est Detailed Bin Table'!$B$9:$M$9,0)), INDEX('[3]Detailed Bin Table'!$B$9:$M$132,MATCH($A66,'[3]Detailed Bin Table'!$A$9:$A$132,0),MATCH($B66,'[3]Detailed Bin Table'!$B$9:$M$9,0)))*24)</f>
        <v>131727.12</v>
      </c>
      <c r="F66" s="34">
        <f>IF(B66="Custom", Q66, IF(B66="Imputation", INDEX('[3]Alt Est Detailed Bin Table'!$N$10:$Y$132, MATCH(A66, '[3]Alt Est Detailed Bin Table'!$A$10:$A$132), MATCH(P66, '[3]Alt Est Detailed Bin Table'!$N$9:$Y$9,0)), INDEX('[3]Detailed Bin Table'!$N$9:$Y$132,MATCH($A66,'[3]Detailed Bin Table'!$A$9:$A$132,0),MATCH($B66,'[3]Detailed Bin Table'!$N$9:$Y$9,0)))*24)</f>
        <v>125551.20000000001</v>
      </c>
      <c r="G66" s="34">
        <f>IF(B66="Custom", Q66, IF(B66="Imputation", INDEX('[3]Alt Est Detailed Bin Table'!$Z$10:$AK$132, MATCH(A66, '[3]Alt Est Detailed Bin Table'!$A$10:$A$132), MATCH(P66, '[3]Alt Est Detailed Bin Table'!$Z$9:$AK$9,0)), INDEX('[3]Detailed Bin Table'!$Z$9:$AK$132,MATCH($A66,'[3]Detailed Bin Table'!$A$9:$A$132,0),MATCH($B66,'[3]Detailed Bin Table'!$Z$9:$AK$9,0)))*24)</f>
        <v>22793.040000000001</v>
      </c>
      <c r="H66" s="34">
        <f>IF(B66="Custom", Q66, IF(B66="Imputation", INDEX('[3]Alt Est Detailed Bin Table'!$AL$10:$AW$132, MATCH(A66, '[3]Alt Est Detailed Bin Table'!$A$10:$A$132), MATCH(P66, '[3]Alt Est Detailed Bin Table'!$AL$9:$AW$9,0)), INDEX('[3]Detailed Bin Table'!$AL$9:$AW$132,MATCH($A66,'[3]Detailed Bin Table'!$A$9:$A$132,0),MATCH($B66,'[3]Detailed Bin Table'!$AL$9:$AW$9,0)))*24)</f>
        <v>8460.9600000000009</v>
      </c>
      <c r="I66" s="34">
        <f>IF(B66="Custom", Q66, IF(B66="Imputation", INDEX('[3]Alt Est Detailed Bin Table'!$AX$10:$BI$132, MATCH(A66, '[3]Alt Est Detailed Bin Table'!$A$10:$A$132), MATCH(P66, '[3]Alt Est Detailed Bin Table'!$AX$9:$BI$9,0)), INDEX('[3]Detailed Bin Table'!$AX$9:$BI$132,MATCH($A66,'[3]Detailed Bin Table'!$A$9:$A$132,0),MATCH($B66,'[3]Detailed Bin Table'!$AX$9:$BI$9,0)))*24)</f>
        <v>7166.1600000000008</v>
      </c>
      <c r="J66" s="222">
        <f>IF(B66="Custom", Q66, IF(B66="Imputation", INDEX('[3]Alt Est Detailed Bin Table'!$BJ$10:$BO$132, MATCH(A66, '[3]Alt Est Detailed Bin Table'!$A$10:$A$132), MATCH(P66, '[3]Alt Est Detailed Bin Table'!$BJ$9:$BO$9,0)), INDEX('[3]Detailed Bin Table'!$BJ$9:$BO$132,MATCH($A66,'[3]Detailed Bin Table'!$A$9:$A$132,0),MATCH($B66,'[3]Detailed Bin Table'!$BJ$9:$BO$9,0)))*24)</f>
        <v>0</v>
      </c>
      <c r="K66" s="33">
        <f>IF(B66="Custom", Q66, IF(B66="Imputation", INDEX('[3]Alt Est Detailed Bin Table'!$BP$10:$CC$132, MATCH(A66, '[3]Alt Est Detailed Bin Table'!$A$10:$A$132), MATCH(P66, '[3]Alt Est Detailed Bin Table'!$BP$9:$CC$9,0)), INDEX('[3]Detailed Bin Table'!$BP$9:$CC$132,MATCH($A66,'[3]Detailed Bin Table'!$A$9:$A$132,0),MATCH($B66,'[3]Detailed Bin Table'!$BP$9:$CC$9,0)))*24)</f>
        <v>20503.704000000005</v>
      </c>
      <c r="L66" s="223">
        <f>IF(B66="Custom", Q66, IF(B66="Imputation", INDEX('[3]Alt Est Detailed Bin Table'!$CD$10:$CK$132, MATCH(A66, '[3]Alt Est Detailed Bin Table'!$A$10:$A$132), MATCH(P66, '[3]Alt Est Detailed Bin Table'!$CD$9:$CK$9,0)), INDEX('[3]Detailed Bin Table'!$CD$9:$CK$132,MATCH($A66,'[3]Detailed Bin Table'!$A$9:$A$132,0),MATCH($B66,'[3]Detailed Bin Table'!$CD$9:$CK$9,0)))*24)</f>
        <v>536.40000000000009</v>
      </c>
      <c r="M66" s="34">
        <f>IF(B66="Custom", Q66, IF(B66="Imputation", INDEX('[3]Alt Est Detailed Bin Table'!$CL$10:$CS$132, MATCH(A66, '[3]Alt Est Detailed Bin Table'!$A$10:$A$132), MATCH(P66, '[3]Alt Est Detailed Bin Table'!$CL$9:$CS$9,0)), INDEX('[3]Detailed Bin Table'!$CL$9:$CS$132,MATCH($A66,'[3]Detailed Bin Table'!$A$9:$A$132,0),MATCH($B66,'[3]Detailed Bin Table'!$CL$9:$CS$9,0)))*24)</f>
        <v>2259.6000000000004</v>
      </c>
      <c r="N66" s="34">
        <f>IF(B66="Custom", Q66, IF(B66="Imputation", INDEX('[3]Alt Est Detailed Bin Table'!$CT$10:$DA$132, MATCH(A66, '[3]Alt Est Detailed Bin Table'!$A$10:$A$132), MATCH(P66, '[3]Alt Est Detailed Bin Table'!$CT$9:$DA$9,0)), INDEX('[3]Detailed Bin Table'!$CT$9:$DA$132,MATCH($A66,'[3]Detailed Bin Table'!$A$9:$A$132,0),MATCH($B66,'[3]Detailed Bin Table'!$CT$9:$DA$9,0)))*24)</f>
        <v>4288.7999999999993</v>
      </c>
      <c r="O66" s="222">
        <f>IF(B66="Custom", Q66, IF(B66="Imputation", INDEX('[3]Alt Est Detailed Bin Table'!$DB$10:$DI$132, MATCH(A66, '[3]Alt Est Detailed Bin Table'!$A$10:$A$132), MATCH(P66, '[3]Alt Est Detailed Bin Table'!$DB$9:$DI$9,0)), INDEX('[3]Detailed Bin Table'!$DB$9:$DI$132,MATCH($A66,'[3]Detailed Bin Table'!$A$9:$A$132,0),MATCH($B66,'[3]Detailed Bin Table'!$DB$9:$DI$9,0)))*24)</f>
        <v>8445.5999999999985</v>
      </c>
      <c r="P66" s="215" t="s">
        <v>161</v>
      </c>
      <c r="Q66" s="62"/>
      <c r="R66" s="63"/>
      <c r="S66" s="63"/>
      <c r="T66" s="63"/>
      <c r="U66" s="63"/>
      <c r="V66" s="63"/>
      <c r="W66" s="64"/>
      <c r="X66" s="63"/>
      <c r="Y66" s="63"/>
      <c r="Z66" s="63"/>
      <c r="AA66" s="65"/>
      <c r="AB66" s="213" t="str">
        <f>IF(SUM(E66:O66)='[1]Passage Estimates'!$D66, "Ok", "Check")</f>
        <v>Ok</v>
      </c>
    </row>
    <row r="67" spans="1:28" x14ac:dyDescent="0.3">
      <c r="A67" s="20">
        <f>'1. Mixture Model Inputs'!A67</f>
        <v>45169</v>
      </c>
      <c r="B67" s="13" t="str">
        <f>'[1]Passage Estimates'!$C67</f>
        <v>A1+S1+M2+A2</v>
      </c>
      <c r="C67" s="206">
        <v>2988</v>
      </c>
      <c r="D67" s="206">
        <v>70225</v>
      </c>
      <c r="E67" s="34">
        <f>IF(B67="Custom", Q67, IF(B67="Imputation", INDEX('[3]Alt Est Detailed Bin Table'!$B$10:$M$132, MATCH(A67, '[3]Alt Est Detailed Bin Table'!$A$10:$A$132), MATCH(P67, '[3]Alt Est Detailed Bin Table'!$B$9:$M$9,0)), INDEX('[3]Detailed Bin Table'!$B$9:$M$132,MATCH($A67,'[3]Detailed Bin Table'!$A$9:$A$132,0),MATCH($B67,'[3]Detailed Bin Table'!$B$9:$M$9,0)))*24)</f>
        <v>73212.72</v>
      </c>
      <c r="F67" s="34">
        <f>IF(B67="Custom", Q67, IF(B67="Imputation", INDEX('[3]Alt Est Detailed Bin Table'!$N$10:$Y$132, MATCH(A67, '[3]Alt Est Detailed Bin Table'!$A$10:$A$132), MATCH(P67, '[3]Alt Est Detailed Bin Table'!$N$9:$Y$9,0)), INDEX('[3]Detailed Bin Table'!$N$9:$Y$132,MATCH($A67,'[3]Detailed Bin Table'!$A$9:$A$132,0),MATCH($B67,'[3]Detailed Bin Table'!$N$9:$Y$9,0)))*24)</f>
        <v>101122.79999999999</v>
      </c>
      <c r="G67" s="34">
        <f>IF(B67="Custom", Q67, IF(B67="Imputation", INDEX('[3]Alt Est Detailed Bin Table'!$Z$10:$AK$132, MATCH(A67, '[3]Alt Est Detailed Bin Table'!$A$10:$A$132), MATCH(P67, '[3]Alt Est Detailed Bin Table'!$Z$9:$AK$9,0)), INDEX('[3]Detailed Bin Table'!$Z$9:$AK$132,MATCH($A67,'[3]Detailed Bin Table'!$A$9:$A$132,0),MATCH($B67,'[3]Detailed Bin Table'!$Z$9:$AK$9,0)))*24)</f>
        <v>29041.68</v>
      </c>
      <c r="H67" s="34">
        <f>IF(B67="Custom", Q67, IF(B67="Imputation", INDEX('[3]Alt Est Detailed Bin Table'!$AL$10:$AW$132, MATCH(A67, '[3]Alt Est Detailed Bin Table'!$A$10:$A$132), MATCH(P67, '[3]Alt Est Detailed Bin Table'!$AL$9:$AW$9,0)), INDEX('[3]Detailed Bin Table'!$AL$9:$AW$132,MATCH($A67,'[3]Detailed Bin Table'!$A$9:$A$132,0),MATCH($B67,'[3]Detailed Bin Table'!$AL$9:$AW$9,0)))*24)</f>
        <v>13305.84</v>
      </c>
      <c r="I67" s="34">
        <f>IF(B67="Custom", Q67, IF(B67="Imputation", INDEX('[3]Alt Est Detailed Bin Table'!$AX$10:$BI$132, MATCH(A67, '[3]Alt Est Detailed Bin Table'!$A$10:$A$132), MATCH(P67, '[3]Alt Est Detailed Bin Table'!$AX$9:$BI$9,0)), INDEX('[3]Detailed Bin Table'!$AX$9:$BI$132,MATCH($A67,'[3]Detailed Bin Table'!$A$9:$A$132,0),MATCH($B67,'[3]Detailed Bin Table'!$AX$9:$BI$9,0)))*24)</f>
        <v>11379.119999999999</v>
      </c>
      <c r="J67" s="222">
        <f>IF(B67="Custom", Q67, IF(B67="Imputation", INDEX('[3]Alt Est Detailed Bin Table'!$BJ$10:$BO$132, MATCH(A67, '[3]Alt Est Detailed Bin Table'!$A$10:$A$132), MATCH(P67, '[3]Alt Est Detailed Bin Table'!$BJ$9:$BO$9,0)), INDEX('[3]Detailed Bin Table'!$BJ$9:$BO$132,MATCH($A67,'[3]Detailed Bin Table'!$A$9:$A$132,0),MATCH($B67,'[3]Detailed Bin Table'!$BJ$9:$BO$9,0)))*24)</f>
        <v>0</v>
      </c>
      <c r="K67" s="33">
        <f>IF(B67="Custom", Q67, IF(B67="Imputation", INDEX('[3]Alt Est Detailed Bin Table'!$BP$10:$CC$132, MATCH(A67, '[3]Alt Est Detailed Bin Table'!$A$10:$A$132), MATCH(P67, '[3]Alt Est Detailed Bin Table'!$BP$9:$CC$9,0)), INDEX('[3]Detailed Bin Table'!$BP$9:$CC$132,MATCH($A67,'[3]Detailed Bin Table'!$A$9:$A$132,0),MATCH($B67,'[3]Detailed Bin Table'!$BP$9:$CC$9,0)))*24)</f>
        <v>14077.919999999911</v>
      </c>
      <c r="L67" s="223">
        <f>IF(B67="Custom", Q67, IF(B67="Imputation", INDEX('[3]Alt Est Detailed Bin Table'!$CD$10:$CK$132, MATCH(A67, '[3]Alt Est Detailed Bin Table'!$A$10:$A$132), MATCH(P67, '[3]Alt Est Detailed Bin Table'!$CD$9:$CK$9,0)), INDEX('[3]Detailed Bin Table'!$CD$9:$CK$132,MATCH($A67,'[3]Detailed Bin Table'!$A$9:$A$132,0),MATCH($B67,'[3]Detailed Bin Table'!$CD$9:$CK$9,0)))*24)</f>
        <v>2667.6000000000004</v>
      </c>
      <c r="M67" s="34">
        <f>IF(B67="Custom", Q67, IF(B67="Imputation", INDEX('[3]Alt Est Detailed Bin Table'!$CL$10:$CS$132, MATCH(A67, '[3]Alt Est Detailed Bin Table'!$A$10:$A$132), MATCH(P67, '[3]Alt Est Detailed Bin Table'!$CL$9:$CS$9,0)), INDEX('[3]Detailed Bin Table'!$CL$9:$CS$132,MATCH($A67,'[3]Detailed Bin Table'!$A$9:$A$132,0),MATCH($B67,'[3]Detailed Bin Table'!$CL$9:$CS$9,0)))*24)</f>
        <v>5346.96</v>
      </c>
      <c r="N67" s="34">
        <f>IF(B67="Custom", Q67, IF(B67="Imputation", INDEX('[3]Alt Est Detailed Bin Table'!$CT$10:$DA$132, MATCH(A67, '[3]Alt Est Detailed Bin Table'!$A$10:$A$132), MATCH(P67, '[3]Alt Est Detailed Bin Table'!$CT$9:$DA$9,0)), INDEX('[3]Detailed Bin Table'!$CT$9:$DA$132,MATCH($A67,'[3]Detailed Bin Table'!$A$9:$A$132,0),MATCH($B67,'[3]Detailed Bin Table'!$CT$9:$DA$9,0)))*24)</f>
        <v>6222.9600000000009</v>
      </c>
      <c r="O67" s="222">
        <f>IF(B67="Custom", Q67, IF(B67="Imputation", INDEX('[3]Alt Est Detailed Bin Table'!$DB$10:$DI$132, MATCH(A67, '[3]Alt Est Detailed Bin Table'!$A$10:$A$132), MATCH(P67, '[3]Alt Est Detailed Bin Table'!$DB$9:$DI$9,0)), INDEX('[3]Detailed Bin Table'!$DB$9:$DI$132,MATCH($A67,'[3]Detailed Bin Table'!$A$9:$A$132,0),MATCH($B67,'[3]Detailed Bin Table'!$DB$9:$DI$9,0)))*24)</f>
        <v>8108.4000000000005</v>
      </c>
      <c r="P67" s="215"/>
      <c r="Q67" s="62"/>
      <c r="R67" s="63"/>
      <c r="S67" s="63"/>
      <c r="T67" s="63"/>
      <c r="U67" s="63"/>
      <c r="V67" s="63"/>
      <c r="W67" s="64"/>
      <c r="X67" s="63"/>
      <c r="Y67" s="63"/>
      <c r="Z67" s="63"/>
      <c r="AA67" s="65"/>
      <c r="AB67" s="213" t="str">
        <f>IF(SUM(E67:O67)='[1]Passage Estimates'!$D67, "Ok", "Check")</f>
        <v>Ok</v>
      </c>
    </row>
    <row r="68" spans="1:28" x14ac:dyDescent="0.3">
      <c r="A68" s="20">
        <f>'1. Mixture Model Inputs'!A68</f>
        <v>45170</v>
      </c>
      <c r="B68" s="13" t="str">
        <f>'[1]Passage Estimates'!$C68</f>
        <v>A1+S1+M2+A2</v>
      </c>
      <c r="C68" s="206">
        <v>1948</v>
      </c>
      <c r="D68" s="206">
        <v>41851</v>
      </c>
      <c r="E68" s="34">
        <f>IF(B68="Custom", Q68, IF(B68="Imputation", INDEX('[3]Alt Est Detailed Bin Table'!$B$10:$M$132, MATCH(A68, '[3]Alt Est Detailed Bin Table'!$A$10:$A$132), MATCH(P68, '[3]Alt Est Detailed Bin Table'!$B$9:$M$9,0)), INDEX('[3]Detailed Bin Table'!$B$9:$M$132,MATCH($A68,'[3]Detailed Bin Table'!$A$9:$A$132,0),MATCH($B68,'[3]Detailed Bin Table'!$B$9:$M$9,0)))*24)</f>
        <v>43799.28</v>
      </c>
      <c r="F68" s="34">
        <f>IF(B68="Custom", Q68, IF(B68="Imputation", INDEX('[3]Alt Est Detailed Bin Table'!$N$10:$Y$132, MATCH(A68, '[3]Alt Est Detailed Bin Table'!$A$10:$A$132), MATCH(P68, '[3]Alt Est Detailed Bin Table'!$N$9:$Y$9,0)), INDEX('[3]Detailed Bin Table'!$N$9:$Y$132,MATCH($A68,'[3]Detailed Bin Table'!$A$9:$A$132,0),MATCH($B68,'[3]Detailed Bin Table'!$N$9:$Y$9,0)))*24)</f>
        <v>84110.88</v>
      </c>
      <c r="G68" s="34">
        <f>IF(B68="Custom", Q68, IF(B68="Imputation", INDEX('[3]Alt Est Detailed Bin Table'!$Z$10:$AK$132, MATCH(A68, '[3]Alt Est Detailed Bin Table'!$A$10:$A$132), MATCH(P68, '[3]Alt Est Detailed Bin Table'!$Z$9:$AK$9,0)), INDEX('[3]Detailed Bin Table'!$Z$9:$AK$132,MATCH($A68,'[3]Detailed Bin Table'!$A$9:$A$132,0),MATCH($B68,'[3]Detailed Bin Table'!$Z$9:$AK$9,0)))*24)</f>
        <v>41449.68</v>
      </c>
      <c r="H68" s="34">
        <f>IF(B68="Custom", Q68, IF(B68="Imputation", INDEX('[3]Alt Est Detailed Bin Table'!$AL$10:$AW$132, MATCH(A68, '[3]Alt Est Detailed Bin Table'!$A$10:$A$132), MATCH(P68, '[3]Alt Est Detailed Bin Table'!$AL$9:$AW$9,0)), INDEX('[3]Detailed Bin Table'!$AL$9:$AW$132,MATCH($A68,'[3]Detailed Bin Table'!$A$9:$A$132,0),MATCH($B68,'[3]Detailed Bin Table'!$AL$9:$AW$9,0)))*24)</f>
        <v>16618.079999999998</v>
      </c>
      <c r="I68" s="34">
        <f>IF(B68="Custom", Q68, IF(B68="Imputation", INDEX('[3]Alt Est Detailed Bin Table'!$AX$10:$BI$132, MATCH(A68, '[3]Alt Est Detailed Bin Table'!$A$10:$A$132), MATCH(P68, '[3]Alt Est Detailed Bin Table'!$AX$9:$BI$9,0)), INDEX('[3]Detailed Bin Table'!$AX$9:$BI$132,MATCH($A68,'[3]Detailed Bin Table'!$A$9:$A$132,0),MATCH($B68,'[3]Detailed Bin Table'!$AX$9:$BI$9,0)))*24)</f>
        <v>15707.28</v>
      </c>
      <c r="J68" s="222">
        <f>IF(B68="Custom", Q68, IF(B68="Imputation", INDEX('[3]Alt Est Detailed Bin Table'!$BJ$10:$BO$132, MATCH(A68, '[3]Alt Est Detailed Bin Table'!$A$10:$A$132), MATCH(P68, '[3]Alt Est Detailed Bin Table'!$BJ$9:$BO$9,0)), INDEX('[3]Detailed Bin Table'!$BJ$9:$BO$132,MATCH($A68,'[3]Detailed Bin Table'!$A$9:$A$132,0),MATCH($B68,'[3]Detailed Bin Table'!$BJ$9:$BO$9,0)))*24)</f>
        <v>0</v>
      </c>
      <c r="K68" s="33">
        <f>IF(B68="Custom", Q68, IF(B68="Imputation", INDEX('[3]Alt Est Detailed Bin Table'!$BP$10:$CC$132, MATCH(A68, '[3]Alt Est Detailed Bin Table'!$A$10:$A$132), MATCH(P68, '[3]Alt Est Detailed Bin Table'!$BP$9:$CC$9,0)), INDEX('[3]Detailed Bin Table'!$BP$9:$CC$132,MATCH($A68,'[3]Detailed Bin Table'!$A$9:$A$132,0),MATCH($B68,'[3]Detailed Bin Table'!$BP$9:$CC$9,0)))*24)</f>
        <v>28214.159999999829</v>
      </c>
      <c r="L68" s="223">
        <f>IF(B68="Custom", Q68, IF(B68="Imputation", INDEX('[3]Alt Est Detailed Bin Table'!$CD$10:$CK$132, MATCH(A68, '[3]Alt Est Detailed Bin Table'!$A$10:$A$132), MATCH(P68, '[3]Alt Est Detailed Bin Table'!$CD$9:$CK$9,0)), INDEX('[3]Detailed Bin Table'!$CD$9:$CK$132,MATCH($A68,'[3]Detailed Bin Table'!$A$9:$A$132,0),MATCH($B68,'[3]Detailed Bin Table'!$CD$9:$CK$9,0)))*24)</f>
        <v>632.40000000000009</v>
      </c>
      <c r="M68" s="34">
        <f>IF(B68="Custom", Q68, IF(B68="Imputation", INDEX('[3]Alt Est Detailed Bin Table'!$CL$10:$CS$132, MATCH(A68, '[3]Alt Est Detailed Bin Table'!$A$10:$A$132), MATCH(P68, '[3]Alt Est Detailed Bin Table'!$CL$9:$CS$9,0)), INDEX('[3]Detailed Bin Table'!$CL$9:$CS$132,MATCH($A68,'[3]Detailed Bin Table'!$A$9:$A$132,0),MATCH($B68,'[3]Detailed Bin Table'!$CL$9:$CS$9,0)))*24)</f>
        <v>2002.8000000000002</v>
      </c>
      <c r="N68" s="34">
        <f>IF(B68="Custom", Q68, IF(B68="Imputation", INDEX('[3]Alt Est Detailed Bin Table'!$CT$10:$DA$132, MATCH(A68, '[3]Alt Est Detailed Bin Table'!$A$10:$A$132), MATCH(P68, '[3]Alt Est Detailed Bin Table'!$CT$9:$DA$9,0)), INDEX('[3]Detailed Bin Table'!$CT$9:$DA$132,MATCH($A68,'[3]Detailed Bin Table'!$A$9:$A$132,0),MATCH($B68,'[3]Detailed Bin Table'!$CT$9:$DA$9,0)))*24)</f>
        <v>4933.2000000000007</v>
      </c>
      <c r="O68" s="222">
        <f>IF(B68="Custom", Q68, IF(B68="Imputation", INDEX('[3]Alt Est Detailed Bin Table'!$DB$10:$DI$132, MATCH(A68, '[3]Alt Est Detailed Bin Table'!$A$10:$A$132), MATCH(P68, '[3]Alt Est Detailed Bin Table'!$DB$9:$DI$9,0)), INDEX('[3]Detailed Bin Table'!$DB$9:$DI$132,MATCH($A68,'[3]Detailed Bin Table'!$A$9:$A$132,0),MATCH($B68,'[3]Detailed Bin Table'!$DB$9:$DI$9,0)))*24)</f>
        <v>1968.2400000000002</v>
      </c>
      <c r="P68" s="215"/>
      <c r="Q68" s="62"/>
      <c r="R68" s="63"/>
      <c r="S68" s="63"/>
      <c r="T68" s="63"/>
      <c r="U68" s="63"/>
      <c r="V68" s="63"/>
      <c r="W68" s="64"/>
      <c r="X68" s="63"/>
      <c r="Y68" s="63"/>
      <c r="Z68" s="63"/>
      <c r="AA68" s="65"/>
      <c r="AB68" s="213" t="str">
        <f>IF(SUM(E68:O68)='[1]Passage Estimates'!$D68, "Ok", "Check")</f>
        <v>Ok</v>
      </c>
    </row>
    <row r="69" spans="1:28" x14ac:dyDescent="0.3">
      <c r="A69" s="20">
        <f>'1. Mixture Model Inputs'!A69</f>
        <v>45171</v>
      </c>
      <c r="B69" s="13" t="str">
        <f>'[1]Passage Estimates'!$C69</f>
        <v>Imputation</v>
      </c>
      <c r="C69" s="206">
        <v>20836</v>
      </c>
      <c r="D69" s="206">
        <v>94603</v>
      </c>
      <c r="E69" s="34">
        <f>IF(B69="Custom", Q69, IF(B69="Imputation", INDEX('[3]Alt Est Detailed Bin Table'!$B$10:$M$132, MATCH(A69, '[3]Alt Est Detailed Bin Table'!$A$10:$A$132), MATCH(P69, '[3]Alt Est Detailed Bin Table'!$B$9:$M$9,0)), INDEX('[3]Detailed Bin Table'!$B$9:$M$132,MATCH($A69,'[3]Detailed Bin Table'!$A$9:$A$132,0),MATCH($B69,'[3]Detailed Bin Table'!$B$9:$M$9,0)))*24)</f>
        <v>115438.32</v>
      </c>
      <c r="F69" s="34">
        <f>IF(B69="Custom", Q69, IF(B69="Imputation", INDEX('[3]Alt Est Detailed Bin Table'!$N$10:$Y$132, MATCH(A69, '[3]Alt Est Detailed Bin Table'!$A$10:$A$132), MATCH(P69, '[3]Alt Est Detailed Bin Table'!$N$9:$Y$9,0)), INDEX('[3]Detailed Bin Table'!$N$9:$Y$132,MATCH($A69,'[3]Detailed Bin Table'!$A$9:$A$132,0),MATCH($B69,'[3]Detailed Bin Table'!$N$9:$Y$9,0)))*24)</f>
        <v>189010.32</v>
      </c>
      <c r="G69" s="34">
        <f>IF(B69="Custom", Q69, IF(B69="Imputation", INDEX('[3]Alt Est Detailed Bin Table'!$Z$10:$AK$132, MATCH(A69, '[3]Alt Est Detailed Bin Table'!$A$10:$A$132), MATCH(P69, '[3]Alt Est Detailed Bin Table'!$Z$9:$AK$9,0)), INDEX('[3]Detailed Bin Table'!$Z$9:$AK$132,MATCH($A69,'[3]Detailed Bin Table'!$A$9:$A$132,0),MATCH($B69,'[3]Detailed Bin Table'!$Z$9:$AK$9,0)))*24)</f>
        <v>142382.63999999998</v>
      </c>
      <c r="H69" s="34">
        <f>IF(B69="Custom", Q69, IF(B69="Imputation", INDEX('[3]Alt Est Detailed Bin Table'!$AL$10:$AW$132, MATCH(A69, '[3]Alt Est Detailed Bin Table'!$A$10:$A$132), MATCH(P69, '[3]Alt Est Detailed Bin Table'!$AL$9:$AW$9,0)), INDEX('[3]Detailed Bin Table'!$AL$9:$AW$132,MATCH($A69,'[3]Detailed Bin Table'!$A$9:$A$132,0),MATCH($B69,'[3]Detailed Bin Table'!$AL$9:$AW$9,0)))*24)</f>
        <v>70119.360000000001</v>
      </c>
      <c r="I69" s="34">
        <f>IF(B69="Custom", Q69, IF(B69="Imputation", INDEX('[3]Alt Est Detailed Bin Table'!$AX$10:$BI$132, MATCH(A69, '[3]Alt Est Detailed Bin Table'!$A$10:$A$132), MATCH(P69, '[3]Alt Est Detailed Bin Table'!$AX$9:$BI$9,0)), INDEX('[3]Detailed Bin Table'!$AX$9:$BI$132,MATCH($A69,'[3]Detailed Bin Table'!$A$9:$A$132,0),MATCH($B69,'[3]Detailed Bin Table'!$AX$9:$BI$9,0)))*24)</f>
        <v>20740.32</v>
      </c>
      <c r="J69" s="222">
        <f>IF(B69="Custom", Q69, IF(B69="Imputation", INDEX('[3]Alt Est Detailed Bin Table'!$BJ$10:$BO$132, MATCH(A69, '[3]Alt Est Detailed Bin Table'!$A$10:$A$132), MATCH(P69, '[3]Alt Est Detailed Bin Table'!$BJ$9:$BO$9,0)), INDEX('[3]Detailed Bin Table'!$BJ$9:$BO$132,MATCH($A69,'[3]Detailed Bin Table'!$A$9:$A$132,0),MATCH($B69,'[3]Detailed Bin Table'!$BJ$9:$BO$9,0)))*24)</f>
        <v>0</v>
      </c>
      <c r="K69" s="33">
        <f>IF(B69="Custom", Q69, IF(B69="Imputation", INDEX('[3]Alt Est Detailed Bin Table'!$BP$10:$CC$132, MATCH(A69, '[3]Alt Est Detailed Bin Table'!$A$10:$A$132), MATCH(P69, '[3]Alt Est Detailed Bin Table'!$BP$9:$CC$9,0)), INDEX('[3]Detailed Bin Table'!$BP$9:$CC$132,MATCH($A69,'[3]Detailed Bin Table'!$A$9:$A$132,0),MATCH($B69,'[3]Detailed Bin Table'!$BP$9:$CC$9,0)))*24)</f>
        <v>37563.782399999749</v>
      </c>
      <c r="L69" s="223">
        <f>IF(B69="Custom", Q69, IF(B69="Imputation", INDEX('[3]Alt Est Detailed Bin Table'!$CD$10:$CK$132, MATCH(A69, '[3]Alt Est Detailed Bin Table'!$A$10:$A$132), MATCH(P69, '[3]Alt Est Detailed Bin Table'!$CD$9:$CK$9,0)), INDEX('[3]Detailed Bin Table'!$CD$9:$CK$132,MATCH($A69,'[3]Detailed Bin Table'!$A$9:$A$132,0),MATCH($B69,'[3]Detailed Bin Table'!$CD$9:$CK$9,0)))*24)</f>
        <v>1475.76</v>
      </c>
      <c r="M69" s="34">
        <f>IF(B69="Custom", Q69, IF(B69="Imputation", INDEX('[3]Alt Est Detailed Bin Table'!$CL$10:$CS$132, MATCH(A69, '[3]Alt Est Detailed Bin Table'!$A$10:$A$132), MATCH(P69, '[3]Alt Est Detailed Bin Table'!$CL$9:$CS$9,0)), INDEX('[3]Detailed Bin Table'!$CL$9:$CS$132,MATCH($A69,'[3]Detailed Bin Table'!$A$9:$A$132,0),MATCH($B69,'[3]Detailed Bin Table'!$CL$9:$CS$9,0)))*24)</f>
        <v>4696.5599999999995</v>
      </c>
      <c r="N69" s="34">
        <f>IF(B69="Custom", Q69, IF(B69="Imputation", INDEX('[3]Alt Est Detailed Bin Table'!$CT$10:$DA$132, MATCH(A69, '[3]Alt Est Detailed Bin Table'!$A$10:$A$132), MATCH(P69, '[3]Alt Est Detailed Bin Table'!$CT$9:$DA$9,0)), INDEX('[3]Detailed Bin Table'!$CT$9:$DA$132,MATCH($A69,'[3]Detailed Bin Table'!$A$9:$A$132,0),MATCH($B69,'[3]Detailed Bin Table'!$CT$9:$DA$9,0)))*24)</f>
        <v>7878.24</v>
      </c>
      <c r="O69" s="222">
        <f>IF(B69="Custom", Q69, IF(B69="Imputation", INDEX('[3]Alt Est Detailed Bin Table'!$DB$10:$DI$132, MATCH(A69, '[3]Alt Est Detailed Bin Table'!$A$10:$A$132), MATCH(P69, '[3]Alt Est Detailed Bin Table'!$DB$9:$DI$9,0)), INDEX('[3]Detailed Bin Table'!$DB$9:$DI$132,MATCH($A69,'[3]Detailed Bin Table'!$A$9:$A$132,0),MATCH($B69,'[3]Detailed Bin Table'!$DB$9:$DI$9,0)))*24)</f>
        <v>3919.44</v>
      </c>
      <c r="P69" s="215" t="s">
        <v>161</v>
      </c>
      <c r="Q69" s="62"/>
      <c r="R69" s="63"/>
      <c r="S69" s="63"/>
      <c r="T69" s="63"/>
      <c r="U69" s="63"/>
      <c r="V69" s="63"/>
      <c r="W69" s="64"/>
      <c r="X69" s="63"/>
      <c r="Y69" s="63"/>
      <c r="Z69" s="63"/>
      <c r="AA69" s="65"/>
      <c r="AB69" s="213" t="str">
        <f>IF(SUM(E69:O69)='[1]Passage Estimates'!$D69, "Ok", "Check")</f>
        <v>Ok</v>
      </c>
    </row>
    <row r="70" spans="1:28" x14ac:dyDescent="0.3">
      <c r="A70" s="20">
        <f>'1. Mixture Model Inputs'!A70</f>
        <v>45172</v>
      </c>
      <c r="B70" s="13" t="str">
        <f>'[1]Passage Estimates'!$C70</f>
        <v>Imputation</v>
      </c>
      <c r="C70" s="206">
        <v>50776</v>
      </c>
      <c r="D70" s="206">
        <v>156119</v>
      </c>
      <c r="E70" s="34">
        <f>IF(B70="Custom", Q70, IF(B70="Imputation", INDEX('[3]Alt Est Detailed Bin Table'!$B$10:$M$132, MATCH(A70, '[3]Alt Est Detailed Bin Table'!$A$10:$A$132), MATCH(P70, '[3]Alt Est Detailed Bin Table'!$B$9:$M$9,0)), INDEX('[3]Detailed Bin Table'!$B$9:$M$132,MATCH($A70,'[3]Detailed Bin Table'!$A$9:$A$132,0),MATCH($B70,'[3]Detailed Bin Table'!$B$9:$M$9,0)))*24)</f>
        <v>206894.88</v>
      </c>
      <c r="F70" s="34">
        <f>IF(B70="Custom", Q70, IF(B70="Imputation", INDEX('[3]Alt Est Detailed Bin Table'!$N$10:$Y$132, MATCH(A70, '[3]Alt Est Detailed Bin Table'!$A$10:$A$132), MATCH(P70, '[3]Alt Est Detailed Bin Table'!$N$9:$Y$9,0)), INDEX('[3]Detailed Bin Table'!$N$9:$Y$132,MATCH($A70,'[3]Detailed Bin Table'!$A$9:$A$132,0),MATCH($B70,'[3]Detailed Bin Table'!$N$9:$Y$9,0)))*24)</f>
        <v>264458.40000000002</v>
      </c>
      <c r="G70" s="34">
        <f>IF(B70="Custom", Q70, IF(B70="Imputation", INDEX('[3]Alt Est Detailed Bin Table'!$Z$10:$AK$132, MATCH(A70, '[3]Alt Est Detailed Bin Table'!$A$10:$A$132), MATCH(P70, '[3]Alt Est Detailed Bin Table'!$Z$9:$AK$9,0)), INDEX('[3]Detailed Bin Table'!$Z$9:$AK$132,MATCH($A70,'[3]Detailed Bin Table'!$A$9:$A$132,0),MATCH($B70,'[3]Detailed Bin Table'!$Z$9:$AK$9,0)))*24)</f>
        <v>121850.63999999998</v>
      </c>
      <c r="H70" s="34">
        <f>IF(B70="Custom", Q70, IF(B70="Imputation", INDEX('[3]Alt Est Detailed Bin Table'!$AL$10:$AW$132, MATCH(A70, '[3]Alt Est Detailed Bin Table'!$A$10:$A$132), MATCH(P70, '[3]Alt Est Detailed Bin Table'!$AL$9:$AW$9,0)), INDEX('[3]Detailed Bin Table'!$AL$9:$AW$132,MATCH($A70,'[3]Detailed Bin Table'!$A$9:$A$132,0),MATCH($B70,'[3]Detailed Bin Table'!$AL$9:$AW$9,0)))*24)</f>
        <v>42298.080000000002</v>
      </c>
      <c r="I70" s="34">
        <f>IF(B70="Custom", Q70, IF(B70="Imputation", INDEX('[3]Alt Est Detailed Bin Table'!$AX$10:$BI$132, MATCH(A70, '[3]Alt Est Detailed Bin Table'!$A$10:$A$132), MATCH(P70, '[3]Alt Est Detailed Bin Table'!$AX$9:$BI$9,0)), INDEX('[3]Detailed Bin Table'!$AX$9:$BI$132,MATCH($A70,'[3]Detailed Bin Table'!$A$9:$A$132,0),MATCH($B70,'[3]Detailed Bin Table'!$AX$9:$BI$9,0)))*24)</f>
        <v>23941.920000000002</v>
      </c>
      <c r="J70" s="222">
        <f>IF(B70="Custom", Q70, IF(B70="Imputation", INDEX('[3]Alt Est Detailed Bin Table'!$BJ$10:$BO$132, MATCH(A70, '[3]Alt Est Detailed Bin Table'!$A$10:$A$132), MATCH(P70, '[3]Alt Est Detailed Bin Table'!$BJ$9:$BO$9,0)), INDEX('[3]Detailed Bin Table'!$BJ$9:$BO$132,MATCH($A70,'[3]Detailed Bin Table'!$A$9:$A$132,0),MATCH($B70,'[3]Detailed Bin Table'!$BJ$9:$BO$9,0)))*24)</f>
        <v>0</v>
      </c>
      <c r="K70" s="33">
        <f>IF(B70="Custom", Q70, IF(B70="Imputation", INDEX('[3]Alt Est Detailed Bin Table'!$BP$10:$CC$132, MATCH(A70, '[3]Alt Est Detailed Bin Table'!$A$10:$A$132), MATCH(P70, '[3]Alt Est Detailed Bin Table'!$BP$9:$CC$9,0)), INDEX('[3]Detailed Bin Table'!$BP$9:$CC$132,MATCH($A70,'[3]Detailed Bin Table'!$A$9:$A$132,0),MATCH($B70,'[3]Detailed Bin Table'!$BP$9:$CC$9,0)))*24)</f>
        <v>23477.426399999895</v>
      </c>
      <c r="L70" s="223">
        <f>IF(B70="Custom", Q70, IF(B70="Imputation", INDEX('[3]Alt Est Detailed Bin Table'!$CD$10:$CK$132, MATCH(A70, '[3]Alt Est Detailed Bin Table'!$A$10:$A$132), MATCH(P70, '[3]Alt Est Detailed Bin Table'!$CD$9:$CK$9,0)), INDEX('[3]Detailed Bin Table'!$CD$9:$CK$132,MATCH($A70,'[3]Detailed Bin Table'!$A$9:$A$132,0),MATCH($B70,'[3]Detailed Bin Table'!$CD$9:$CK$9,0)))*24)</f>
        <v>2907.36</v>
      </c>
      <c r="M70" s="34">
        <f>IF(B70="Custom", Q70, IF(B70="Imputation", INDEX('[3]Alt Est Detailed Bin Table'!$CL$10:$CS$132, MATCH(A70, '[3]Alt Est Detailed Bin Table'!$A$10:$A$132), MATCH(P70, '[3]Alt Est Detailed Bin Table'!$CL$9:$CS$9,0)), INDEX('[3]Detailed Bin Table'!$CL$9:$CS$132,MATCH($A70,'[3]Detailed Bin Table'!$A$9:$A$132,0),MATCH($B70,'[3]Detailed Bin Table'!$CL$9:$CS$9,0)))*24)</f>
        <v>8267.0399999999991</v>
      </c>
      <c r="N70" s="34">
        <f>IF(B70="Custom", Q70, IF(B70="Imputation", INDEX('[3]Alt Est Detailed Bin Table'!$CT$10:$DA$132, MATCH(A70, '[3]Alt Est Detailed Bin Table'!$A$10:$A$132), MATCH(P70, '[3]Alt Est Detailed Bin Table'!$CT$9:$DA$9,0)), INDEX('[3]Detailed Bin Table'!$CT$9:$DA$132,MATCH($A70,'[3]Detailed Bin Table'!$A$9:$A$132,0),MATCH($B70,'[3]Detailed Bin Table'!$CT$9:$DA$9,0)))*24)</f>
        <v>24836.399999999998</v>
      </c>
      <c r="O70" s="222">
        <f>IF(B70="Custom", Q70, IF(B70="Imputation", INDEX('[3]Alt Est Detailed Bin Table'!$DB$10:$DI$132, MATCH(A70, '[3]Alt Est Detailed Bin Table'!$A$10:$A$132), MATCH(P70, '[3]Alt Est Detailed Bin Table'!$DB$9:$DI$9,0)), INDEX('[3]Detailed Bin Table'!$DB$9:$DI$132,MATCH($A70,'[3]Detailed Bin Table'!$A$9:$A$132,0),MATCH($B70,'[3]Detailed Bin Table'!$DB$9:$DI$9,0)))*24)</f>
        <v>58909.440000000002</v>
      </c>
      <c r="P70" s="215" t="s">
        <v>161</v>
      </c>
      <c r="Q70" s="62"/>
      <c r="R70" s="63"/>
      <c r="S70" s="63"/>
      <c r="T70" s="63"/>
      <c r="U70" s="63"/>
      <c r="V70" s="63"/>
      <c r="W70" s="64"/>
      <c r="X70" s="63"/>
      <c r="Y70" s="63"/>
      <c r="Z70" s="63"/>
      <c r="AA70" s="65"/>
      <c r="AB70" s="213" t="str">
        <f>IF(SUM(E70:O70)='[1]Passage Estimates'!$D70, "Ok", "Check")</f>
        <v>Ok</v>
      </c>
    </row>
    <row r="71" spans="1:28" x14ac:dyDescent="0.3">
      <c r="A71" s="20">
        <f>'1. Mixture Model Inputs'!A71</f>
        <v>45173</v>
      </c>
      <c r="B71" s="13" t="str">
        <f>'[1]Passage Estimates'!$C71</f>
        <v>A1+S1+M2+A2</v>
      </c>
      <c r="C71" s="206">
        <v>12402</v>
      </c>
      <c r="D71" s="206">
        <v>61936</v>
      </c>
      <c r="E71" s="34">
        <f>IF(B71="Custom", Q71, IF(B71="Imputation", INDEX('[3]Alt Est Detailed Bin Table'!$B$10:$M$132, MATCH(A71, '[3]Alt Est Detailed Bin Table'!$A$10:$A$132), MATCH(P71, '[3]Alt Est Detailed Bin Table'!$B$9:$M$9,0)), INDEX('[3]Detailed Bin Table'!$B$9:$M$132,MATCH($A71,'[3]Detailed Bin Table'!$A$9:$A$132,0),MATCH($B71,'[3]Detailed Bin Table'!$B$9:$M$9,0)))*24)</f>
        <v>74338.559999999998</v>
      </c>
      <c r="F71" s="34">
        <f>IF(B71="Custom", Q71, IF(B71="Imputation", INDEX('[3]Alt Est Detailed Bin Table'!$N$10:$Y$132, MATCH(A71, '[3]Alt Est Detailed Bin Table'!$A$10:$A$132), MATCH(P71, '[3]Alt Est Detailed Bin Table'!$N$9:$Y$9,0)), INDEX('[3]Detailed Bin Table'!$N$9:$Y$132,MATCH($A71,'[3]Detailed Bin Table'!$A$9:$A$132,0),MATCH($B71,'[3]Detailed Bin Table'!$N$9:$Y$9,0)))*24)</f>
        <v>173429.76000000001</v>
      </c>
      <c r="G71" s="34">
        <f>IF(B71="Custom", Q71, IF(B71="Imputation", INDEX('[3]Alt Est Detailed Bin Table'!$Z$10:$AK$132, MATCH(A71, '[3]Alt Est Detailed Bin Table'!$A$10:$A$132), MATCH(P71, '[3]Alt Est Detailed Bin Table'!$Z$9:$AK$9,0)), INDEX('[3]Detailed Bin Table'!$Z$9:$AK$132,MATCH($A71,'[3]Detailed Bin Table'!$A$9:$A$132,0),MATCH($B71,'[3]Detailed Bin Table'!$Z$9:$AK$9,0)))*24)</f>
        <v>136620</v>
      </c>
      <c r="H71" s="34">
        <f>IF(B71="Custom", Q71, IF(B71="Imputation", INDEX('[3]Alt Est Detailed Bin Table'!$AL$10:$AW$132, MATCH(A71, '[3]Alt Est Detailed Bin Table'!$A$10:$A$132), MATCH(P71, '[3]Alt Est Detailed Bin Table'!$AL$9:$AW$9,0)), INDEX('[3]Detailed Bin Table'!$AL$9:$AW$132,MATCH($A71,'[3]Detailed Bin Table'!$A$9:$A$132,0),MATCH($B71,'[3]Detailed Bin Table'!$AL$9:$AW$9,0)))*24)</f>
        <v>55164</v>
      </c>
      <c r="I71" s="34">
        <f>IF(B71="Custom", Q71, IF(B71="Imputation", INDEX('[3]Alt Est Detailed Bin Table'!$AX$10:$BI$132, MATCH(A71, '[3]Alt Est Detailed Bin Table'!$A$10:$A$132), MATCH(P71, '[3]Alt Est Detailed Bin Table'!$AX$9:$BI$9,0)), INDEX('[3]Detailed Bin Table'!$AX$9:$BI$132,MATCH($A71,'[3]Detailed Bin Table'!$A$9:$A$132,0),MATCH($B71,'[3]Detailed Bin Table'!$AX$9:$BI$9,0)))*24)</f>
        <v>34852.559999999998</v>
      </c>
      <c r="J71" s="222">
        <f>IF(B71="Custom", Q71, IF(B71="Imputation", INDEX('[3]Alt Est Detailed Bin Table'!$BJ$10:$BO$132, MATCH(A71, '[3]Alt Est Detailed Bin Table'!$A$10:$A$132), MATCH(P71, '[3]Alt Est Detailed Bin Table'!$BJ$9:$BO$9,0)), INDEX('[3]Detailed Bin Table'!$BJ$9:$BO$132,MATCH($A71,'[3]Detailed Bin Table'!$A$9:$A$132,0),MATCH($B71,'[3]Detailed Bin Table'!$BJ$9:$BO$9,0)))*24)</f>
        <v>0</v>
      </c>
      <c r="K71" s="33">
        <f>IF(B71="Custom", Q71, IF(B71="Imputation", INDEX('[3]Alt Est Detailed Bin Table'!$BP$10:$CC$132, MATCH(A71, '[3]Alt Est Detailed Bin Table'!$A$10:$A$132), MATCH(P71, '[3]Alt Est Detailed Bin Table'!$BP$9:$CC$9,0)), INDEX('[3]Detailed Bin Table'!$BP$9:$CC$132,MATCH($A71,'[3]Detailed Bin Table'!$A$9:$A$132,0),MATCH($B71,'[3]Detailed Bin Table'!$BP$9:$CC$9,0)))*24)</f>
        <v>36081.120000000286</v>
      </c>
      <c r="L71" s="223">
        <f>IF(B71="Custom", Q71, IF(B71="Imputation", INDEX('[3]Alt Est Detailed Bin Table'!$CD$10:$CK$132, MATCH(A71, '[3]Alt Est Detailed Bin Table'!$A$10:$A$132), MATCH(P71, '[3]Alt Est Detailed Bin Table'!$CD$9:$CK$9,0)), INDEX('[3]Detailed Bin Table'!$CD$9:$CK$132,MATCH($A71,'[3]Detailed Bin Table'!$A$9:$A$132,0),MATCH($B71,'[3]Detailed Bin Table'!$CD$9:$CK$9,0)))*24)</f>
        <v>4043.76</v>
      </c>
      <c r="M71" s="34">
        <f>IF(B71="Custom", Q71, IF(B71="Imputation", INDEX('[3]Alt Est Detailed Bin Table'!$CL$10:$CS$132, MATCH(A71, '[3]Alt Est Detailed Bin Table'!$A$10:$A$132), MATCH(P71, '[3]Alt Est Detailed Bin Table'!$CL$9:$CS$9,0)), INDEX('[3]Detailed Bin Table'!$CL$9:$CS$132,MATCH($A71,'[3]Detailed Bin Table'!$A$9:$A$132,0),MATCH($B71,'[3]Detailed Bin Table'!$CL$9:$CS$9,0)))*24)</f>
        <v>6197.2800000000007</v>
      </c>
      <c r="N71" s="34">
        <f>IF(B71="Custom", Q71, IF(B71="Imputation", INDEX('[3]Alt Est Detailed Bin Table'!$CT$10:$DA$132, MATCH(A71, '[3]Alt Est Detailed Bin Table'!$A$10:$A$132), MATCH(P71, '[3]Alt Est Detailed Bin Table'!$CT$9:$DA$9,0)), INDEX('[3]Detailed Bin Table'!$CT$9:$DA$132,MATCH($A71,'[3]Detailed Bin Table'!$A$9:$A$132,0),MATCH($B71,'[3]Detailed Bin Table'!$CT$9:$DA$9,0)))*24)</f>
        <v>14436.96</v>
      </c>
      <c r="O71" s="222">
        <f>IF(B71="Custom", Q71, IF(B71="Imputation", INDEX('[3]Alt Est Detailed Bin Table'!$DB$10:$DI$132, MATCH(A71, '[3]Alt Est Detailed Bin Table'!$A$10:$A$132), MATCH(P71, '[3]Alt Est Detailed Bin Table'!$DB$9:$DI$9,0)), INDEX('[3]Detailed Bin Table'!$DB$9:$DI$132,MATCH($A71,'[3]Detailed Bin Table'!$A$9:$A$132,0),MATCH($B71,'[3]Detailed Bin Table'!$DB$9:$DI$9,0)))*24)</f>
        <v>56966.399999999994</v>
      </c>
      <c r="P71" s="215"/>
      <c r="Q71" s="62"/>
      <c r="R71" s="63"/>
      <c r="S71" s="63"/>
      <c r="T71" s="63"/>
      <c r="U71" s="63"/>
      <c r="V71" s="63"/>
      <c r="W71" s="64"/>
      <c r="X71" s="63"/>
      <c r="Y71" s="63"/>
      <c r="Z71" s="63"/>
      <c r="AA71" s="65"/>
      <c r="AB71" s="213" t="str">
        <f>IF(SUM(E71:O71)='[1]Passage Estimates'!$D71, "Ok", "Check")</f>
        <v>Ok</v>
      </c>
    </row>
    <row r="72" spans="1:28" x14ac:dyDescent="0.3">
      <c r="A72" s="20">
        <f>'1. Mixture Model Inputs'!A72</f>
        <v>45174</v>
      </c>
      <c r="B72" s="13" t="str">
        <f>'[1]Passage Estimates'!$C72</f>
        <v>A1+S1+M2+A2</v>
      </c>
      <c r="C72" s="206">
        <v>12569</v>
      </c>
      <c r="D72" s="206">
        <v>35152</v>
      </c>
      <c r="E72" s="34">
        <f>IF(B72="Custom", Q72, IF(B72="Imputation", INDEX('[3]Alt Est Detailed Bin Table'!$B$10:$M$132, MATCH(A72, '[3]Alt Est Detailed Bin Table'!$A$10:$A$132), MATCH(P72, '[3]Alt Est Detailed Bin Table'!$B$9:$M$9,0)), INDEX('[3]Detailed Bin Table'!$B$9:$M$132,MATCH($A72,'[3]Detailed Bin Table'!$A$9:$A$132,0),MATCH($B72,'[3]Detailed Bin Table'!$B$9:$M$9,0)))*24)</f>
        <v>47720.88</v>
      </c>
      <c r="F72" s="34">
        <f>IF(B72="Custom", Q72, IF(B72="Imputation", INDEX('[3]Alt Est Detailed Bin Table'!$N$10:$Y$132, MATCH(A72, '[3]Alt Est Detailed Bin Table'!$A$10:$A$132), MATCH(P72, '[3]Alt Est Detailed Bin Table'!$N$9:$Y$9,0)), INDEX('[3]Detailed Bin Table'!$N$9:$Y$132,MATCH($A72,'[3]Detailed Bin Table'!$A$9:$A$132,0),MATCH($B72,'[3]Detailed Bin Table'!$N$9:$Y$9,0)))*24)</f>
        <v>90355.44</v>
      </c>
      <c r="G72" s="34">
        <f>IF(B72="Custom", Q72, IF(B72="Imputation", INDEX('[3]Alt Est Detailed Bin Table'!$Z$10:$AK$132, MATCH(A72, '[3]Alt Est Detailed Bin Table'!$A$10:$A$132), MATCH(P72, '[3]Alt Est Detailed Bin Table'!$Z$9:$AK$9,0)), INDEX('[3]Detailed Bin Table'!$Z$9:$AK$132,MATCH($A72,'[3]Detailed Bin Table'!$A$9:$A$132,0),MATCH($B72,'[3]Detailed Bin Table'!$Z$9:$AK$9,0)))*24)</f>
        <v>66808.56</v>
      </c>
      <c r="H72" s="34">
        <f>IF(B72="Custom", Q72, IF(B72="Imputation", INDEX('[3]Alt Est Detailed Bin Table'!$AL$10:$AW$132, MATCH(A72, '[3]Alt Est Detailed Bin Table'!$A$10:$A$132), MATCH(P72, '[3]Alt Est Detailed Bin Table'!$AL$9:$AW$9,0)), INDEX('[3]Detailed Bin Table'!$AL$9:$AW$132,MATCH($A72,'[3]Detailed Bin Table'!$A$9:$A$132,0),MATCH($B72,'[3]Detailed Bin Table'!$AL$9:$AW$9,0)))*24)</f>
        <v>31145.760000000002</v>
      </c>
      <c r="I72" s="34">
        <f>IF(B72="Custom", Q72, IF(B72="Imputation", INDEX('[3]Alt Est Detailed Bin Table'!$AX$10:$BI$132, MATCH(A72, '[3]Alt Est Detailed Bin Table'!$A$10:$A$132), MATCH(P72, '[3]Alt Est Detailed Bin Table'!$AX$9:$BI$9,0)), INDEX('[3]Detailed Bin Table'!$AX$9:$BI$132,MATCH($A72,'[3]Detailed Bin Table'!$A$9:$A$132,0),MATCH($B72,'[3]Detailed Bin Table'!$AX$9:$BI$9,0)))*24)</f>
        <v>17878.560000000001</v>
      </c>
      <c r="J72" s="222">
        <f>IF(B72="Custom", Q72, IF(B72="Imputation", INDEX('[3]Alt Est Detailed Bin Table'!$BJ$10:$BO$132, MATCH(A72, '[3]Alt Est Detailed Bin Table'!$A$10:$A$132), MATCH(P72, '[3]Alt Est Detailed Bin Table'!$BJ$9:$BO$9,0)), INDEX('[3]Detailed Bin Table'!$BJ$9:$BO$132,MATCH($A72,'[3]Detailed Bin Table'!$A$9:$A$132,0),MATCH($B72,'[3]Detailed Bin Table'!$BJ$9:$BO$9,0)))*24)</f>
        <v>0</v>
      </c>
      <c r="K72" s="33">
        <f>IF(B72="Custom", Q72, IF(B72="Imputation", INDEX('[3]Alt Est Detailed Bin Table'!$BP$10:$CC$132, MATCH(A72, '[3]Alt Est Detailed Bin Table'!$A$10:$A$132), MATCH(P72, '[3]Alt Est Detailed Bin Table'!$BP$9:$CC$9,0)), INDEX('[3]Detailed Bin Table'!$BP$9:$CC$132,MATCH($A72,'[3]Detailed Bin Table'!$A$9:$A$132,0),MATCH($B72,'[3]Detailed Bin Table'!$BP$9:$CC$9,0)))*24)</f>
        <v>53021.760000000082</v>
      </c>
      <c r="L72" s="223">
        <f>IF(B72="Custom", Q72, IF(B72="Imputation", INDEX('[3]Alt Est Detailed Bin Table'!$CD$10:$CK$132, MATCH(A72, '[3]Alt Est Detailed Bin Table'!$A$10:$A$132), MATCH(P72, '[3]Alt Est Detailed Bin Table'!$CD$9:$CK$9,0)), INDEX('[3]Detailed Bin Table'!$CD$9:$CK$132,MATCH($A72,'[3]Detailed Bin Table'!$A$9:$A$132,0),MATCH($B72,'[3]Detailed Bin Table'!$CD$9:$CK$9,0)))*24)</f>
        <v>1366.56</v>
      </c>
      <c r="M72" s="34">
        <f>IF(B72="Custom", Q72, IF(B72="Imputation", INDEX('[3]Alt Est Detailed Bin Table'!$CL$10:$CS$132, MATCH(A72, '[3]Alt Est Detailed Bin Table'!$A$10:$A$132), MATCH(P72, '[3]Alt Est Detailed Bin Table'!$CL$9:$CS$9,0)), INDEX('[3]Detailed Bin Table'!$CL$9:$CS$132,MATCH($A72,'[3]Detailed Bin Table'!$A$9:$A$132,0),MATCH($B72,'[3]Detailed Bin Table'!$CL$9:$CS$9,0)))*24)</f>
        <v>5591.5199999999995</v>
      </c>
      <c r="N72" s="34">
        <f>IF(B72="Custom", Q72, IF(B72="Imputation", INDEX('[3]Alt Est Detailed Bin Table'!$CT$10:$DA$132, MATCH(A72, '[3]Alt Est Detailed Bin Table'!$A$10:$A$132), MATCH(P72, '[3]Alt Est Detailed Bin Table'!$CT$9:$DA$9,0)), INDEX('[3]Detailed Bin Table'!$CT$9:$DA$132,MATCH($A72,'[3]Detailed Bin Table'!$A$9:$A$132,0),MATCH($B72,'[3]Detailed Bin Table'!$CT$9:$DA$9,0)))*24)</f>
        <v>10357.92</v>
      </c>
      <c r="O72" s="222">
        <f>IF(B72="Custom", Q72, IF(B72="Imputation", INDEX('[3]Alt Est Detailed Bin Table'!$DB$10:$DI$132, MATCH(A72, '[3]Alt Est Detailed Bin Table'!$A$10:$A$132), MATCH(P72, '[3]Alt Est Detailed Bin Table'!$DB$9:$DI$9,0)), INDEX('[3]Detailed Bin Table'!$DB$9:$DI$132,MATCH($A72,'[3]Detailed Bin Table'!$A$9:$A$132,0),MATCH($B72,'[3]Detailed Bin Table'!$DB$9:$DI$9,0)))*24)</f>
        <v>30909.600000000002</v>
      </c>
      <c r="P72" s="215"/>
      <c r="Q72" s="62"/>
      <c r="R72" s="63"/>
      <c r="S72" s="63"/>
      <c r="T72" s="63"/>
      <c r="U72" s="63"/>
      <c r="V72" s="63"/>
      <c r="W72" s="64"/>
      <c r="X72" s="63"/>
      <c r="Y72" s="63"/>
      <c r="Z72" s="63"/>
      <c r="AA72" s="65"/>
      <c r="AB72" s="213" t="str">
        <f>IF(SUM(E72:O72)='[1]Passage Estimates'!$D72, "Ok", "Check")</f>
        <v>Ok</v>
      </c>
    </row>
    <row r="73" spans="1:28" x14ac:dyDescent="0.3">
      <c r="A73" s="20">
        <f>'1. Mixture Model Inputs'!A73</f>
        <v>45175</v>
      </c>
      <c r="B73" s="13" t="str">
        <f>'[1]Passage Estimates'!$C73</f>
        <v>A1+S1+M2+A2</v>
      </c>
      <c r="C73" s="206">
        <v>5658</v>
      </c>
      <c r="D73" s="206">
        <v>40434</v>
      </c>
      <c r="E73" s="34">
        <f>IF(B73="Custom", Q73, IF(B73="Imputation", INDEX('[3]Alt Est Detailed Bin Table'!$B$10:$M$132, MATCH(A73, '[3]Alt Est Detailed Bin Table'!$A$10:$A$132), MATCH(P73, '[3]Alt Est Detailed Bin Table'!$B$9:$M$9,0)), INDEX('[3]Detailed Bin Table'!$B$9:$M$132,MATCH($A73,'[3]Detailed Bin Table'!$A$9:$A$132,0),MATCH($B73,'[3]Detailed Bin Table'!$B$9:$M$9,0)))*24)</f>
        <v>46092.479999999996</v>
      </c>
      <c r="F73" s="34">
        <f>IF(B73="Custom", Q73, IF(B73="Imputation", INDEX('[3]Alt Est Detailed Bin Table'!$N$10:$Y$132, MATCH(A73, '[3]Alt Est Detailed Bin Table'!$A$10:$A$132), MATCH(P73, '[3]Alt Est Detailed Bin Table'!$N$9:$Y$9,0)), INDEX('[3]Detailed Bin Table'!$N$9:$Y$132,MATCH($A73,'[3]Detailed Bin Table'!$A$9:$A$132,0),MATCH($B73,'[3]Detailed Bin Table'!$N$9:$Y$9,0)))*24)</f>
        <v>64252.56</v>
      </c>
      <c r="G73" s="34">
        <f>IF(B73="Custom", Q73, IF(B73="Imputation", INDEX('[3]Alt Est Detailed Bin Table'!$Z$10:$AK$132, MATCH(A73, '[3]Alt Est Detailed Bin Table'!$A$10:$A$132), MATCH(P73, '[3]Alt Est Detailed Bin Table'!$Z$9:$AK$9,0)), INDEX('[3]Detailed Bin Table'!$Z$9:$AK$132,MATCH($A73,'[3]Detailed Bin Table'!$A$9:$A$132,0),MATCH($B73,'[3]Detailed Bin Table'!$Z$9:$AK$9,0)))*24)</f>
        <v>48473.04</v>
      </c>
      <c r="H73" s="34">
        <f>IF(B73="Custom", Q73, IF(B73="Imputation", INDEX('[3]Alt Est Detailed Bin Table'!$AL$10:$AW$132, MATCH(A73, '[3]Alt Est Detailed Bin Table'!$A$10:$A$132), MATCH(P73, '[3]Alt Est Detailed Bin Table'!$AL$9:$AW$9,0)), INDEX('[3]Detailed Bin Table'!$AL$9:$AW$132,MATCH($A73,'[3]Detailed Bin Table'!$A$9:$A$132,0),MATCH($B73,'[3]Detailed Bin Table'!$AL$9:$AW$9,0)))*24)</f>
        <v>16856.16</v>
      </c>
      <c r="I73" s="34">
        <f>IF(B73="Custom", Q73, IF(B73="Imputation", INDEX('[3]Alt Est Detailed Bin Table'!$AX$10:$BI$132, MATCH(A73, '[3]Alt Est Detailed Bin Table'!$A$10:$A$132), MATCH(P73, '[3]Alt Est Detailed Bin Table'!$AX$9:$BI$9,0)), INDEX('[3]Detailed Bin Table'!$AX$9:$BI$132,MATCH($A73,'[3]Detailed Bin Table'!$A$9:$A$132,0),MATCH($B73,'[3]Detailed Bin Table'!$AX$9:$BI$9,0)))*24)</f>
        <v>13302.48</v>
      </c>
      <c r="J73" s="222">
        <f>IF(B73="Custom", Q73, IF(B73="Imputation", INDEX('[3]Alt Est Detailed Bin Table'!$BJ$10:$BO$132, MATCH(A73, '[3]Alt Est Detailed Bin Table'!$A$10:$A$132), MATCH(P73, '[3]Alt Est Detailed Bin Table'!$BJ$9:$BO$9,0)), INDEX('[3]Detailed Bin Table'!$BJ$9:$BO$132,MATCH($A73,'[3]Detailed Bin Table'!$A$9:$A$132,0),MATCH($B73,'[3]Detailed Bin Table'!$BJ$9:$BO$9,0)))*24)</f>
        <v>0</v>
      </c>
      <c r="K73" s="33">
        <f>IF(B73="Custom", Q73, IF(B73="Imputation", INDEX('[3]Alt Est Detailed Bin Table'!$BP$10:$CC$132, MATCH(A73, '[3]Alt Est Detailed Bin Table'!$A$10:$A$132), MATCH(P73, '[3]Alt Est Detailed Bin Table'!$BP$9:$CC$9,0)), INDEX('[3]Detailed Bin Table'!$BP$9:$CC$132,MATCH($A73,'[3]Detailed Bin Table'!$A$9:$A$132,0),MATCH($B73,'[3]Detailed Bin Table'!$BP$9:$CC$9,0)))*24)</f>
        <v>28317.839999999866</v>
      </c>
      <c r="L73" s="223">
        <f>IF(B73="Custom", Q73, IF(B73="Imputation", INDEX('[3]Alt Est Detailed Bin Table'!$CD$10:$CK$132, MATCH(A73, '[3]Alt Est Detailed Bin Table'!$A$10:$A$132), MATCH(P73, '[3]Alt Est Detailed Bin Table'!$CD$9:$CK$9,0)), INDEX('[3]Detailed Bin Table'!$CD$9:$CK$132,MATCH($A73,'[3]Detailed Bin Table'!$A$9:$A$132,0),MATCH($B73,'[3]Detailed Bin Table'!$CD$9:$CK$9,0)))*24)</f>
        <v>1426.08</v>
      </c>
      <c r="M73" s="34">
        <f>IF(B73="Custom", Q73, IF(B73="Imputation", INDEX('[3]Alt Est Detailed Bin Table'!$CL$10:$CS$132, MATCH(A73, '[3]Alt Est Detailed Bin Table'!$A$10:$A$132), MATCH(P73, '[3]Alt Est Detailed Bin Table'!$CL$9:$CS$9,0)), INDEX('[3]Detailed Bin Table'!$CL$9:$CS$132,MATCH($A73,'[3]Detailed Bin Table'!$A$9:$A$132,0),MATCH($B73,'[3]Detailed Bin Table'!$CL$9:$CS$9,0)))*24)</f>
        <v>2755.92</v>
      </c>
      <c r="N73" s="34">
        <f>IF(B73="Custom", Q73, IF(B73="Imputation", INDEX('[3]Alt Est Detailed Bin Table'!$CT$10:$DA$132, MATCH(A73, '[3]Alt Est Detailed Bin Table'!$A$10:$A$132), MATCH(P73, '[3]Alt Est Detailed Bin Table'!$CT$9:$DA$9,0)), INDEX('[3]Detailed Bin Table'!$CT$9:$DA$132,MATCH($A73,'[3]Detailed Bin Table'!$A$9:$A$132,0),MATCH($B73,'[3]Detailed Bin Table'!$CT$9:$DA$9,0)))*24)</f>
        <v>6633.12</v>
      </c>
      <c r="O73" s="222">
        <f>IF(B73="Custom", Q73, IF(B73="Imputation", INDEX('[3]Alt Est Detailed Bin Table'!$DB$10:$DI$132, MATCH(A73, '[3]Alt Est Detailed Bin Table'!$A$10:$A$132), MATCH(P73, '[3]Alt Est Detailed Bin Table'!$DB$9:$DI$9,0)), INDEX('[3]Detailed Bin Table'!$DB$9:$DI$132,MATCH($A73,'[3]Detailed Bin Table'!$A$9:$A$132,0),MATCH($B73,'[3]Detailed Bin Table'!$DB$9:$DI$9,0)))*24)</f>
        <v>17790.239999999998</v>
      </c>
      <c r="P73" s="215"/>
      <c r="Q73" s="62"/>
      <c r="R73" s="63"/>
      <c r="S73" s="63"/>
      <c r="T73" s="63"/>
      <c r="U73" s="63"/>
      <c r="V73" s="63"/>
      <c r="W73" s="64"/>
      <c r="X73" s="63"/>
      <c r="Y73" s="63"/>
      <c r="Z73" s="63"/>
      <c r="AA73" s="65"/>
      <c r="AB73" s="213" t="str">
        <f>IF(SUM(E73:O73)='[1]Passage Estimates'!$D73, "Ok", "Check")</f>
        <v>Ok</v>
      </c>
    </row>
    <row r="74" spans="1:28" x14ac:dyDescent="0.3">
      <c r="A74" s="20">
        <f>'1. Mixture Model Inputs'!A74</f>
        <v>45176</v>
      </c>
      <c r="B74" s="13" t="str">
        <f>'[1]Passage Estimates'!$C74</f>
        <v>A1+S1+M2+A2</v>
      </c>
      <c r="C74" s="206">
        <v>4762</v>
      </c>
      <c r="D74" s="206">
        <v>37610</v>
      </c>
      <c r="E74" s="34">
        <f>IF(B74="Custom", Q74, IF(B74="Imputation", INDEX('[3]Alt Est Detailed Bin Table'!$B$10:$M$132, MATCH(A74, '[3]Alt Est Detailed Bin Table'!$A$10:$A$132), MATCH(P74, '[3]Alt Est Detailed Bin Table'!$B$9:$M$9,0)), INDEX('[3]Detailed Bin Table'!$B$9:$M$132,MATCH($A74,'[3]Detailed Bin Table'!$A$9:$A$132,0),MATCH($B74,'[3]Detailed Bin Table'!$B$9:$M$9,0)))*24)</f>
        <v>42372.479999999996</v>
      </c>
      <c r="F74" s="34">
        <f>IF(B74="Custom", Q74, IF(B74="Imputation", INDEX('[3]Alt Est Detailed Bin Table'!$N$10:$Y$132, MATCH(A74, '[3]Alt Est Detailed Bin Table'!$A$10:$A$132), MATCH(P74, '[3]Alt Est Detailed Bin Table'!$N$9:$Y$9,0)), INDEX('[3]Detailed Bin Table'!$N$9:$Y$132,MATCH($A74,'[3]Detailed Bin Table'!$A$9:$A$132,0),MATCH($B74,'[3]Detailed Bin Table'!$N$9:$Y$9,0)))*24)</f>
        <v>79326.48</v>
      </c>
      <c r="G74" s="34">
        <f>IF(B74="Custom", Q74, IF(B74="Imputation", INDEX('[3]Alt Est Detailed Bin Table'!$Z$10:$AK$132, MATCH(A74, '[3]Alt Est Detailed Bin Table'!$A$10:$A$132), MATCH(P74, '[3]Alt Est Detailed Bin Table'!$Z$9:$AK$9,0)), INDEX('[3]Detailed Bin Table'!$Z$9:$AK$132,MATCH($A74,'[3]Detailed Bin Table'!$A$9:$A$132,0),MATCH($B74,'[3]Detailed Bin Table'!$Z$9:$AK$9,0)))*24)</f>
        <v>120077.51999999999</v>
      </c>
      <c r="H74" s="34">
        <f>IF(B74="Custom", Q74, IF(B74="Imputation", INDEX('[3]Alt Est Detailed Bin Table'!$AL$10:$AW$132, MATCH(A74, '[3]Alt Est Detailed Bin Table'!$A$10:$A$132), MATCH(P74, '[3]Alt Est Detailed Bin Table'!$AL$9:$AW$9,0)), INDEX('[3]Detailed Bin Table'!$AL$9:$AW$132,MATCH($A74,'[3]Detailed Bin Table'!$A$9:$A$132,0),MATCH($B74,'[3]Detailed Bin Table'!$AL$9:$AW$9,0)))*24)</f>
        <v>15507.599999999999</v>
      </c>
      <c r="I74" s="34">
        <f>IF(B74="Custom", Q74, IF(B74="Imputation", INDEX('[3]Alt Est Detailed Bin Table'!$AX$10:$BI$132, MATCH(A74, '[3]Alt Est Detailed Bin Table'!$A$10:$A$132), MATCH(P74, '[3]Alt Est Detailed Bin Table'!$AX$9:$BI$9,0)), INDEX('[3]Detailed Bin Table'!$AX$9:$BI$132,MATCH($A74,'[3]Detailed Bin Table'!$A$9:$A$132,0),MATCH($B74,'[3]Detailed Bin Table'!$AX$9:$BI$9,0)))*24)</f>
        <v>11907.599999999999</v>
      </c>
      <c r="J74" s="222">
        <f>IF(B74="Custom", Q74, IF(B74="Imputation", INDEX('[3]Alt Est Detailed Bin Table'!$BJ$10:$BO$132, MATCH(A74, '[3]Alt Est Detailed Bin Table'!$A$10:$A$132), MATCH(P74, '[3]Alt Est Detailed Bin Table'!$BJ$9:$BO$9,0)), INDEX('[3]Detailed Bin Table'!$BJ$9:$BO$132,MATCH($A74,'[3]Detailed Bin Table'!$A$9:$A$132,0),MATCH($B74,'[3]Detailed Bin Table'!$BJ$9:$BO$9,0)))*24)</f>
        <v>0</v>
      </c>
      <c r="K74" s="33">
        <f>IF(B74="Custom", Q74, IF(B74="Imputation", INDEX('[3]Alt Est Detailed Bin Table'!$BP$10:$CC$132, MATCH(A74, '[3]Alt Est Detailed Bin Table'!$A$10:$A$132), MATCH(P74, '[3]Alt Est Detailed Bin Table'!$BP$9:$CC$9,0)), INDEX('[3]Detailed Bin Table'!$BP$9:$CC$132,MATCH($A74,'[3]Detailed Bin Table'!$A$9:$A$132,0),MATCH($B74,'[3]Detailed Bin Table'!$BP$9:$CC$9,0)))*24)</f>
        <v>23307.600000000079</v>
      </c>
      <c r="L74" s="223">
        <f>IF(B74="Custom", Q74, IF(B74="Imputation", INDEX('[3]Alt Est Detailed Bin Table'!$CD$10:$CK$132, MATCH(A74, '[3]Alt Est Detailed Bin Table'!$A$10:$A$132), MATCH(P74, '[3]Alt Est Detailed Bin Table'!$CD$9:$CK$9,0)), INDEX('[3]Detailed Bin Table'!$CD$9:$CK$132,MATCH($A74,'[3]Detailed Bin Table'!$A$9:$A$132,0),MATCH($B74,'[3]Detailed Bin Table'!$CD$9:$CK$9,0)))*24)</f>
        <v>1524</v>
      </c>
      <c r="M74" s="34">
        <f>IF(B74="Custom", Q74, IF(B74="Imputation", INDEX('[3]Alt Est Detailed Bin Table'!$CL$10:$CS$132, MATCH(A74, '[3]Alt Est Detailed Bin Table'!$A$10:$A$132), MATCH(P74, '[3]Alt Est Detailed Bin Table'!$CL$9:$CS$9,0)), INDEX('[3]Detailed Bin Table'!$CL$9:$CS$132,MATCH($A74,'[3]Detailed Bin Table'!$A$9:$A$132,0),MATCH($B74,'[3]Detailed Bin Table'!$CL$9:$CS$9,0)))*24)</f>
        <v>3348</v>
      </c>
      <c r="N74" s="34">
        <f>IF(B74="Custom", Q74, IF(B74="Imputation", INDEX('[3]Alt Est Detailed Bin Table'!$CT$10:$DA$132, MATCH(A74, '[3]Alt Est Detailed Bin Table'!$A$10:$A$132), MATCH(P74, '[3]Alt Est Detailed Bin Table'!$CT$9:$DA$9,0)), INDEX('[3]Detailed Bin Table'!$CT$9:$DA$132,MATCH($A74,'[3]Detailed Bin Table'!$A$9:$A$132,0),MATCH($B74,'[3]Detailed Bin Table'!$CT$9:$DA$9,0)))*24)</f>
        <v>6508.32</v>
      </c>
      <c r="O74" s="222">
        <f>IF(B74="Custom", Q74, IF(B74="Imputation", INDEX('[3]Alt Est Detailed Bin Table'!$DB$10:$DI$132, MATCH(A74, '[3]Alt Est Detailed Bin Table'!$A$10:$A$132), MATCH(P74, '[3]Alt Est Detailed Bin Table'!$DB$9:$DI$9,0)), INDEX('[3]Detailed Bin Table'!$DB$9:$DI$132,MATCH($A74,'[3]Detailed Bin Table'!$A$9:$A$132,0),MATCH($B74,'[3]Detailed Bin Table'!$DB$9:$DI$9,0)))*24)</f>
        <v>11475.84</v>
      </c>
      <c r="P74" s="215"/>
      <c r="Q74" s="62"/>
      <c r="R74" s="63"/>
      <c r="S74" s="63"/>
      <c r="T74" s="63"/>
      <c r="U74" s="63"/>
      <c r="V74" s="63"/>
      <c r="W74" s="64"/>
      <c r="X74" s="63"/>
      <c r="Y74" s="63"/>
      <c r="Z74" s="63"/>
      <c r="AA74" s="65"/>
      <c r="AB74" s="213" t="str">
        <f>IF(SUM(E74:O74)='[1]Passage Estimates'!$D74, "Ok", "Check")</f>
        <v>Ok</v>
      </c>
    </row>
    <row r="75" spans="1:28" x14ac:dyDescent="0.3">
      <c r="A75" s="20">
        <f>'1. Mixture Model Inputs'!A75</f>
        <v>45177</v>
      </c>
      <c r="B75" s="13" t="str">
        <f>'[1]Passage Estimates'!$C75</f>
        <v>A1+S1+M2+A2</v>
      </c>
      <c r="C75" s="206">
        <v>5989</v>
      </c>
      <c r="D75" s="206">
        <v>40659</v>
      </c>
      <c r="E75" s="34">
        <f>IF(B75="Custom", Q75, IF(B75="Imputation", INDEX('[3]Alt Est Detailed Bin Table'!$B$10:$M$132, MATCH(A75, '[3]Alt Est Detailed Bin Table'!$A$10:$A$132), MATCH(P75, '[3]Alt Est Detailed Bin Table'!$B$9:$M$9,0)), INDEX('[3]Detailed Bin Table'!$B$9:$M$132,MATCH($A75,'[3]Detailed Bin Table'!$A$9:$A$132,0),MATCH($B75,'[3]Detailed Bin Table'!$B$9:$M$9,0)))*24)</f>
        <v>46648.08</v>
      </c>
      <c r="F75" s="34">
        <f>IF(B75="Custom", Q75, IF(B75="Imputation", INDEX('[3]Alt Est Detailed Bin Table'!$N$10:$Y$132, MATCH(A75, '[3]Alt Est Detailed Bin Table'!$A$10:$A$132), MATCH(P75, '[3]Alt Est Detailed Bin Table'!$N$9:$Y$9,0)), INDEX('[3]Detailed Bin Table'!$N$9:$Y$132,MATCH($A75,'[3]Detailed Bin Table'!$A$9:$A$132,0),MATCH($B75,'[3]Detailed Bin Table'!$N$9:$Y$9,0)))*24)</f>
        <v>92723.76</v>
      </c>
      <c r="G75" s="34">
        <f>IF(B75="Custom", Q75, IF(B75="Imputation", INDEX('[3]Alt Est Detailed Bin Table'!$Z$10:$AK$132, MATCH(A75, '[3]Alt Est Detailed Bin Table'!$A$10:$A$132), MATCH(P75, '[3]Alt Est Detailed Bin Table'!$Z$9:$AK$9,0)), INDEX('[3]Detailed Bin Table'!$Z$9:$AK$132,MATCH($A75,'[3]Detailed Bin Table'!$A$9:$A$132,0),MATCH($B75,'[3]Detailed Bin Table'!$Z$9:$AK$9,0)))*24)</f>
        <v>60668.639999999999</v>
      </c>
      <c r="H75" s="34">
        <f>IF(B75="Custom", Q75, IF(B75="Imputation", INDEX('[3]Alt Est Detailed Bin Table'!$AL$10:$AW$132, MATCH(A75, '[3]Alt Est Detailed Bin Table'!$A$10:$A$132), MATCH(P75, '[3]Alt Est Detailed Bin Table'!$AL$9:$AW$9,0)), INDEX('[3]Detailed Bin Table'!$AL$9:$AW$132,MATCH($A75,'[3]Detailed Bin Table'!$A$9:$A$132,0),MATCH($B75,'[3]Detailed Bin Table'!$AL$9:$AW$9,0)))*24)</f>
        <v>18508.079999999998</v>
      </c>
      <c r="I75" s="34">
        <f>IF(B75="Custom", Q75, IF(B75="Imputation", INDEX('[3]Alt Est Detailed Bin Table'!$AX$10:$BI$132, MATCH(A75, '[3]Alt Est Detailed Bin Table'!$A$10:$A$132), MATCH(P75, '[3]Alt Est Detailed Bin Table'!$AX$9:$BI$9,0)), INDEX('[3]Detailed Bin Table'!$AX$9:$BI$132,MATCH($A75,'[3]Detailed Bin Table'!$A$9:$A$132,0),MATCH($B75,'[3]Detailed Bin Table'!$AX$9:$BI$9,0)))*24)</f>
        <v>22262.880000000001</v>
      </c>
      <c r="J75" s="222">
        <f>IF(B75="Custom", Q75, IF(B75="Imputation", INDEX('[3]Alt Est Detailed Bin Table'!$BJ$10:$BO$132, MATCH(A75, '[3]Alt Est Detailed Bin Table'!$A$10:$A$132), MATCH(P75, '[3]Alt Est Detailed Bin Table'!$BJ$9:$BO$9,0)), INDEX('[3]Detailed Bin Table'!$BJ$9:$BO$132,MATCH($A75,'[3]Detailed Bin Table'!$A$9:$A$132,0),MATCH($B75,'[3]Detailed Bin Table'!$BJ$9:$BO$9,0)))*24)</f>
        <v>0</v>
      </c>
      <c r="K75" s="33">
        <f>IF(B75="Custom", Q75, IF(B75="Imputation", INDEX('[3]Alt Est Detailed Bin Table'!$BP$10:$CC$132, MATCH(A75, '[3]Alt Est Detailed Bin Table'!$A$10:$A$132), MATCH(P75, '[3]Alt Est Detailed Bin Table'!$BP$9:$CC$9,0)), INDEX('[3]Detailed Bin Table'!$BP$9:$CC$132,MATCH($A75,'[3]Detailed Bin Table'!$A$9:$A$132,0),MATCH($B75,'[3]Detailed Bin Table'!$BP$9:$CC$9,0)))*24)</f>
        <v>25559.520000000077</v>
      </c>
      <c r="L75" s="223">
        <f>IF(B75="Custom", Q75, IF(B75="Imputation", INDEX('[3]Alt Est Detailed Bin Table'!$CD$10:$CK$132, MATCH(A75, '[3]Alt Est Detailed Bin Table'!$A$10:$A$132), MATCH(P75, '[3]Alt Est Detailed Bin Table'!$CD$9:$CK$9,0)), INDEX('[3]Detailed Bin Table'!$CD$9:$CK$132,MATCH($A75,'[3]Detailed Bin Table'!$A$9:$A$132,0),MATCH($B75,'[3]Detailed Bin Table'!$CD$9:$CK$9,0)))*24)</f>
        <v>1164</v>
      </c>
      <c r="M75" s="34">
        <f>IF(B75="Custom", Q75, IF(B75="Imputation", INDEX('[3]Alt Est Detailed Bin Table'!$CL$10:$CS$132, MATCH(A75, '[3]Alt Est Detailed Bin Table'!$A$10:$A$132), MATCH(P75, '[3]Alt Est Detailed Bin Table'!$CL$9:$CS$9,0)), INDEX('[3]Detailed Bin Table'!$CL$9:$CS$132,MATCH($A75,'[3]Detailed Bin Table'!$A$9:$A$132,0),MATCH($B75,'[3]Detailed Bin Table'!$CL$9:$CS$9,0)))*24)</f>
        <v>3480</v>
      </c>
      <c r="N75" s="34">
        <f>IF(B75="Custom", Q75, IF(B75="Imputation", INDEX('[3]Alt Est Detailed Bin Table'!$CT$10:$DA$132, MATCH(A75, '[3]Alt Est Detailed Bin Table'!$A$10:$A$132), MATCH(P75, '[3]Alt Est Detailed Bin Table'!$CT$9:$DA$9,0)), INDEX('[3]Detailed Bin Table'!$CT$9:$DA$132,MATCH($A75,'[3]Detailed Bin Table'!$A$9:$A$132,0),MATCH($B75,'[3]Detailed Bin Table'!$CT$9:$DA$9,0)))*24)</f>
        <v>6121.68</v>
      </c>
      <c r="O75" s="222">
        <f>IF(B75="Custom", Q75, IF(B75="Imputation", INDEX('[3]Alt Est Detailed Bin Table'!$DB$10:$DI$132, MATCH(A75, '[3]Alt Est Detailed Bin Table'!$A$10:$A$132), MATCH(P75, '[3]Alt Est Detailed Bin Table'!$DB$9:$DI$9,0)), INDEX('[3]Detailed Bin Table'!$DB$9:$DI$132,MATCH($A75,'[3]Detailed Bin Table'!$A$9:$A$132,0),MATCH($B75,'[3]Detailed Bin Table'!$DB$9:$DI$9,0)))*24)</f>
        <v>13096.079999999998</v>
      </c>
      <c r="P75" s="215"/>
      <c r="Q75" s="62"/>
      <c r="R75" s="63"/>
      <c r="S75" s="63"/>
      <c r="T75" s="63"/>
      <c r="U75" s="63"/>
      <c r="V75" s="63"/>
      <c r="W75" s="64"/>
      <c r="X75" s="63"/>
      <c r="Y75" s="63"/>
      <c r="Z75" s="63"/>
      <c r="AA75" s="65"/>
      <c r="AB75" s="213" t="str">
        <f>IF(SUM(E75:O75)='[1]Passage Estimates'!$D75, "Ok", "Check")</f>
        <v>Ok</v>
      </c>
    </row>
    <row r="76" spans="1:28" x14ac:dyDescent="0.3">
      <c r="A76" s="20">
        <f>'1. Mixture Model Inputs'!A76</f>
        <v>45178</v>
      </c>
      <c r="B76" s="13" t="str">
        <f>'[1]Passage Estimates'!$C76</f>
        <v>A1+S1+M2+A2</v>
      </c>
      <c r="C76" s="206">
        <v>4893</v>
      </c>
      <c r="D76" s="206">
        <v>33681</v>
      </c>
      <c r="E76" s="34">
        <f>IF(B76="Custom", Q76, IF(B76="Imputation", INDEX('[3]Alt Est Detailed Bin Table'!$B$10:$M$132, MATCH(A76, '[3]Alt Est Detailed Bin Table'!$A$10:$A$132), MATCH(P76, '[3]Alt Est Detailed Bin Table'!$B$9:$M$9,0)), INDEX('[3]Detailed Bin Table'!$B$9:$M$132,MATCH($A76,'[3]Detailed Bin Table'!$A$9:$A$132,0),MATCH($B76,'[3]Detailed Bin Table'!$B$9:$M$9,0)))*24)</f>
        <v>38574</v>
      </c>
      <c r="F76" s="34">
        <f>IF(B76="Custom", Q76, IF(B76="Imputation", INDEX('[3]Alt Est Detailed Bin Table'!$N$10:$Y$132, MATCH(A76, '[3]Alt Est Detailed Bin Table'!$A$10:$A$132), MATCH(P76, '[3]Alt Est Detailed Bin Table'!$N$9:$Y$9,0)), INDEX('[3]Detailed Bin Table'!$N$9:$Y$132,MATCH($A76,'[3]Detailed Bin Table'!$A$9:$A$132,0),MATCH($B76,'[3]Detailed Bin Table'!$N$9:$Y$9,0)))*24)</f>
        <v>61880.399999999994</v>
      </c>
      <c r="G76" s="34">
        <f>IF(B76="Custom", Q76, IF(B76="Imputation", INDEX('[3]Alt Est Detailed Bin Table'!$Z$10:$AK$132, MATCH(A76, '[3]Alt Est Detailed Bin Table'!$A$10:$A$132), MATCH(P76, '[3]Alt Est Detailed Bin Table'!$Z$9:$AK$9,0)), INDEX('[3]Detailed Bin Table'!$Z$9:$AK$132,MATCH($A76,'[3]Detailed Bin Table'!$A$9:$A$132,0),MATCH($B76,'[3]Detailed Bin Table'!$Z$9:$AK$9,0)))*24)</f>
        <v>52994.399999999994</v>
      </c>
      <c r="H76" s="34">
        <f>IF(B76="Custom", Q76, IF(B76="Imputation", INDEX('[3]Alt Est Detailed Bin Table'!$AL$10:$AW$132, MATCH(A76, '[3]Alt Est Detailed Bin Table'!$A$10:$A$132), MATCH(P76, '[3]Alt Est Detailed Bin Table'!$AL$9:$AW$9,0)), INDEX('[3]Detailed Bin Table'!$AL$9:$AW$132,MATCH($A76,'[3]Detailed Bin Table'!$A$9:$A$132,0),MATCH($B76,'[3]Detailed Bin Table'!$AL$9:$AW$9,0)))*24)</f>
        <v>22931.040000000001</v>
      </c>
      <c r="I76" s="34">
        <f>IF(B76="Custom", Q76, IF(B76="Imputation", INDEX('[3]Alt Est Detailed Bin Table'!$AX$10:$BI$132, MATCH(A76, '[3]Alt Est Detailed Bin Table'!$A$10:$A$132), MATCH(P76, '[3]Alt Est Detailed Bin Table'!$AX$9:$BI$9,0)), INDEX('[3]Detailed Bin Table'!$AX$9:$BI$132,MATCH($A76,'[3]Detailed Bin Table'!$A$9:$A$132,0),MATCH($B76,'[3]Detailed Bin Table'!$AX$9:$BI$9,0)))*24)</f>
        <v>18342.239999999998</v>
      </c>
      <c r="J76" s="222">
        <f>IF(B76="Custom", Q76, IF(B76="Imputation", INDEX('[3]Alt Est Detailed Bin Table'!$BJ$10:$BO$132, MATCH(A76, '[3]Alt Est Detailed Bin Table'!$A$10:$A$132), MATCH(P76, '[3]Alt Est Detailed Bin Table'!$BJ$9:$BO$9,0)), INDEX('[3]Detailed Bin Table'!$BJ$9:$BO$132,MATCH($A76,'[3]Detailed Bin Table'!$A$9:$A$132,0),MATCH($B76,'[3]Detailed Bin Table'!$BJ$9:$BO$9,0)))*24)</f>
        <v>0</v>
      </c>
      <c r="K76" s="33">
        <f>IF(B76="Custom", Q76, IF(B76="Imputation", INDEX('[3]Alt Est Detailed Bin Table'!$BP$10:$CC$132, MATCH(A76, '[3]Alt Est Detailed Bin Table'!$A$10:$A$132), MATCH(P76, '[3]Alt Est Detailed Bin Table'!$BP$9:$CC$9,0)), INDEX('[3]Detailed Bin Table'!$BP$9:$CC$132,MATCH($A76,'[3]Detailed Bin Table'!$A$9:$A$132,0),MATCH($B76,'[3]Detailed Bin Table'!$BP$9:$CC$9,0)))*24)</f>
        <v>37261.439999999944</v>
      </c>
      <c r="L76" s="223">
        <f>IF(B76="Custom", Q76, IF(B76="Imputation", INDEX('[3]Alt Est Detailed Bin Table'!$CD$10:$CK$132, MATCH(A76, '[3]Alt Est Detailed Bin Table'!$A$10:$A$132), MATCH(P76, '[3]Alt Est Detailed Bin Table'!$CD$9:$CK$9,0)), INDEX('[3]Detailed Bin Table'!$CD$9:$CK$132,MATCH($A76,'[3]Detailed Bin Table'!$A$9:$A$132,0),MATCH($B76,'[3]Detailed Bin Table'!$CD$9:$CK$9,0)))*24)</f>
        <v>1761.3600000000001</v>
      </c>
      <c r="M76" s="34">
        <f>IF(B76="Custom", Q76, IF(B76="Imputation", INDEX('[3]Alt Est Detailed Bin Table'!$CL$10:$CS$132, MATCH(A76, '[3]Alt Est Detailed Bin Table'!$A$10:$A$132), MATCH(P76, '[3]Alt Est Detailed Bin Table'!$CL$9:$CS$9,0)), INDEX('[3]Detailed Bin Table'!$CL$9:$CS$132,MATCH($A76,'[3]Detailed Bin Table'!$A$9:$A$132,0),MATCH($B76,'[3]Detailed Bin Table'!$CL$9:$CS$9,0)))*24)</f>
        <v>6841.2000000000007</v>
      </c>
      <c r="N76" s="34">
        <f>IF(B76="Custom", Q76, IF(B76="Imputation", INDEX('[3]Alt Est Detailed Bin Table'!$CT$10:$DA$132, MATCH(A76, '[3]Alt Est Detailed Bin Table'!$A$10:$A$132), MATCH(P76, '[3]Alt Est Detailed Bin Table'!$CT$9:$DA$9,0)), INDEX('[3]Detailed Bin Table'!$CT$9:$DA$132,MATCH($A76,'[3]Detailed Bin Table'!$A$9:$A$132,0),MATCH($B76,'[3]Detailed Bin Table'!$CT$9:$DA$9,0)))*24)</f>
        <v>9685.92</v>
      </c>
      <c r="O76" s="222">
        <f>IF(B76="Custom", Q76, IF(B76="Imputation", INDEX('[3]Alt Est Detailed Bin Table'!$DB$10:$DI$132, MATCH(A76, '[3]Alt Est Detailed Bin Table'!$A$10:$A$132), MATCH(P76, '[3]Alt Est Detailed Bin Table'!$DB$9:$DI$9,0)), INDEX('[3]Detailed Bin Table'!$DB$9:$DI$132,MATCH($A76,'[3]Detailed Bin Table'!$A$9:$A$132,0),MATCH($B76,'[3]Detailed Bin Table'!$DB$9:$DI$9,0)))*24)</f>
        <v>10029.119999999999</v>
      </c>
      <c r="P76" s="215"/>
      <c r="Q76" s="62"/>
      <c r="R76" s="63"/>
      <c r="S76" s="63"/>
      <c r="T76" s="63"/>
      <c r="U76" s="63"/>
      <c r="V76" s="63"/>
      <c r="W76" s="64"/>
      <c r="X76" s="63"/>
      <c r="Y76" s="63"/>
      <c r="Z76" s="63"/>
      <c r="AA76" s="65"/>
      <c r="AB76" s="213" t="str">
        <f>IF(SUM(E76:O76)='[1]Passage Estimates'!$D76, "Ok", "Check")</f>
        <v>Ok</v>
      </c>
    </row>
    <row r="77" spans="1:28" x14ac:dyDescent="0.3">
      <c r="A77" s="20">
        <f>'1. Mixture Model Inputs'!A77</f>
        <v>45179</v>
      </c>
      <c r="B77" s="13" t="str">
        <f>'[1]Passage Estimates'!$C77</f>
        <v>A1+S1+M2+A2</v>
      </c>
      <c r="C77" s="206">
        <v>11194</v>
      </c>
      <c r="D77" s="206">
        <v>29216</v>
      </c>
      <c r="E77" s="34">
        <f>IF(B77="Custom", Q77, IF(B77="Imputation", INDEX('[3]Alt Est Detailed Bin Table'!$B$10:$M$132, MATCH(A77, '[3]Alt Est Detailed Bin Table'!$A$10:$A$132), MATCH(P77, '[3]Alt Est Detailed Bin Table'!$B$9:$M$9,0)), INDEX('[3]Detailed Bin Table'!$B$9:$M$132,MATCH($A77,'[3]Detailed Bin Table'!$A$9:$A$132,0),MATCH($B77,'[3]Detailed Bin Table'!$B$9:$M$9,0)))*24)</f>
        <v>40410</v>
      </c>
      <c r="F77" s="34">
        <f>IF(B77="Custom", Q77, IF(B77="Imputation", INDEX('[3]Alt Est Detailed Bin Table'!$N$10:$Y$132, MATCH(A77, '[3]Alt Est Detailed Bin Table'!$A$10:$A$132), MATCH(P77, '[3]Alt Est Detailed Bin Table'!$N$9:$Y$9,0)), INDEX('[3]Detailed Bin Table'!$N$9:$Y$132,MATCH($A77,'[3]Detailed Bin Table'!$A$9:$A$132,0),MATCH($B77,'[3]Detailed Bin Table'!$N$9:$Y$9,0)))*24)</f>
        <v>80944.56</v>
      </c>
      <c r="G77" s="34">
        <f>IF(B77="Custom", Q77, IF(B77="Imputation", INDEX('[3]Alt Est Detailed Bin Table'!$Z$10:$AK$132, MATCH(A77, '[3]Alt Est Detailed Bin Table'!$A$10:$A$132), MATCH(P77, '[3]Alt Est Detailed Bin Table'!$Z$9:$AK$9,0)), INDEX('[3]Detailed Bin Table'!$Z$9:$AK$132,MATCH($A77,'[3]Detailed Bin Table'!$A$9:$A$132,0),MATCH($B77,'[3]Detailed Bin Table'!$Z$9:$AK$9,0)))*24)</f>
        <v>83615.040000000008</v>
      </c>
      <c r="H77" s="34">
        <f>IF(B77="Custom", Q77, IF(B77="Imputation", INDEX('[3]Alt Est Detailed Bin Table'!$AL$10:$AW$132, MATCH(A77, '[3]Alt Est Detailed Bin Table'!$A$10:$A$132), MATCH(P77, '[3]Alt Est Detailed Bin Table'!$AL$9:$AW$9,0)), INDEX('[3]Detailed Bin Table'!$AL$9:$AW$132,MATCH($A77,'[3]Detailed Bin Table'!$A$9:$A$132,0),MATCH($B77,'[3]Detailed Bin Table'!$AL$9:$AW$9,0)))*24)</f>
        <v>33607.919999999998</v>
      </c>
      <c r="I77" s="34">
        <f>IF(B77="Custom", Q77, IF(B77="Imputation", INDEX('[3]Alt Est Detailed Bin Table'!$AX$10:$BI$132, MATCH(A77, '[3]Alt Est Detailed Bin Table'!$A$10:$A$132), MATCH(P77, '[3]Alt Est Detailed Bin Table'!$AX$9:$BI$9,0)), INDEX('[3]Detailed Bin Table'!$AX$9:$BI$132,MATCH($A77,'[3]Detailed Bin Table'!$A$9:$A$132,0),MATCH($B77,'[3]Detailed Bin Table'!$AX$9:$BI$9,0)))*24)</f>
        <v>11256.48</v>
      </c>
      <c r="J77" s="222">
        <f>IF(B77="Custom", Q77, IF(B77="Imputation", INDEX('[3]Alt Est Detailed Bin Table'!$BJ$10:$BO$132, MATCH(A77, '[3]Alt Est Detailed Bin Table'!$A$10:$A$132), MATCH(P77, '[3]Alt Est Detailed Bin Table'!$BJ$9:$BO$9,0)), INDEX('[3]Detailed Bin Table'!$BJ$9:$BO$132,MATCH($A77,'[3]Detailed Bin Table'!$A$9:$A$132,0),MATCH($B77,'[3]Detailed Bin Table'!$BJ$9:$BO$9,0)))*24)</f>
        <v>0</v>
      </c>
      <c r="K77" s="33">
        <f>IF(B77="Custom", Q77, IF(B77="Imputation", INDEX('[3]Alt Est Detailed Bin Table'!$BP$10:$CC$132, MATCH(A77, '[3]Alt Est Detailed Bin Table'!$A$10:$A$132), MATCH(P77, '[3]Alt Est Detailed Bin Table'!$BP$9:$CC$9,0)), INDEX('[3]Detailed Bin Table'!$BP$9:$CC$132,MATCH($A77,'[3]Detailed Bin Table'!$A$9:$A$132,0),MATCH($B77,'[3]Detailed Bin Table'!$BP$9:$CC$9,0)))*24)</f>
        <v>51227.279999999941</v>
      </c>
      <c r="L77" s="223">
        <f>IF(B77="Custom", Q77, IF(B77="Imputation", INDEX('[3]Alt Est Detailed Bin Table'!$CD$10:$CK$132, MATCH(A77, '[3]Alt Est Detailed Bin Table'!$A$10:$A$132), MATCH(P77, '[3]Alt Est Detailed Bin Table'!$CD$9:$CK$9,0)), INDEX('[3]Detailed Bin Table'!$CD$9:$CK$132,MATCH($A77,'[3]Detailed Bin Table'!$A$9:$A$132,0),MATCH($B77,'[3]Detailed Bin Table'!$CD$9:$CK$9,0)))*24)</f>
        <v>3636.4800000000005</v>
      </c>
      <c r="M77" s="34">
        <f>IF(B77="Custom", Q77, IF(B77="Imputation", INDEX('[3]Alt Est Detailed Bin Table'!$CL$10:$CS$132, MATCH(A77, '[3]Alt Est Detailed Bin Table'!$A$10:$A$132), MATCH(P77, '[3]Alt Est Detailed Bin Table'!$CL$9:$CS$9,0)), INDEX('[3]Detailed Bin Table'!$CL$9:$CS$132,MATCH($A77,'[3]Detailed Bin Table'!$A$9:$A$132,0),MATCH($B77,'[3]Detailed Bin Table'!$CL$9:$CS$9,0)))*24)</f>
        <v>10852.56</v>
      </c>
      <c r="N77" s="34">
        <f>IF(B77="Custom", Q77, IF(B77="Imputation", INDEX('[3]Alt Est Detailed Bin Table'!$CT$10:$DA$132, MATCH(A77, '[3]Alt Est Detailed Bin Table'!$A$10:$A$132), MATCH(P77, '[3]Alt Est Detailed Bin Table'!$CT$9:$DA$9,0)), INDEX('[3]Detailed Bin Table'!$CT$9:$DA$132,MATCH($A77,'[3]Detailed Bin Table'!$A$9:$A$132,0),MATCH($B77,'[3]Detailed Bin Table'!$CT$9:$DA$9,0)))*24)</f>
        <v>13497.119999999999</v>
      </c>
      <c r="O77" s="222">
        <f>IF(B77="Custom", Q77, IF(B77="Imputation", INDEX('[3]Alt Est Detailed Bin Table'!$DB$10:$DI$132, MATCH(A77, '[3]Alt Est Detailed Bin Table'!$A$10:$A$132), MATCH(P77, '[3]Alt Est Detailed Bin Table'!$DB$9:$DI$9,0)), INDEX('[3]Detailed Bin Table'!$DB$9:$DI$132,MATCH($A77,'[3]Detailed Bin Table'!$A$9:$A$132,0),MATCH($B77,'[3]Detailed Bin Table'!$DB$9:$DI$9,0)))*24)</f>
        <v>24983.760000000002</v>
      </c>
      <c r="P77" s="215"/>
      <c r="Q77" s="62"/>
      <c r="R77" s="63"/>
      <c r="S77" s="63"/>
      <c r="T77" s="63"/>
      <c r="U77" s="63"/>
      <c r="V77" s="63"/>
      <c r="W77" s="64"/>
      <c r="X77" s="63"/>
      <c r="Y77" s="63"/>
      <c r="Z77" s="63"/>
      <c r="AA77" s="65"/>
      <c r="AB77" s="213" t="str">
        <f>IF(SUM(E77:O77)='[1]Passage Estimates'!$D77, "Ok", "Check")</f>
        <v>Ok</v>
      </c>
    </row>
    <row r="78" spans="1:28" x14ac:dyDescent="0.3">
      <c r="A78" s="20">
        <f>'1. Mixture Model Inputs'!A78</f>
        <v>45180</v>
      </c>
      <c r="B78" s="13" t="str">
        <f>'[1]Passage Estimates'!$C78</f>
        <v>A1+S1+M2+A2</v>
      </c>
      <c r="C78" s="206">
        <v>29320</v>
      </c>
      <c r="D78" s="206">
        <v>103319</v>
      </c>
      <c r="E78" s="34">
        <f>IF(B78="Custom", Q78, IF(B78="Imputation", INDEX('[3]Alt Est Detailed Bin Table'!$B$10:$M$132, MATCH(A78, '[3]Alt Est Detailed Bin Table'!$A$10:$A$132), MATCH(P78, '[3]Alt Est Detailed Bin Table'!$B$9:$M$9,0)), INDEX('[3]Detailed Bin Table'!$B$9:$M$132,MATCH($A78,'[3]Detailed Bin Table'!$A$9:$A$132,0),MATCH($B78,'[3]Detailed Bin Table'!$B$9:$M$9,0)))*24)</f>
        <v>132638.63999999998</v>
      </c>
      <c r="F78" s="34">
        <f>IF(B78="Custom", Q78, IF(B78="Imputation", INDEX('[3]Alt Est Detailed Bin Table'!$N$10:$Y$132, MATCH(A78, '[3]Alt Est Detailed Bin Table'!$A$10:$A$132), MATCH(P78, '[3]Alt Est Detailed Bin Table'!$N$9:$Y$9,0)), INDEX('[3]Detailed Bin Table'!$N$9:$Y$132,MATCH($A78,'[3]Detailed Bin Table'!$A$9:$A$132,0),MATCH($B78,'[3]Detailed Bin Table'!$N$9:$Y$9,0)))*24)</f>
        <v>172693.68</v>
      </c>
      <c r="G78" s="34">
        <f>IF(B78="Custom", Q78, IF(B78="Imputation", INDEX('[3]Alt Est Detailed Bin Table'!$Z$10:$AK$132, MATCH(A78, '[3]Alt Est Detailed Bin Table'!$A$10:$A$132), MATCH(P78, '[3]Alt Est Detailed Bin Table'!$Z$9:$AK$9,0)), INDEX('[3]Detailed Bin Table'!$Z$9:$AK$132,MATCH($A78,'[3]Detailed Bin Table'!$A$9:$A$132,0),MATCH($B78,'[3]Detailed Bin Table'!$Z$9:$AK$9,0)))*24)</f>
        <v>135132</v>
      </c>
      <c r="H78" s="34">
        <f>IF(B78="Custom", Q78, IF(B78="Imputation", INDEX('[3]Alt Est Detailed Bin Table'!$AL$10:$AW$132, MATCH(A78, '[3]Alt Est Detailed Bin Table'!$A$10:$A$132), MATCH(P78, '[3]Alt Est Detailed Bin Table'!$AL$9:$AW$9,0)), INDEX('[3]Detailed Bin Table'!$AL$9:$AW$132,MATCH($A78,'[3]Detailed Bin Table'!$A$9:$A$132,0),MATCH($B78,'[3]Detailed Bin Table'!$AL$9:$AW$9,0)))*24)</f>
        <v>45954.720000000001</v>
      </c>
      <c r="I78" s="34">
        <f>IF(B78="Custom", Q78, IF(B78="Imputation", INDEX('[3]Alt Est Detailed Bin Table'!$AX$10:$BI$132, MATCH(A78, '[3]Alt Est Detailed Bin Table'!$A$10:$A$132), MATCH(P78, '[3]Alt Est Detailed Bin Table'!$AX$9:$BI$9,0)), INDEX('[3]Detailed Bin Table'!$AX$9:$BI$132,MATCH($A78,'[3]Detailed Bin Table'!$A$9:$A$132,0),MATCH($B78,'[3]Detailed Bin Table'!$AX$9:$BI$9,0)))*24)</f>
        <v>14035.440000000002</v>
      </c>
      <c r="J78" s="222">
        <f>IF(B78="Custom", Q78, IF(B78="Imputation", INDEX('[3]Alt Est Detailed Bin Table'!$BJ$10:$BO$132, MATCH(A78, '[3]Alt Est Detailed Bin Table'!$A$10:$A$132), MATCH(P78, '[3]Alt Est Detailed Bin Table'!$BJ$9:$BO$9,0)), INDEX('[3]Detailed Bin Table'!$BJ$9:$BO$132,MATCH($A78,'[3]Detailed Bin Table'!$A$9:$A$132,0),MATCH($B78,'[3]Detailed Bin Table'!$BJ$9:$BO$9,0)))*24)</f>
        <v>0</v>
      </c>
      <c r="K78" s="33">
        <f>IF(B78="Custom", Q78, IF(B78="Imputation", INDEX('[3]Alt Est Detailed Bin Table'!$BP$10:$CC$132, MATCH(A78, '[3]Alt Est Detailed Bin Table'!$A$10:$A$132), MATCH(P78, '[3]Alt Est Detailed Bin Table'!$BP$9:$CC$9,0)), INDEX('[3]Detailed Bin Table'!$BP$9:$CC$132,MATCH($A78,'[3]Detailed Bin Table'!$A$9:$A$132,0),MATCH($B78,'[3]Detailed Bin Table'!$BP$9:$CC$9,0)))*24)</f>
        <v>71606.88000000015</v>
      </c>
      <c r="L78" s="223">
        <f>IF(B78="Custom", Q78, IF(B78="Imputation", INDEX('[3]Alt Est Detailed Bin Table'!$CD$10:$CK$132, MATCH(A78, '[3]Alt Est Detailed Bin Table'!$A$10:$A$132), MATCH(P78, '[3]Alt Est Detailed Bin Table'!$CD$9:$CK$9,0)), INDEX('[3]Detailed Bin Table'!$CD$9:$CK$132,MATCH($A78,'[3]Detailed Bin Table'!$A$9:$A$132,0),MATCH($B78,'[3]Detailed Bin Table'!$CD$9:$CK$9,0)))*24)</f>
        <v>3058.8</v>
      </c>
      <c r="M78" s="34">
        <f>IF(B78="Custom", Q78, IF(B78="Imputation", INDEX('[3]Alt Est Detailed Bin Table'!$CL$10:$CS$132, MATCH(A78, '[3]Alt Est Detailed Bin Table'!$A$10:$A$132), MATCH(P78, '[3]Alt Est Detailed Bin Table'!$CL$9:$CS$9,0)), INDEX('[3]Detailed Bin Table'!$CL$9:$CS$132,MATCH($A78,'[3]Detailed Bin Table'!$A$9:$A$132,0),MATCH($B78,'[3]Detailed Bin Table'!$CL$9:$CS$9,0)))*24)</f>
        <v>8583.84</v>
      </c>
      <c r="N78" s="34">
        <f>IF(B78="Custom", Q78, IF(B78="Imputation", INDEX('[3]Alt Est Detailed Bin Table'!$CT$10:$DA$132, MATCH(A78, '[3]Alt Est Detailed Bin Table'!$A$10:$A$132), MATCH(P78, '[3]Alt Est Detailed Bin Table'!$CT$9:$DA$9,0)), INDEX('[3]Detailed Bin Table'!$CT$9:$DA$132,MATCH($A78,'[3]Detailed Bin Table'!$A$9:$A$132,0),MATCH($B78,'[3]Detailed Bin Table'!$CT$9:$DA$9,0)))*24)</f>
        <v>13273.68</v>
      </c>
      <c r="O78" s="222">
        <f>IF(B78="Custom", Q78, IF(B78="Imputation", INDEX('[3]Alt Est Detailed Bin Table'!$DB$10:$DI$132, MATCH(A78, '[3]Alt Est Detailed Bin Table'!$A$10:$A$132), MATCH(P78, '[3]Alt Est Detailed Bin Table'!$DB$9:$DI$9,0)), INDEX('[3]Detailed Bin Table'!$DB$9:$DI$132,MATCH($A78,'[3]Detailed Bin Table'!$A$9:$A$132,0),MATCH($B78,'[3]Detailed Bin Table'!$DB$9:$DI$9,0)))*24)</f>
        <v>30634.32</v>
      </c>
      <c r="P78" s="215"/>
      <c r="Q78" s="62"/>
      <c r="R78" s="63"/>
      <c r="S78" s="63"/>
      <c r="T78" s="63"/>
      <c r="U78" s="63"/>
      <c r="V78" s="63"/>
      <c r="W78" s="64"/>
      <c r="X78" s="63"/>
      <c r="Y78" s="63"/>
      <c r="Z78" s="63"/>
      <c r="AA78" s="65"/>
      <c r="AB78" s="213" t="str">
        <f>IF(SUM(E78:O78)='[1]Passage Estimates'!$D78, "Ok", "Check")</f>
        <v>Ok</v>
      </c>
    </row>
    <row r="79" spans="1:28" x14ac:dyDescent="0.3">
      <c r="A79" s="20">
        <f>'1. Mixture Model Inputs'!A79</f>
        <v>45181</v>
      </c>
      <c r="B79" s="13" t="str">
        <f>'[1]Passage Estimates'!$C79</f>
        <v>A1+S1+M2+A2</v>
      </c>
      <c r="C79" s="206">
        <v>85930</v>
      </c>
      <c r="D79" s="206">
        <v>118117</v>
      </c>
      <c r="E79" s="34">
        <f>IF(B79="Custom", Q79, IF(B79="Imputation", INDEX('[3]Alt Est Detailed Bin Table'!$B$10:$M$132, MATCH(A79, '[3]Alt Est Detailed Bin Table'!$A$10:$A$132), MATCH(P79, '[3]Alt Est Detailed Bin Table'!$B$9:$M$9,0)), INDEX('[3]Detailed Bin Table'!$B$9:$M$132,MATCH($A79,'[3]Detailed Bin Table'!$A$9:$A$132,0),MATCH($B79,'[3]Detailed Bin Table'!$B$9:$M$9,0)))*24)</f>
        <v>204046.56</v>
      </c>
      <c r="F79" s="34">
        <f>IF(B79="Custom", Q79, IF(B79="Imputation", INDEX('[3]Alt Est Detailed Bin Table'!$N$10:$Y$132, MATCH(A79, '[3]Alt Est Detailed Bin Table'!$A$10:$A$132), MATCH(P79, '[3]Alt Est Detailed Bin Table'!$N$9:$Y$9,0)), INDEX('[3]Detailed Bin Table'!$N$9:$Y$132,MATCH($A79,'[3]Detailed Bin Table'!$A$9:$A$132,0),MATCH($B79,'[3]Detailed Bin Table'!$N$9:$Y$9,0)))*24)</f>
        <v>205100.64</v>
      </c>
      <c r="G79" s="34">
        <f>IF(B79="Custom", Q79, IF(B79="Imputation", INDEX('[3]Alt Est Detailed Bin Table'!$Z$10:$AK$132, MATCH(A79, '[3]Alt Est Detailed Bin Table'!$A$10:$A$132), MATCH(P79, '[3]Alt Est Detailed Bin Table'!$Z$9:$AK$9,0)), INDEX('[3]Detailed Bin Table'!$Z$9:$AK$132,MATCH($A79,'[3]Detailed Bin Table'!$A$9:$A$132,0),MATCH($B79,'[3]Detailed Bin Table'!$Z$9:$AK$9,0)))*24)</f>
        <v>137148</v>
      </c>
      <c r="H79" s="34">
        <f>IF(B79="Custom", Q79, IF(B79="Imputation", INDEX('[3]Alt Est Detailed Bin Table'!$AL$10:$AW$132, MATCH(A79, '[3]Alt Est Detailed Bin Table'!$A$10:$A$132), MATCH(P79, '[3]Alt Est Detailed Bin Table'!$AL$9:$AW$9,0)), INDEX('[3]Detailed Bin Table'!$AL$9:$AW$132,MATCH($A79,'[3]Detailed Bin Table'!$A$9:$A$132,0),MATCH($B79,'[3]Detailed Bin Table'!$AL$9:$AW$9,0)))*24)</f>
        <v>30960</v>
      </c>
      <c r="I79" s="34">
        <f>IF(B79="Custom", Q79, IF(B79="Imputation", INDEX('[3]Alt Est Detailed Bin Table'!$AX$10:$BI$132, MATCH(A79, '[3]Alt Est Detailed Bin Table'!$A$10:$A$132), MATCH(P79, '[3]Alt Est Detailed Bin Table'!$AX$9:$BI$9,0)), INDEX('[3]Detailed Bin Table'!$AX$9:$BI$132,MATCH($A79,'[3]Detailed Bin Table'!$A$9:$A$132,0),MATCH($B79,'[3]Detailed Bin Table'!$AX$9:$BI$9,0)))*24)</f>
        <v>12898.320000000002</v>
      </c>
      <c r="J79" s="222">
        <f>IF(B79="Custom", Q79, IF(B79="Imputation", INDEX('[3]Alt Est Detailed Bin Table'!$BJ$10:$BO$132, MATCH(A79, '[3]Alt Est Detailed Bin Table'!$A$10:$A$132), MATCH(P79, '[3]Alt Est Detailed Bin Table'!$BJ$9:$BO$9,0)), INDEX('[3]Detailed Bin Table'!$BJ$9:$BO$132,MATCH($A79,'[3]Detailed Bin Table'!$A$9:$A$132,0),MATCH($B79,'[3]Detailed Bin Table'!$BJ$9:$BO$9,0)))*24)</f>
        <v>0</v>
      </c>
      <c r="K79" s="33">
        <f>IF(B79="Custom", Q79, IF(B79="Imputation", INDEX('[3]Alt Est Detailed Bin Table'!$BP$10:$CC$132, MATCH(A79, '[3]Alt Est Detailed Bin Table'!$A$10:$A$132), MATCH(P79, '[3]Alt Est Detailed Bin Table'!$BP$9:$CC$9,0)), INDEX('[3]Detailed Bin Table'!$BP$9:$CC$132,MATCH($A79,'[3]Detailed Bin Table'!$A$9:$A$132,0),MATCH($B79,'[3]Detailed Bin Table'!$BP$9:$CC$9,0)))*24)</f>
        <v>43404.480000000272</v>
      </c>
      <c r="L79" s="223">
        <f>IF(B79="Custom", Q79, IF(B79="Imputation", INDEX('[3]Alt Est Detailed Bin Table'!$CD$10:$CK$132, MATCH(A79, '[3]Alt Est Detailed Bin Table'!$A$10:$A$132), MATCH(P79, '[3]Alt Est Detailed Bin Table'!$CD$9:$CK$9,0)), INDEX('[3]Detailed Bin Table'!$CD$9:$CK$132,MATCH($A79,'[3]Detailed Bin Table'!$A$9:$A$132,0),MATCH($B79,'[3]Detailed Bin Table'!$CD$9:$CK$9,0)))*24)</f>
        <v>680.40000000000009</v>
      </c>
      <c r="M79" s="34">
        <f>IF(B79="Custom", Q79, IF(B79="Imputation", INDEX('[3]Alt Est Detailed Bin Table'!$CL$10:$CS$132, MATCH(A79, '[3]Alt Est Detailed Bin Table'!$A$10:$A$132), MATCH(P79, '[3]Alt Est Detailed Bin Table'!$CL$9:$CS$9,0)), INDEX('[3]Detailed Bin Table'!$CL$9:$CS$132,MATCH($A79,'[3]Detailed Bin Table'!$A$9:$A$132,0),MATCH($B79,'[3]Detailed Bin Table'!$CL$9:$CS$9,0)))*24)</f>
        <v>1558.8000000000002</v>
      </c>
      <c r="N79" s="34">
        <f>IF(B79="Custom", Q79, IF(B79="Imputation", INDEX('[3]Alt Est Detailed Bin Table'!$CT$10:$DA$132, MATCH(A79, '[3]Alt Est Detailed Bin Table'!$A$10:$A$132), MATCH(P79, '[3]Alt Est Detailed Bin Table'!$CT$9:$DA$9,0)), INDEX('[3]Detailed Bin Table'!$CT$9:$DA$132,MATCH($A79,'[3]Detailed Bin Table'!$A$9:$A$132,0),MATCH($B79,'[3]Detailed Bin Table'!$CT$9:$DA$9,0)))*24)</f>
        <v>8982.9600000000009</v>
      </c>
      <c r="O79" s="222">
        <f>IF(B79="Custom", Q79, IF(B79="Imputation", INDEX('[3]Alt Est Detailed Bin Table'!$DB$10:$DI$132, MATCH(A79, '[3]Alt Est Detailed Bin Table'!$A$10:$A$132), MATCH(P79, '[3]Alt Est Detailed Bin Table'!$DB$9:$DI$9,0)), INDEX('[3]Detailed Bin Table'!$DB$9:$DI$132,MATCH($A79,'[3]Detailed Bin Table'!$A$9:$A$132,0),MATCH($B79,'[3]Detailed Bin Table'!$DB$9:$DI$9,0)))*24)</f>
        <v>26996.159999999996</v>
      </c>
      <c r="P79" s="215"/>
      <c r="Q79" s="62"/>
      <c r="R79" s="63"/>
      <c r="S79" s="63"/>
      <c r="T79" s="63"/>
      <c r="U79" s="63"/>
      <c r="V79" s="63"/>
      <c r="W79" s="64"/>
      <c r="X79" s="63"/>
      <c r="Y79" s="63"/>
      <c r="Z79" s="63"/>
      <c r="AA79" s="65"/>
      <c r="AB79" s="213" t="str">
        <f>IF(SUM(E79:O79)='[1]Passage Estimates'!$D79, "Ok", "Check")</f>
        <v>Ok</v>
      </c>
    </row>
    <row r="80" spans="1:28" x14ac:dyDescent="0.3">
      <c r="A80" s="20">
        <f>'1. Mixture Model Inputs'!A80</f>
        <v>45182</v>
      </c>
      <c r="B80" s="13" t="str">
        <f>'[1]Passage Estimates'!$C80</f>
        <v>A1+S1+M2+A2</v>
      </c>
      <c r="C80" s="206">
        <v>36755</v>
      </c>
      <c r="D80" s="206">
        <v>54309</v>
      </c>
      <c r="E80" s="34">
        <f>IF(B80="Custom", Q80, IF(B80="Imputation", INDEX('[3]Alt Est Detailed Bin Table'!$B$10:$M$132, MATCH(A80, '[3]Alt Est Detailed Bin Table'!$A$10:$A$132), MATCH(P80, '[3]Alt Est Detailed Bin Table'!$B$9:$M$9,0)), INDEX('[3]Detailed Bin Table'!$B$9:$M$132,MATCH($A80,'[3]Detailed Bin Table'!$A$9:$A$132,0),MATCH($B80,'[3]Detailed Bin Table'!$B$9:$M$9,0)))*24)</f>
        <v>91063.200000000012</v>
      </c>
      <c r="F80" s="34">
        <f>IF(B80="Custom", Q80, IF(B80="Imputation", INDEX('[3]Alt Est Detailed Bin Table'!$N$10:$Y$132, MATCH(A80, '[3]Alt Est Detailed Bin Table'!$A$10:$A$132), MATCH(P80, '[3]Alt Est Detailed Bin Table'!$N$9:$Y$9,0)), INDEX('[3]Detailed Bin Table'!$N$9:$Y$132,MATCH($A80,'[3]Detailed Bin Table'!$A$9:$A$132,0),MATCH($B80,'[3]Detailed Bin Table'!$N$9:$Y$9,0)))*24)</f>
        <v>149767.67999999999</v>
      </c>
      <c r="G80" s="34">
        <f>IF(B80="Custom", Q80, IF(B80="Imputation", INDEX('[3]Alt Est Detailed Bin Table'!$Z$10:$AK$132, MATCH(A80, '[3]Alt Est Detailed Bin Table'!$A$10:$A$132), MATCH(P80, '[3]Alt Est Detailed Bin Table'!$Z$9:$AK$9,0)), INDEX('[3]Detailed Bin Table'!$Z$9:$AK$132,MATCH($A80,'[3]Detailed Bin Table'!$A$9:$A$132,0),MATCH($B80,'[3]Detailed Bin Table'!$Z$9:$AK$9,0)))*24)</f>
        <v>98826.959999999992</v>
      </c>
      <c r="H80" s="34">
        <f>IF(B80="Custom", Q80, IF(B80="Imputation", INDEX('[3]Alt Est Detailed Bin Table'!$AL$10:$AW$132, MATCH(A80, '[3]Alt Est Detailed Bin Table'!$A$10:$A$132), MATCH(P80, '[3]Alt Est Detailed Bin Table'!$AL$9:$AW$9,0)), INDEX('[3]Detailed Bin Table'!$AL$9:$AW$132,MATCH($A80,'[3]Detailed Bin Table'!$A$9:$A$132,0),MATCH($B80,'[3]Detailed Bin Table'!$AL$9:$AW$9,0)))*24)</f>
        <v>31849.199999999997</v>
      </c>
      <c r="I80" s="34">
        <f>IF(B80="Custom", Q80, IF(B80="Imputation", INDEX('[3]Alt Est Detailed Bin Table'!$AX$10:$BI$132, MATCH(A80, '[3]Alt Est Detailed Bin Table'!$A$10:$A$132), MATCH(P80, '[3]Alt Est Detailed Bin Table'!$AX$9:$BI$9,0)), INDEX('[3]Detailed Bin Table'!$AX$9:$BI$132,MATCH($A80,'[3]Detailed Bin Table'!$A$9:$A$132,0),MATCH($B80,'[3]Detailed Bin Table'!$AX$9:$BI$9,0)))*24)</f>
        <v>12033.36</v>
      </c>
      <c r="J80" s="222">
        <f>IF(B80="Custom", Q80, IF(B80="Imputation", INDEX('[3]Alt Est Detailed Bin Table'!$BJ$10:$BO$132, MATCH(A80, '[3]Alt Est Detailed Bin Table'!$A$10:$A$132), MATCH(P80, '[3]Alt Est Detailed Bin Table'!$BJ$9:$BO$9,0)), INDEX('[3]Detailed Bin Table'!$BJ$9:$BO$132,MATCH($A80,'[3]Detailed Bin Table'!$A$9:$A$132,0),MATCH($B80,'[3]Detailed Bin Table'!$BJ$9:$BO$9,0)))*24)</f>
        <v>0</v>
      </c>
      <c r="K80" s="33">
        <f>IF(B80="Custom", Q80, IF(B80="Imputation", INDEX('[3]Alt Est Detailed Bin Table'!$BP$10:$CC$132, MATCH(A80, '[3]Alt Est Detailed Bin Table'!$A$10:$A$132), MATCH(P80, '[3]Alt Est Detailed Bin Table'!$BP$9:$CC$9,0)), INDEX('[3]Detailed Bin Table'!$BP$9:$CC$132,MATCH($A80,'[3]Detailed Bin Table'!$A$9:$A$132,0),MATCH($B80,'[3]Detailed Bin Table'!$BP$9:$CC$9,0)))*24)</f>
        <v>116494.08000000005</v>
      </c>
      <c r="L80" s="223">
        <f>IF(B80="Custom", Q80, IF(B80="Imputation", INDEX('[3]Alt Est Detailed Bin Table'!$CD$10:$CK$132, MATCH(A80, '[3]Alt Est Detailed Bin Table'!$A$10:$A$132), MATCH(P80, '[3]Alt Est Detailed Bin Table'!$CD$9:$CK$9,0)), INDEX('[3]Detailed Bin Table'!$CD$9:$CK$132,MATCH($A80,'[3]Detailed Bin Table'!$A$9:$A$132,0),MATCH($B80,'[3]Detailed Bin Table'!$CD$9:$CK$9,0)))*24)</f>
        <v>-803.28</v>
      </c>
      <c r="M80" s="34">
        <f>IF(B80="Custom", Q80, IF(B80="Imputation", INDEX('[3]Alt Est Detailed Bin Table'!$CL$10:$CS$132, MATCH(A80, '[3]Alt Est Detailed Bin Table'!$A$10:$A$132), MATCH(P80, '[3]Alt Est Detailed Bin Table'!$CL$9:$CS$9,0)), INDEX('[3]Detailed Bin Table'!$CL$9:$CS$132,MATCH($A80,'[3]Detailed Bin Table'!$A$9:$A$132,0),MATCH($B80,'[3]Detailed Bin Table'!$CL$9:$CS$9,0)))*24)</f>
        <v>1313.52</v>
      </c>
      <c r="N80" s="34">
        <f>IF(B80="Custom", Q80, IF(B80="Imputation", INDEX('[3]Alt Est Detailed Bin Table'!$CT$10:$DA$132, MATCH(A80, '[3]Alt Est Detailed Bin Table'!$A$10:$A$132), MATCH(P80, '[3]Alt Est Detailed Bin Table'!$CT$9:$DA$9,0)), INDEX('[3]Detailed Bin Table'!$CT$9:$DA$132,MATCH($A80,'[3]Detailed Bin Table'!$A$9:$A$132,0),MATCH($B80,'[3]Detailed Bin Table'!$CT$9:$DA$9,0)))*24)</f>
        <v>10118.16</v>
      </c>
      <c r="O80" s="222">
        <f>IF(B80="Custom", Q80, IF(B80="Imputation", INDEX('[3]Alt Est Detailed Bin Table'!$DB$10:$DI$132, MATCH(A80, '[3]Alt Est Detailed Bin Table'!$A$10:$A$132), MATCH(P80, '[3]Alt Est Detailed Bin Table'!$DB$9:$DI$9,0)), INDEX('[3]Detailed Bin Table'!$DB$9:$DI$132,MATCH($A80,'[3]Detailed Bin Table'!$A$9:$A$132,0),MATCH($B80,'[3]Detailed Bin Table'!$DB$9:$DI$9,0)))*24)</f>
        <v>29897.760000000002</v>
      </c>
      <c r="P80" s="215"/>
      <c r="Q80" s="62"/>
      <c r="R80" s="63"/>
      <c r="S80" s="63"/>
      <c r="T80" s="63"/>
      <c r="U80" s="63"/>
      <c r="V80" s="63"/>
      <c r="W80" s="64"/>
      <c r="X80" s="63"/>
      <c r="Y80" s="63"/>
      <c r="Z80" s="63"/>
      <c r="AA80" s="65"/>
      <c r="AB80" s="213" t="str">
        <f>IF(SUM(E80:O80)='[1]Passage Estimates'!$D80, "Ok", "Check")</f>
        <v>Ok</v>
      </c>
    </row>
    <row r="81" spans="1:28" x14ac:dyDescent="0.3">
      <c r="A81" s="20">
        <f>'1. Mixture Model Inputs'!A81</f>
        <v>45183</v>
      </c>
      <c r="B81" s="13" t="str">
        <f>'[1]Passage Estimates'!$C81</f>
        <v>A1+S1+M2+A2</v>
      </c>
      <c r="C81" s="206">
        <v>9228</v>
      </c>
      <c r="D81" s="206">
        <v>34862</v>
      </c>
      <c r="E81" s="34">
        <f>IF(B81="Custom", Q81, IF(B81="Imputation", INDEX('[3]Alt Est Detailed Bin Table'!$B$10:$M$132, MATCH(A81, '[3]Alt Est Detailed Bin Table'!$A$10:$A$132), MATCH(P81, '[3]Alt Est Detailed Bin Table'!$B$9:$M$9,0)), INDEX('[3]Detailed Bin Table'!$B$9:$M$132,MATCH($A81,'[3]Detailed Bin Table'!$A$9:$A$132,0),MATCH($B81,'[3]Detailed Bin Table'!$B$9:$M$9,0)))*24)</f>
        <v>44089.2</v>
      </c>
      <c r="F81" s="34">
        <f>IF(B81="Custom", Q81, IF(B81="Imputation", INDEX('[3]Alt Est Detailed Bin Table'!$N$10:$Y$132, MATCH(A81, '[3]Alt Est Detailed Bin Table'!$A$10:$A$132), MATCH(P81, '[3]Alt Est Detailed Bin Table'!$N$9:$Y$9,0)), INDEX('[3]Detailed Bin Table'!$N$9:$Y$132,MATCH($A81,'[3]Detailed Bin Table'!$A$9:$A$132,0),MATCH($B81,'[3]Detailed Bin Table'!$N$9:$Y$9,0)))*24)</f>
        <v>50225.04</v>
      </c>
      <c r="G81" s="34">
        <f>IF(B81="Custom", Q81, IF(B81="Imputation", INDEX('[3]Alt Est Detailed Bin Table'!$Z$10:$AK$132, MATCH(A81, '[3]Alt Est Detailed Bin Table'!$A$10:$A$132), MATCH(P81, '[3]Alt Est Detailed Bin Table'!$Z$9:$AK$9,0)), INDEX('[3]Detailed Bin Table'!$Z$9:$AK$132,MATCH($A81,'[3]Detailed Bin Table'!$A$9:$A$132,0),MATCH($B81,'[3]Detailed Bin Table'!$Z$9:$AK$9,0)))*24)</f>
        <v>42377.520000000004</v>
      </c>
      <c r="H81" s="34">
        <f>IF(B81="Custom", Q81, IF(B81="Imputation", INDEX('[3]Alt Est Detailed Bin Table'!$AL$10:$AW$132, MATCH(A81, '[3]Alt Est Detailed Bin Table'!$A$10:$A$132), MATCH(P81, '[3]Alt Est Detailed Bin Table'!$AL$9:$AW$9,0)), INDEX('[3]Detailed Bin Table'!$AL$9:$AW$132,MATCH($A81,'[3]Detailed Bin Table'!$A$9:$A$132,0),MATCH($B81,'[3]Detailed Bin Table'!$AL$9:$AW$9,0)))*24)</f>
        <v>17058.48</v>
      </c>
      <c r="I81" s="34">
        <f>IF(B81="Custom", Q81, IF(B81="Imputation", INDEX('[3]Alt Est Detailed Bin Table'!$AX$10:$BI$132, MATCH(A81, '[3]Alt Est Detailed Bin Table'!$A$10:$A$132), MATCH(P81, '[3]Alt Est Detailed Bin Table'!$AX$9:$BI$9,0)), INDEX('[3]Detailed Bin Table'!$AX$9:$BI$132,MATCH($A81,'[3]Detailed Bin Table'!$A$9:$A$132,0),MATCH($B81,'[3]Detailed Bin Table'!$AX$9:$BI$9,0)))*24)</f>
        <v>10549.199999999999</v>
      </c>
      <c r="J81" s="222">
        <f>IF(B81="Custom", Q81, IF(B81="Imputation", INDEX('[3]Alt Est Detailed Bin Table'!$BJ$10:$BO$132, MATCH(A81, '[3]Alt Est Detailed Bin Table'!$A$10:$A$132), MATCH(P81, '[3]Alt Est Detailed Bin Table'!$BJ$9:$BO$9,0)), INDEX('[3]Detailed Bin Table'!$BJ$9:$BO$132,MATCH($A81,'[3]Detailed Bin Table'!$A$9:$A$132,0),MATCH($B81,'[3]Detailed Bin Table'!$BJ$9:$BO$9,0)))*24)</f>
        <v>0</v>
      </c>
      <c r="K81" s="33">
        <f>IF(B81="Custom", Q81, IF(B81="Imputation", INDEX('[3]Alt Est Detailed Bin Table'!$BP$10:$CC$132, MATCH(A81, '[3]Alt Est Detailed Bin Table'!$A$10:$A$132), MATCH(P81, '[3]Alt Est Detailed Bin Table'!$BP$9:$CC$9,0)), INDEX('[3]Detailed Bin Table'!$BP$9:$CC$132,MATCH($A81,'[3]Detailed Bin Table'!$A$9:$A$132,0),MATCH($B81,'[3]Detailed Bin Table'!$BP$9:$CC$9,0)))*24)</f>
        <v>67168.559999999838</v>
      </c>
      <c r="L81" s="223">
        <f>IF(B81="Custom", Q81, IF(B81="Imputation", INDEX('[3]Alt Est Detailed Bin Table'!$CD$10:$CK$132, MATCH(A81, '[3]Alt Est Detailed Bin Table'!$A$10:$A$132), MATCH(P81, '[3]Alt Est Detailed Bin Table'!$CD$9:$CK$9,0)), INDEX('[3]Detailed Bin Table'!$CD$9:$CK$132,MATCH($A81,'[3]Detailed Bin Table'!$A$9:$A$132,0),MATCH($B81,'[3]Detailed Bin Table'!$CD$9:$CK$9,0)))*24)</f>
        <v>227.76</v>
      </c>
      <c r="M81" s="34">
        <f>IF(B81="Custom", Q81, IF(B81="Imputation", INDEX('[3]Alt Est Detailed Bin Table'!$CL$10:$CS$132, MATCH(A81, '[3]Alt Est Detailed Bin Table'!$A$10:$A$132), MATCH(P81, '[3]Alt Est Detailed Bin Table'!$CL$9:$CS$9,0)), INDEX('[3]Detailed Bin Table'!$CL$9:$CS$132,MATCH($A81,'[3]Detailed Bin Table'!$A$9:$A$132,0),MATCH($B81,'[3]Detailed Bin Table'!$CL$9:$CS$9,0)))*24)</f>
        <v>1810.08</v>
      </c>
      <c r="N81" s="34">
        <f>IF(B81="Custom", Q81, IF(B81="Imputation", INDEX('[3]Alt Est Detailed Bin Table'!$CT$10:$DA$132, MATCH(A81, '[3]Alt Est Detailed Bin Table'!$A$10:$A$132), MATCH(P81, '[3]Alt Est Detailed Bin Table'!$CT$9:$DA$9,0)), INDEX('[3]Detailed Bin Table'!$CT$9:$DA$132,MATCH($A81,'[3]Detailed Bin Table'!$A$9:$A$132,0),MATCH($B81,'[3]Detailed Bin Table'!$CT$9:$DA$9,0)))*24)</f>
        <v>5717.5199999999995</v>
      </c>
      <c r="O81" s="222">
        <f>IF(B81="Custom", Q81, IF(B81="Imputation", INDEX('[3]Alt Est Detailed Bin Table'!$DB$10:$DI$132, MATCH(A81, '[3]Alt Est Detailed Bin Table'!$A$10:$A$132), MATCH(P81, '[3]Alt Est Detailed Bin Table'!$DB$9:$DI$9,0)), INDEX('[3]Detailed Bin Table'!$DB$9:$DI$132,MATCH($A81,'[3]Detailed Bin Table'!$A$9:$A$132,0),MATCH($B81,'[3]Detailed Bin Table'!$DB$9:$DI$9,0)))*24)</f>
        <v>24730.800000000003</v>
      </c>
      <c r="P81" s="215"/>
      <c r="Q81" s="62"/>
      <c r="R81" s="63"/>
      <c r="S81" s="63"/>
      <c r="T81" s="63"/>
      <c r="U81" s="63"/>
      <c r="V81" s="63"/>
      <c r="W81" s="64"/>
      <c r="X81" s="63"/>
      <c r="Y81" s="63"/>
      <c r="Z81" s="63"/>
      <c r="AA81" s="65"/>
      <c r="AB81" s="213" t="str">
        <f>IF(SUM(E81:O81)='[1]Passage Estimates'!$D81, "Ok", "Check")</f>
        <v>Ok</v>
      </c>
    </row>
    <row r="82" spans="1:28" x14ac:dyDescent="0.3">
      <c r="A82" s="20">
        <f>'1. Mixture Model Inputs'!A82</f>
        <v>45184</v>
      </c>
      <c r="B82" s="13" t="str">
        <f>'[1]Passage Estimates'!$C82</f>
        <v>A1+S1+M2+A2</v>
      </c>
      <c r="C82" s="206">
        <v>3745</v>
      </c>
      <c r="D82" s="206">
        <v>21490</v>
      </c>
      <c r="E82" s="34">
        <f>IF(B82="Custom", Q82, IF(B82="Imputation", INDEX('[3]Alt Est Detailed Bin Table'!$B$10:$M$132, MATCH(A82, '[3]Alt Est Detailed Bin Table'!$A$10:$A$132), MATCH(P82, '[3]Alt Est Detailed Bin Table'!$B$9:$M$9,0)), INDEX('[3]Detailed Bin Table'!$B$9:$M$132,MATCH($A82,'[3]Detailed Bin Table'!$A$9:$A$132,0),MATCH($B82,'[3]Detailed Bin Table'!$B$9:$M$9,0)))*24)</f>
        <v>25235.52</v>
      </c>
      <c r="F82" s="34">
        <f>IF(B82="Custom", Q82, IF(B82="Imputation", INDEX('[3]Alt Est Detailed Bin Table'!$N$10:$Y$132, MATCH(A82, '[3]Alt Est Detailed Bin Table'!$A$10:$A$132), MATCH(P82, '[3]Alt Est Detailed Bin Table'!$N$9:$Y$9,0)), INDEX('[3]Detailed Bin Table'!$N$9:$Y$132,MATCH($A82,'[3]Detailed Bin Table'!$A$9:$A$132,0),MATCH($B82,'[3]Detailed Bin Table'!$N$9:$Y$9,0)))*24)</f>
        <v>37182.720000000001</v>
      </c>
      <c r="G82" s="34">
        <f>IF(B82="Custom", Q82, IF(B82="Imputation", INDEX('[3]Alt Est Detailed Bin Table'!$Z$10:$AK$132, MATCH(A82, '[3]Alt Est Detailed Bin Table'!$A$10:$A$132), MATCH(P82, '[3]Alt Est Detailed Bin Table'!$Z$9:$AK$9,0)), INDEX('[3]Detailed Bin Table'!$Z$9:$AK$132,MATCH($A82,'[3]Detailed Bin Table'!$A$9:$A$132,0),MATCH($B82,'[3]Detailed Bin Table'!$Z$9:$AK$9,0)))*24)</f>
        <v>37024.559999999998</v>
      </c>
      <c r="H82" s="34">
        <f>IF(B82="Custom", Q82, IF(B82="Imputation", INDEX('[3]Alt Est Detailed Bin Table'!$AL$10:$AW$132, MATCH(A82, '[3]Alt Est Detailed Bin Table'!$A$10:$A$132), MATCH(P82, '[3]Alt Est Detailed Bin Table'!$AL$9:$AW$9,0)), INDEX('[3]Detailed Bin Table'!$AL$9:$AW$132,MATCH($A82,'[3]Detailed Bin Table'!$A$9:$A$132,0),MATCH($B82,'[3]Detailed Bin Table'!$AL$9:$AW$9,0)))*24)</f>
        <v>18977.52</v>
      </c>
      <c r="I82" s="34">
        <f>IF(B82="Custom", Q82, IF(B82="Imputation", INDEX('[3]Alt Est Detailed Bin Table'!$AX$10:$BI$132, MATCH(A82, '[3]Alt Est Detailed Bin Table'!$A$10:$A$132), MATCH(P82, '[3]Alt Est Detailed Bin Table'!$AX$9:$BI$9,0)), INDEX('[3]Detailed Bin Table'!$AX$9:$BI$132,MATCH($A82,'[3]Detailed Bin Table'!$A$9:$A$132,0),MATCH($B82,'[3]Detailed Bin Table'!$AX$9:$BI$9,0)))*24)</f>
        <v>10301.52</v>
      </c>
      <c r="J82" s="222">
        <f>IF(B82="Custom", Q82, IF(B82="Imputation", INDEX('[3]Alt Est Detailed Bin Table'!$BJ$10:$BO$132, MATCH(A82, '[3]Alt Est Detailed Bin Table'!$A$10:$A$132), MATCH(P82, '[3]Alt Est Detailed Bin Table'!$BJ$9:$BO$9,0)), INDEX('[3]Detailed Bin Table'!$BJ$9:$BO$132,MATCH($A82,'[3]Detailed Bin Table'!$A$9:$A$132,0),MATCH($B82,'[3]Detailed Bin Table'!$BJ$9:$BO$9,0)))*24)</f>
        <v>0</v>
      </c>
      <c r="K82" s="33">
        <f>IF(B82="Custom", Q82, IF(B82="Imputation", INDEX('[3]Alt Est Detailed Bin Table'!$BP$10:$CC$132, MATCH(A82, '[3]Alt Est Detailed Bin Table'!$A$10:$A$132), MATCH(P82, '[3]Alt Est Detailed Bin Table'!$BP$9:$CC$9,0)), INDEX('[3]Detailed Bin Table'!$BP$9:$CC$132,MATCH($A82,'[3]Detailed Bin Table'!$A$9:$A$132,0),MATCH($B82,'[3]Detailed Bin Table'!$BP$9:$CC$9,0)))*24)</f>
        <v>66618.719999999972</v>
      </c>
      <c r="L82" s="223">
        <f>IF(B82="Custom", Q82, IF(B82="Imputation", INDEX('[3]Alt Est Detailed Bin Table'!$CD$10:$CK$132, MATCH(A82, '[3]Alt Est Detailed Bin Table'!$A$10:$A$132), MATCH(P82, '[3]Alt Est Detailed Bin Table'!$CD$9:$CK$9,0)), INDEX('[3]Detailed Bin Table'!$CD$9:$CK$132,MATCH($A82,'[3]Detailed Bin Table'!$A$9:$A$132,0),MATCH($B82,'[3]Detailed Bin Table'!$CD$9:$CK$9,0)))*24)</f>
        <v>481.20000000000005</v>
      </c>
      <c r="M82" s="34">
        <f>IF(B82="Custom", Q82, IF(B82="Imputation", INDEX('[3]Alt Est Detailed Bin Table'!$CL$10:$CS$132, MATCH(A82, '[3]Alt Est Detailed Bin Table'!$A$10:$A$132), MATCH(P82, '[3]Alt Est Detailed Bin Table'!$CL$9:$CS$9,0)), INDEX('[3]Detailed Bin Table'!$CL$9:$CS$132,MATCH($A82,'[3]Detailed Bin Table'!$A$9:$A$132,0),MATCH($B82,'[3]Detailed Bin Table'!$CL$9:$CS$9,0)))*24)</f>
        <v>2335.44</v>
      </c>
      <c r="N82" s="34">
        <f>IF(B82="Custom", Q82, IF(B82="Imputation", INDEX('[3]Alt Est Detailed Bin Table'!$CT$10:$DA$132, MATCH(A82, '[3]Alt Est Detailed Bin Table'!$A$10:$A$132), MATCH(P82, '[3]Alt Est Detailed Bin Table'!$CT$9:$DA$9,0)), INDEX('[3]Detailed Bin Table'!$CT$9:$DA$132,MATCH($A82,'[3]Detailed Bin Table'!$A$9:$A$132,0),MATCH($B82,'[3]Detailed Bin Table'!$CT$9:$DA$9,0)))*24)</f>
        <v>4012.7999999999997</v>
      </c>
      <c r="O82" s="222">
        <f>IF(B82="Custom", Q82, IF(B82="Imputation", INDEX('[3]Alt Est Detailed Bin Table'!$DB$10:$DI$132, MATCH(A82, '[3]Alt Est Detailed Bin Table'!$A$10:$A$132), MATCH(P82, '[3]Alt Est Detailed Bin Table'!$DB$9:$DI$9,0)), INDEX('[3]Detailed Bin Table'!$DB$9:$DI$132,MATCH($A82,'[3]Detailed Bin Table'!$A$9:$A$132,0),MATCH($B82,'[3]Detailed Bin Table'!$DB$9:$DI$9,0)))*24)</f>
        <v>6518.4000000000005</v>
      </c>
      <c r="P82" s="215"/>
      <c r="Q82" s="62"/>
      <c r="R82" s="63"/>
      <c r="S82" s="63"/>
      <c r="T82" s="63"/>
      <c r="U82" s="63"/>
      <c r="V82" s="63"/>
      <c r="W82" s="64"/>
      <c r="X82" s="63"/>
      <c r="Y82" s="63"/>
      <c r="Z82" s="63"/>
      <c r="AA82" s="65"/>
      <c r="AB82" s="213" t="str">
        <f>IF(SUM(E82:O82)='[1]Passage Estimates'!$D82, "Ok", "Check")</f>
        <v>Ok</v>
      </c>
    </row>
    <row r="83" spans="1:28" x14ac:dyDescent="0.3">
      <c r="A83" s="20">
        <f>'1. Mixture Model Inputs'!A83</f>
        <v>45185</v>
      </c>
      <c r="B83" s="13" t="str">
        <f>'[1]Passage Estimates'!$C83</f>
        <v>A1+S1+M2+A2</v>
      </c>
      <c r="C83" s="206">
        <v>5781</v>
      </c>
      <c r="D83" s="206">
        <v>13619</v>
      </c>
      <c r="E83" s="34">
        <f>IF(B83="Custom", Q83, IF(B83="Imputation", INDEX('[3]Alt Est Detailed Bin Table'!$B$10:$M$132, MATCH(A83, '[3]Alt Est Detailed Bin Table'!$A$10:$A$132), MATCH(P83, '[3]Alt Est Detailed Bin Table'!$B$9:$M$9,0)), INDEX('[3]Detailed Bin Table'!$B$9:$M$132,MATCH($A83,'[3]Detailed Bin Table'!$A$9:$A$132,0),MATCH($B83,'[3]Detailed Bin Table'!$B$9:$M$9,0)))*24)</f>
        <v>19400.64</v>
      </c>
      <c r="F83" s="34">
        <f>IF(B83="Custom", Q83, IF(B83="Imputation", INDEX('[3]Alt Est Detailed Bin Table'!$N$10:$Y$132, MATCH(A83, '[3]Alt Est Detailed Bin Table'!$A$10:$A$132), MATCH(P83, '[3]Alt Est Detailed Bin Table'!$N$9:$Y$9,0)), INDEX('[3]Detailed Bin Table'!$N$9:$Y$132,MATCH($A83,'[3]Detailed Bin Table'!$A$9:$A$132,0),MATCH($B83,'[3]Detailed Bin Table'!$N$9:$Y$9,0)))*24)</f>
        <v>51608.399999999994</v>
      </c>
      <c r="G83" s="34">
        <f>IF(B83="Custom", Q83, IF(B83="Imputation", INDEX('[3]Alt Est Detailed Bin Table'!$Z$10:$AK$132, MATCH(A83, '[3]Alt Est Detailed Bin Table'!$A$10:$A$132), MATCH(P83, '[3]Alt Est Detailed Bin Table'!$Z$9:$AK$9,0)), INDEX('[3]Detailed Bin Table'!$Z$9:$AK$132,MATCH($A83,'[3]Detailed Bin Table'!$A$9:$A$132,0),MATCH($B83,'[3]Detailed Bin Table'!$Z$9:$AK$9,0)))*24)</f>
        <v>42342.479999999996</v>
      </c>
      <c r="H83" s="34">
        <f>IF(B83="Custom", Q83, IF(B83="Imputation", INDEX('[3]Alt Est Detailed Bin Table'!$AL$10:$AW$132, MATCH(A83, '[3]Alt Est Detailed Bin Table'!$A$10:$A$132), MATCH(P83, '[3]Alt Est Detailed Bin Table'!$AL$9:$AW$9,0)), INDEX('[3]Detailed Bin Table'!$AL$9:$AW$132,MATCH($A83,'[3]Detailed Bin Table'!$A$9:$A$132,0),MATCH($B83,'[3]Detailed Bin Table'!$AL$9:$AW$9,0)))*24)</f>
        <v>24141.360000000001</v>
      </c>
      <c r="I83" s="34">
        <f>IF(B83="Custom", Q83, IF(B83="Imputation", INDEX('[3]Alt Est Detailed Bin Table'!$AX$10:$BI$132, MATCH(A83, '[3]Alt Est Detailed Bin Table'!$A$10:$A$132), MATCH(P83, '[3]Alt Est Detailed Bin Table'!$AX$9:$BI$9,0)), INDEX('[3]Detailed Bin Table'!$AX$9:$BI$132,MATCH($A83,'[3]Detailed Bin Table'!$A$9:$A$132,0),MATCH($B83,'[3]Detailed Bin Table'!$AX$9:$BI$9,0)))*24)</f>
        <v>10942.8</v>
      </c>
      <c r="J83" s="222">
        <f>IF(B83="Custom", Q83, IF(B83="Imputation", INDEX('[3]Alt Est Detailed Bin Table'!$BJ$10:$BO$132, MATCH(A83, '[3]Alt Est Detailed Bin Table'!$A$10:$A$132), MATCH(P83, '[3]Alt Est Detailed Bin Table'!$BJ$9:$BO$9,0)), INDEX('[3]Detailed Bin Table'!$BJ$9:$BO$132,MATCH($A83,'[3]Detailed Bin Table'!$A$9:$A$132,0),MATCH($B83,'[3]Detailed Bin Table'!$BJ$9:$BO$9,0)))*24)</f>
        <v>0</v>
      </c>
      <c r="K83" s="33">
        <f>IF(B83="Custom", Q83, IF(B83="Imputation", INDEX('[3]Alt Est Detailed Bin Table'!$BP$10:$CC$132, MATCH(A83, '[3]Alt Est Detailed Bin Table'!$A$10:$A$132), MATCH(P83, '[3]Alt Est Detailed Bin Table'!$BP$9:$CC$9,0)), INDEX('[3]Detailed Bin Table'!$BP$9:$CC$132,MATCH($A83,'[3]Detailed Bin Table'!$A$9:$A$132,0),MATCH($B83,'[3]Detailed Bin Table'!$BP$9:$CC$9,0)))*24)</f>
        <v>53964.23999999994</v>
      </c>
      <c r="L83" s="223">
        <f>IF(B83="Custom", Q83, IF(B83="Imputation", INDEX('[3]Alt Est Detailed Bin Table'!$CD$10:$CK$132, MATCH(A83, '[3]Alt Est Detailed Bin Table'!$A$10:$A$132), MATCH(P83, '[3]Alt Est Detailed Bin Table'!$CD$9:$CK$9,0)), INDEX('[3]Detailed Bin Table'!$CD$9:$CK$132,MATCH($A83,'[3]Detailed Bin Table'!$A$9:$A$132,0),MATCH($B83,'[3]Detailed Bin Table'!$CD$9:$CK$9,0)))*24)</f>
        <v>516.48</v>
      </c>
      <c r="M83" s="34">
        <f>IF(B83="Custom", Q83, IF(B83="Imputation", INDEX('[3]Alt Est Detailed Bin Table'!$CL$10:$CS$132, MATCH(A83, '[3]Alt Est Detailed Bin Table'!$A$10:$A$132), MATCH(P83, '[3]Alt Est Detailed Bin Table'!$CL$9:$CS$9,0)), INDEX('[3]Detailed Bin Table'!$CL$9:$CS$132,MATCH($A83,'[3]Detailed Bin Table'!$A$9:$A$132,0),MATCH($B83,'[3]Detailed Bin Table'!$CL$9:$CS$9,0)))*24)</f>
        <v>2053.6799999999998</v>
      </c>
      <c r="N83" s="34">
        <f>IF(B83="Custom", Q83, IF(B83="Imputation", INDEX('[3]Alt Est Detailed Bin Table'!$CT$10:$DA$132, MATCH(A83, '[3]Alt Est Detailed Bin Table'!$A$10:$A$132), MATCH(P83, '[3]Alt Est Detailed Bin Table'!$CT$9:$DA$9,0)), INDEX('[3]Detailed Bin Table'!$CT$9:$DA$132,MATCH($A83,'[3]Detailed Bin Table'!$A$9:$A$132,0),MATCH($B83,'[3]Detailed Bin Table'!$CT$9:$DA$9,0)))*24)</f>
        <v>4779.12</v>
      </c>
      <c r="O83" s="222">
        <f>IF(B83="Custom", Q83, IF(B83="Imputation", INDEX('[3]Alt Est Detailed Bin Table'!$DB$10:$DI$132, MATCH(A83, '[3]Alt Est Detailed Bin Table'!$A$10:$A$132), MATCH(P83, '[3]Alt Est Detailed Bin Table'!$DB$9:$DI$9,0)), INDEX('[3]Detailed Bin Table'!$DB$9:$DI$132,MATCH($A83,'[3]Detailed Bin Table'!$A$9:$A$132,0),MATCH($B83,'[3]Detailed Bin Table'!$DB$9:$DI$9,0)))*24)</f>
        <v>4965.6000000000004</v>
      </c>
      <c r="P83" s="215"/>
      <c r="Q83" s="62"/>
      <c r="R83" s="63"/>
      <c r="S83" s="63"/>
      <c r="T83" s="63"/>
      <c r="U83" s="63"/>
      <c r="V83" s="63"/>
      <c r="W83" s="64"/>
      <c r="X83" s="63"/>
      <c r="Y83" s="63"/>
      <c r="Z83" s="63"/>
      <c r="AA83" s="65"/>
      <c r="AB83" s="213" t="str">
        <f>IF(SUM(E83:O83)='[1]Passage Estimates'!$D83, "Ok", "Check")</f>
        <v>Ok</v>
      </c>
    </row>
    <row r="84" spans="1:28" x14ac:dyDescent="0.3">
      <c r="A84" s="20">
        <f>'1. Mixture Model Inputs'!A84</f>
        <v>45186</v>
      </c>
      <c r="B84" s="13" t="str">
        <f>'[1]Passage Estimates'!$C84</f>
        <v>A1+S1+M2+A2</v>
      </c>
      <c r="C84" s="206">
        <v>23462</v>
      </c>
      <c r="D84" s="206">
        <v>21995</v>
      </c>
      <c r="E84" s="34">
        <f>IF(B84="Custom", Q84, IF(B84="Imputation", INDEX('[3]Alt Est Detailed Bin Table'!$B$10:$M$132, MATCH(A84, '[3]Alt Est Detailed Bin Table'!$A$10:$A$132), MATCH(P84, '[3]Alt Est Detailed Bin Table'!$B$9:$M$9,0)), INDEX('[3]Detailed Bin Table'!$B$9:$M$132,MATCH($A84,'[3]Detailed Bin Table'!$A$9:$A$132,0),MATCH($B84,'[3]Detailed Bin Table'!$B$9:$M$9,0)))*24)</f>
        <v>45456.479999999996</v>
      </c>
      <c r="F84" s="34">
        <f>IF(B84="Custom", Q84, IF(B84="Imputation", INDEX('[3]Alt Est Detailed Bin Table'!$N$10:$Y$132, MATCH(A84, '[3]Alt Est Detailed Bin Table'!$A$10:$A$132), MATCH(P84, '[3]Alt Est Detailed Bin Table'!$N$9:$Y$9,0)), INDEX('[3]Detailed Bin Table'!$N$9:$Y$132,MATCH($A84,'[3]Detailed Bin Table'!$A$9:$A$132,0),MATCH($B84,'[3]Detailed Bin Table'!$N$9:$Y$9,0)))*24)</f>
        <v>71672.399999999994</v>
      </c>
      <c r="G84" s="34">
        <f>IF(B84="Custom", Q84, IF(B84="Imputation", INDEX('[3]Alt Est Detailed Bin Table'!$Z$10:$AK$132, MATCH(A84, '[3]Alt Est Detailed Bin Table'!$A$10:$A$132), MATCH(P84, '[3]Alt Est Detailed Bin Table'!$Z$9:$AK$9,0)), INDEX('[3]Detailed Bin Table'!$Z$9:$AK$132,MATCH($A84,'[3]Detailed Bin Table'!$A$9:$A$132,0),MATCH($B84,'[3]Detailed Bin Table'!$Z$9:$AK$9,0)))*24)</f>
        <v>43608.72</v>
      </c>
      <c r="H84" s="34">
        <f>IF(B84="Custom", Q84, IF(B84="Imputation", INDEX('[3]Alt Est Detailed Bin Table'!$AL$10:$AW$132, MATCH(A84, '[3]Alt Est Detailed Bin Table'!$A$10:$A$132), MATCH(P84, '[3]Alt Est Detailed Bin Table'!$AL$9:$AW$9,0)), INDEX('[3]Detailed Bin Table'!$AL$9:$AW$132,MATCH($A84,'[3]Detailed Bin Table'!$A$9:$A$132,0),MATCH($B84,'[3]Detailed Bin Table'!$AL$9:$AW$9,0)))*24)</f>
        <v>20874</v>
      </c>
      <c r="I84" s="34">
        <f>IF(B84="Custom", Q84, IF(B84="Imputation", INDEX('[3]Alt Est Detailed Bin Table'!$AX$10:$BI$132, MATCH(A84, '[3]Alt Est Detailed Bin Table'!$A$10:$A$132), MATCH(P84, '[3]Alt Est Detailed Bin Table'!$AX$9:$BI$9,0)), INDEX('[3]Detailed Bin Table'!$AX$9:$BI$132,MATCH($A84,'[3]Detailed Bin Table'!$A$9:$A$132,0),MATCH($B84,'[3]Detailed Bin Table'!$AX$9:$BI$9,0)))*24)</f>
        <v>7589.0400000000009</v>
      </c>
      <c r="J84" s="222">
        <f>IF(B84="Custom", Q84, IF(B84="Imputation", INDEX('[3]Alt Est Detailed Bin Table'!$BJ$10:$BO$132, MATCH(A84, '[3]Alt Est Detailed Bin Table'!$A$10:$A$132), MATCH(P84, '[3]Alt Est Detailed Bin Table'!$BJ$9:$BO$9,0)), INDEX('[3]Detailed Bin Table'!$BJ$9:$BO$132,MATCH($A84,'[3]Detailed Bin Table'!$A$9:$A$132,0),MATCH($B84,'[3]Detailed Bin Table'!$BJ$9:$BO$9,0)))*24)</f>
        <v>0</v>
      </c>
      <c r="K84" s="33">
        <f>IF(B84="Custom", Q84, IF(B84="Imputation", INDEX('[3]Alt Est Detailed Bin Table'!$BP$10:$CC$132, MATCH(A84, '[3]Alt Est Detailed Bin Table'!$A$10:$A$132), MATCH(P84, '[3]Alt Est Detailed Bin Table'!$BP$9:$CC$9,0)), INDEX('[3]Detailed Bin Table'!$BP$9:$CC$132,MATCH($A84,'[3]Detailed Bin Table'!$A$9:$A$132,0),MATCH($B84,'[3]Detailed Bin Table'!$BP$9:$CC$9,0)))*24)</f>
        <v>49747.439999999944</v>
      </c>
      <c r="L84" s="223">
        <f>IF(B84="Custom", Q84, IF(B84="Imputation", INDEX('[3]Alt Est Detailed Bin Table'!$CD$10:$CK$132, MATCH(A84, '[3]Alt Est Detailed Bin Table'!$A$10:$A$132), MATCH(P84, '[3]Alt Est Detailed Bin Table'!$CD$9:$CK$9,0)), INDEX('[3]Detailed Bin Table'!$CD$9:$CK$132,MATCH($A84,'[3]Detailed Bin Table'!$A$9:$A$132,0),MATCH($B84,'[3]Detailed Bin Table'!$CD$9:$CK$9,0)))*24)</f>
        <v>576.24</v>
      </c>
      <c r="M84" s="34">
        <f>IF(B84="Custom", Q84, IF(B84="Imputation", INDEX('[3]Alt Est Detailed Bin Table'!$CL$10:$CS$132, MATCH(A84, '[3]Alt Est Detailed Bin Table'!$A$10:$A$132), MATCH(P84, '[3]Alt Est Detailed Bin Table'!$CL$9:$CS$9,0)), INDEX('[3]Detailed Bin Table'!$CL$9:$CS$132,MATCH($A84,'[3]Detailed Bin Table'!$A$9:$A$132,0),MATCH($B84,'[3]Detailed Bin Table'!$CL$9:$CS$9,0)))*24)</f>
        <v>2556.96</v>
      </c>
      <c r="N84" s="34">
        <f>IF(B84="Custom", Q84, IF(B84="Imputation", INDEX('[3]Alt Est Detailed Bin Table'!$CT$10:$DA$132, MATCH(A84, '[3]Alt Est Detailed Bin Table'!$A$10:$A$132), MATCH(P84, '[3]Alt Est Detailed Bin Table'!$CT$9:$DA$9,0)), INDEX('[3]Detailed Bin Table'!$CT$9:$DA$132,MATCH($A84,'[3]Detailed Bin Table'!$A$9:$A$132,0),MATCH($B84,'[3]Detailed Bin Table'!$CT$9:$DA$9,0)))*24)</f>
        <v>4707.84</v>
      </c>
      <c r="O84" s="222">
        <f>IF(B84="Custom", Q84, IF(B84="Imputation", INDEX('[3]Alt Est Detailed Bin Table'!$DB$10:$DI$132, MATCH(A84, '[3]Alt Est Detailed Bin Table'!$A$10:$A$132), MATCH(P84, '[3]Alt Est Detailed Bin Table'!$DB$9:$DI$9,0)), INDEX('[3]Detailed Bin Table'!$DB$9:$DI$132,MATCH($A84,'[3]Detailed Bin Table'!$A$9:$A$132,0),MATCH($B84,'[3]Detailed Bin Table'!$DB$9:$DI$9,0)))*24)</f>
        <v>6373.2000000000007</v>
      </c>
      <c r="P84" s="215"/>
      <c r="Q84" s="62"/>
      <c r="R84" s="63"/>
      <c r="S84" s="63"/>
      <c r="T84" s="63"/>
      <c r="U84" s="63"/>
      <c r="V84" s="63"/>
      <c r="W84" s="64"/>
      <c r="X84" s="63"/>
      <c r="Y84" s="63"/>
      <c r="Z84" s="63"/>
      <c r="AA84" s="65"/>
      <c r="AB84" s="213" t="str">
        <f>IF(SUM(E84:O84)='[1]Passage Estimates'!$D84, "Ok", "Check")</f>
        <v>Ok</v>
      </c>
    </row>
    <row r="85" spans="1:28" x14ac:dyDescent="0.3">
      <c r="A85" s="20">
        <f>'1. Mixture Model Inputs'!A85</f>
        <v>45187</v>
      </c>
      <c r="B85" s="13" t="str">
        <f>'[1]Passage Estimates'!$C85</f>
        <v>A1+S1+M2+A2</v>
      </c>
      <c r="C85" s="206">
        <v>30492</v>
      </c>
      <c r="D85" s="206">
        <v>59734</v>
      </c>
      <c r="E85" s="34">
        <f>IF(B85="Custom", Q85, IF(B85="Imputation", INDEX('[3]Alt Est Detailed Bin Table'!$B$10:$M$132, MATCH(A85, '[3]Alt Est Detailed Bin Table'!$A$10:$A$132), MATCH(P85, '[3]Alt Est Detailed Bin Table'!$B$9:$M$9,0)), INDEX('[3]Detailed Bin Table'!$B$9:$M$132,MATCH($A85,'[3]Detailed Bin Table'!$A$9:$A$132,0),MATCH($B85,'[3]Detailed Bin Table'!$B$9:$M$9,0)))*24)</f>
        <v>90226.08</v>
      </c>
      <c r="F85" s="34">
        <f>IF(B85="Custom", Q85, IF(B85="Imputation", INDEX('[3]Alt Est Detailed Bin Table'!$N$10:$Y$132, MATCH(A85, '[3]Alt Est Detailed Bin Table'!$A$10:$A$132), MATCH(P85, '[3]Alt Est Detailed Bin Table'!$N$9:$Y$9,0)), INDEX('[3]Detailed Bin Table'!$N$9:$Y$132,MATCH($A85,'[3]Detailed Bin Table'!$A$9:$A$132,0),MATCH($B85,'[3]Detailed Bin Table'!$N$9:$Y$9,0)))*24)</f>
        <v>75197.759999999995</v>
      </c>
      <c r="G85" s="34">
        <f>IF(B85="Custom", Q85, IF(B85="Imputation", INDEX('[3]Alt Est Detailed Bin Table'!$Z$10:$AK$132, MATCH(A85, '[3]Alt Est Detailed Bin Table'!$A$10:$A$132), MATCH(P85, '[3]Alt Est Detailed Bin Table'!$Z$9:$AK$9,0)), INDEX('[3]Detailed Bin Table'!$Z$9:$AK$132,MATCH($A85,'[3]Detailed Bin Table'!$A$9:$A$132,0),MATCH($B85,'[3]Detailed Bin Table'!$Z$9:$AK$9,0)))*24)</f>
        <v>52172.88</v>
      </c>
      <c r="H85" s="34">
        <f>IF(B85="Custom", Q85, IF(B85="Imputation", INDEX('[3]Alt Est Detailed Bin Table'!$AL$10:$AW$132, MATCH(A85, '[3]Alt Est Detailed Bin Table'!$A$10:$A$132), MATCH(P85, '[3]Alt Est Detailed Bin Table'!$AL$9:$AW$9,0)), INDEX('[3]Detailed Bin Table'!$AL$9:$AW$132,MATCH($A85,'[3]Detailed Bin Table'!$A$9:$A$132,0),MATCH($B85,'[3]Detailed Bin Table'!$AL$9:$AW$9,0)))*24)</f>
        <v>23343.360000000001</v>
      </c>
      <c r="I85" s="34">
        <f>IF(B85="Custom", Q85, IF(B85="Imputation", INDEX('[3]Alt Est Detailed Bin Table'!$AX$10:$BI$132, MATCH(A85, '[3]Alt Est Detailed Bin Table'!$A$10:$A$132), MATCH(P85, '[3]Alt Est Detailed Bin Table'!$AX$9:$BI$9,0)), INDEX('[3]Detailed Bin Table'!$AX$9:$BI$132,MATCH($A85,'[3]Detailed Bin Table'!$A$9:$A$132,0),MATCH($B85,'[3]Detailed Bin Table'!$AX$9:$BI$9,0)))*24)</f>
        <v>4692.7199999999993</v>
      </c>
      <c r="J85" s="222">
        <f>IF(B85="Custom", Q85, IF(B85="Imputation", INDEX('[3]Alt Est Detailed Bin Table'!$BJ$10:$BO$132, MATCH(A85, '[3]Alt Est Detailed Bin Table'!$A$10:$A$132), MATCH(P85, '[3]Alt Est Detailed Bin Table'!$BJ$9:$BO$9,0)), INDEX('[3]Detailed Bin Table'!$BJ$9:$BO$132,MATCH($A85,'[3]Detailed Bin Table'!$A$9:$A$132,0),MATCH($B85,'[3]Detailed Bin Table'!$BJ$9:$BO$9,0)))*24)</f>
        <v>0</v>
      </c>
      <c r="K85" s="33">
        <f>IF(B85="Custom", Q85, IF(B85="Imputation", INDEX('[3]Alt Est Detailed Bin Table'!$BP$10:$CC$132, MATCH(A85, '[3]Alt Est Detailed Bin Table'!$A$10:$A$132), MATCH(P85, '[3]Alt Est Detailed Bin Table'!$BP$9:$CC$9,0)), INDEX('[3]Detailed Bin Table'!$BP$9:$CC$132,MATCH($A85,'[3]Detailed Bin Table'!$A$9:$A$132,0),MATCH($B85,'[3]Detailed Bin Table'!$BP$9:$CC$9,0)))*24)</f>
        <v>47827.439999999857</v>
      </c>
      <c r="L85" s="223">
        <f>IF(B85="Custom", Q85, IF(B85="Imputation", INDEX('[3]Alt Est Detailed Bin Table'!$CD$10:$CK$132, MATCH(A85, '[3]Alt Est Detailed Bin Table'!$A$10:$A$132), MATCH(P85, '[3]Alt Est Detailed Bin Table'!$CD$9:$CK$9,0)), INDEX('[3]Detailed Bin Table'!$CD$9:$CK$132,MATCH($A85,'[3]Detailed Bin Table'!$A$9:$A$132,0),MATCH($B85,'[3]Detailed Bin Table'!$CD$9:$CK$9,0)))*24)</f>
        <v>180</v>
      </c>
      <c r="M85" s="34">
        <f>IF(B85="Custom", Q85, IF(B85="Imputation", INDEX('[3]Alt Est Detailed Bin Table'!$CL$10:$CS$132, MATCH(A85, '[3]Alt Est Detailed Bin Table'!$A$10:$A$132), MATCH(P85, '[3]Alt Est Detailed Bin Table'!$CL$9:$CS$9,0)), INDEX('[3]Detailed Bin Table'!$CL$9:$CS$132,MATCH($A85,'[3]Detailed Bin Table'!$A$9:$A$132,0),MATCH($B85,'[3]Detailed Bin Table'!$CL$9:$CS$9,0)))*24)</f>
        <v>1572.48</v>
      </c>
      <c r="N85" s="34">
        <f>IF(B85="Custom", Q85, IF(B85="Imputation", INDEX('[3]Alt Est Detailed Bin Table'!$CT$10:$DA$132, MATCH(A85, '[3]Alt Est Detailed Bin Table'!$A$10:$A$132), MATCH(P85, '[3]Alt Est Detailed Bin Table'!$CT$9:$DA$9,0)), INDEX('[3]Detailed Bin Table'!$CT$9:$DA$132,MATCH($A85,'[3]Detailed Bin Table'!$A$9:$A$132,0),MATCH($B85,'[3]Detailed Bin Table'!$CT$9:$DA$9,0)))*24)</f>
        <v>3413.5199999999995</v>
      </c>
      <c r="O85" s="222">
        <f>IF(B85="Custom", Q85, IF(B85="Imputation", INDEX('[3]Alt Est Detailed Bin Table'!$DB$10:$DI$132, MATCH(A85, '[3]Alt Est Detailed Bin Table'!$A$10:$A$132), MATCH(P85, '[3]Alt Est Detailed Bin Table'!$DB$9:$DI$9,0)), INDEX('[3]Detailed Bin Table'!$DB$9:$DI$132,MATCH($A85,'[3]Detailed Bin Table'!$A$9:$A$132,0),MATCH($B85,'[3]Detailed Bin Table'!$DB$9:$DI$9,0)))*24)</f>
        <v>6636.7199999999993</v>
      </c>
      <c r="P85" s="215"/>
      <c r="Q85" s="62"/>
      <c r="R85" s="63"/>
      <c r="S85" s="63"/>
      <c r="T85" s="63"/>
      <c r="U85" s="63"/>
      <c r="V85" s="63"/>
      <c r="W85" s="64"/>
      <c r="X85" s="63"/>
      <c r="Y85" s="63"/>
      <c r="Z85" s="63"/>
      <c r="AA85" s="65"/>
      <c r="AB85" s="213" t="str">
        <f>IF(SUM(E85:O85)='[1]Passage Estimates'!$D85, "Ok", "Check")</f>
        <v>Ok</v>
      </c>
    </row>
    <row r="86" spans="1:28" x14ac:dyDescent="0.3">
      <c r="A86" s="20">
        <f>'1. Mixture Model Inputs'!A86</f>
        <v>45188</v>
      </c>
      <c r="B86" s="13" t="str">
        <f>'[1]Passage Estimates'!$C86</f>
        <v>A1+S1+M2+A2</v>
      </c>
      <c r="C86" s="206">
        <v>60342</v>
      </c>
      <c r="D86" s="206">
        <v>42208</v>
      </c>
      <c r="E86" s="34">
        <f>IF(B86="Custom", Q86, IF(B86="Imputation", INDEX('[3]Alt Est Detailed Bin Table'!$B$10:$M$132, MATCH(A86, '[3]Alt Est Detailed Bin Table'!$A$10:$A$132), MATCH(P86, '[3]Alt Est Detailed Bin Table'!$B$9:$M$9,0)), INDEX('[3]Detailed Bin Table'!$B$9:$M$132,MATCH($A86,'[3]Detailed Bin Table'!$A$9:$A$132,0),MATCH($B86,'[3]Detailed Bin Table'!$B$9:$M$9,0)))*24)</f>
        <v>102550.08</v>
      </c>
      <c r="F86" s="34">
        <f>IF(B86="Custom", Q86, IF(B86="Imputation", INDEX('[3]Alt Est Detailed Bin Table'!$N$10:$Y$132, MATCH(A86, '[3]Alt Est Detailed Bin Table'!$A$10:$A$132), MATCH(P86, '[3]Alt Est Detailed Bin Table'!$N$9:$Y$9,0)), INDEX('[3]Detailed Bin Table'!$N$9:$Y$132,MATCH($A86,'[3]Detailed Bin Table'!$A$9:$A$132,0),MATCH($B86,'[3]Detailed Bin Table'!$N$9:$Y$9,0)))*24)</f>
        <v>58597.680000000008</v>
      </c>
      <c r="G86" s="34">
        <f>IF(B86="Custom", Q86, IF(B86="Imputation", INDEX('[3]Alt Est Detailed Bin Table'!$Z$10:$AK$132, MATCH(A86, '[3]Alt Est Detailed Bin Table'!$A$10:$A$132), MATCH(P86, '[3]Alt Est Detailed Bin Table'!$Z$9:$AK$9,0)), INDEX('[3]Detailed Bin Table'!$Z$9:$AK$132,MATCH($A86,'[3]Detailed Bin Table'!$A$9:$A$132,0),MATCH($B86,'[3]Detailed Bin Table'!$Z$9:$AK$9,0)))*24)</f>
        <v>40778.879999999997</v>
      </c>
      <c r="H86" s="34">
        <f>IF(B86="Custom", Q86, IF(B86="Imputation", INDEX('[3]Alt Est Detailed Bin Table'!$AL$10:$AW$132, MATCH(A86, '[3]Alt Est Detailed Bin Table'!$A$10:$A$132), MATCH(P86, '[3]Alt Est Detailed Bin Table'!$AL$9:$AW$9,0)), INDEX('[3]Detailed Bin Table'!$AL$9:$AW$132,MATCH($A86,'[3]Detailed Bin Table'!$A$9:$A$132,0),MATCH($B86,'[3]Detailed Bin Table'!$AL$9:$AW$9,0)))*24)</f>
        <v>17410.560000000001</v>
      </c>
      <c r="I86" s="34">
        <f>IF(B86="Custom", Q86, IF(B86="Imputation", INDEX('[3]Alt Est Detailed Bin Table'!$AX$10:$BI$132, MATCH(A86, '[3]Alt Est Detailed Bin Table'!$A$10:$A$132), MATCH(P86, '[3]Alt Est Detailed Bin Table'!$AX$9:$BI$9,0)), INDEX('[3]Detailed Bin Table'!$AX$9:$BI$132,MATCH($A86,'[3]Detailed Bin Table'!$A$9:$A$132,0),MATCH($B86,'[3]Detailed Bin Table'!$AX$9:$BI$9,0)))*24)</f>
        <v>7556.4000000000005</v>
      </c>
      <c r="J86" s="222">
        <f>IF(B86="Custom", Q86, IF(B86="Imputation", INDEX('[3]Alt Est Detailed Bin Table'!$BJ$10:$BO$132, MATCH(A86, '[3]Alt Est Detailed Bin Table'!$A$10:$A$132), MATCH(P86, '[3]Alt Est Detailed Bin Table'!$BJ$9:$BO$9,0)), INDEX('[3]Detailed Bin Table'!$BJ$9:$BO$132,MATCH($A86,'[3]Detailed Bin Table'!$A$9:$A$132,0),MATCH($B86,'[3]Detailed Bin Table'!$BJ$9:$BO$9,0)))*24)</f>
        <v>0</v>
      </c>
      <c r="K86" s="33">
        <f>IF(B86="Custom", Q86, IF(B86="Imputation", INDEX('[3]Alt Est Detailed Bin Table'!$BP$10:$CC$132, MATCH(A86, '[3]Alt Est Detailed Bin Table'!$A$10:$A$132), MATCH(P86, '[3]Alt Est Detailed Bin Table'!$BP$9:$CC$9,0)), INDEX('[3]Detailed Bin Table'!$BP$9:$CC$132,MATCH($A86,'[3]Detailed Bin Table'!$A$9:$A$132,0),MATCH($B86,'[3]Detailed Bin Table'!$BP$9:$CC$9,0)))*24)</f>
        <v>71238.719999999928</v>
      </c>
      <c r="L86" s="223">
        <f>IF(B86="Custom", Q86, IF(B86="Imputation", INDEX('[3]Alt Est Detailed Bin Table'!$CD$10:$CK$132, MATCH(A86, '[3]Alt Est Detailed Bin Table'!$A$10:$A$132), MATCH(P86, '[3]Alt Est Detailed Bin Table'!$CD$9:$CK$9,0)), INDEX('[3]Detailed Bin Table'!$CD$9:$CK$132,MATCH($A86,'[3]Detailed Bin Table'!$A$9:$A$132,0),MATCH($B86,'[3]Detailed Bin Table'!$CD$9:$CK$9,0)))*24)</f>
        <v>318.48</v>
      </c>
      <c r="M86" s="34">
        <f>IF(B86="Custom", Q86, IF(B86="Imputation", INDEX('[3]Alt Est Detailed Bin Table'!$CL$10:$CS$132, MATCH(A86, '[3]Alt Est Detailed Bin Table'!$A$10:$A$132), MATCH(P86, '[3]Alt Est Detailed Bin Table'!$CL$9:$CS$9,0)), INDEX('[3]Detailed Bin Table'!$CL$9:$CS$132,MATCH($A86,'[3]Detailed Bin Table'!$A$9:$A$132,0),MATCH($B86,'[3]Detailed Bin Table'!$CL$9:$CS$9,0)))*24)</f>
        <v>1922.6399999999999</v>
      </c>
      <c r="N86" s="34">
        <f>IF(B86="Custom", Q86, IF(B86="Imputation", INDEX('[3]Alt Est Detailed Bin Table'!$CT$10:$DA$132, MATCH(A86, '[3]Alt Est Detailed Bin Table'!$A$10:$A$132), MATCH(P86, '[3]Alt Est Detailed Bin Table'!$CT$9:$DA$9,0)), INDEX('[3]Detailed Bin Table'!$CT$9:$DA$132,MATCH($A86,'[3]Detailed Bin Table'!$A$9:$A$132,0),MATCH($B86,'[3]Detailed Bin Table'!$CT$9:$DA$9,0)))*24)</f>
        <v>3957.3599999999997</v>
      </c>
      <c r="O86" s="222">
        <f>IF(B86="Custom", Q86, IF(B86="Imputation", INDEX('[3]Alt Est Detailed Bin Table'!$DB$10:$DI$132, MATCH(A86, '[3]Alt Est Detailed Bin Table'!$A$10:$A$132), MATCH(P86, '[3]Alt Est Detailed Bin Table'!$DB$9:$DI$9,0)), INDEX('[3]Detailed Bin Table'!$DB$9:$DI$132,MATCH($A86,'[3]Detailed Bin Table'!$A$9:$A$132,0),MATCH($B86,'[3]Detailed Bin Table'!$DB$9:$DI$9,0)))*24)</f>
        <v>5981.28</v>
      </c>
      <c r="P86" s="215"/>
      <c r="Q86" s="62"/>
      <c r="R86" s="63"/>
      <c r="S86" s="63"/>
      <c r="T86" s="63"/>
      <c r="U86" s="63"/>
      <c r="V86" s="63"/>
      <c r="W86" s="64"/>
      <c r="X86" s="63"/>
      <c r="Y86" s="63"/>
      <c r="Z86" s="63"/>
      <c r="AA86" s="65"/>
      <c r="AB86" s="213" t="str">
        <f>IF(SUM(E86:O86)='[1]Passage Estimates'!$D86, "Ok", "Check")</f>
        <v>Ok</v>
      </c>
    </row>
    <row r="87" spans="1:28" x14ac:dyDescent="0.3">
      <c r="A87" s="20">
        <f>'1. Mixture Model Inputs'!A87</f>
        <v>45189</v>
      </c>
      <c r="B87" s="13" t="str">
        <f>'[1]Passage Estimates'!$C87</f>
        <v>A1+S1+M2+A2</v>
      </c>
      <c r="C87" s="206">
        <v>12041</v>
      </c>
      <c r="D87" s="206">
        <v>2782</v>
      </c>
      <c r="E87" s="34">
        <f>IF(B87="Custom", Q87, IF(B87="Imputation", INDEX('[3]Alt Est Detailed Bin Table'!$B$10:$M$132, MATCH(A87, '[3]Alt Est Detailed Bin Table'!$A$10:$A$132), MATCH(P87, '[3]Alt Est Detailed Bin Table'!$B$9:$M$9,0)), INDEX('[3]Detailed Bin Table'!$B$9:$M$132,MATCH($A87,'[3]Detailed Bin Table'!$A$9:$A$132,0),MATCH($B87,'[3]Detailed Bin Table'!$B$9:$M$9,0)))*24)</f>
        <v>14822.400000000001</v>
      </c>
      <c r="F87" s="34">
        <f>IF(B87="Custom", Q87, IF(B87="Imputation", INDEX('[3]Alt Est Detailed Bin Table'!$N$10:$Y$132, MATCH(A87, '[3]Alt Est Detailed Bin Table'!$A$10:$A$132), MATCH(P87, '[3]Alt Est Detailed Bin Table'!$N$9:$Y$9,0)), INDEX('[3]Detailed Bin Table'!$N$9:$Y$132,MATCH($A87,'[3]Detailed Bin Table'!$A$9:$A$132,0),MATCH($B87,'[3]Detailed Bin Table'!$N$9:$Y$9,0)))*24)</f>
        <v>35322.720000000001</v>
      </c>
      <c r="G87" s="34">
        <f>IF(B87="Custom", Q87, IF(B87="Imputation", INDEX('[3]Alt Est Detailed Bin Table'!$Z$10:$AK$132, MATCH(A87, '[3]Alt Est Detailed Bin Table'!$A$10:$A$132), MATCH(P87, '[3]Alt Est Detailed Bin Table'!$Z$9:$AK$9,0)), INDEX('[3]Detailed Bin Table'!$Z$9:$AK$132,MATCH($A87,'[3]Detailed Bin Table'!$A$9:$A$132,0),MATCH($B87,'[3]Detailed Bin Table'!$Z$9:$AK$9,0)))*24)</f>
        <v>32039.279999999999</v>
      </c>
      <c r="H87" s="34">
        <f>IF(B87="Custom", Q87, IF(B87="Imputation", INDEX('[3]Alt Est Detailed Bin Table'!$AL$10:$AW$132, MATCH(A87, '[3]Alt Est Detailed Bin Table'!$A$10:$A$132), MATCH(P87, '[3]Alt Est Detailed Bin Table'!$AL$9:$AW$9,0)), INDEX('[3]Detailed Bin Table'!$AL$9:$AW$132,MATCH($A87,'[3]Detailed Bin Table'!$A$9:$A$132,0),MATCH($B87,'[3]Detailed Bin Table'!$AL$9:$AW$9,0)))*24)</f>
        <v>15561.84</v>
      </c>
      <c r="I87" s="34">
        <f>IF(B87="Custom", Q87, IF(B87="Imputation", INDEX('[3]Alt Est Detailed Bin Table'!$AX$10:$BI$132, MATCH(A87, '[3]Alt Est Detailed Bin Table'!$A$10:$A$132), MATCH(P87, '[3]Alt Est Detailed Bin Table'!$AX$9:$BI$9,0)), INDEX('[3]Detailed Bin Table'!$AX$9:$BI$132,MATCH($A87,'[3]Detailed Bin Table'!$A$9:$A$132,0),MATCH($B87,'[3]Detailed Bin Table'!$AX$9:$BI$9,0)))*24)</f>
        <v>10338.719999999999</v>
      </c>
      <c r="J87" s="222">
        <f>IF(B87="Custom", Q87, IF(B87="Imputation", INDEX('[3]Alt Est Detailed Bin Table'!$BJ$10:$BO$132, MATCH(A87, '[3]Alt Est Detailed Bin Table'!$A$10:$A$132), MATCH(P87, '[3]Alt Est Detailed Bin Table'!$BJ$9:$BO$9,0)), INDEX('[3]Detailed Bin Table'!$BJ$9:$BO$132,MATCH($A87,'[3]Detailed Bin Table'!$A$9:$A$132,0),MATCH($B87,'[3]Detailed Bin Table'!$BJ$9:$BO$9,0)))*24)</f>
        <v>0</v>
      </c>
      <c r="K87" s="33">
        <f>IF(B87="Custom", Q87, IF(B87="Imputation", INDEX('[3]Alt Est Detailed Bin Table'!$BP$10:$CC$132, MATCH(A87, '[3]Alt Est Detailed Bin Table'!$A$10:$A$132), MATCH(P87, '[3]Alt Est Detailed Bin Table'!$BP$9:$CC$9,0)), INDEX('[3]Detailed Bin Table'!$BP$9:$CC$132,MATCH($A87,'[3]Detailed Bin Table'!$A$9:$A$132,0),MATCH($B87,'[3]Detailed Bin Table'!$BP$9:$CC$9,0)))*24)</f>
        <v>45783.36000000003</v>
      </c>
      <c r="L87" s="223">
        <f>IF(B87="Custom", Q87, IF(B87="Imputation", INDEX('[3]Alt Est Detailed Bin Table'!$CD$10:$CK$132, MATCH(A87, '[3]Alt Est Detailed Bin Table'!$A$10:$A$132), MATCH(P87, '[3]Alt Est Detailed Bin Table'!$CD$9:$CK$9,0)), INDEX('[3]Detailed Bin Table'!$CD$9:$CK$132,MATCH($A87,'[3]Detailed Bin Table'!$A$9:$A$132,0),MATCH($B87,'[3]Detailed Bin Table'!$CD$9:$CK$9,0)))*24)</f>
        <v>1490.16</v>
      </c>
      <c r="M87" s="34">
        <f>IF(B87="Custom", Q87, IF(B87="Imputation", INDEX('[3]Alt Est Detailed Bin Table'!$CL$10:$CS$132, MATCH(A87, '[3]Alt Est Detailed Bin Table'!$A$10:$A$132), MATCH(P87, '[3]Alt Est Detailed Bin Table'!$CL$9:$CS$9,0)), INDEX('[3]Detailed Bin Table'!$CL$9:$CS$132,MATCH($A87,'[3]Detailed Bin Table'!$A$9:$A$132,0),MATCH($B87,'[3]Detailed Bin Table'!$CL$9:$CS$9,0)))*24)</f>
        <v>1478.8799999999999</v>
      </c>
      <c r="N87" s="34">
        <f>IF(B87="Custom", Q87, IF(B87="Imputation", INDEX('[3]Alt Est Detailed Bin Table'!$CT$10:$DA$132, MATCH(A87, '[3]Alt Est Detailed Bin Table'!$A$10:$A$132), MATCH(P87, '[3]Alt Est Detailed Bin Table'!$CT$9:$DA$9,0)), INDEX('[3]Detailed Bin Table'!$CT$9:$DA$132,MATCH($A87,'[3]Detailed Bin Table'!$A$9:$A$132,0),MATCH($B87,'[3]Detailed Bin Table'!$CT$9:$DA$9,0)))*24)</f>
        <v>3544.32</v>
      </c>
      <c r="O87" s="222">
        <f>IF(B87="Custom", Q87, IF(B87="Imputation", INDEX('[3]Alt Est Detailed Bin Table'!$DB$10:$DI$132, MATCH(A87, '[3]Alt Est Detailed Bin Table'!$A$10:$A$132), MATCH(P87, '[3]Alt Est Detailed Bin Table'!$DB$9:$DI$9,0)), INDEX('[3]Detailed Bin Table'!$DB$9:$DI$132,MATCH($A87,'[3]Detailed Bin Table'!$A$9:$A$132,0),MATCH($B87,'[3]Detailed Bin Table'!$DB$9:$DI$9,0)))*24)</f>
        <v>5455.92</v>
      </c>
      <c r="P87" s="215"/>
      <c r="Q87" s="62"/>
      <c r="R87" s="63"/>
      <c r="S87" s="63"/>
      <c r="T87" s="63"/>
      <c r="U87" s="63"/>
      <c r="V87" s="63"/>
      <c r="W87" s="64"/>
      <c r="X87" s="63"/>
      <c r="Y87" s="63"/>
      <c r="Z87" s="63"/>
      <c r="AA87" s="65"/>
      <c r="AB87" s="213" t="str">
        <f>IF(SUM(E87:O87)='[1]Passage Estimates'!$D87, "Ok", "Check")</f>
        <v>Ok</v>
      </c>
    </row>
    <row r="88" spans="1:28" x14ac:dyDescent="0.3">
      <c r="A88" s="20">
        <f>'1. Mixture Model Inputs'!A88</f>
        <v>45190</v>
      </c>
      <c r="B88" s="13" t="str">
        <f>'[1]Passage Estimates'!$C88</f>
        <v>A1+S1+M2+A2</v>
      </c>
      <c r="C88" s="206">
        <v>14814</v>
      </c>
      <c r="D88" s="206">
        <v>6598</v>
      </c>
      <c r="E88" s="34">
        <f>IF(B88="Custom", Q88, IF(B88="Imputation", INDEX('[3]Alt Est Detailed Bin Table'!$B$10:$M$132, MATCH(A88, '[3]Alt Est Detailed Bin Table'!$A$10:$A$132), MATCH(P88, '[3]Alt Est Detailed Bin Table'!$B$9:$M$9,0)), INDEX('[3]Detailed Bin Table'!$B$9:$M$132,MATCH($A88,'[3]Detailed Bin Table'!$A$9:$A$132,0),MATCH($B88,'[3]Detailed Bin Table'!$B$9:$M$9,0)))*24)</f>
        <v>21412.32</v>
      </c>
      <c r="F88" s="34">
        <f>IF(B88="Custom", Q88, IF(B88="Imputation", INDEX('[3]Alt Est Detailed Bin Table'!$N$10:$Y$132, MATCH(A88, '[3]Alt Est Detailed Bin Table'!$A$10:$A$132), MATCH(P88, '[3]Alt Est Detailed Bin Table'!$N$9:$Y$9,0)), INDEX('[3]Detailed Bin Table'!$N$9:$Y$132,MATCH($A88,'[3]Detailed Bin Table'!$A$9:$A$132,0),MATCH($B88,'[3]Detailed Bin Table'!$N$9:$Y$9,0)))*24)</f>
        <v>14903.04</v>
      </c>
      <c r="G88" s="34">
        <f>IF(B88="Custom", Q88, IF(B88="Imputation", INDEX('[3]Alt Est Detailed Bin Table'!$Z$10:$AK$132, MATCH(A88, '[3]Alt Est Detailed Bin Table'!$A$10:$A$132), MATCH(P88, '[3]Alt Est Detailed Bin Table'!$Z$9:$AK$9,0)), INDEX('[3]Detailed Bin Table'!$Z$9:$AK$132,MATCH($A88,'[3]Detailed Bin Table'!$A$9:$A$132,0),MATCH($B88,'[3]Detailed Bin Table'!$Z$9:$AK$9,0)))*24)</f>
        <v>18811.439999999999</v>
      </c>
      <c r="H88" s="34">
        <f>IF(B88="Custom", Q88, IF(B88="Imputation", INDEX('[3]Alt Est Detailed Bin Table'!$AL$10:$AW$132, MATCH(A88, '[3]Alt Est Detailed Bin Table'!$A$10:$A$132), MATCH(P88, '[3]Alt Est Detailed Bin Table'!$AL$9:$AW$9,0)), INDEX('[3]Detailed Bin Table'!$AL$9:$AW$132,MATCH($A88,'[3]Detailed Bin Table'!$A$9:$A$132,0),MATCH($B88,'[3]Detailed Bin Table'!$AL$9:$AW$9,0)))*24)</f>
        <v>9461.76</v>
      </c>
      <c r="I88" s="34">
        <f>IF(B88="Custom", Q88, IF(B88="Imputation", INDEX('[3]Alt Est Detailed Bin Table'!$AX$10:$BI$132, MATCH(A88, '[3]Alt Est Detailed Bin Table'!$A$10:$A$132), MATCH(P88, '[3]Alt Est Detailed Bin Table'!$AX$9:$BI$9,0)), INDEX('[3]Detailed Bin Table'!$AX$9:$BI$132,MATCH($A88,'[3]Detailed Bin Table'!$A$9:$A$132,0),MATCH($B88,'[3]Detailed Bin Table'!$AX$9:$BI$9,0)))*24)</f>
        <v>6851.76</v>
      </c>
      <c r="J88" s="222">
        <f>IF(B88="Custom", Q88, IF(B88="Imputation", INDEX('[3]Alt Est Detailed Bin Table'!$BJ$10:$BO$132, MATCH(A88, '[3]Alt Est Detailed Bin Table'!$A$10:$A$132), MATCH(P88, '[3]Alt Est Detailed Bin Table'!$BJ$9:$BO$9,0)), INDEX('[3]Detailed Bin Table'!$BJ$9:$BO$132,MATCH($A88,'[3]Detailed Bin Table'!$A$9:$A$132,0),MATCH($B88,'[3]Detailed Bin Table'!$BJ$9:$BO$9,0)))*24)</f>
        <v>0</v>
      </c>
      <c r="K88" s="33">
        <f>IF(B88="Custom", Q88, IF(B88="Imputation", INDEX('[3]Alt Est Detailed Bin Table'!$BP$10:$CC$132, MATCH(A88, '[3]Alt Est Detailed Bin Table'!$A$10:$A$132), MATCH(P88, '[3]Alt Est Detailed Bin Table'!$BP$9:$CC$9,0)), INDEX('[3]Detailed Bin Table'!$BP$9:$CC$132,MATCH($A88,'[3]Detailed Bin Table'!$A$9:$A$132,0),MATCH($B88,'[3]Detailed Bin Table'!$BP$9:$CC$9,0)))*24)</f>
        <v>45068.879999999954</v>
      </c>
      <c r="L88" s="223">
        <f>IF(B88="Custom", Q88, IF(B88="Imputation", INDEX('[3]Alt Est Detailed Bin Table'!$CD$10:$CK$132, MATCH(A88, '[3]Alt Est Detailed Bin Table'!$A$10:$A$132), MATCH(P88, '[3]Alt Est Detailed Bin Table'!$CD$9:$CK$9,0)), INDEX('[3]Detailed Bin Table'!$CD$9:$CK$132,MATCH($A88,'[3]Detailed Bin Table'!$A$9:$A$132,0),MATCH($B88,'[3]Detailed Bin Table'!$CD$9:$CK$9,0)))*24)</f>
        <v>46.32</v>
      </c>
      <c r="M88" s="34">
        <f>IF(B88="Custom", Q88, IF(B88="Imputation", INDEX('[3]Alt Est Detailed Bin Table'!$CL$10:$CS$132, MATCH(A88, '[3]Alt Est Detailed Bin Table'!$A$10:$A$132), MATCH(P88, '[3]Alt Est Detailed Bin Table'!$CL$9:$CS$9,0)), INDEX('[3]Detailed Bin Table'!$CL$9:$CS$132,MATCH($A88,'[3]Detailed Bin Table'!$A$9:$A$132,0),MATCH($B88,'[3]Detailed Bin Table'!$CL$9:$CS$9,0)))*24)</f>
        <v>2538.7200000000003</v>
      </c>
      <c r="N88" s="34">
        <f>IF(B88="Custom", Q88, IF(B88="Imputation", INDEX('[3]Alt Est Detailed Bin Table'!$CT$10:$DA$132, MATCH(A88, '[3]Alt Est Detailed Bin Table'!$A$10:$A$132), MATCH(P88, '[3]Alt Est Detailed Bin Table'!$CT$9:$DA$9,0)), INDEX('[3]Detailed Bin Table'!$CT$9:$DA$132,MATCH($A88,'[3]Detailed Bin Table'!$A$9:$A$132,0),MATCH($B88,'[3]Detailed Bin Table'!$CT$9:$DA$9,0)))*24)</f>
        <v>3136.7999999999997</v>
      </c>
      <c r="O88" s="222">
        <f>IF(B88="Custom", Q88, IF(B88="Imputation", INDEX('[3]Alt Est Detailed Bin Table'!$DB$10:$DI$132, MATCH(A88, '[3]Alt Est Detailed Bin Table'!$A$10:$A$132), MATCH(P88, '[3]Alt Est Detailed Bin Table'!$DB$9:$DI$9,0)), INDEX('[3]Detailed Bin Table'!$DB$9:$DI$132,MATCH($A88,'[3]Detailed Bin Table'!$A$9:$A$132,0),MATCH($B88,'[3]Detailed Bin Table'!$DB$9:$DI$9,0)))*24)</f>
        <v>5759.28</v>
      </c>
      <c r="P88" s="215"/>
      <c r="Q88" s="62"/>
      <c r="R88" s="63"/>
      <c r="S88" s="63"/>
      <c r="T88" s="63"/>
      <c r="U88" s="63"/>
      <c r="V88" s="63"/>
      <c r="W88" s="64"/>
      <c r="X88" s="63"/>
      <c r="Y88" s="63"/>
      <c r="Z88" s="63"/>
      <c r="AA88" s="65"/>
      <c r="AB88" s="213" t="str">
        <f>IF(SUM(E88:O88)='[1]Passage Estimates'!$D88, "Ok", "Check")</f>
        <v>Ok</v>
      </c>
    </row>
    <row r="89" spans="1:28" x14ac:dyDescent="0.3">
      <c r="A89" s="20">
        <f>'1. Mixture Model Inputs'!A89</f>
        <v>45191</v>
      </c>
      <c r="B89" s="13" t="str">
        <f>'[1]Passage Estimates'!$C89</f>
        <v>A1+S1+M2+A2</v>
      </c>
      <c r="C89" s="206">
        <v>11649</v>
      </c>
      <c r="D89" s="206">
        <v>6729</v>
      </c>
      <c r="E89" s="34">
        <f>IF(B89="Custom", Q89, IF(B89="Imputation", INDEX('[3]Alt Est Detailed Bin Table'!$B$10:$M$132, MATCH(A89, '[3]Alt Est Detailed Bin Table'!$A$10:$A$132), MATCH(P89, '[3]Alt Est Detailed Bin Table'!$B$9:$M$9,0)), INDEX('[3]Detailed Bin Table'!$B$9:$M$132,MATCH($A89,'[3]Detailed Bin Table'!$A$9:$A$132,0),MATCH($B89,'[3]Detailed Bin Table'!$B$9:$M$9,0)))*24)</f>
        <v>18378</v>
      </c>
      <c r="F89" s="34">
        <f>IF(B89="Custom", Q89, IF(B89="Imputation", INDEX('[3]Alt Est Detailed Bin Table'!$N$10:$Y$132, MATCH(A89, '[3]Alt Est Detailed Bin Table'!$A$10:$A$132), MATCH(P89, '[3]Alt Est Detailed Bin Table'!$N$9:$Y$9,0)), INDEX('[3]Detailed Bin Table'!$N$9:$Y$132,MATCH($A89,'[3]Detailed Bin Table'!$A$9:$A$132,0),MATCH($B89,'[3]Detailed Bin Table'!$N$9:$Y$9,0)))*24)</f>
        <v>16005.119999999999</v>
      </c>
      <c r="G89" s="34">
        <f>IF(B89="Custom", Q89, IF(B89="Imputation", INDEX('[3]Alt Est Detailed Bin Table'!$Z$10:$AK$132, MATCH(A89, '[3]Alt Est Detailed Bin Table'!$A$10:$A$132), MATCH(P89, '[3]Alt Est Detailed Bin Table'!$Z$9:$AK$9,0)), INDEX('[3]Detailed Bin Table'!$Z$9:$AK$132,MATCH($A89,'[3]Detailed Bin Table'!$A$9:$A$132,0),MATCH($B89,'[3]Detailed Bin Table'!$Z$9:$AK$9,0)))*24)</f>
        <v>16504.079999999998</v>
      </c>
      <c r="H89" s="34">
        <f>IF(B89="Custom", Q89, IF(B89="Imputation", INDEX('[3]Alt Est Detailed Bin Table'!$AL$10:$AW$132, MATCH(A89, '[3]Alt Est Detailed Bin Table'!$A$10:$A$132), MATCH(P89, '[3]Alt Est Detailed Bin Table'!$AL$9:$AW$9,0)), INDEX('[3]Detailed Bin Table'!$AL$9:$AW$132,MATCH($A89,'[3]Detailed Bin Table'!$A$9:$A$132,0),MATCH($B89,'[3]Detailed Bin Table'!$AL$9:$AW$9,0)))*24)</f>
        <v>6747.5999999999995</v>
      </c>
      <c r="I89" s="34">
        <f>IF(B89="Custom", Q89, IF(B89="Imputation", INDEX('[3]Alt Est Detailed Bin Table'!$AX$10:$BI$132, MATCH(A89, '[3]Alt Est Detailed Bin Table'!$A$10:$A$132), MATCH(P89, '[3]Alt Est Detailed Bin Table'!$AX$9:$BI$9,0)), INDEX('[3]Detailed Bin Table'!$AX$9:$BI$132,MATCH($A89,'[3]Detailed Bin Table'!$A$9:$A$132,0),MATCH($B89,'[3]Detailed Bin Table'!$AX$9:$BI$9,0)))*24)</f>
        <v>3559.44</v>
      </c>
      <c r="J89" s="222">
        <f>IF(B89="Custom", Q89, IF(B89="Imputation", INDEX('[3]Alt Est Detailed Bin Table'!$BJ$10:$BO$132, MATCH(A89, '[3]Alt Est Detailed Bin Table'!$A$10:$A$132), MATCH(P89, '[3]Alt Est Detailed Bin Table'!$BJ$9:$BO$9,0)), INDEX('[3]Detailed Bin Table'!$BJ$9:$BO$132,MATCH($A89,'[3]Detailed Bin Table'!$A$9:$A$132,0),MATCH($B89,'[3]Detailed Bin Table'!$BJ$9:$BO$9,0)))*24)</f>
        <v>0</v>
      </c>
      <c r="K89" s="33">
        <f>IF(B89="Custom", Q89, IF(B89="Imputation", INDEX('[3]Alt Est Detailed Bin Table'!$BP$10:$CC$132, MATCH(A89, '[3]Alt Est Detailed Bin Table'!$A$10:$A$132), MATCH(P89, '[3]Alt Est Detailed Bin Table'!$BP$9:$CC$9,0)), INDEX('[3]Detailed Bin Table'!$BP$9:$CC$132,MATCH($A89,'[3]Detailed Bin Table'!$A$9:$A$132,0),MATCH($B89,'[3]Detailed Bin Table'!$BP$9:$CC$9,0)))*24)</f>
        <v>22056.720000000016</v>
      </c>
      <c r="L89" s="223">
        <f>IF(B89="Custom", Q89, IF(B89="Imputation", INDEX('[3]Alt Est Detailed Bin Table'!$CD$10:$CK$132, MATCH(A89, '[3]Alt Est Detailed Bin Table'!$A$10:$A$132), MATCH(P89, '[3]Alt Est Detailed Bin Table'!$CD$9:$CK$9,0)), INDEX('[3]Detailed Bin Table'!$CD$9:$CK$132,MATCH($A89,'[3]Detailed Bin Table'!$A$9:$A$132,0),MATCH($B89,'[3]Detailed Bin Table'!$CD$9:$CK$9,0)))*24)</f>
        <v>132.47999999999999</v>
      </c>
      <c r="M89" s="34">
        <f>IF(B89="Custom", Q89, IF(B89="Imputation", INDEX('[3]Alt Est Detailed Bin Table'!$CL$10:$CS$132, MATCH(A89, '[3]Alt Est Detailed Bin Table'!$A$10:$A$132), MATCH(P89, '[3]Alt Est Detailed Bin Table'!$CL$9:$CS$9,0)), INDEX('[3]Detailed Bin Table'!$CL$9:$CS$132,MATCH($A89,'[3]Detailed Bin Table'!$A$9:$A$132,0),MATCH($B89,'[3]Detailed Bin Table'!$CL$9:$CS$9,0)))*24)</f>
        <v>303.60000000000002</v>
      </c>
      <c r="N89" s="34">
        <f>IF(B89="Custom", Q89, IF(B89="Imputation", INDEX('[3]Alt Est Detailed Bin Table'!$CT$10:$DA$132, MATCH(A89, '[3]Alt Est Detailed Bin Table'!$A$10:$A$132), MATCH(P89, '[3]Alt Est Detailed Bin Table'!$CT$9:$DA$9,0)), INDEX('[3]Detailed Bin Table'!$CT$9:$DA$132,MATCH($A89,'[3]Detailed Bin Table'!$A$9:$A$132,0),MATCH($B89,'[3]Detailed Bin Table'!$CT$9:$DA$9,0)))*24)</f>
        <v>3350.16</v>
      </c>
      <c r="O89" s="222">
        <f>IF(B89="Custom", Q89, IF(B89="Imputation", INDEX('[3]Alt Est Detailed Bin Table'!$DB$10:$DI$132, MATCH(A89, '[3]Alt Est Detailed Bin Table'!$A$10:$A$132), MATCH(P89, '[3]Alt Est Detailed Bin Table'!$DB$9:$DI$9,0)), INDEX('[3]Detailed Bin Table'!$DB$9:$DI$132,MATCH($A89,'[3]Detailed Bin Table'!$A$9:$A$132,0),MATCH($B89,'[3]Detailed Bin Table'!$DB$9:$DI$9,0)))*24)</f>
        <v>1951.1999999999998</v>
      </c>
      <c r="P89" s="215"/>
      <c r="Q89" s="62"/>
      <c r="R89" s="63"/>
      <c r="S89" s="63"/>
      <c r="T89" s="63"/>
      <c r="U89" s="63"/>
      <c r="V89" s="63"/>
      <c r="W89" s="64"/>
      <c r="X89" s="63"/>
      <c r="Y89" s="63"/>
      <c r="Z89" s="63"/>
      <c r="AA89" s="65"/>
      <c r="AB89" s="213" t="str">
        <f>IF(SUM(E89:O89)='[1]Passage Estimates'!$D89, "Ok", "Check")</f>
        <v>Ok</v>
      </c>
    </row>
    <row r="90" spans="1:28" x14ac:dyDescent="0.3">
      <c r="A90" s="20">
        <f>'1. Mixture Model Inputs'!A90</f>
        <v>45192</v>
      </c>
      <c r="B90" s="13" t="str">
        <f>'[1]Passage Estimates'!$C90</f>
        <v>Imputation</v>
      </c>
      <c r="C90" s="206">
        <v>5523</v>
      </c>
      <c r="D90" s="206">
        <v>8490</v>
      </c>
      <c r="E90" s="34">
        <f>IF(B90="Custom", Q90, IF(B90="Imputation", INDEX('[3]Alt Est Detailed Bin Table'!$B$10:$M$132, MATCH(A90, '[3]Alt Est Detailed Bin Table'!$A$10:$A$132), MATCH(P90, '[3]Alt Est Detailed Bin Table'!$B$9:$M$9,0)), INDEX('[3]Detailed Bin Table'!$B$9:$M$132,MATCH($A90,'[3]Detailed Bin Table'!$A$9:$A$132,0),MATCH($B90,'[3]Detailed Bin Table'!$B$9:$M$9,0)))*24)</f>
        <v>14013.599999999999</v>
      </c>
      <c r="F90" s="34">
        <f>IF(B90="Custom", Q90, IF(B90="Imputation", INDEX('[3]Alt Est Detailed Bin Table'!$N$10:$Y$132, MATCH(A90, '[3]Alt Est Detailed Bin Table'!$A$10:$A$132), MATCH(P90, '[3]Alt Est Detailed Bin Table'!$N$9:$Y$9,0)), INDEX('[3]Detailed Bin Table'!$N$9:$Y$132,MATCH($A90,'[3]Detailed Bin Table'!$A$9:$A$132,0),MATCH($B90,'[3]Detailed Bin Table'!$N$9:$Y$9,0)))*24)</f>
        <v>18102.48</v>
      </c>
      <c r="G90" s="34">
        <f>IF(B90="Custom", Q90, IF(B90="Imputation", INDEX('[3]Alt Est Detailed Bin Table'!$Z$10:$AK$132, MATCH(A90, '[3]Alt Est Detailed Bin Table'!$A$10:$A$132), MATCH(P90, '[3]Alt Est Detailed Bin Table'!$Z$9:$AK$9,0)), INDEX('[3]Detailed Bin Table'!$Z$9:$AK$132,MATCH($A90,'[3]Detailed Bin Table'!$A$9:$A$132,0),MATCH($B90,'[3]Detailed Bin Table'!$Z$9:$AK$9,0)))*24)</f>
        <v>8958.24</v>
      </c>
      <c r="H90" s="34">
        <f>IF(B90="Custom", Q90, IF(B90="Imputation", INDEX('[3]Alt Est Detailed Bin Table'!$AL$10:$AW$132, MATCH(A90, '[3]Alt Est Detailed Bin Table'!$A$10:$A$132), MATCH(P90, '[3]Alt Est Detailed Bin Table'!$AL$9:$AW$9,0)), INDEX('[3]Detailed Bin Table'!$AL$9:$AW$132,MATCH($A90,'[3]Detailed Bin Table'!$A$9:$A$132,0),MATCH($B90,'[3]Detailed Bin Table'!$AL$9:$AW$9,0)))*24)</f>
        <v>2701.2</v>
      </c>
      <c r="I90" s="34">
        <f>IF(B90="Custom", Q90, IF(B90="Imputation", INDEX('[3]Alt Est Detailed Bin Table'!$AX$10:$BI$132, MATCH(A90, '[3]Alt Est Detailed Bin Table'!$A$10:$A$132), MATCH(P90, '[3]Alt Est Detailed Bin Table'!$AX$9:$BI$9,0)), INDEX('[3]Detailed Bin Table'!$AX$9:$BI$132,MATCH($A90,'[3]Detailed Bin Table'!$A$9:$A$132,0),MATCH($B90,'[3]Detailed Bin Table'!$AX$9:$BI$9,0)))*24)</f>
        <v>1075.44</v>
      </c>
      <c r="J90" s="222">
        <f>IF(B90="Custom", Q90, IF(B90="Imputation", INDEX('[3]Alt Est Detailed Bin Table'!$BJ$10:$BO$132, MATCH(A90, '[3]Alt Est Detailed Bin Table'!$A$10:$A$132), MATCH(P90, '[3]Alt Est Detailed Bin Table'!$BJ$9:$BO$9,0)), INDEX('[3]Detailed Bin Table'!$BJ$9:$BO$132,MATCH($A90,'[3]Detailed Bin Table'!$A$9:$A$132,0),MATCH($B90,'[3]Detailed Bin Table'!$BJ$9:$BO$9,0)))*24)</f>
        <v>0</v>
      </c>
      <c r="K90" s="33">
        <f>IF(B90="Custom", Q90, IF(B90="Imputation", INDEX('[3]Alt Est Detailed Bin Table'!$BP$10:$CC$132, MATCH(A90, '[3]Alt Est Detailed Bin Table'!$A$10:$A$132), MATCH(P90, '[3]Alt Est Detailed Bin Table'!$BP$9:$CC$9,0)), INDEX('[3]Detailed Bin Table'!$BP$9:$CC$132,MATCH($A90,'[3]Detailed Bin Table'!$A$9:$A$132,0),MATCH($B90,'[3]Detailed Bin Table'!$BP$9:$CC$9,0)))*24)</f>
        <v>20170.620000000035</v>
      </c>
      <c r="L90" s="223">
        <f>IF(B90="Custom", Q90, IF(B90="Imputation", INDEX('[3]Alt Est Detailed Bin Table'!$CD$10:$CK$132, MATCH(A90, '[3]Alt Est Detailed Bin Table'!$A$10:$A$132), MATCH(P90, '[3]Alt Est Detailed Bin Table'!$CD$9:$CK$9,0)), INDEX('[3]Detailed Bin Table'!$CD$9:$CK$132,MATCH($A90,'[3]Detailed Bin Table'!$A$9:$A$132,0),MATCH($B90,'[3]Detailed Bin Table'!$CD$9:$CK$9,0)))*24)</f>
        <v>489.84000000000003</v>
      </c>
      <c r="M90" s="34">
        <f>IF(B90="Custom", Q90, IF(B90="Imputation", INDEX('[3]Alt Est Detailed Bin Table'!$CL$10:$CS$132, MATCH(A90, '[3]Alt Est Detailed Bin Table'!$A$10:$A$132), MATCH(P90, '[3]Alt Est Detailed Bin Table'!$CL$9:$CS$9,0)), INDEX('[3]Detailed Bin Table'!$CL$9:$CS$132,MATCH($A90,'[3]Detailed Bin Table'!$A$9:$A$132,0),MATCH($B90,'[3]Detailed Bin Table'!$CL$9:$CS$9,0)))*24)</f>
        <v>1772.88</v>
      </c>
      <c r="N90" s="34">
        <f>IF(B90="Custom", Q90, IF(B90="Imputation", INDEX('[3]Alt Est Detailed Bin Table'!$CT$10:$DA$132, MATCH(A90, '[3]Alt Est Detailed Bin Table'!$A$10:$A$132), MATCH(P90, '[3]Alt Est Detailed Bin Table'!$CT$9:$DA$9,0)), INDEX('[3]Detailed Bin Table'!$CT$9:$DA$132,MATCH($A90,'[3]Detailed Bin Table'!$A$9:$A$132,0),MATCH($B90,'[3]Detailed Bin Table'!$CT$9:$DA$9,0)))*24)</f>
        <v>3337.68</v>
      </c>
      <c r="O90" s="222">
        <f>IF(B90="Custom", Q90, IF(B90="Imputation", INDEX('[3]Alt Est Detailed Bin Table'!$DB$10:$DI$132, MATCH(A90, '[3]Alt Est Detailed Bin Table'!$A$10:$A$132), MATCH(P90, '[3]Alt Est Detailed Bin Table'!$DB$9:$DI$9,0)), INDEX('[3]Detailed Bin Table'!$DB$9:$DI$132,MATCH($A90,'[3]Detailed Bin Table'!$A$9:$A$132,0),MATCH($B90,'[3]Detailed Bin Table'!$DB$9:$DI$9,0)))*24)</f>
        <v>2288.16</v>
      </c>
      <c r="P90" s="215" t="s">
        <v>161</v>
      </c>
      <c r="Q90" s="62"/>
      <c r="R90" s="63"/>
      <c r="S90" s="63"/>
      <c r="T90" s="63"/>
      <c r="U90" s="63"/>
      <c r="V90" s="63"/>
      <c r="W90" s="64"/>
      <c r="X90" s="63"/>
      <c r="Y90" s="63"/>
      <c r="Z90" s="63"/>
      <c r="AA90" s="65"/>
      <c r="AB90" s="213" t="str">
        <f>IF(SUM(E90:O90)='[1]Passage Estimates'!$D90, "Ok", "Check")</f>
        <v>Ok</v>
      </c>
    </row>
    <row r="91" spans="1:28" x14ac:dyDescent="0.3">
      <c r="A91" s="20">
        <f>'1. Mixture Model Inputs'!A91</f>
        <v>45193</v>
      </c>
      <c r="B91" s="13" t="str">
        <f>'[1]Passage Estimates'!$C91</f>
        <v>Imputation</v>
      </c>
      <c r="C91" s="206">
        <v>7413</v>
      </c>
      <c r="D91" s="206">
        <v>2688</v>
      </c>
      <c r="E91" s="34">
        <f>IF(B91="Custom", Q91, IF(B91="Imputation", INDEX('[3]Alt Est Detailed Bin Table'!$B$10:$M$132, MATCH(A91, '[3]Alt Est Detailed Bin Table'!$A$10:$A$132), MATCH(P91, '[3]Alt Est Detailed Bin Table'!$B$9:$M$9,0)), INDEX('[3]Detailed Bin Table'!$B$9:$M$132,MATCH($A91,'[3]Detailed Bin Table'!$A$9:$A$132,0),MATCH($B91,'[3]Detailed Bin Table'!$B$9:$M$9,0)))*24)</f>
        <v>10101.119999999999</v>
      </c>
      <c r="F91" s="34">
        <f>IF(B91="Custom", Q91, IF(B91="Imputation", INDEX('[3]Alt Est Detailed Bin Table'!$N$10:$Y$132, MATCH(A91, '[3]Alt Est Detailed Bin Table'!$A$10:$A$132), MATCH(P91, '[3]Alt Est Detailed Bin Table'!$N$9:$Y$9,0)), INDEX('[3]Detailed Bin Table'!$N$9:$Y$132,MATCH($A91,'[3]Detailed Bin Table'!$A$9:$A$132,0),MATCH($B91,'[3]Detailed Bin Table'!$N$9:$Y$9,0)))*24)</f>
        <v>13829.76</v>
      </c>
      <c r="G91" s="34">
        <f>IF(B91="Custom", Q91, IF(B91="Imputation", INDEX('[3]Alt Est Detailed Bin Table'!$Z$10:$AK$132, MATCH(A91, '[3]Alt Est Detailed Bin Table'!$A$10:$A$132), MATCH(P91, '[3]Alt Est Detailed Bin Table'!$Z$9:$AK$9,0)), INDEX('[3]Detailed Bin Table'!$Z$9:$AK$132,MATCH($A91,'[3]Detailed Bin Table'!$A$9:$A$132,0),MATCH($B91,'[3]Detailed Bin Table'!$Z$9:$AK$9,0)))*24)</f>
        <v>8722.32</v>
      </c>
      <c r="H91" s="34">
        <f>IF(B91="Custom", Q91, IF(B91="Imputation", INDEX('[3]Alt Est Detailed Bin Table'!$AL$10:$AW$132, MATCH(A91, '[3]Alt Est Detailed Bin Table'!$A$10:$A$132), MATCH(P91, '[3]Alt Est Detailed Bin Table'!$AL$9:$AW$9,0)), INDEX('[3]Detailed Bin Table'!$AL$9:$AW$132,MATCH($A91,'[3]Detailed Bin Table'!$A$9:$A$132,0),MATCH($B91,'[3]Detailed Bin Table'!$AL$9:$AW$9,0)))*24)</f>
        <v>4285.4400000000005</v>
      </c>
      <c r="I91" s="34">
        <f>IF(B91="Custom", Q91, IF(B91="Imputation", INDEX('[3]Alt Est Detailed Bin Table'!$AX$10:$BI$132, MATCH(A91, '[3]Alt Est Detailed Bin Table'!$A$10:$A$132), MATCH(P91, '[3]Alt Est Detailed Bin Table'!$AX$9:$BI$9,0)), INDEX('[3]Detailed Bin Table'!$AX$9:$BI$132,MATCH($A91,'[3]Detailed Bin Table'!$A$9:$A$132,0),MATCH($B91,'[3]Detailed Bin Table'!$AX$9:$BI$9,0)))*24)</f>
        <v>973.68000000000006</v>
      </c>
      <c r="J91" s="222">
        <f>IF(B91="Custom", Q91, IF(B91="Imputation", INDEX('[3]Alt Est Detailed Bin Table'!$BJ$10:$BO$132, MATCH(A91, '[3]Alt Est Detailed Bin Table'!$A$10:$A$132), MATCH(P91, '[3]Alt Est Detailed Bin Table'!$BJ$9:$BO$9,0)), INDEX('[3]Detailed Bin Table'!$BJ$9:$BO$132,MATCH($A91,'[3]Detailed Bin Table'!$A$9:$A$132,0),MATCH($B91,'[3]Detailed Bin Table'!$BJ$9:$BO$9,0)))*24)</f>
        <v>0</v>
      </c>
      <c r="K91" s="33">
        <f>IF(B91="Custom", Q91, IF(B91="Imputation", INDEX('[3]Alt Est Detailed Bin Table'!$BP$10:$CC$132, MATCH(A91, '[3]Alt Est Detailed Bin Table'!$A$10:$A$132), MATCH(P91, '[3]Alt Est Detailed Bin Table'!$BP$9:$CC$9,0)), INDEX('[3]Detailed Bin Table'!$BP$9:$CC$132,MATCH($A91,'[3]Detailed Bin Table'!$A$9:$A$132,0),MATCH($B91,'[3]Detailed Bin Table'!$BP$9:$CC$9,0)))*24)</f>
        <v>14050.151999999987</v>
      </c>
      <c r="L91" s="223">
        <f>IF(B91="Custom", Q91, IF(B91="Imputation", INDEX('[3]Alt Est Detailed Bin Table'!$CD$10:$CK$132, MATCH(A91, '[3]Alt Est Detailed Bin Table'!$A$10:$A$132), MATCH(P91, '[3]Alt Est Detailed Bin Table'!$CD$9:$CK$9,0)), INDEX('[3]Detailed Bin Table'!$CD$9:$CK$132,MATCH($A91,'[3]Detailed Bin Table'!$A$9:$A$132,0),MATCH($B91,'[3]Detailed Bin Table'!$CD$9:$CK$9,0)))*24)</f>
        <v>634.08000000000004</v>
      </c>
      <c r="M91" s="34">
        <f>IF(B91="Custom", Q91, IF(B91="Imputation", INDEX('[3]Alt Est Detailed Bin Table'!$CL$10:$CS$132, MATCH(A91, '[3]Alt Est Detailed Bin Table'!$A$10:$A$132), MATCH(P91, '[3]Alt Est Detailed Bin Table'!$CL$9:$CS$9,0)), INDEX('[3]Detailed Bin Table'!$CL$9:$CS$132,MATCH($A91,'[3]Detailed Bin Table'!$A$9:$A$132,0),MATCH($B91,'[3]Detailed Bin Table'!$CL$9:$CS$9,0)))*24)</f>
        <v>769.92</v>
      </c>
      <c r="N91" s="34">
        <f>IF(B91="Custom", Q91, IF(B91="Imputation", INDEX('[3]Alt Est Detailed Bin Table'!$CT$10:$DA$132, MATCH(A91, '[3]Alt Est Detailed Bin Table'!$A$10:$A$132), MATCH(P91, '[3]Alt Est Detailed Bin Table'!$CT$9:$DA$9,0)), INDEX('[3]Detailed Bin Table'!$CT$9:$DA$132,MATCH($A91,'[3]Detailed Bin Table'!$A$9:$A$132,0),MATCH($B91,'[3]Detailed Bin Table'!$CT$9:$DA$9,0)))*24)</f>
        <v>599.76</v>
      </c>
      <c r="O91" s="222">
        <f>IF(B91="Custom", Q91, IF(B91="Imputation", INDEX('[3]Alt Est Detailed Bin Table'!$DB$10:$DI$132, MATCH(A91, '[3]Alt Est Detailed Bin Table'!$A$10:$A$132), MATCH(P91, '[3]Alt Est Detailed Bin Table'!$DB$9:$DI$9,0)), INDEX('[3]Detailed Bin Table'!$DB$9:$DI$132,MATCH($A91,'[3]Detailed Bin Table'!$A$9:$A$132,0),MATCH($B91,'[3]Detailed Bin Table'!$DB$9:$DI$9,0)))*24)</f>
        <v>1265.52</v>
      </c>
      <c r="P91" s="215" t="s">
        <v>161</v>
      </c>
      <c r="Q91" s="62"/>
      <c r="R91" s="63"/>
      <c r="S91" s="63"/>
      <c r="T91" s="63"/>
      <c r="U91" s="63"/>
      <c r="V91" s="63"/>
      <c r="W91" s="64"/>
      <c r="X91" s="63"/>
      <c r="Y91" s="63"/>
      <c r="Z91" s="63"/>
      <c r="AA91" s="65"/>
      <c r="AB91" s="213" t="str">
        <f>IF(SUM(E91:O91)='[1]Passage Estimates'!$D91, "Ok", "Check")</f>
        <v>Ok</v>
      </c>
    </row>
    <row r="92" spans="1:28" x14ac:dyDescent="0.3">
      <c r="A92" s="20">
        <f>'1. Mixture Model Inputs'!A92</f>
        <v>45194</v>
      </c>
      <c r="B92" s="13" t="str">
        <f>'[1]Passage Estimates'!$C92</f>
        <v>A1+S1+M2+A2</v>
      </c>
      <c r="C92" s="206">
        <v>6320</v>
      </c>
      <c r="D92" s="206">
        <v>5852</v>
      </c>
      <c r="E92" s="34">
        <f>IF(B92="Custom", Q92, IF(B92="Imputation", INDEX('[3]Alt Est Detailed Bin Table'!$B$10:$M$132, MATCH(A92, '[3]Alt Est Detailed Bin Table'!$A$10:$A$132), MATCH(P92, '[3]Alt Est Detailed Bin Table'!$B$9:$M$9,0)), INDEX('[3]Detailed Bin Table'!$B$9:$M$132,MATCH($A92,'[3]Detailed Bin Table'!$A$9:$A$132,0),MATCH($B92,'[3]Detailed Bin Table'!$B$9:$M$9,0)))*24)</f>
        <v>12172.8</v>
      </c>
      <c r="F92" s="34">
        <f>IF(B92="Custom", Q92, IF(B92="Imputation", INDEX('[3]Alt Est Detailed Bin Table'!$N$10:$Y$132, MATCH(A92, '[3]Alt Est Detailed Bin Table'!$A$10:$A$132), MATCH(P92, '[3]Alt Est Detailed Bin Table'!$N$9:$Y$9,0)), INDEX('[3]Detailed Bin Table'!$N$9:$Y$132,MATCH($A92,'[3]Detailed Bin Table'!$A$9:$A$132,0),MATCH($B92,'[3]Detailed Bin Table'!$N$9:$Y$9,0)))*24)</f>
        <v>5999.5199999999995</v>
      </c>
      <c r="G92" s="34">
        <f>IF(B92="Custom", Q92, IF(B92="Imputation", INDEX('[3]Alt Est Detailed Bin Table'!$Z$10:$AK$132, MATCH(A92, '[3]Alt Est Detailed Bin Table'!$A$10:$A$132), MATCH(P92, '[3]Alt Est Detailed Bin Table'!$Z$9:$AK$9,0)), INDEX('[3]Detailed Bin Table'!$Z$9:$AK$132,MATCH($A92,'[3]Detailed Bin Table'!$A$9:$A$132,0),MATCH($B92,'[3]Detailed Bin Table'!$Z$9:$AK$9,0)))*24)</f>
        <v>5227.92</v>
      </c>
      <c r="H92" s="34">
        <f>IF(B92="Custom", Q92, IF(B92="Imputation", INDEX('[3]Alt Est Detailed Bin Table'!$AL$10:$AW$132, MATCH(A92, '[3]Alt Est Detailed Bin Table'!$A$10:$A$132), MATCH(P92, '[3]Alt Est Detailed Bin Table'!$AL$9:$AW$9,0)), INDEX('[3]Detailed Bin Table'!$AL$9:$AW$132,MATCH($A92,'[3]Detailed Bin Table'!$A$9:$A$132,0),MATCH($B92,'[3]Detailed Bin Table'!$AL$9:$AW$9,0)))*24)</f>
        <v>1731.3600000000001</v>
      </c>
      <c r="I92" s="34">
        <f>IF(B92="Custom", Q92, IF(B92="Imputation", INDEX('[3]Alt Est Detailed Bin Table'!$AX$10:$BI$132, MATCH(A92, '[3]Alt Est Detailed Bin Table'!$A$10:$A$132), MATCH(P92, '[3]Alt Est Detailed Bin Table'!$AX$9:$BI$9,0)), INDEX('[3]Detailed Bin Table'!$AX$9:$BI$132,MATCH($A92,'[3]Detailed Bin Table'!$A$9:$A$132,0),MATCH($B92,'[3]Detailed Bin Table'!$AX$9:$BI$9,0)))*24)</f>
        <v>1041.1199999999999</v>
      </c>
      <c r="J92" s="222">
        <f>IF(B92="Custom", Q92, IF(B92="Imputation", INDEX('[3]Alt Est Detailed Bin Table'!$BJ$10:$BO$132, MATCH(A92, '[3]Alt Est Detailed Bin Table'!$A$10:$A$132), MATCH(P92, '[3]Alt Est Detailed Bin Table'!$BJ$9:$BO$9,0)), INDEX('[3]Detailed Bin Table'!$BJ$9:$BO$132,MATCH($A92,'[3]Detailed Bin Table'!$A$9:$A$132,0),MATCH($B92,'[3]Detailed Bin Table'!$BJ$9:$BO$9,0)))*24)</f>
        <v>0</v>
      </c>
      <c r="K92" s="33">
        <f>IF(B92="Custom", Q92, IF(B92="Imputation", INDEX('[3]Alt Est Detailed Bin Table'!$BP$10:$CC$132, MATCH(A92, '[3]Alt Est Detailed Bin Table'!$A$10:$A$132), MATCH(P92, '[3]Alt Est Detailed Bin Table'!$BP$9:$CC$9,0)), INDEX('[3]Detailed Bin Table'!$BP$9:$CC$132,MATCH($A92,'[3]Detailed Bin Table'!$A$9:$A$132,0),MATCH($B92,'[3]Detailed Bin Table'!$BP$9:$CC$9,0)))*24)</f>
        <v>12592.560000000007</v>
      </c>
      <c r="L92" s="223">
        <f>IF(B92="Custom", Q92, IF(B92="Imputation", INDEX('[3]Alt Est Detailed Bin Table'!$CD$10:$CK$132, MATCH(A92, '[3]Alt Est Detailed Bin Table'!$A$10:$A$132), MATCH(P92, '[3]Alt Est Detailed Bin Table'!$CD$9:$CK$9,0)), INDEX('[3]Detailed Bin Table'!$CD$9:$CK$132,MATCH($A92,'[3]Detailed Bin Table'!$A$9:$A$132,0),MATCH($B92,'[3]Detailed Bin Table'!$CD$9:$CK$9,0)))*24)</f>
        <v>386.64</v>
      </c>
      <c r="M92" s="34">
        <f>IF(B92="Custom", Q92, IF(B92="Imputation", INDEX('[3]Alt Est Detailed Bin Table'!$CL$10:$CS$132, MATCH(A92, '[3]Alt Est Detailed Bin Table'!$A$10:$A$132), MATCH(P92, '[3]Alt Est Detailed Bin Table'!$CL$9:$CS$9,0)), INDEX('[3]Detailed Bin Table'!$CL$9:$CS$132,MATCH($A92,'[3]Detailed Bin Table'!$A$9:$A$132,0),MATCH($B92,'[3]Detailed Bin Table'!$CL$9:$CS$9,0)))*24)</f>
        <v>1265.76</v>
      </c>
      <c r="N92" s="34">
        <f>IF(B92="Custom", Q92, IF(B92="Imputation", INDEX('[3]Alt Est Detailed Bin Table'!$CT$10:$DA$132, MATCH(A92, '[3]Alt Est Detailed Bin Table'!$A$10:$A$132), MATCH(P92, '[3]Alt Est Detailed Bin Table'!$CT$9:$DA$9,0)), INDEX('[3]Detailed Bin Table'!$CT$9:$DA$132,MATCH($A92,'[3]Detailed Bin Table'!$A$9:$A$132,0),MATCH($B92,'[3]Detailed Bin Table'!$CT$9:$DA$9,0)))*24)</f>
        <v>2963.04</v>
      </c>
      <c r="O92" s="222">
        <f>IF(B92="Custom", Q92, IF(B92="Imputation", INDEX('[3]Alt Est Detailed Bin Table'!$DB$10:$DI$132, MATCH(A92, '[3]Alt Est Detailed Bin Table'!$A$10:$A$132), MATCH(P92, '[3]Alt Est Detailed Bin Table'!$DB$9:$DI$9,0)), INDEX('[3]Detailed Bin Table'!$DB$9:$DI$132,MATCH($A92,'[3]Detailed Bin Table'!$A$9:$A$132,0),MATCH($B92,'[3]Detailed Bin Table'!$DB$9:$DI$9,0)))*24)</f>
        <v>2002.8000000000002</v>
      </c>
      <c r="P92" s="215"/>
      <c r="Q92" s="62"/>
      <c r="R92" s="63"/>
      <c r="S92" s="63"/>
      <c r="T92" s="63"/>
      <c r="U92" s="63"/>
      <c r="V92" s="63"/>
      <c r="W92" s="64"/>
      <c r="X92" s="63"/>
      <c r="Y92" s="63"/>
      <c r="Z92" s="63"/>
      <c r="AA92" s="65"/>
      <c r="AB92" s="213" t="str">
        <f>IF(SUM(E92:O92)='[1]Passage Estimates'!$D92, "Ok", "Check")</f>
        <v>Ok</v>
      </c>
    </row>
    <row r="93" spans="1:28" x14ac:dyDescent="0.3">
      <c r="A93" s="20">
        <f>'1. Mixture Model Inputs'!A93</f>
        <v>45195</v>
      </c>
      <c r="B93" s="13" t="str">
        <f>'[1]Passage Estimates'!$C93</f>
        <v>A1+S1+M2+A2</v>
      </c>
      <c r="C93" s="206">
        <v>7960</v>
      </c>
      <c r="D93" s="206">
        <v>4676</v>
      </c>
      <c r="E93" s="34">
        <f>IF(B93="Custom", Q93, IF(B93="Imputation", INDEX('[3]Alt Est Detailed Bin Table'!$B$10:$M$132, MATCH(A93, '[3]Alt Est Detailed Bin Table'!$A$10:$A$132), MATCH(P93, '[3]Alt Est Detailed Bin Table'!$B$9:$M$9,0)), INDEX('[3]Detailed Bin Table'!$B$9:$M$132,MATCH($A93,'[3]Detailed Bin Table'!$A$9:$A$132,0),MATCH($B93,'[3]Detailed Bin Table'!$B$9:$M$9,0)))*24)</f>
        <v>12635.76</v>
      </c>
      <c r="F93" s="34">
        <f>IF(B93="Custom", Q93, IF(B93="Imputation", INDEX('[3]Alt Est Detailed Bin Table'!$N$10:$Y$132, MATCH(A93, '[3]Alt Est Detailed Bin Table'!$A$10:$A$132), MATCH(P93, '[3]Alt Est Detailed Bin Table'!$N$9:$Y$9,0)), INDEX('[3]Detailed Bin Table'!$N$9:$Y$132,MATCH($A93,'[3]Detailed Bin Table'!$A$9:$A$132,0),MATCH($B93,'[3]Detailed Bin Table'!$N$9:$Y$9,0)))*24)</f>
        <v>14366.16</v>
      </c>
      <c r="G93" s="34">
        <f>IF(B93="Custom", Q93, IF(B93="Imputation", INDEX('[3]Alt Est Detailed Bin Table'!$Z$10:$AK$132, MATCH(A93, '[3]Alt Est Detailed Bin Table'!$A$10:$A$132), MATCH(P93, '[3]Alt Est Detailed Bin Table'!$Z$9:$AK$9,0)), INDEX('[3]Detailed Bin Table'!$Z$9:$AK$132,MATCH($A93,'[3]Detailed Bin Table'!$A$9:$A$132,0),MATCH($B93,'[3]Detailed Bin Table'!$Z$9:$AK$9,0)))*24)</f>
        <v>8201.76</v>
      </c>
      <c r="H93" s="34">
        <f>IF(B93="Custom", Q93, IF(B93="Imputation", INDEX('[3]Alt Est Detailed Bin Table'!$AL$10:$AW$132, MATCH(A93, '[3]Alt Est Detailed Bin Table'!$A$10:$A$132), MATCH(P93, '[3]Alt Est Detailed Bin Table'!$AL$9:$AW$9,0)), INDEX('[3]Detailed Bin Table'!$AL$9:$AW$132,MATCH($A93,'[3]Detailed Bin Table'!$A$9:$A$132,0),MATCH($B93,'[3]Detailed Bin Table'!$AL$9:$AW$9,0)))*24)</f>
        <v>1688.88</v>
      </c>
      <c r="I93" s="34">
        <f>IF(B93="Custom", Q93, IF(B93="Imputation", INDEX('[3]Alt Est Detailed Bin Table'!$AX$10:$BI$132, MATCH(A93, '[3]Alt Est Detailed Bin Table'!$A$10:$A$132), MATCH(P93, '[3]Alt Est Detailed Bin Table'!$AX$9:$BI$9,0)), INDEX('[3]Detailed Bin Table'!$AX$9:$BI$132,MATCH($A93,'[3]Detailed Bin Table'!$A$9:$A$132,0),MATCH($B93,'[3]Detailed Bin Table'!$AX$9:$BI$9,0)))*24)</f>
        <v>1148.3999999999999</v>
      </c>
      <c r="J93" s="222">
        <f>IF(B93="Custom", Q93, IF(B93="Imputation", INDEX('[3]Alt Est Detailed Bin Table'!$BJ$10:$BO$132, MATCH(A93, '[3]Alt Est Detailed Bin Table'!$A$10:$A$132), MATCH(P93, '[3]Alt Est Detailed Bin Table'!$BJ$9:$BO$9,0)), INDEX('[3]Detailed Bin Table'!$BJ$9:$BO$132,MATCH($A93,'[3]Detailed Bin Table'!$A$9:$A$132,0),MATCH($B93,'[3]Detailed Bin Table'!$BJ$9:$BO$9,0)))*24)</f>
        <v>0</v>
      </c>
      <c r="K93" s="33">
        <f>IF(B93="Custom", Q93, IF(B93="Imputation", INDEX('[3]Alt Est Detailed Bin Table'!$BP$10:$CC$132, MATCH(A93, '[3]Alt Est Detailed Bin Table'!$A$10:$A$132), MATCH(P93, '[3]Alt Est Detailed Bin Table'!$BP$9:$CC$9,0)), INDEX('[3]Detailed Bin Table'!$BP$9:$CC$132,MATCH($A93,'[3]Detailed Bin Table'!$A$9:$A$132,0),MATCH($B93,'[3]Detailed Bin Table'!$BP$9:$CC$9,0)))*24)</f>
        <v>18167.279999999992</v>
      </c>
      <c r="L93" s="223">
        <f>IF(B93="Custom", Q93, IF(B93="Imputation", INDEX('[3]Alt Est Detailed Bin Table'!$CD$10:$CK$132, MATCH(A93, '[3]Alt Est Detailed Bin Table'!$A$10:$A$132), MATCH(P93, '[3]Alt Est Detailed Bin Table'!$CD$9:$CK$9,0)), INDEX('[3]Detailed Bin Table'!$CD$9:$CK$132,MATCH($A93,'[3]Detailed Bin Table'!$A$9:$A$132,0),MATCH($B93,'[3]Detailed Bin Table'!$CD$9:$CK$9,0)))*24)</f>
        <v>258</v>
      </c>
      <c r="M93" s="34">
        <f>IF(B93="Custom", Q93, IF(B93="Imputation", INDEX('[3]Alt Est Detailed Bin Table'!$CL$10:$CS$132, MATCH(A93, '[3]Alt Est Detailed Bin Table'!$A$10:$A$132), MATCH(P93, '[3]Alt Est Detailed Bin Table'!$CL$9:$CS$9,0)), INDEX('[3]Detailed Bin Table'!$CL$9:$CS$132,MATCH($A93,'[3]Detailed Bin Table'!$A$9:$A$132,0),MATCH($B93,'[3]Detailed Bin Table'!$CL$9:$CS$9,0)))*24)</f>
        <v>330.24</v>
      </c>
      <c r="N93" s="34">
        <f>IF(B93="Custom", Q93, IF(B93="Imputation", INDEX('[3]Alt Est Detailed Bin Table'!$CT$10:$DA$132, MATCH(A93, '[3]Alt Est Detailed Bin Table'!$A$10:$A$132), MATCH(P93, '[3]Alt Est Detailed Bin Table'!$CT$9:$DA$9,0)), INDEX('[3]Detailed Bin Table'!$CT$9:$DA$132,MATCH($A93,'[3]Detailed Bin Table'!$A$9:$A$132,0),MATCH($B93,'[3]Detailed Bin Table'!$CT$9:$DA$9,0)))*24)</f>
        <v>1409.76</v>
      </c>
      <c r="O93" s="222">
        <f>IF(B93="Custom", Q93, IF(B93="Imputation", INDEX('[3]Alt Est Detailed Bin Table'!$DB$10:$DI$132, MATCH(A93, '[3]Alt Est Detailed Bin Table'!$A$10:$A$132), MATCH(P93, '[3]Alt Est Detailed Bin Table'!$DB$9:$DI$9,0)), INDEX('[3]Detailed Bin Table'!$DB$9:$DI$132,MATCH($A93,'[3]Detailed Bin Table'!$A$9:$A$132,0),MATCH($B93,'[3]Detailed Bin Table'!$DB$9:$DI$9,0)))*24)</f>
        <v>1402.32</v>
      </c>
      <c r="P93" s="215"/>
      <c r="Q93" s="62"/>
      <c r="R93" s="63"/>
      <c r="S93" s="63"/>
      <c r="T93" s="63"/>
      <c r="U93" s="63"/>
      <c r="V93" s="63"/>
      <c r="W93" s="64"/>
      <c r="X93" s="63"/>
      <c r="Y93" s="63"/>
      <c r="Z93" s="63"/>
      <c r="AA93" s="65"/>
      <c r="AB93" s="213" t="str">
        <f>IF(SUM(E93:O93)='[1]Passage Estimates'!$D93, "Ok", "Check")</f>
        <v>Ok</v>
      </c>
    </row>
    <row r="94" spans="1:28" x14ac:dyDescent="0.3">
      <c r="A94" s="20">
        <f>'1. Mixture Model Inputs'!A94</f>
        <v>45196</v>
      </c>
      <c r="B94" s="13" t="str">
        <f>'[1]Passage Estimates'!$C94</f>
        <v>A1+S1+M2+A2</v>
      </c>
      <c r="C94" s="206">
        <v>7800</v>
      </c>
      <c r="D94" s="206">
        <v>10609</v>
      </c>
      <c r="E94" s="34">
        <f>IF(B94="Custom", Q94, IF(B94="Imputation", INDEX('[3]Alt Est Detailed Bin Table'!$B$10:$M$132, MATCH(A94, '[3]Alt Est Detailed Bin Table'!$A$10:$A$132), MATCH(P94, '[3]Alt Est Detailed Bin Table'!$B$9:$M$9,0)), INDEX('[3]Detailed Bin Table'!$B$9:$M$132,MATCH($A94,'[3]Detailed Bin Table'!$A$9:$A$132,0),MATCH($B94,'[3]Detailed Bin Table'!$B$9:$M$9,0)))*24)</f>
        <v>18408.96</v>
      </c>
      <c r="F94" s="34">
        <f>IF(B94="Custom", Q94, IF(B94="Imputation", INDEX('[3]Alt Est Detailed Bin Table'!$N$10:$Y$132, MATCH(A94, '[3]Alt Est Detailed Bin Table'!$A$10:$A$132), MATCH(P94, '[3]Alt Est Detailed Bin Table'!$N$9:$Y$9,0)), INDEX('[3]Detailed Bin Table'!$N$9:$Y$132,MATCH($A94,'[3]Detailed Bin Table'!$A$9:$A$132,0),MATCH($B94,'[3]Detailed Bin Table'!$N$9:$Y$9,0)))*24)</f>
        <v>13987.199999999999</v>
      </c>
      <c r="G94" s="34">
        <f>IF(B94="Custom", Q94, IF(B94="Imputation", INDEX('[3]Alt Est Detailed Bin Table'!$Z$10:$AK$132, MATCH(A94, '[3]Alt Est Detailed Bin Table'!$A$10:$A$132), MATCH(P94, '[3]Alt Est Detailed Bin Table'!$Z$9:$AK$9,0)), INDEX('[3]Detailed Bin Table'!$Z$9:$AK$132,MATCH($A94,'[3]Detailed Bin Table'!$A$9:$A$132,0),MATCH($B94,'[3]Detailed Bin Table'!$Z$9:$AK$9,0)))*24)</f>
        <v>7035.84</v>
      </c>
      <c r="H94" s="34">
        <f>IF(B94="Custom", Q94, IF(B94="Imputation", INDEX('[3]Alt Est Detailed Bin Table'!$AL$10:$AW$132, MATCH(A94, '[3]Alt Est Detailed Bin Table'!$A$10:$A$132), MATCH(P94, '[3]Alt Est Detailed Bin Table'!$AL$9:$AW$9,0)), INDEX('[3]Detailed Bin Table'!$AL$9:$AW$132,MATCH($A94,'[3]Detailed Bin Table'!$A$9:$A$132,0),MATCH($B94,'[3]Detailed Bin Table'!$AL$9:$AW$9,0)))*24)</f>
        <v>2205.6000000000004</v>
      </c>
      <c r="I94" s="34">
        <f>IF(B94="Custom", Q94, IF(B94="Imputation", INDEX('[3]Alt Est Detailed Bin Table'!$AX$10:$BI$132, MATCH(A94, '[3]Alt Est Detailed Bin Table'!$A$10:$A$132), MATCH(P94, '[3]Alt Est Detailed Bin Table'!$AX$9:$BI$9,0)), INDEX('[3]Detailed Bin Table'!$AX$9:$BI$132,MATCH($A94,'[3]Detailed Bin Table'!$A$9:$A$132,0),MATCH($B94,'[3]Detailed Bin Table'!$AX$9:$BI$9,0)))*24)</f>
        <v>1175.28</v>
      </c>
      <c r="J94" s="222">
        <f>IF(B94="Custom", Q94, IF(B94="Imputation", INDEX('[3]Alt Est Detailed Bin Table'!$BJ$10:$BO$132, MATCH(A94, '[3]Alt Est Detailed Bin Table'!$A$10:$A$132), MATCH(P94, '[3]Alt Est Detailed Bin Table'!$BJ$9:$BO$9,0)), INDEX('[3]Detailed Bin Table'!$BJ$9:$BO$132,MATCH($A94,'[3]Detailed Bin Table'!$A$9:$A$132,0),MATCH($B94,'[3]Detailed Bin Table'!$BJ$9:$BO$9,0)))*24)</f>
        <v>0</v>
      </c>
      <c r="K94" s="33">
        <f>IF(B94="Custom", Q94, IF(B94="Imputation", INDEX('[3]Alt Est Detailed Bin Table'!$BP$10:$CC$132, MATCH(A94, '[3]Alt Est Detailed Bin Table'!$A$10:$A$132), MATCH(P94, '[3]Alt Est Detailed Bin Table'!$BP$9:$CC$9,0)), INDEX('[3]Detailed Bin Table'!$BP$9:$CC$132,MATCH($A94,'[3]Detailed Bin Table'!$A$9:$A$132,0),MATCH($B94,'[3]Detailed Bin Table'!$BP$9:$CC$9,0)))*24)</f>
        <v>14912.639999999981</v>
      </c>
      <c r="L94" s="223">
        <f>IF(B94="Custom", Q94, IF(B94="Imputation", INDEX('[3]Alt Est Detailed Bin Table'!$CD$10:$CK$132, MATCH(A94, '[3]Alt Est Detailed Bin Table'!$A$10:$A$132), MATCH(P94, '[3]Alt Est Detailed Bin Table'!$CD$9:$CK$9,0)), INDEX('[3]Detailed Bin Table'!$CD$9:$CK$132,MATCH($A94,'[3]Detailed Bin Table'!$A$9:$A$132,0),MATCH($B94,'[3]Detailed Bin Table'!$CD$9:$CK$9,0)))*24)</f>
        <v>1045.1999999999998</v>
      </c>
      <c r="M94" s="34">
        <f>IF(B94="Custom", Q94, IF(B94="Imputation", INDEX('[3]Alt Est Detailed Bin Table'!$CL$10:$CS$132, MATCH(A94, '[3]Alt Est Detailed Bin Table'!$A$10:$A$132), MATCH(P94, '[3]Alt Est Detailed Bin Table'!$CL$9:$CS$9,0)), INDEX('[3]Detailed Bin Table'!$CL$9:$CS$132,MATCH($A94,'[3]Detailed Bin Table'!$A$9:$A$132,0),MATCH($B94,'[3]Detailed Bin Table'!$CL$9:$CS$9,0)))*24)</f>
        <v>127.92</v>
      </c>
      <c r="N94" s="34">
        <f>IF(B94="Custom", Q94, IF(B94="Imputation", INDEX('[3]Alt Est Detailed Bin Table'!$CT$10:$DA$132, MATCH(A94, '[3]Alt Est Detailed Bin Table'!$A$10:$A$132), MATCH(P94, '[3]Alt Est Detailed Bin Table'!$CT$9:$DA$9,0)), INDEX('[3]Detailed Bin Table'!$CT$9:$DA$132,MATCH($A94,'[3]Detailed Bin Table'!$A$9:$A$132,0),MATCH($B94,'[3]Detailed Bin Table'!$CT$9:$DA$9,0)))*24)</f>
        <v>2319.36</v>
      </c>
      <c r="O94" s="222">
        <f>IF(B94="Custom", Q94, IF(B94="Imputation", INDEX('[3]Alt Est Detailed Bin Table'!$DB$10:$DI$132, MATCH(A94, '[3]Alt Est Detailed Bin Table'!$A$10:$A$132), MATCH(P94, '[3]Alt Est Detailed Bin Table'!$DB$9:$DI$9,0)), INDEX('[3]Detailed Bin Table'!$DB$9:$DI$132,MATCH($A94,'[3]Detailed Bin Table'!$A$9:$A$132,0),MATCH($B94,'[3]Detailed Bin Table'!$DB$9:$DI$9,0)))*24)</f>
        <v>3384</v>
      </c>
      <c r="P94" s="215"/>
      <c r="Q94" s="62"/>
      <c r="R94" s="63"/>
      <c r="S94" s="63"/>
      <c r="T94" s="63"/>
      <c r="U94" s="63"/>
      <c r="V94" s="63"/>
      <c r="W94" s="64"/>
      <c r="X94" s="63"/>
      <c r="Y94" s="63"/>
      <c r="Z94" s="63"/>
      <c r="AA94" s="65"/>
      <c r="AB94" s="213" t="str">
        <f>IF(SUM(E94:O94)='[1]Passage Estimates'!$D94, "Ok", "Check")</f>
        <v>Ok</v>
      </c>
    </row>
    <row r="95" spans="1:28" x14ac:dyDescent="0.3">
      <c r="A95" s="20">
        <f>'1. Mixture Model Inputs'!A95</f>
        <v>45197</v>
      </c>
      <c r="B95" s="13" t="str">
        <f>'[1]Passage Estimates'!$C95</f>
        <v>A1+S1+M2+A2</v>
      </c>
      <c r="C95" s="206">
        <v>11777</v>
      </c>
      <c r="D95" s="206">
        <v>8107</v>
      </c>
      <c r="E95" s="34">
        <f>IF(B95="Custom", Q95, IF(B95="Imputation", INDEX('[3]Alt Est Detailed Bin Table'!$B$10:$M$132, MATCH(A95, '[3]Alt Est Detailed Bin Table'!$A$10:$A$132), MATCH(P95, '[3]Alt Est Detailed Bin Table'!$B$9:$M$9,0)), INDEX('[3]Detailed Bin Table'!$B$9:$M$132,MATCH($A95,'[3]Detailed Bin Table'!$A$9:$A$132,0),MATCH($B95,'[3]Detailed Bin Table'!$B$9:$M$9,0)))*24)</f>
        <v>19884.48</v>
      </c>
      <c r="F95" s="34">
        <f>IF(B95="Custom", Q95, IF(B95="Imputation", INDEX('[3]Alt Est Detailed Bin Table'!$N$10:$Y$132, MATCH(A95, '[3]Alt Est Detailed Bin Table'!$A$10:$A$132), MATCH(P95, '[3]Alt Est Detailed Bin Table'!$N$9:$Y$9,0)), INDEX('[3]Detailed Bin Table'!$N$9:$Y$132,MATCH($A95,'[3]Detailed Bin Table'!$A$9:$A$132,0),MATCH($B95,'[3]Detailed Bin Table'!$N$9:$Y$9,0)))*24)</f>
        <v>7551.36</v>
      </c>
      <c r="G95" s="34">
        <f>IF(B95="Custom", Q95, IF(B95="Imputation", INDEX('[3]Alt Est Detailed Bin Table'!$Z$10:$AK$132, MATCH(A95, '[3]Alt Est Detailed Bin Table'!$A$10:$A$132), MATCH(P95, '[3]Alt Est Detailed Bin Table'!$Z$9:$AK$9,0)), INDEX('[3]Detailed Bin Table'!$Z$9:$AK$132,MATCH($A95,'[3]Detailed Bin Table'!$A$9:$A$132,0),MATCH($B95,'[3]Detailed Bin Table'!$Z$9:$AK$9,0)))*24)</f>
        <v>3912.96</v>
      </c>
      <c r="H95" s="34">
        <f>IF(B95="Custom", Q95, IF(B95="Imputation", INDEX('[3]Alt Est Detailed Bin Table'!$AL$10:$AW$132, MATCH(A95, '[3]Alt Est Detailed Bin Table'!$A$10:$A$132), MATCH(P95, '[3]Alt Est Detailed Bin Table'!$AL$9:$AW$9,0)), INDEX('[3]Detailed Bin Table'!$AL$9:$AW$132,MATCH($A95,'[3]Detailed Bin Table'!$A$9:$A$132,0),MATCH($B95,'[3]Detailed Bin Table'!$AL$9:$AW$9,0)))*24)</f>
        <v>1270.56</v>
      </c>
      <c r="I95" s="34">
        <f>IF(B95="Custom", Q95, IF(B95="Imputation", INDEX('[3]Alt Est Detailed Bin Table'!$AX$10:$BI$132, MATCH(A95, '[3]Alt Est Detailed Bin Table'!$A$10:$A$132), MATCH(P95, '[3]Alt Est Detailed Bin Table'!$AX$9:$BI$9,0)), INDEX('[3]Detailed Bin Table'!$AX$9:$BI$132,MATCH($A95,'[3]Detailed Bin Table'!$A$9:$A$132,0),MATCH($B95,'[3]Detailed Bin Table'!$AX$9:$BI$9,0)))*24)</f>
        <v>525.59999999999991</v>
      </c>
      <c r="J95" s="222">
        <f>IF(B95="Custom", Q95, IF(B95="Imputation", INDEX('[3]Alt Est Detailed Bin Table'!$BJ$10:$BO$132, MATCH(A95, '[3]Alt Est Detailed Bin Table'!$A$10:$A$132), MATCH(P95, '[3]Alt Est Detailed Bin Table'!$BJ$9:$BO$9,0)), INDEX('[3]Detailed Bin Table'!$BJ$9:$BO$132,MATCH($A95,'[3]Detailed Bin Table'!$A$9:$A$132,0),MATCH($B95,'[3]Detailed Bin Table'!$BJ$9:$BO$9,0)))*24)</f>
        <v>0</v>
      </c>
      <c r="K95" s="33">
        <f>IF(B95="Custom", Q95, IF(B95="Imputation", INDEX('[3]Alt Est Detailed Bin Table'!$BP$10:$CC$132, MATCH(A95, '[3]Alt Est Detailed Bin Table'!$A$10:$A$132), MATCH(P95, '[3]Alt Est Detailed Bin Table'!$BP$9:$CC$9,0)), INDEX('[3]Detailed Bin Table'!$BP$9:$CC$132,MATCH($A95,'[3]Detailed Bin Table'!$A$9:$A$132,0),MATCH($B95,'[3]Detailed Bin Table'!$BP$9:$CC$9,0)))*24)</f>
        <v>7995.3599999999969</v>
      </c>
      <c r="L95" s="223">
        <f>IF(B95="Custom", Q95, IF(B95="Imputation", INDEX('[3]Alt Est Detailed Bin Table'!$CD$10:$CK$132, MATCH(A95, '[3]Alt Est Detailed Bin Table'!$A$10:$A$132), MATCH(P95, '[3]Alt Est Detailed Bin Table'!$CD$9:$CK$9,0)), INDEX('[3]Detailed Bin Table'!$CD$9:$CK$132,MATCH($A95,'[3]Detailed Bin Table'!$A$9:$A$132,0),MATCH($B95,'[3]Detailed Bin Table'!$CD$9:$CK$9,0)))*24)</f>
        <v>-21.36</v>
      </c>
      <c r="M95" s="34">
        <f>IF(B95="Custom", Q95, IF(B95="Imputation", INDEX('[3]Alt Est Detailed Bin Table'!$CL$10:$CS$132, MATCH(A95, '[3]Alt Est Detailed Bin Table'!$A$10:$A$132), MATCH(P95, '[3]Alt Est Detailed Bin Table'!$CL$9:$CS$9,0)), INDEX('[3]Detailed Bin Table'!$CL$9:$CS$132,MATCH($A95,'[3]Detailed Bin Table'!$A$9:$A$132,0),MATCH($B95,'[3]Detailed Bin Table'!$CL$9:$CS$9,0)))*24)</f>
        <v>1268.1600000000001</v>
      </c>
      <c r="N95" s="34">
        <f>IF(B95="Custom", Q95, IF(B95="Imputation", INDEX('[3]Alt Est Detailed Bin Table'!$CT$10:$DA$132, MATCH(A95, '[3]Alt Est Detailed Bin Table'!$A$10:$A$132), MATCH(P95, '[3]Alt Est Detailed Bin Table'!$CT$9:$DA$9,0)), INDEX('[3]Detailed Bin Table'!$CT$9:$DA$132,MATCH($A95,'[3]Detailed Bin Table'!$A$9:$A$132,0),MATCH($B95,'[3]Detailed Bin Table'!$CT$9:$DA$9,0)))*24)</f>
        <v>2448.2400000000002</v>
      </c>
      <c r="O95" s="222">
        <f>IF(B95="Custom", Q95, IF(B95="Imputation", INDEX('[3]Alt Est Detailed Bin Table'!$DB$10:$DI$132, MATCH(A95, '[3]Alt Est Detailed Bin Table'!$A$10:$A$132), MATCH(P95, '[3]Alt Est Detailed Bin Table'!$DB$9:$DI$9,0)), INDEX('[3]Detailed Bin Table'!$DB$9:$DI$132,MATCH($A95,'[3]Detailed Bin Table'!$A$9:$A$132,0),MATCH($B95,'[3]Detailed Bin Table'!$DB$9:$DI$9,0)))*24)</f>
        <v>2734.32</v>
      </c>
      <c r="P95" s="215"/>
      <c r="Q95" s="62"/>
      <c r="R95" s="63"/>
      <c r="S95" s="63"/>
      <c r="T95" s="63"/>
      <c r="U95" s="63"/>
      <c r="V95" s="63"/>
      <c r="W95" s="64"/>
      <c r="X95" s="63"/>
      <c r="Y95" s="63"/>
      <c r="Z95" s="63"/>
      <c r="AA95" s="65"/>
      <c r="AB95" s="213" t="str">
        <f>IF(SUM(E95:O95)='[1]Passage Estimates'!$D95, "Ok", "Check")</f>
        <v>Ok</v>
      </c>
    </row>
    <row r="96" spans="1:28" x14ac:dyDescent="0.3">
      <c r="A96" s="20">
        <f>'1. Mixture Model Inputs'!A96</f>
        <v>45198</v>
      </c>
      <c r="B96" s="13" t="str">
        <f>'[1]Passage Estimates'!$C96</f>
        <v>A1+S1+M2+A2</v>
      </c>
      <c r="C96" s="206">
        <v>13647</v>
      </c>
      <c r="D96" s="206">
        <v>3595</v>
      </c>
      <c r="E96" s="34">
        <f>IF(B96="Custom", Q96, IF(B96="Imputation", INDEX('[3]Alt Est Detailed Bin Table'!$B$10:$M$132, MATCH(A96, '[3]Alt Est Detailed Bin Table'!$A$10:$A$132), MATCH(P96, '[3]Alt Est Detailed Bin Table'!$B$9:$M$9,0)), INDEX('[3]Detailed Bin Table'!$B$9:$M$132,MATCH($A96,'[3]Detailed Bin Table'!$A$9:$A$132,0),MATCH($B96,'[3]Detailed Bin Table'!$B$9:$M$9,0)))*24)</f>
        <v>17241.84</v>
      </c>
      <c r="F96" s="34">
        <f>IF(B96="Custom", Q96, IF(B96="Imputation", INDEX('[3]Alt Est Detailed Bin Table'!$N$10:$Y$132, MATCH(A96, '[3]Alt Est Detailed Bin Table'!$A$10:$A$132), MATCH(P96, '[3]Alt Est Detailed Bin Table'!$N$9:$Y$9,0)), INDEX('[3]Detailed Bin Table'!$N$9:$Y$132,MATCH($A96,'[3]Detailed Bin Table'!$A$9:$A$132,0),MATCH($B96,'[3]Detailed Bin Table'!$N$9:$Y$9,0)))*24)</f>
        <v>10166.64</v>
      </c>
      <c r="G96" s="34">
        <f>IF(B96="Custom", Q96, IF(B96="Imputation", INDEX('[3]Alt Est Detailed Bin Table'!$Z$10:$AK$132, MATCH(A96, '[3]Alt Est Detailed Bin Table'!$A$10:$A$132), MATCH(P96, '[3]Alt Est Detailed Bin Table'!$Z$9:$AK$9,0)), INDEX('[3]Detailed Bin Table'!$Z$9:$AK$132,MATCH($A96,'[3]Detailed Bin Table'!$A$9:$A$132,0),MATCH($B96,'[3]Detailed Bin Table'!$Z$9:$AK$9,0)))*24)</f>
        <v>7667.2800000000007</v>
      </c>
      <c r="H96" s="34">
        <f>IF(B96="Custom", Q96, IF(B96="Imputation", INDEX('[3]Alt Est Detailed Bin Table'!$AL$10:$AW$132, MATCH(A96, '[3]Alt Est Detailed Bin Table'!$A$10:$A$132), MATCH(P96, '[3]Alt Est Detailed Bin Table'!$AL$9:$AW$9,0)), INDEX('[3]Detailed Bin Table'!$AL$9:$AW$132,MATCH($A96,'[3]Detailed Bin Table'!$A$9:$A$132,0),MATCH($B96,'[3]Detailed Bin Table'!$AL$9:$AW$9,0)))*24)</f>
        <v>3137.76</v>
      </c>
      <c r="I96" s="34">
        <f>IF(B96="Custom", Q96, IF(B96="Imputation", INDEX('[3]Alt Est Detailed Bin Table'!$AX$10:$BI$132, MATCH(A96, '[3]Alt Est Detailed Bin Table'!$A$10:$A$132), MATCH(P96, '[3]Alt Est Detailed Bin Table'!$AX$9:$BI$9,0)), INDEX('[3]Detailed Bin Table'!$AX$9:$BI$132,MATCH($A96,'[3]Detailed Bin Table'!$A$9:$A$132,0),MATCH($B96,'[3]Detailed Bin Table'!$AX$9:$BI$9,0)))*24)</f>
        <v>2462.16</v>
      </c>
      <c r="J96" s="222">
        <f>IF(B96="Custom", Q96, IF(B96="Imputation", INDEX('[3]Alt Est Detailed Bin Table'!$BJ$10:$BO$132, MATCH(A96, '[3]Alt Est Detailed Bin Table'!$A$10:$A$132), MATCH(P96, '[3]Alt Est Detailed Bin Table'!$BJ$9:$BO$9,0)), INDEX('[3]Detailed Bin Table'!$BJ$9:$BO$132,MATCH($A96,'[3]Detailed Bin Table'!$A$9:$A$132,0),MATCH($B96,'[3]Detailed Bin Table'!$BJ$9:$BO$9,0)))*24)</f>
        <v>0</v>
      </c>
      <c r="K96" s="33">
        <f>IF(B96="Custom", Q96, IF(B96="Imputation", INDEX('[3]Alt Est Detailed Bin Table'!$BP$10:$CC$132, MATCH(A96, '[3]Alt Est Detailed Bin Table'!$A$10:$A$132), MATCH(P96, '[3]Alt Est Detailed Bin Table'!$BP$9:$CC$9,0)), INDEX('[3]Detailed Bin Table'!$BP$9:$CC$132,MATCH($A96,'[3]Detailed Bin Table'!$A$9:$A$132,0),MATCH($B96,'[3]Detailed Bin Table'!$BP$9:$CC$9,0)))*24)</f>
        <v>23243.04000000003</v>
      </c>
      <c r="L96" s="223">
        <f>IF(B96="Custom", Q96, IF(B96="Imputation", INDEX('[3]Alt Est Detailed Bin Table'!$CD$10:$CK$132, MATCH(A96, '[3]Alt Est Detailed Bin Table'!$A$10:$A$132), MATCH(P96, '[3]Alt Est Detailed Bin Table'!$CD$9:$CK$9,0)), INDEX('[3]Detailed Bin Table'!$CD$9:$CK$132,MATCH($A96,'[3]Detailed Bin Table'!$A$9:$A$132,0),MATCH($B96,'[3]Detailed Bin Table'!$CD$9:$CK$9,0)))*24)</f>
        <v>0</v>
      </c>
      <c r="M96" s="34">
        <f>IF(B96="Custom", Q96, IF(B96="Imputation", INDEX('[3]Alt Est Detailed Bin Table'!$CL$10:$CS$132, MATCH(A96, '[3]Alt Est Detailed Bin Table'!$A$10:$A$132), MATCH(P96, '[3]Alt Est Detailed Bin Table'!$CL$9:$CS$9,0)), INDEX('[3]Detailed Bin Table'!$CL$9:$CS$132,MATCH($A96,'[3]Detailed Bin Table'!$A$9:$A$132,0),MATCH($B96,'[3]Detailed Bin Table'!$CL$9:$CS$9,0)))*24)</f>
        <v>0</v>
      </c>
      <c r="N96" s="34">
        <f>IF(B96="Custom", Q96, IF(B96="Imputation", INDEX('[3]Alt Est Detailed Bin Table'!$CT$10:$DA$132, MATCH(A96, '[3]Alt Est Detailed Bin Table'!$A$10:$A$132), MATCH(P96, '[3]Alt Est Detailed Bin Table'!$CT$9:$DA$9,0)), INDEX('[3]Detailed Bin Table'!$CT$9:$DA$132,MATCH($A96,'[3]Detailed Bin Table'!$A$9:$A$132,0),MATCH($B96,'[3]Detailed Bin Table'!$CT$9:$DA$9,0)))*24)</f>
        <v>0</v>
      </c>
      <c r="O96" s="222">
        <f>IF(B96="Custom", Q96, IF(B96="Imputation", INDEX('[3]Alt Est Detailed Bin Table'!$DB$10:$DI$132, MATCH(A96, '[3]Alt Est Detailed Bin Table'!$A$10:$A$132), MATCH(P96, '[3]Alt Est Detailed Bin Table'!$DB$9:$DI$9,0)), INDEX('[3]Detailed Bin Table'!$DB$9:$DI$132,MATCH($A96,'[3]Detailed Bin Table'!$A$9:$A$132,0),MATCH($B96,'[3]Detailed Bin Table'!$DB$9:$DI$9,0)))*24)</f>
        <v>0</v>
      </c>
      <c r="P96" s="215"/>
      <c r="Q96" s="62"/>
      <c r="R96" s="63"/>
      <c r="S96" s="63"/>
      <c r="T96" s="63"/>
      <c r="U96" s="63"/>
      <c r="V96" s="63"/>
      <c r="W96" s="64"/>
      <c r="X96" s="63"/>
      <c r="Y96" s="63"/>
      <c r="Z96" s="63"/>
      <c r="AA96" s="65"/>
      <c r="AB96" s="213" t="str">
        <f>IF(SUM(E96:O96)='[1]Passage Estimates'!$D96, "Ok", "Check")</f>
        <v>Ok</v>
      </c>
    </row>
    <row r="97" spans="1:28" x14ac:dyDescent="0.3">
      <c r="A97" s="20">
        <f>'1. Mixture Model Inputs'!A97</f>
        <v>45199</v>
      </c>
      <c r="B97" s="13" t="str">
        <f>'[1]Passage Estimates'!$C97</f>
        <v>A1+S1+M2+A2</v>
      </c>
      <c r="C97" s="206">
        <v>7352</v>
      </c>
      <c r="D97" s="206">
        <v>2015</v>
      </c>
      <c r="E97" s="34">
        <f>IF(B97="Custom", Q97, IF(B97="Imputation", INDEX('[3]Alt Est Detailed Bin Table'!$B$10:$M$132, MATCH(A97, '[3]Alt Est Detailed Bin Table'!$A$10:$A$132), MATCH(P97, '[3]Alt Est Detailed Bin Table'!$B$9:$M$9,0)), INDEX('[3]Detailed Bin Table'!$B$9:$M$132,MATCH($A97,'[3]Detailed Bin Table'!$A$9:$A$132,0),MATCH($B97,'[3]Detailed Bin Table'!$B$9:$M$9,0)))*24)</f>
        <v>9367.2000000000007</v>
      </c>
      <c r="F97" s="34">
        <f>IF(B97="Custom", Q97, IF(B97="Imputation", INDEX('[3]Alt Est Detailed Bin Table'!$N$10:$Y$132, MATCH(A97, '[3]Alt Est Detailed Bin Table'!$A$10:$A$132), MATCH(P97, '[3]Alt Est Detailed Bin Table'!$N$9:$Y$9,0)), INDEX('[3]Detailed Bin Table'!$N$9:$Y$132,MATCH($A97,'[3]Detailed Bin Table'!$A$9:$A$132,0),MATCH($B97,'[3]Detailed Bin Table'!$N$9:$Y$9,0)))*24)</f>
        <v>10738.56</v>
      </c>
      <c r="G97" s="34">
        <f>IF(B97="Custom", Q97, IF(B97="Imputation", INDEX('[3]Alt Est Detailed Bin Table'!$Z$10:$AK$132, MATCH(A97, '[3]Alt Est Detailed Bin Table'!$A$10:$A$132), MATCH(P97, '[3]Alt Est Detailed Bin Table'!$Z$9:$AK$9,0)), INDEX('[3]Detailed Bin Table'!$Z$9:$AK$132,MATCH($A97,'[3]Detailed Bin Table'!$A$9:$A$132,0),MATCH($B97,'[3]Detailed Bin Table'!$Z$9:$AK$9,0)))*24)</f>
        <v>6420.24</v>
      </c>
      <c r="H97" s="34">
        <f>IF(B97="Custom", Q97, IF(B97="Imputation", INDEX('[3]Alt Est Detailed Bin Table'!$AL$10:$AW$132, MATCH(A97, '[3]Alt Est Detailed Bin Table'!$A$10:$A$132), MATCH(P97, '[3]Alt Est Detailed Bin Table'!$AL$9:$AW$9,0)), INDEX('[3]Detailed Bin Table'!$AL$9:$AW$132,MATCH($A97,'[3]Detailed Bin Table'!$A$9:$A$132,0),MATCH($B97,'[3]Detailed Bin Table'!$AL$9:$AW$9,0)))*24)</f>
        <v>2627.52</v>
      </c>
      <c r="I97" s="34">
        <f>IF(B97="Custom", Q97, IF(B97="Imputation", INDEX('[3]Alt Est Detailed Bin Table'!$AX$10:$BI$132, MATCH(A97, '[3]Alt Est Detailed Bin Table'!$A$10:$A$132), MATCH(P97, '[3]Alt Est Detailed Bin Table'!$AX$9:$BI$9,0)), INDEX('[3]Detailed Bin Table'!$AX$9:$BI$132,MATCH($A97,'[3]Detailed Bin Table'!$A$9:$A$132,0),MATCH($B97,'[3]Detailed Bin Table'!$AX$9:$BI$9,0)))*24)</f>
        <v>1140.96</v>
      </c>
      <c r="J97" s="222">
        <f>IF(B97="Custom", Q97, IF(B97="Imputation", INDEX('[3]Alt Est Detailed Bin Table'!$BJ$10:$BO$132, MATCH(A97, '[3]Alt Est Detailed Bin Table'!$A$10:$A$132), MATCH(P97, '[3]Alt Est Detailed Bin Table'!$BJ$9:$BO$9,0)), INDEX('[3]Detailed Bin Table'!$BJ$9:$BO$132,MATCH($A97,'[3]Detailed Bin Table'!$A$9:$A$132,0),MATCH($B97,'[3]Detailed Bin Table'!$BJ$9:$BO$9,0)))*24)</f>
        <v>0</v>
      </c>
      <c r="K97" s="33">
        <f>IF(B97="Custom", Q97, IF(B97="Imputation", INDEX('[3]Alt Est Detailed Bin Table'!$BP$10:$CC$132, MATCH(A97, '[3]Alt Est Detailed Bin Table'!$A$10:$A$132), MATCH(P97, '[3]Alt Est Detailed Bin Table'!$BP$9:$CC$9,0)), INDEX('[3]Detailed Bin Table'!$BP$9:$CC$132,MATCH($A97,'[3]Detailed Bin Table'!$A$9:$A$132,0),MATCH($B97,'[3]Detailed Bin Table'!$BP$9:$CC$9,0)))*24)</f>
        <v>25832.399999999998</v>
      </c>
      <c r="L97" s="223">
        <f>IF(B97="Custom", Q97, IF(B97="Imputation", INDEX('[3]Alt Est Detailed Bin Table'!$CD$10:$CK$132, MATCH(A97, '[3]Alt Est Detailed Bin Table'!$A$10:$A$132), MATCH(P97, '[3]Alt Est Detailed Bin Table'!$CD$9:$CK$9,0)), INDEX('[3]Detailed Bin Table'!$CD$9:$CK$132,MATCH($A97,'[3]Detailed Bin Table'!$A$9:$A$132,0),MATCH($B97,'[3]Detailed Bin Table'!$CD$9:$CK$9,0)))*24)</f>
        <v>0</v>
      </c>
      <c r="M97" s="34">
        <f>IF(B97="Custom", Q97, IF(B97="Imputation", INDEX('[3]Alt Est Detailed Bin Table'!$CL$10:$CS$132, MATCH(A97, '[3]Alt Est Detailed Bin Table'!$A$10:$A$132), MATCH(P97, '[3]Alt Est Detailed Bin Table'!$CL$9:$CS$9,0)), INDEX('[3]Detailed Bin Table'!$CL$9:$CS$132,MATCH($A97,'[3]Detailed Bin Table'!$A$9:$A$132,0),MATCH($B97,'[3]Detailed Bin Table'!$CL$9:$CS$9,0)))*24)</f>
        <v>0</v>
      </c>
      <c r="N97" s="34">
        <f>IF(B97="Custom", Q97, IF(B97="Imputation", INDEX('[3]Alt Est Detailed Bin Table'!$CT$10:$DA$132, MATCH(A97, '[3]Alt Est Detailed Bin Table'!$A$10:$A$132), MATCH(P97, '[3]Alt Est Detailed Bin Table'!$CT$9:$DA$9,0)), INDEX('[3]Detailed Bin Table'!$CT$9:$DA$132,MATCH($A97,'[3]Detailed Bin Table'!$A$9:$A$132,0),MATCH($B97,'[3]Detailed Bin Table'!$CT$9:$DA$9,0)))*24)</f>
        <v>0</v>
      </c>
      <c r="O97" s="222">
        <f>IF(B97="Custom", Q97, IF(B97="Imputation", INDEX('[3]Alt Est Detailed Bin Table'!$DB$10:$DI$132, MATCH(A97, '[3]Alt Est Detailed Bin Table'!$A$10:$A$132), MATCH(P97, '[3]Alt Est Detailed Bin Table'!$DB$9:$DI$9,0)), INDEX('[3]Detailed Bin Table'!$DB$9:$DI$132,MATCH($A97,'[3]Detailed Bin Table'!$A$9:$A$132,0),MATCH($B97,'[3]Detailed Bin Table'!$DB$9:$DI$9,0)))*24)</f>
        <v>0</v>
      </c>
      <c r="P97" s="215"/>
      <c r="Q97" s="62"/>
      <c r="R97" s="63"/>
      <c r="S97" s="63"/>
      <c r="T97" s="63"/>
      <c r="U97" s="63"/>
      <c r="V97" s="63"/>
      <c r="W97" s="64"/>
      <c r="X97" s="63"/>
      <c r="Y97" s="63"/>
      <c r="Z97" s="63"/>
      <c r="AA97" s="65"/>
      <c r="AB97" s="213" t="str">
        <f>IF(SUM(E97:O97)='[1]Passage Estimates'!$D97, "Ok", "Check")</f>
        <v>Ok</v>
      </c>
    </row>
    <row r="98" spans="1:28" x14ac:dyDescent="0.3">
      <c r="A98" s="20">
        <f>'1. Mixture Model Inputs'!A98</f>
        <v>45200</v>
      </c>
      <c r="B98" s="13" t="str">
        <f>'[1]Passage Estimates'!$C98</f>
        <v>A1+S1+M2+A2</v>
      </c>
      <c r="C98" s="206">
        <v>8118</v>
      </c>
      <c r="D98" s="206">
        <v>2223</v>
      </c>
      <c r="E98" s="34">
        <f>IF(B98="Custom", Q98, IF(B98="Imputation", INDEX('[3]Alt Est Detailed Bin Table'!$B$10:$M$132, MATCH(A98, '[3]Alt Est Detailed Bin Table'!$A$10:$A$132), MATCH(P98, '[3]Alt Est Detailed Bin Table'!$B$9:$M$9,0)), INDEX('[3]Detailed Bin Table'!$B$9:$M$132,MATCH($A98,'[3]Detailed Bin Table'!$A$9:$A$132,0),MATCH($B98,'[3]Detailed Bin Table'!$B$9:$M$9,0)))*24)</f>
        <v>10341.599999999999</v>
      </c>
      <c r="F98" s="34">
        <f>IF(B98="Custom", Q98, IF(B98="Imputation", INDEX('[3]Alt Est Detailed Bin Table'!$N$10:$Y$132, MATCH(A98, '[3]Alt Est Detailed Bin Table'!$A$10:$A$132), MATCH(P98, '[3]Alt Est Detailed Bin Table'!$N$9:$Y$9,0)), INDEX('[3]Detailed Bin Table'!$N$9:$Y$132,MATCH($A98,'[3]Detailed Bin Table'!$A$9:$A$132,0),MATCH($B98,'[3]Detailed Bin Table'!$N$9:$Y$9,0)))*24)</f>
        <v>8483.0399999999991</v>
      </c>
      <c r="G98" s="34">
        <f>IF(B98="Custom", Q98, IF(B98="Imputation", INDEX('[3]Alt Est Detailed Bin Table'!$Z$10:$AK$132, MATCH(A98, '[3]Alt Est Detailed Bin Table'!$A$10:$A$132), MATCH(P98, '[3]Alt Est Detailed Bin Table'!$Z$9:$AK$9,0)), INDEX('[3]Detailed Bin Table'!$Z$9:$AK$132,MATCH($A98,'[3]Detailed Bin Table'!$A$9:$A$132,0),MATCH($B98,'[3]Detailed Bin Table'!$Z$9:$AK$9,0)))*24)</f>
        <v>3939.12</v>
      </c>
      <c r="H98" s="34">
        <f>IF(B98="Custom", Q98, IF(B98="Imputation", INDEX('[3]Alt Est Detailed Bin Table'!$AL$10:$AW$132, MATCH(A98, '[3]Alt Est Detailed Bin Table'!$A$10:$A$132), MATCH(P98, '[3]Alt Est Detailed Bin Table'!$AL$9:$AW$9,0)), INDEX('[3]Detailed Bin Table'!$AL$9:$AW$132,MATCH($A98,'[3]Detailed Bin Table'!$A$9:$A$132,0),MATCH($B98,'[3]Detailed Bin Table'!$AL$9:$AW$9,0)))*24)</f>
        <v>3468.24</v>
      </c>
      <c r="I98" s="34">
        <f>IF(B98="Custom", Q98, IF(B98="Imputation", INDEX('[3]Alt Est Detailed Bin Table'!$AX$10:$BI$132, MATCH(A98, '[3]Alt Est Detailed Bin Table'!$A$10:$A$132), MATCH(P98, '[3]Alt Est Detailed Bin Table'!$AX$9:$BI$9,0)), INDEX('[3]Detailed Bin Table'!$AX$9:$BI$132,MATCH($A98,'[3]Detailed Bin Table'!$A$9:$A$132,0),MATCH($B98,'[3]Detailed Bin Table'!$AX$9:$BI$9,0)))*24)</f>
        <v>4640.88</v>
      </c>
      <c r="J98" s="222">
        <f>IF(B98="Custom", Q98, IF(B98="Imputation", INDEX('[3]Alt Est Detailed Bin Table'!$BJ$10:$BO$132, MATCH(A98, '[3]Alt Est Detailed Bin Table'!$A$10:$A$132), MATCH(P98, '[3]Alt Est Detailed Bin Table'!$BJ$9:$BO$9,0)), INDEX('[3]Detailed Bin Table'!$BJ$9:$BO$132,MATCH($A98,'[3]Detailed Bin Table'!$A$9:$A$132,0),MATCH($B98,'[3]Detailed Bin Table'!$BJ$9:$BO$9,0)))*24)</f>
        <v>0</v>
      </c>
      <c r="K98" s="33">
        <f>IF(B98="Custom", Q98, IF(B98="Imputation", INDEX('[3]Alt Est Detailed Bin Table'!$BP$10:$CC$132, MATCH(A98, '[3]Alt Est Detailed Bin Table'!$A$10:$A$132), MATCH(P98, '[3]Alt Est Detailed Bin Table'!$BP$9:$CC$9,0)), INDEX('[3]Detailed Bin Table'!$BP$9:$CC$132,MATCH($A98,'[3]Detailed Bin Table'!$A$9:$A$132,0),MATCH($B98,'[3]Detailed Bin Table'!$BP$9:$CC$9,0)))*24)</f>
        <v>20545.440000000031</v>
      </c>
      <c r="L98" s="223">
        <f>IF(B98="Custom", Q98, IF(B98="Imputation", INDEX('[3]Alt Est Detailed Bin Table'!$CD$10:$CK$132, MATCH(A98, '[3]Alt Est Detailed Bin Table'!$A$10:$A$132), MATCH(P98, '[3]Alt Est Detailed Bin Table'!$CD$9:$CK$9,0)), INDEX('[3]Detailed Bin Table'!$CD$9:$CK$132,MATCH($A98,'[3]Detailed Bin Table'!$A$9:$A$132,0),MATCH($B98,'[3]Detailed Bin Table'!$CD$9:$CK$9,0)))*24)</f>
        <v>0</v>
      </c>
      <c r="M98" s="34">
        <f>IF(B98="Custom", Q98, IF(B98="Imputation", INDEX('[3]Alt Est Detailed Bin Table'!$CL$10:$CS$132, MATCH(A98, '[3]Alt Est Detailed Bin Table'!$A$10:$A$132), MATCH(P98, '[3]Alt Est Detailed Bin Table'!$CL$9:$CS$9,0)), INDEX('[3]Detailed Bin Table'!$CL$9:$CS$132,MATCH($A98,'[3]Detailed Bin Table'!$A$9:$A$132,0),MATCH($B98,'[3]Detailed Bin Table'!$CL$9:$CS$9,0)))*24)</f>
        <v>0</v>
      </c>
      <c r="N98" s="34">
        <f>IF(B98="Custom", Q98, IF(B98="Imputation", INDEX('[3]Alt Est Detailed Bin Table'!$CT$10:$DA$132, MATCH(A98, '[3]Alt Est Detailed Bin Table'!$A$10:$A$132), MATCH(P98, '[3]Alt Est Detailed Bin Table'!$CT$9:$DA$9,0)), INDEX('[3]Detailed Bin Table'!$CT$9:$DA$132,MATCH($A98,'[3]Detailed Bin Table'!$A$9:$A$132,0),MATCH($B98,'[3]Detailed Bin Table'!$CT$9:$DA$9,0)))*24)</f>
        <v>0</v>
      </c>
      <c r="O98" s="222">
        <f>IF(B98="Custom", Q98, IF(B98="Imputation", INDEX('[3]Alt Est Detailed Bin Table'!$DB$10:$DI$132, MATCH(A98, '[3]Alt Est Detailed Bin Table'!$A$10:$A$132), MATCH(P98, '[3]Alt Est Detailed Bin Table'!$DB$9:$DI$9,0)), INDEX('[3]Detailed Bin Table'!$DB$9:$DI$132,MATCH($A98,'[3]Detailed Bin Table'!$A$9:$A$132,0),MATCH($B98,'[3]Detailed Bin Table'!$DB$9:$DI$9,0)))*24)</f>
        <v>0</v>
      </c>
      <c r="P98" s="215"/>
      <c r="Q98" s="62"/>
      <c r="R98" s="63"/>
      <c r="S98" s="63"/>
      <c r="T98" s="63"/>
      <c r="U98" s="63"/>
      <c r="V98" s="63"/>
      <c r="W98" s="64"/>
      <c r="X98" s="63"/>
      <c r="Y98" s="63"/>
      <c r="Z98" s="63"/>
      <c r="AA98" s="65"/>
      <c r="AB98" s="213" t="str">
        <f>IF(SUM(E98:O98)='[1]Passage Estimates'!$D98, "Ok", "Check")</f>
        <v>Ok</v>
      </c>
    </row>
    <row r="99" spans="1:28" x14ac:dyDescent="0.3">
      <c r="A99" s="20">
        <f>'1. Mixture Model Inputs'!A99</f>
        <v>45201</v>
      </c>
      <c r="B99" s="13" t="str">
        <f>'[1]Passage Estimates'!$C99</f>
        <v>A1+S1+M2+A2</v>
      </c>
      <c r="C99" s="206">
        <v>8502</v>
      </c>
      <c r="D99" s="206">
        <v>3994</v>
      </c>
      <c r="E99" s="34">
        <f>IF(B99="Custom", Q99, IF(B99="Imputation", INDEX('[3]Alt Est Detailed Bin Table'!$B$10:$M$132, MATCH(A99, '[3]Alt Est Detailed Bin Table'!$A$10:$A$132), MATCH(P99, '[3]Alt Est Detailed Bin Table'!$B$9:$M$9,0)), INDEX('[3]Detailed Bin Table'!$B$9:$M$132,MATCH($A99,'[3]Detailed Bin Table'!$A$9:$A$132,0),MATCH($B99,'[3]Detailed Bin Table'!$B$9:$M$9,0)))*24)</f>
        <v>12496.079999999998</v>
      </c>
      <c r="F99" s="34">
        <f>IF(B99="Custom", Q99, IF(B99="Imputation", INDEX('[3]Alt Est Detailed Bin Table'!$N$10:$Y$132, MATCH(A99, '[3]Alt Est Detailed Bin Table'!$A$10:$A$132), MATCH(P99, '[3]Alt Est Detailed Bin Table'!$N$9:$Y$9,0)), INDEX('[3]Detailed Bin Table'!$N$9:$Y$132,MATCH($A99,'[3]Detailed Bin Table'!$A$9:$A$132,0),MATCH($B99,'[3]Detailed Bin Table'!$N$9:$Y$9,0)))*24)</f>
        <v>5245.4400000000005</v>
      </c>
      <c r="G99" s="34">
        <f>IF(B99="Custom", Q99, IF(B99="Imputation", INDEX('[3]Alt Est Detailed Bin Table'!$Z$10:$AK$132, MATCH(A99, '[3]Alt Est Detailed Bin Table'!$A$10:$A$132), MATCH(P99, '[3]Alt Est Detailed Bin Table'!$Z$9:$AK$9,0)), INDEX('[3]Detailed Bin Table'!$Z$9:$AK$132,MATCH($A99,'[3]Detailed Bin Table'!$A$9:$A$132,0),MATCH($B99,'[3]Detailed Bin Table'!$Z$9:$AK$9,0)))*24)</f>
        <v>1898.3999999999999</v>
      </c>
      <c r="H99" s="34">
        <f>IF(B99="Custom", Q99, IF(B99="Imputation", INDEX('[3]Alt Est Detailed Bin Table'!$AL$10:$AW$132, MATCH(A99, '[3]Alt Est Detailed Bin Table'!$A$10:$A$132), MATCH(P99, '[3]Alt Est Detailed Bin Table'!$AL$9:$AW$9,0)), INDEX('[3]Detailed Bin Table'!$AL$9:$AW$132,MATCH($A99,'[3]Detailed Bin Table'!$A$9:$A$132,0),MATCH($B99,'[3]Detailed Bin Table'!$AL$9:$AW$9,0)))*24)</f>
        <v>815.04</v>
      </c>
      <c r="I99" s="34">
        <f>IF(B99="Custom", Q99, IF(B99="Imputation", INDEX('[3]Alt Est Detailed Bin Table'!$AX$10:$BI$132, MATCH(A99, '[3]Alt Est Detailed Bin Table'!$A$10:$A$132), MATCH(P99, '[3]Alt Est Detailed Bin Table'!$AX$9:$BI$9,0)), INDEX('[3]Detailed Bin Table'!$AX$9:$BI$132,MATCH($A99,'[3]Detailed Bin Table'!$A$9:$A$132,0),MATCH($B99,'[3]Detailed Bin Table'!$AX$9:$BI$9,0)))*24)</f>
        <v>232.32</v>
      </c>
      <c r="J99" s="222">
        <f>IF(B99="Custom", Q99, IF(B99="Imputation", INDEX('[3]Alt Est Detailed Bin Table'!$BJ$10:$BO$132, MATCH(A99, '[3]Alt Est Detailed Bin Table'!$A$10:$A$132), MATCH(P99, '[3]Alt Est Detailed Bin Table'!$BJ$9:$BO$9,0)), INDEX('[3]Detailed Bin Table'!$BJ$9:$BO$132,MATCH($A99,'[3]Detailed Bin Table'!$A$9:$A$132,0),MATCH($B99,'[3]Detailed Bin Table'!$BJ$9:$BO$9,0)))*24)</f>
        <v>0</v>
      </c>
      <c r="K99" s="33">
        <f>IF(B99="Custom", Q99, IF(B99="Imputation", INDEX('[3]Alt Est Detailed Bin Table'!$BP$10:$CC$132, MATCH(A99, '[3]Alt Est Detailed Bin Table'!$A$10:$A$132), MATCH(P99, '[3]Alt Est Detailed Bin Table'!$BP$9:$CC$9,0)), INDEX('[3]Detailed Bin Table'!$BP$9:$CC$132,MATCH($A99,'[3]Detailed Bin Table'!$A$9:$A$132,0),MATCH($B99,'[3]Detailed Bin Table'!$BP$9:$CC$9,0)))*24)</f>
        <v>11946.240000000016</v>
      </c>
      <c r="L99" s="223">
        <f>IF(B99="Custom", Q99, IF(B99="Imputation", INDEX('[3]Alt Est Detailed Bin Table'!$CD$10:$CK$132, MATCH(A99, '[3]Alt Est Detailed Bin Table'!$A$10:$A$132), MATCH(P99, '[3]Alt Est Detailed Bin Table'!$CD$9:$CK$9,0)), INDEX('[3]Detailed Bin Table'!$CD$9:$CK$132,MATCH($A99,'[3]Detailed Bin Table'!$A$9:$A$132,0),MATCH($B99,'[3]Detailed Bin Table'!$CD$9:$CK$9,0)))*24)</f>
        <v>0</v>
      </c>
      <c r="M99" s="34">
        <f>IF(B99="Custom", Q99, IF(B99="Imputation", INDEX('[3]Alt Est Detailed Bin Table'!$CL$10:$CS$132, MATCH(A99, '[3]Alt Est Detailed Bin Table'!$A$10:$A$132), MATCH(P99, '[3]Alt Est Detailed Bin Table'!$CL$9:$CS$9,0)), INDEX('[3]Detailed Bin Table'!$CL$9:$CS$132,MATCH($A99,'[3]Detailed Bin Table'!$A$9:$A$132,0),MATCH($B99,'[3]Detailed Bin Table'!$CL$9:$CS$9,0)))*24)</f>
        <v>0</v>
      </c>
      <c r="N99" s="34">
        <f>IF(B99="Custom", Q99, IF(B99="Imputation", INDEX('[3]Alt Est Detailed Bin Table'!$CT$10:$DA$132, MATCH(A99, '[3]Alt Est Detailed Bin Table'!$A$10:$A$132), MATCH(P99, '[3]Alt Est Detailed Bin Table'!$CT$9:$DA$9,0)), INDEX('[3]Detailed Bin Table'!$CT$9:$DA$132,MATCH($A99,'[3]Detailed Bin Table'!$A$9:$A$132,0),MATCH($B99,'[3]Detailed Bin Table'!$CT$9:$DA$9,0)))*24)</f>
        <v>0</v>
      </c>
      <c r="O99" s="222">
        <f>IF(B99="Custom", Q99, IF(B99="Imputation", INDEX('[3]Alt Est Detailed Bin Table'!$DB$10:$DI$132, MATCH(A99, '[3]Alt Est Detailed Bin Table'!$A$10:$A$132), MATCH(P99, '[3]Alt Est Detailed Bin Table'!$DB$9:$DI$9,0)), INDEX('[3]Detailed Bin Table'!$DB$9:$DI$132,MATCH($A99,'[3]Detailed Bin Table'!$A$9:$A$132,0),MATCH($B99,'[3]Detailed Bin Table'!$DB$9:$DI$9,0)))*24)</f>
        <v>0</v>
      </c>
      <c r="P99" s="215"/>
      <c r="Q99" s="62"/>
      <c r="R99" s="63"/>
      <c r="S99" s="63"/>
      <c r="T99" s="63"/>
      <c r="U99" s="63"/>
      <c r="V99" s="63"/>
      <c r="W99" s="64"/>
      <c r="X99" s="63"/>
      <c r="Y99" s="63"/>
      <c r="Z99" s="63"/>
      <c r="AA99" s="65"/>
      <c r="AB99" s="213" t="str">
        <f>IF(SUM(E99:O99)='[1]Passage Estimates'!$D99, "Ok", "Check")</f>
        <v>Ok</v>
      </c>
    </row>
    <row r="100" spans="1:28" x14ac:dyDescent="0.3">
      <c r="A100" s="20">
        <f>'1. Mixture Model Inputs'!A100</f>
        <v>45202</v>
      </c>
      <c r="B100" s="13">
        <f>'[1]Passage Estimates'!$C100</f>
        <v>0</v>
      </c>
      <c r="C100" s="206"/>
      <c r="D100" s="206"/>
      <c r="E100" s="34" t="e">
        <f>IF(B100="Custom", Q100, IF(B100="Imputation", INDEX('[3]Alt Est Detailed Bin Table'!$B$10:$M$132, MATCH(A100, '[3]Alt Est Detailed Bin Table'!$A$10:$A$132), MATCH(P100, '[3]Alt Est Detailed Bin Table'!$B$9:$M$9,0)), INDEX('[3]Detailed Bin Table'!$B$9:$M$132,MATCH($A100,'[3]Detailed Bin Table'!$A$9:$A$132,0),MATCH($B100,'[3]Detailed Bin Table'!$B$9:$M$9,0)))*24)</f>
        <v>#N/A</v>
      </c>
      <c r="F100" s="34" t="e">
        <f>IF(B100="Custom", Q100, IF(B100="Imputation", INDEX('[3]Alt Est Detailed Bin Table'!$N$10:$Y$132, MATCH(A100, '[3]Alt Est Detailed Bin Table'!$A$10:$A$132), MATCH(P100, '[3]Alt Est Detailed Bin Table'!$N$9:$Y$9,0)), INDEX('[3]Detailed Bin Table'!$N$9:$Y$132,MATCH($A100,'[3]Detailed Bin Table'!$A$9:$A$132,0),MATCH($B100,'[3]Detailed Bin Table'!$N$9:$Y$9,0)))*24)</f>
        <v>#N/A</v>
      </c>
      <c r="G100" s="34" t="e">
        <f>IF(B100="Custom", Q100, IF(B100="Imputation", INDEX('[3]Alt Est Detailed Bin Table'!$Z$10:$AK$132, MATCH(A100, '[3]Alt Est Detailed Bin Table'!$A$10:$A$132), MATCH(P100, '[3]Alt Est Detailed Bin Table'!$Z$9:$AK$9,0)), INDEX('[3]Detailed Bin Table'!$Z$9:$AK$132,MATCH($A100,'[3]Detailed Bin Table'!$A$9:$A$132,0),MATCH($B100,'[3]Detailed Bin Table'!$Z$9:$AK$9,0)))*24)</f>
        <v>#N/A</v>
      </c>
      <c r="H100" s="34" t="e">
        <f>IF(B100="Custom", Q100, IF(B100="Imputation", INDEX('[3]Alt Est Detailed Bin Table'!$AL$10:$AW$132, MATCH(A100, '[3]Alt Est Detailed Bin Table'!$A$10:$A$132), MATCH(P100, '[3]Alt Est Detailed Bin Table'!$AL$9:$AW$9,0)), INDEX('[3]Detailed Bin Table'!$AL$9:$AW$132,MATCH($A100,'[3]Detailed Bin Table'!$A$9:$A$132,0),MATCH($B100,'[3]Detailed Bin Table'!$AL$9:$AW$9,0)))*24)</f>
        <v>#N/A</v>
      </c>
      <c r="I100" s="34" t="e">
        <f>IF(B100="Custom", Q100, IF(B100="Imputation", INDEX('[3]Alt Est Detailed Bin Table'!$AX$10:$BI$132, MATCH(A100, '[3]Alt Est Detailed Bin Table'!$A$10:$A$132), MATCH(P100, '[3]Alt Est Detailed Bin Table'!$AX$9:$BI$9,0)), INDEX('[3]Detailed Bin Table'!$AX$9:$BI$132,MATCH($A100,'[3]Detailed Bin Table'!$A$9:$A$132,0),MATCH($B100,'[3]Detailed Bin Table'!$AX$9:$BI$9,0)))*24)</f>
        <v>#N/A</v>
      </c>
      <c r="J100" s="222" t="e">
        <f>IF(B100="Custom", Q100, IF(B100="Imputation", INDEX('[3]Alt Est Detailed Bin Table'!$BJ$10:$BO$132, MATCH(A100, '[3]Alt Est Detailed Bin Table'!$A$10:$A$132), MATCH(P100, '[3]Alt Est Detailed Bin Table'!$BJ$9:$BO$9,0)), INDEX('[3]Detailed Bin Table'!$BJ$9:$BO$132,MATCH($A100,'[3]Detailed Bin Table'!$A$9:$A$132,0),MATCH($B100,'[3]Detailed Bin Table'!$BJ$9:$BO$9,0)))*24)</f>
        <v>#N/A</v>
      </c>
      <c r="K100" s="33" t="e">
        <f>IF(B100="Custom", Q100, IF(B100="Imputation", INDEX('[3]Alt Est Detailed Bin Table'!$BP$10:$CC$132, MATCH(A100, '[3]Alt Est Detailed Bin Table'!$A$10:$A$132), MATCH(P100, '[3]Alt Est Detailed Bin Table'!$BP$9:$CC$9,0)), INDEX('[3]Detailed Bin Table'!$BP$9:$CC$132,MATCH($A100,'[3]Detailed Bin Table'!$A$9:$A$132,0),MATCH($B100,'[3]Detailed Bin Table'!$BP$9:$CC$9,0)))*24)</f>
        <v>#N/A</v>
      </c>
      <c r="L100" s="223" t="e">
        <f>IF(B100="Custom", Q100, IF(B100="Imputation", INDEX('[3]Alt Est Detailed Bin Table'!$CD$10:$CK$132, MATCH(A100, '[3]Alt Est Detailed Bin Table'!$A$10:$A$132), MATCH(P100, '[3]Alt Est Detailed Bin Table'!$CD$9:$CK$9,0)), INDEX('[3]Detailed Bin Table'!$CD$9:$CK$132,MATCH($A100,'[3]Detailed Bin Table'!$A$9:$A$132,0),MATCH($B100,'[3]Detailed Bin Table'!$CD$9:$CK$9,0)))*24)</f>
        <v>#N/A</v>
      </c>
      <c r="M100" s="34" t="e">
        <f>IF(B100="Custom", Q100, IF(B100="Imputation", INDEX('[3]Alt Est Detailed Bin Table'!$CL$10:$CS$132, MATCH(A100, '[3]Alt Est Detailed Bin Table'!$A$10:$A$132), MATCH(P100, '[3]Alt Est Detailed Bin Table'!$CL$9:$CS$9,0)), INDEX('[3]Detailed Bin Table'!$CL$9:$CS$132,MATCH($A100,'[3]Detailed Bin Table'!$A$9:$A$132,0),MATCH($B100,'[3]Detailed Bin Table'!$CL$9:$CS$9,0)))*24)</f>
        <v>#N/A</v>
      </c>
      <c r="N100" s="34" t="e">
        <f>IF(B100="Custom", Q100, IF(B100="Imputation", INDEX('[3]Alt Est Detailed Bin Table'!$CT$10:$DA$132, MATCH(A100, '[3]Alt Est Detailed Bin Table'!$A$10:$A$132), MATCH(P100, '[3]Alt Est Detailed Bin Table'!$CT$9:$DA$9,0)), INDEX('[3]Detailed Bin Table'!$CT$9:$DA$132,MATCH($A100,'[3]Detailed Bin Table'!$A$9:$A$132,0),MATCH($B100,'[3]Detailed Bin Table'!$CT$9:$DA$9,0)))*24)</f>
        <v>#N/A</v>
      </c>
      <c r="O100" s="222" t="e">
        <f>IF(B100="Custom", Q100, IF(B100="Imputation", INDEX('[3]Alt Est Detailed Bin Table'!$DB$10:$DI$132, MATCH(A100, '[3]Alt Est Detailed Bin Table'!$A$10:$A$132), MATCH(P100, '[3]Alt Est Detailed Bin Table'!$DB$9:$DI$9,0)), INDEX('[3]Detailed Bin Table'!$DB$9:$DI$132,MATCH($A100,'[3]Detailed Bin Table'!$A$9:$A$132,0),MATCH($B100,'[3]Detailed Bin Table'!$DB$9:$DI$9,0)))*24)</f>
        <v>#N/A</v>
      </c>
      <c r="P100" s="215"/>
      <c r="Q100" s="62"/>
      <c r="R100" s="63"/>
      <c r="S100" s="63"/>
      <c r="T100" s="63"/>
      <c r="U100" s="63"/>
      <c r="V100" s="63"/>
      <c r="W100" s="64"/>
      <c r="X100" s="63"/>
      <c r="Y100" s="63"/>
      <c r="Z100" s="63"/>
      <c r="AA100" s="65"/>
      <c r="AB100" s="213" t="e">
        <f>IF(SUM(E100:O100)='[1]Passage Estimates'!$D100, "Ok", "Check")</f>
        <v>#N/A</v>
      </c>
    </row>
    <row r="101" spans="1:28" x14ac:dyDescent="0.3">
      <c r="A101" s="20">
        <f>'1. Mixture Model Inputs'!A101</f>
        <v>45203</v>
      </c>
      <c r="B101" s="13">
        <f>'[1]Passage Estimates'!$C101</f>
        <v>0</v>
      </c>
      <c r="C101" s="206"/>
      <c r="D101" s="206"/>
      <c r="E101" s="34" t="e">
        <f>IF(B101="Custom", Q101, IF(B101="Imputation", INDEX('[3]Alt Est Detailed Bin Table'!$B$10:$M$132, MATCH(A101, '[3]Alt Est Detailed Bin Table'!$A$10:$A$132), MATCH(P101, '[3]Alt Est Detailed Bin Table'!$B$9:$M$9,0)), INDEX('[3]Detailed Bin Table'!$B$9:$M$132,MATCH($A101,'[3]Detailed Bin Table'!$A$9:$A$132,0),MATCH($B101,'[3]Detailed Bin Table'!$B$9:$M$9,0)))*24)</f>
        <v>#N/A</v>
      </c>
      <c r="F101" s="34" t="e">
        <f>IF(B101="Custom", Q101, IF(B101="Imputation", INDEX('[3]Alt Est Detailed Bin Table'!$N$10:$Y$132, MATCH(A101, '[3]Alt Est Detailed Bin Table'!$A$10:$A$132), MATCH(P101, '[3]Alt Est Detailed Bin Table'!$N$9:$Y$9,0)), INDEX('[3]Detailed Bin Table'!$N$9:$Y$132,MATCH($A101,'[3]Detailed Bin Table'!$A$9:$A$132,0),MATCH($B101,'[3]Detailed Bin Table'!$N$9:$Y$9,0)))*24)</f>
        <v>#N/A</v>
      </c>
      <c r="G101" s="34" t="e">
        <f>IF(B101="Custom", Q101, IF(B101="Imputation", INDEX('[3]Alt Est Detailed Bin Table'!$Z$10:$AK$132, MATCH(A101, '[3]Alt Est Detailed Bin Table'!$A$10:$A$132), MATCH(P101, '[3]Alt Est Detailed Bin Table'!$Z$9:$AK$9,0)), INDEX('[3]Detailed Bin Table'!$Z$9:$AK$132,MATCH($A101,'[3]Detailed Bin Table'!$A$9:$A$132,0),MATCH($B101,'[3]Detailed Bin Table'!$Z$9:$AK$9,0)))*24)</f>
        <v>#N/A</v>
      </c>
      <c r="H101" s="34" t="e">
        <f>IF(B101="Custom", Q101, IF(B101="Imputation", INDEX('[3]Alt Est Detailed Bin Table'!$AL$10:$AW$132, MATCH(A101, '[3]Alt Est Detailed Bin Table'!$A$10:$A$132), MATCH(P101, '[3]Alt Est Detailed Bin Table'!$AL$9:$AW$9,0)), INDEX('[3]Detailed Bin Table'!$AL$9:$AW$132,MATCH($A101,'[3]Detailed Bin Table'!$A$9:$A$132,0),MATCH($B101,'[3]Detailed Bin Table'!$AL$9:$AW$9,0)))*24)</f>
        <v>#N/A</v>
      </c>
      <c r="I101" s="34" t="e">
        <f>IF(B101="Custom", Q101, IF(B101="Imputation", INDEX('[3]Alt Est Detailed Bin Table'!$AX$10:$BI$132, MATCH(A101, '[3]Alt Est Detailed Bin Table'!$A$10:$A$132), MATCH(P101, '[3]Alt Est Detailed Bin Table'!$AX$9:$BI$9,0)), INDEX('[3]Detailed Bin Table'!$AX$9:$BI$132,MATCH($A101,'[3]Detailed Bin Table'!$A$9:$A$132,0),MATCH($B101,'[3]Detailed Bin Table'!$AX$9:$BI$9,0)))*24)</f>
        <v>#N/A</v>
      </c>
      <c r="J101" s="222" t="e">
        <f>IF(B101="Custom", Q101, IF(B101="Imputation", INDEX('[3]Alt Est Detailed Bin Table'!$BJ$10:$BO$132, MATCH(A101, '[3]Alt Est Detailed Bin Table'!$A$10:$A$132), MATCH(P101, '[3]Alt Est Detailed Bin Table'!$BJ$9:$BO$9,0)), INDEX('[3]Detailed Bin Table'!$BJ$9:$BO$132,MATCH($A101,'[3]Detailed Bin Table'!$A$9:$A$132,0),MATCH($B101,'[3]Detailed Bin Table'!$BJ$9:$BO$9,0)))*24)</f>
        <v>#N/A</v>
      </c>
      <c r="K101" s="33" t="e">
        <f>IF(B101="Custom", Q101, IF(B101="Imputation", INDEX('[3]Alt Est Detailed Bin Table'!$BP$10:$CC$132, MATCH(A101, '[3]Alt Est Detailed Bin Table'!$A$10:$A$132), MATCH(P101, '[3]Alt Est Detailed Bin Table'!$BP$9:$CC$9,0)), INDEX('[3]Detailed Bin Table'!$BP$9:$CC$132,MATCH($A101,'[3]Detailed Bin Table'!$A$9:$A$132,0),MATCH($B101,'[3]Detailed Bin Table'!$BP$9:$CC$9,0)))*24)</f>
        <v>#N/A</v>
      </c>
      <c r="L101" s="223" t="e">
        <f>IF(B101="Custom", Q101, IF(B101="Imputation", INDEX('[3]Alt Est Detailed Bin Table'!$CD$10:$CK$132, MATCH(A101, '[3]Alt Est Detailed Bin Table'!$A$10:$A$132), MATCH(P101, '[3]Alt Est Detailed Bin Table'!$CD$9:$CK$9,0)), INDEX('[3]Detailed Bin Table'!$CD$9:$CK$132,MATCH($A101,'[3]Detailed Bin Table'!$A$9:$A$132,0),MATCH($B101,'[3]Detailed Bin Table'!$CD$9:$CK$9,0)))*24)</f>
        <v>#N/A</v>
      </c>
      <c r="M101" s="34" t="e">
        <f>IF(B101="Custom", Q101, IF(B101="Imputation", INDEX('[3]Alt Est Detailed Bin Table'!$CL$10:$CS$132, MATCH(A101, '[3]Alt Est Detailed Bin Table'!$A$10:$A$132), MATCH(P101, '[3]Alt Est Detailed Bin Table'!$CL$9:$CS$9,0)), INDEX('[3]Detailed Bin Table'!$CL$9:$CS$132,MATCH($A101,'[3]Detailed Bin Table'!$A$9:$A$132,0),MATCH($B101,'[3]Detailed Bin Table'!$CL$9:$CS$9,0)))*24)</f>
        <v>#N/A</v>
      </c>
      <c r="N101" s="34" t="e">
        <f>IF(B101="Custom", Q101, IF(B101="Imputation", INDEX('[3]Alt Est Detailed Bin Table'!$CT$10:$DA$132, MATCH(A101, '[3]Alt Est Detailed Bin Table'!$A$10:$A$132), MATCH(P101, '[3]Alt Est Detailed Bin Table'!$CT$9:$DA$9,0)), INDEX('[3]Detailed Bin Table'!$CT$9:$DA$132,MATCH($A101,'[3]Detailed Bin Table'!$A$9:$A$132,0),MATCH($B101,'[3]Detailed Bin Table'!$CT$9:$DA$9,0)))*24)</f>
        <v>#N/A</v>
      </c>
      <c r="O101" s="222" t="e">
        <f>IF(B101="Custom", Q101, IF(B101="Imputation", INDEX('[3]Alt Est Detailed Bin Table'!$DB$10:$DI$132, MATCH(A101, '[3]Alt Est Detailed Bin Table'!$A$10:$A$132), MATCH(P101, '[3]Alt Est Detailed Bin Table'!$DB$9:$DI$9,0)), INDEX('[3]Detailed Bin Table'!$DB$9:$DI$132,MATCH($A101,'[3]Detailed Bin Table'!$A$9:$A$132,0),MATCH($B101,'[3]Detailed Bin Table'!$DB$9:$DI$9,0)))*24)</f>
        <v>#N/A</v>
      </c>
      <c r="P101" s="215"/>
      <c r="Q101" s="62"/>
      <c r="R101" s="63"/>
      <c r="S101" s="63"/>
      <c r="T101" s="63"/>
      <c r="U101" s="63"/>
      <c r="V101" s="63"/>
      <c r="W101" s="64"/>
      <c r="X101" s="63"/>
      <c r="Y101" s="63"/>
      <c r="Z101" s="63"/>
      <c r="AA101" s="65"/>
      <c r="AB101" s="213" t="e">
        <f>IF(SUM(E101:O101)='[1]Passage Estimates'!$D101, "Ok", "Check")</f>
        <v>#N/A</v>
      </c>
    </row>
    <row r="102" spans="1:28" x14ac:dyDescent="0.3">
      <c r="A102" s="20">
        <f>'1. Mixture Model Inputs'!A102</f>
        <v>45204</v>
      </c>
      <c r="B102" s="13">
        <f>'[1]Passage Estimates'!$C102</f>
        <v>0</v>
      </c>
      <c r="C102" s="206"/>
      <c r="D102" s="206"/>
      <c r="E102" s="34" t="e">
        <f>IF(B102="Custom", Q102, IF(B102="Imputation", INDEX('[3]Alt Est Detailed Bin Table'!$B$10:$M$132, MATCH(A102, '[3]Alt Est Detailed Bin Table'!$A$10:$A$132), MATCH(P102, '[3]Alt Est Detailed Bin Table'!$B$9:$M$9,0)), INDEX('[3]Detailed Bin Table'!$B$9:$M$132,MATCH($A102,'[3]Detailed Bin Table'!$A$9:$A$132,0),MATCH($B102,'[3]Detailed Bin Table'!$B$9:$M$9,0)))*24)</f>
        <v>#N/A</v>
      </c>
      <c r="F102" s="34" t="e">
        <f>IF(B102="Custom", Q102, IF(B102="Imputation", INDEX('[3]Alt Est Detailed Bin Table'!$N$10:$Y$132, MATCH(A102, '[3]Alt Est Detailed Bin Table'!$A$10:$A$132), MATCH(P102, '[3]Alt Est Detailed Bin Table'!$N$9:$Y$9,0)), INDEX('[3]Detailed Bin Table'!$N$9:$Y$132,MATCH($A102,'[3]Detailed Bin Table'!$A$9:$A$132,0),MATCH($B102,'[3]Detailed Bin Table'!$N$9:$Y$9,0)))*24)</f>
        <v>#N/A</v>
      </c>
      <c r="G102" s="34" t="e">
        <f>IF(B102="Custom", Q102, IF(B102="Imputation", INDEX('[3]Alt Est Detailed Bin Table'!$Z$10:$AK$132, MATCH(A102, '[3]Alt Est Detailed Bin Table'!$A$10:$A$132), MATCH(P102, '[3]Alt Est Detailed Bin Table'!$Z$9:$AK$9,0)), INDEX('[3]Detailed Bin Table'!$Z$9:$AK$132,MATCH($A102,'[3]Detailed Bin Table'!$A$9:$A$132,0),MATCH($B102,'[3]Detailed Bin Table'!$Z$9:$AK$9,0)))*24)</f>
        <v>#N/A</v>
      </c>
      <c r="H102" s="34" t="e">
        <f>IF(B102="Custom", Q102, IF(B102="Imputation", INDEX('[3]Alt Est Detailed Bin Table'!$AL$10:$AW$132, MATCH(A102, '[3]Alt Est Detailed Bin Table'!$A$10:$A$132), MATCH(P102, '[3]Alt Est Detailed Bin Table'!$AL$9:$AW$9,0)), INDEX('[3]Detailed Bin Table'!$AL$9:$AW$132,MATCH($A102,'[3]Detailed Bin Table'!$A$9:$A$132,0),MATCH($B102,'[3]Detailed Bin Table'!$AL$9:$AW$9,0)))*24)</f>
        <v>#N/A</v>
      </c>
      <c r="I102" s="34" t="e">
        <f>IF(B102="Custom", Q102, IF(B102="Imputation", INDEX('[3]Alt Est Detailed Bin Table'!$AX$10:$BI$132, MATCH(A102, '[3]Alt Est Detailed Bin Table'!$A$10:$A$132), MATCH(P102, '[3]Alt Est Detailed Bin Table'!$AX$9:$BI$9,0)), INDEX('[3]Detailed Bin Table'!$AX$9:$BI$132,MATCH($A102,'[3]Detailed Bin Table'!$A$9:$A$132,0),MATCH($B102,'[3]Detailed Bin Table'!$AX$9:$BI$9,0)))*24)</f>
        <v>#N/A</v>
      </c>
      <c r="J102" s="222" t="e">
        <f>IF(B102="Custom", Q102, IF(B102="Imputation", INDEX('[3]Alt Est Detailed Bin Table'!$BJ$10:$BO$132, MATCH(A102, '[3]Alt Est Detailed Bin Table'!$A$10:$A$132), MATCH(P102, '[3]Alt Est Detailed Bin Table'!$BJ$9:$BO$9,0)), INDEX('[3]Detailed Bin Table'!$BJ$9:$BO$132,MATCH($A102,'[3]Detailed Bin Table'!$A$9:$A$132,0),MATCH($B102,'[3]Detailed Bin Table'!$BJ$9:$BO$9,0)))*24)</f>
        <v>#N/A</v>
      </c>
      <c r="K102" s="33" t="e">
        <f>IF(B102="Custom", Q102, IF(B102="Imputation", INDEX('[3]Alt Est Detailed Bin Table'!$BP$10:$CC$132, MATCH(A102, '[3]Alt Est Detailed Bin Table'!$A$10:$A$132), MATCH(P102, '[3]Alt Est Detailed Bin Table'!$BP$9:$CC$9,0)), INDEX('[3]Detailed Bin Table'!$BP$9:$CC$132,MATCH($A102,'[3]Detailed Bin Table'!$A$9:$A$132,0),MATCH($B102,'[3]Detailed Bin Table'!$BP$9:$CC$9,0)))*24)</f>
        <v>#N/A</v>
      </c>
      <c r="L102" s="223" t="e">
        <f>IF(B102="Custom", Q102, IF(B102="Imputation", INDEX('[3]Alt Est Detailed Bin Table'!$CD$10:$CK$132, MATCH(A102, '[3]Alt Est Detailed Bin Table'!$A$10:$A$132), MATCH(P102, '[3]Alt Est Detailed Bin Table'!$CD$9:$CK$9,0)), INDEX('[3]Detailed Bin Table'!$CD$9:$CK$132,MATCH($A102,'[3]Detailed Bin Table'!$A$9:$A$132,0),MATCH($B102,'[3]Detailed Bin Table'!$CD$9:$CK$9,0)))*24)</f>
        <v>#N/A</v>
      </c>
      <c r="M102" s="34" t="e">
        <f>IF(B102="Custom", Q102, IF(B102="Imputation", INDEX('[3]Alt Est Detailed Bin Table'!$CL$10:$CS$132, MATCH(A102, '[3]Alt Est Detailed Bin Table'!$A$10:$A$132), MATCH(P102, '[3]Alt Est Detailed Bin Table'!$CL$9:$CS$9,0)), INDEX('[3]Detailed Bin Table'!$CL$9:$CS$132,MATCH($A102,'[3]Detailed Bin Table'!$A$9:$A$132,0),MATCH($B102,'[3]Detailed Bin Table'!$CL$9:$CS$9,0)))*24)</f>
        <v>#N/A</v>
      </c>
      <c r="N102" s="34" t="e">
        <f>IF(B102="Custom", Q102, IF(B102="Imputation", INDEX('[3]Alt Est Detailed Bin Table'!$CT$10:$DA$132, MATCH(A102, '[3]Alt Est Detailed Bin Table'!$A$10:$A$132), MATCH(P102, '[3]Alt Est Detailed Bin Table'!$CT$9:$DA$9,0)), INDEX('[3]Detailed Bin Table'!$CT$9:$DA$132,MATCH($A102,'[3]Detailed Bin Table'!$A$9:$A$132,0),MATCH($B102,'[3]Detailed Bin Table'!$CT$9:$DA$9,0)))*24)</f>
        <v>#N/A</v>
      </c>
      <c r="O102" s="222" t="e">
        <f>IF(B102="Custom", Q102, IF(B102="Imputation", INDEX('[3]Alt Est Detailed Bin Table'!$DB$10:$DI$132, MATCH(A102, '[3]Alt Est Detailed Bin Table'!$A$10:$A$132), MATCH(P102, '[3]Alt Est Detailed Bin Table'!$DB$9:$DI$9,0)), INDEX('[3]Detailed Bin Table'!$DB$9:$DI$132,MATCH($A102,'[3]Detailed Bin Table'!$A$9:$A$132,0),MATCH($B102,'[3]Detailed Bin Table'!$DB$9:$DI$9,0)))*24)</f>
        <v>#N/A</v>
      </c>
      <c r="P102" s="215"/>
      <c r="Q102" s="62"/>
      <c r="R102" s="63"/>
      <c r="S102" s="63"/>
      <c r="T102" s="63"/>
      <c r="U102" s="63"/>
      <c r="V102" s="63"/>
      <c r="W102" s="64"/>
      <c r="X102" s="63"/>
      <c r="Y102" s="63"/>
      <c r="Z102" s="63"/>
      <c r="AA102" s="65"/>
      <c r="AB102" s="213" t="e">
        <f>IF(SUM(E102:O102)='[1]Passage Estimates'!$D102, "Ok", "Check")</f>
        <v>#N/A</v>
      </c>
    </row>
    <row r="103" spans="1:28" x14ac:dyDescent="0.3">
      <c r="A103" s="20">
        <f>'1. Mixture Model Inputs'!A103</f>
        <v>45205</v>
      </c>
      <c r="B103" s="13">
        <f>'[1]Passage Estimates'!$C103</f>
        <v>0</v>
      </c>
      <c r="C103" s="206"/>
      <c r="D103" s="206"/>
      <c r="E103" s="34" t="e">
        <f>IF(B103="Custom", Q103, IF(B103="Imputation", INDEX('[3]Alt Est Detailed Bin Table'!$B$10:$M$132, MATCH(A103, '[3]Alt Est Detailed Bin Table'!$A$10:$A$132), MATCH(P103, '[3]Alt Est Detailed Bin Table'!$B$9:$M$9,0)), INDEX('[3]Detailed Bin Table'!$B$9:$M$132,MATCH($A103,'[3]Detailed Bin Table'!$A$9:$A$132,0),MATCH($B103,'[3]Detailed Bin Table'!$B$9:$M$9,0)))*24)</f>
        <v>#N/A</v>
      </c>
      <c r="F103" s="34" t="e">
        <f>IF(B103="Custom", Q103, IF(B103="Imputation", INDEX('[3]Alt Est Detailed Bin Table'!$N$10:$Y$132, MATCH(A103, '[3]Alt Est Detailed Bin Table'!$A$10:$A$132), MATCH(P103, '[3]Alt Est Detailed Bin Table'!$N$9:$Y$9,0)), INDEX('[3]Detailed Bin Table'!$N$9:$Y$132,MATCH($A103,'[3]Detailed Bin Table'!$A$9:$A$132,0),MATCH($B103,'[3]Detailed Bin Table'!$N$9:$Y$9,0)))*24)</f>
        <v>#N/A</v>
      </c>
      <c r="G103" s="34" t="e">
        <f>IF(B103="Custom", Q103, IF(B103="Imputation", INDEX('[3]Alt Est Detailed Bin Table'!$Z$10:$AK$132, MATCH(A103, '[3]Alt Est Detailed Bin Table'!$A$10:$A$132), MATCH(P103, '[3]Alt Est Detailed Bin Table'!$Z$9:$AK$9,0)), INDEX('[3]Detailed Bin Table'!$Z$9:$AK$132,MATCH($A103,'[3]Detailed Bin Table'!$A$9:$A$132,0),MATCH($B103,'[3]Detailed Bin Table'!$Z$9:$AK$9,0)))*24)</f>
        <v>#N/A</v>
      </c>
      <c r="H103" s="34" t="e">
        <f>IF(B103="Custom", Q103, IF(B103="Imputation", INDEX('[3]Alt Est Detailed Bin Table'!$AL$10:$AW$132, MATCH(A103, '[3]Alt Est Detailed Bin Table'!$A$10:$A$132), MATCH(P103, '[3]Alt Est Detailed Bin Table'!$AL$9:$AW$9,0)), INDEX('[3]Detailed Bin Table'!$AL$9:$AW$132,MATCH($A103,'[3]Detailed Bin Table'!$A$9:$A$132,0),MATCH($B103,'[3]Detailed Bin Table'!$AL$9:$AW$9,0)))*24)</f>
        <v>#N/A</v>
      </c>
      <c r="I103" s="34" t="e">
        <f>IF(B103="Custom", Q103, IF(B103="Imputation", INDEX('[3]Alt Est Detailed Bin Table'!$AX$10:$BI$132, MATCH(A103, '[3]Alt Est Detailed Bin Table'!$A$10:$A$132), MATCH(P103, '[3]Alt Est Detailed Bin Table'!$AX$9:$BI$9,0)), INDEX('[3]Detailed Bin Table'!$AX$9:$BI$132,MATCH($A103,'[3]Detailed Bin Table'!$A$9:$A$132,0),MATCH($B103,'[3]Detailed Bin Table'!$AX$9:$BI$9,0)))*24)</f>
        <v>#N/A</v>
      </c>
      <c r="J103" s="222" t="e">
        <f>IF(B103="Custom", Q103, IF(B103="Imputation", INDEX('[3]Alt Est Detailed Bin Table'!$BJ$10:$BO$132, MATCH(A103, '[3]Alt Est Detailed Bin Table'!$A$10:$A$132), MATCH(P103, '[3]Alt Est Detailed Bin Table'!$BJ$9:$BO$9,0)), INDEX('[3]Detailed Bin Table'!$BJ$9:$BO$132,MATCH($A103,'[3]Detailed Bin Table'!$A$9:$A$132,0),MATCH($B103,'[3]Detailed Bin Table'!$BJ$9:$BO$9,0)))*24)</f>
        <v>#N/A</v>
      </c>
      <c r="K103" s="33" t="e">
        <f>IF(B103="Custom", Q103, IF(B103="Imputation", INDEX('[3]Alt Est Detailed Bin Table'!$BP$10:$CC$132, MATCH(A103, '[3]Alt Est Detailed Bin Table'!$A$10:$A$132), MATCH(P103, '[3]Alt Est Detailed Bin Table'!$BP$9:$CC$9,0)), INDEX('[3]Detailed Bin Table'!$BP$9:$CC$132,MATCH($A103,'[3]Detailed Bin Table'!$A$9:$A$132,0),MATCH($B103,'[3]Detailed Bin Table'!$BP$9:$CC$9,0)))*24)</f>
        <v>#N/A</v>
      </c>
      <c r="L103" s="223" t="e">
        <f>IF(B103="Custom", Q103, IF(B103="Imputation", INDEX('[3]Alt Est Detailed Bin Table'!$CD$10:$CK$132, MATCH(A103, '[3]Alt Est Detailed Bin Table'!$A$10:$A$132), MATCH(P103, '[3]Alt Est Detailed Bin Table'!$CD$9:$CK$9,0)), INDEX('[3]Detailed Bin Table'!$CD$9:$CK$132,MATCH($A103,'[3]Detailed Bin Table'!$A$9:$A$132,0),MATCH($B103,'[3]Detailed Bin Table'!$CD$9:$CK$9,0)))*24)</f>
        <v>#N/A</v>
      </c>
      <c r="M103" s="34" t="e">
        <f>IF(B103="Custom", Q103, IF(B103="Imputation", INDEX('[3]Alt Est Detailed Bin Table'!$CL$10:$CS$132, MATCH(A103, '[3]Alt Est Detailed Bin Table'!$A$10:$A$132), MATCH(P103, '[3]Alt Est Detailed Bin Table'!$CL$9:$CS$9,0)), INDEX('[3]Detailed Bin Table'!$CL$9:$CS$132,MATCH($A103,'[3]Detailed Bin Table'!$A$9:$A$132,0),MATCH($B103,'[3]Detailed Bin Table'!$CL$9:$CS$9,0)))*24)</f>
        <v>#N/A</v>
      </c>
      <c r="N103" s="34" t="e">
        <f>IF(B103="Custom", Q103, IF(B103="Imputation", INDEX('[3]Alt Est Detailed Bin Table'!$CT$10:$DA$132, MATCH(A103, '[3]Alt Est Detailed Bin Table'!$A$10:$A$132), MATCH(P103, '[3]Alt Est Detailed Bin Table'!$CT$9:$DA$9,0)), INDEX('[3]Detailed Bin Table'!$CT$9:$DA$132,MATCH($A103,'[3]Detailed Bin Table'!$A$9:$A$132,0),MATCH($B103,'[3]Detailed Bin Table'!$CT$9:$DA$9,0)))*24)</f>
        <v>#N/A</v>
      </c>
      <c r="O103" s="222" t="e">
        <f>IF(B103="Custom", Q103, IF(B103="Imputation", INDEX('[3]Alt Est Detailed Bin Table'!$DB$10:$DI$132, MATCH(A103, '[3]Alt Est Detailed Bin Table'!$A$10:$A$132), MATCH(P103, '[3]Alt Est Detailed Bin Table'!$DB$9:$DI$9,0)), INDEX('[3]Detailed Bin Table'!$DB$9:$DI$132,MATCH($A103,'[3]Detailed Bin Table'!$A$9:$A$132,0),MATCH($B103,'[3]Detailed Bin Table'!$DB$9:$DI$9,0)))*24)</f>
        <v>#N/A</v>
      </c>
      <c r="P103" s="215"/>
      <c r="Q103" s="62"/>
      <c r="R103" s="63"/>
      <c r="S103" s="63"/>
      <c r="T103" s="63"/>
      <c r="U103" s="63"/>
      <c r="V103" s="63"/>
      <c r="W103" s="64"/>
      <c r="X103" s="63"/>
      <c r="Y103" s="63"/>
      <c r="Z103" s="63"/>
      <c r="AA103" s="65"/>
      <c r="AB103" s="213" t="e">
        <f>IF(SUM(E103:O103)='[1]Passage Estimates'!$D103, "Ok", "Check")</f>
        <v>#N/A</v>
      </c>
    </row>
    <row r="104" spans="1:28" x14ac:dyDescent="0.3">
      <c r="A104" s="20">
        <f>'1. Mixture Model Inputs'!A104</f>
        <v>45206</v>
      </c>
      <c r="B104" s="13">
        <f>'[1]Passage Estimates'!$C104</f>
        <v>0</v>
      </c>
      <c r="C104" s="206"/>
      <c r="D104" s="206"/>
      <c r="E104" s="34" t="e">
        <f>IF(B104="Custom", Q104, IF(B104="Imputation", INDEX('[3]Alt Est Detailed Bin Table'!$B$10:$M$132, MATCH(A104, '[3]Alt Est Detailed Bin Table'!$A$10:$A$132), MATCH(P104, '[3]Alt Est Detailed Bin Table'!$B$9:$M$9,0)), INDEX('[3]Detailed Bin Table'!$B$9:$M$132,MATCH($A104,'[3]Detailed Bin Table'!$A$9:$A$132,0),MATCH($B104,'[3]Detailed Bin Table'!$B$9:$M$9,0)))*24)</f>
        <v>#N/A</v>
      </c>
      <c r="F104" s="34" t="e">
        <f>IF(B104="Custom", Q104, IF(B104="Imputation", INDEX('[3]Alt Est Detailed Bin Table'!$N$10:$Y$132, MATCH(A104, '[3]Alt Est Detailed Bin Table'!$A$10:$A$132), MATCH(P104, '[3]Alt Est Detailed Bin Table'!$N$9:$Y$9,0)), INDEX('[3]Detailed Bin Table'!$N$9:$Y$132,MATCH($A104,'[3]Detailed Bin Table'!$A$9:$A$132,0),MATCH($B104,'[3]Detailed Bin Table'!$N$9:$Y$9,0)))*24)</f>
        <v>#N/A</v>
      </c>
      <c r="G104" s="34" t="e">
        <f>IF(B104="Custom", Q104, IF(B104="Imputation", INDEX('[3]Alt Est Detailed Bin Table'!$Z$10:$AK$132, MATCH(A104, '[3]Alt Est Detailed Bin Table'!$A$10:$A$132), MATCH(P104, '[3]Alt Est Detailed Bin Table'!$Z$9:$AK$9,0)), INDEX('[3]Detailed Bin Table'!$Z$9:$AK$132,MATCH($A104,'[3]Detailed Bin Table'!$A$9:$A$132,0),MATCH($B104,'[3]Detailed Bin Table'!$Z$9:$AK$9,0)))*24)</f>
        <v>#N/A</v>
      </c>
      <c r="H104" s="34" t="e">
        <f>IF(B104="Custom", Q104, IF(B104="Imputation", INDEX('[3]Alt Est Detailed Bin Table'!$AL$10:$AW$132, MATCH(A104, '[3]Alt Est Detailed Bin Table'!$A$10:$A$132), MATCH(P104, '[3]Alt Est Detailed Bin Table'!$AL$9:$AW$9,0)), INDEX('[3]Detailed Bin Table'!$AL$9:$AW$132,MATCH($A104,'[3]Detailed Bin Table'!$A$9:$A$132,0),MATCH($B104,'[3]Detailed Bin Table'!$AL$9:$AW$9,0)))*24)</f>
        <v>#N/A</v>
      </c>
      <c r="I104" s="34" t="e">
        <f>IF(B104="Custom", Q104, IF(B104="Imputation", INDEX('[3]Alt Est Detailed Bin Table'!$AX$10:$BI$132, MATCH(A104, '[3]Alt Est Detailed Bin Table'!$A$10:$A$132), MATCH(P104, '[3]Alt Est Detailed Bin Table'!$AX$9:$BI$9,0)), INDEX('[3]Detailed Bin Table'!$AX$9:$BI$132,MATCH($A104,'[3]Detailed Bin Table'!$A$9:$A$132,0),MATCH($B104,'[3]Detailed Bin Table'!$AX$9:$BI$9,0)))*24)</f>
        <v>#N/A</v>
      </c>
      <c r="J104" s="222" t="e">
        <f>IF(B104="Custom", Q104, IF(B104="Imputation", INDEX('[3]Alt Est Detailed Bin Table'!$BJ$10:$BO$132, MATCH(A104, '[3]Alt Est Detailed Bin Table'!$A$10:$A$132), MATCH(P104, '[3]Alt Est Detailed Bin Table'!$BJ$9:$BO$9,0)), INDEX('[3]Detailed Bin Table'!$BJ$9:$BO$132,MATCH($A104,'[3]Detailed Bin Table'!$A$9:$A$132,0),MATCH($B104,'[3]Detailed Bin Table'!$BJ$9:$BO$9,0)))*24)</f>
        <v>#N/A</v>
      </c>
      <c r="K104" s="33" t="e">
        <f>IF(B104="Custom", Q104, IF(B104="Imputation", INDEX('[3]Alt Est Detailed Bin Table'!$BP$10:$CC$132, MATCH(A104, '[3]Alt Est Detailed Bin Table'!$A$10:$A$132), MATCH(P104, '[3]Alt Est Detailed Bin Table'!$BP$9:$CC$9,0)), INDEX('[3]Detailed Bin Table'!$BP$9:$CC$132,MATCH($A104,'[3]Detailed Bin Table'!$A$9:$A$132,0),MATCH($B104,'[3]Detailed Bin Table'!$BP$9:$CC$9,0)))*24)</f>
        <v>#N/A</v>
      </c>
      <c r="L104" s="223" t="e">
        <f>IF(B104="Custom", Q104, IF(B104="Imputation", INDEX('[3]Alt Est Detailed Bin Table'!$CD$10:$CK$132, MATCH(A104, '[3]Alt Est Detailed Bin Table'!$A$10:$A$132), MATCH(P104, '[3]Alt Est Detailed Bin Table'!$CD$9:$CK$9,0)), INDEX('[3]Detailed Bin Table'!$CD$9:$CK$132,MATCH($A104,'[3]Detailed Bin Table'!$A$9:$A$132,0),MATCH($B104,'[3]Detailed Bin Table'!$CD$9:$CK$9,0)))*24)</f>
        <v>#N/A</v>
      </c>
      <c r="M104" s="34" t="e">
        <f>IF(B104="Custom", Q104, IF(B104="Imputation", INDEX('[3]Alt Est Detailed Bin Table'!$CL$10:$CS$132, MATCH(A104, '[3]Alt Est Detailed Bin Table'!$A$10:$A$132), MATCH(P104, '[3]Alt Est Detailed Bin Table'!$CL$9:$CS$9,0)), INDEX('[3]Detailed Bin Table'!$CL$9:$CS$132,MATCH($A104,'[3]Detailed Bin Table'!$A$9:$A$132,0),MATCH($B104,'[3]Detailed Bin Table'!$CL$9:$CS$9,0)))*24)</f>
        <v>#N/A</v>
      </c>
      <c r="N104" s="34" t="e">
        <f>IF(B104="Custom", Q104, IF(B104="Imputation", INDEX('[3]Alt Est Detailed Bin Table'!$CT$10:$DA$132, MATCH(A104, '[3]Alt Est Detailed Bin Table'!$A$10:$A$132), MATCH(P104, '[3]Alt Est Detailed Bin Table'!$CT$9:$DA$9,0)), INDEX('[3]Detailed Bin Table'!$CT$9:$DA$132,MATCH($A104,'[3]Detailed Bin Table'!$A$9:$A$132,0),MATCH($B104,'[3]Detailed Bin Table'!$CT$9:$DA$9,0)))*24)</f>
        <v>#N/A</v>
      </c>
      <c r="O104" s="222" t="e">
        <f>IF(B104="Custom", Q104, IF(B104="Imputation", INDEX('[3]Alt Est Detailed Bin Table'!$DB$10:$DI$132, MATCH(A104, '[3]Alt Est Detailed Bin Table'!$A$10:$A$132), MATCH(P104, '[3]Alt Est Detailed Bin Table'!$DB$9:$DI$9,0)), INDEX('[3]Detailed Bin Table'!$DB$9:$DI$132,MATCH($A104,'[3]Detailed Bin Table'!$A$9:$A$132,0),MATCH($B104,'[3]Detailed Bin Table'!$DB$9:$DI$9,0)))*24)</f>
        <v>#N/A</v>
      </c>
      <c r="P104" s="215"/>
      <c r="Q104" s="62"/>
      <c r="R104" s="63"/>
      <c r="S104" s="63"/>
      <c r="T104" s="63"/>
      <c r="U104" s="63"/>
      <c r="V104" s="63"/>
      <c r="W104" s="64"/>
      <c r="X104" s="63"/>
      <c r="Y104" s="63"/>
      <c r="Z104" s="63"/>
      <c r="AA104" s="65"/>
      <c r="AB104" s="213" t="e">
        <f>IF(SUM(E104:O104)='[1]Passage Estimates'!$D104, "Ok", "Check")</f>
        <v>#N/A</v>
      </c>
    </row>
    <row r="105" spans="1:28" x14ac:dyDescent="0.3">
      <c r="A105" s="20">
        <f>'1. Mixture Model Inputs'!A105</f>
        <v>45207</v>
      </c>
      <c r="B105" s="13">
        <f>'[1]Passage Estimates'!$C105</f>
        <v>0</v>
      </c>
      <c r="C105" s="206"/>
      <c r="D105" s="206"/>
      <c r="E105" s="34" t="e">
        <f>IF(B105="Custom", Q105, IF(B105="Imputation", INDEX('[3]Alt Est Detailed Bin Table'!$B$10:$M$132, MATCH(A105, '[3]Alt Est Detailed Bin Table'!$A$10:$A$132), MATCH(P105, '[3]Alt Est Detailed Bin Table'!$B$9:$M$9,0)), INDEX('[3]Detailed Bin Table'!$B$9:$M$132,MATCH($A105,'[3]Detailed Bin Table'!$A$9:$A$132,0),MATCH($B105,'[3]Detailed Bin Table'!$B$9:$M$9,0)))*24)</f>
        <v>#N/A</v>
      </c>
      <c r="F105" s="34" t="e">
        <f>IF(B105="Custom", Q105, IF(B105="Imputation", INDEX('[3]Alt Est Detailed Bin Table'!$N$10:$Y$132, MATCH(A105, '[3]Alt Est Detailed Bin Table'!$A$10:$A$132), MATCH(P105, '[3]Alt Est Detailed Bin Table'!$N$9:$Y$9,0)), INDEX('[3]Detailed Bin Table'!$N$9:$Y$132,MATCH($A105,'[3]Detailed Bin Table'!$A$9:$A$132,0),MATCH($B105,'[3]Detailed Bin Table'!$N$9:$Y$9,0)))*24)</f>
        <v>#N/A</v>
      </c>
      <c r="G105" s="34" t="e">
        <f>IF(B105="Custom", Q105, IF(B105="Imputation", INDEX('[3]Alt Est Detailed Bin Table'!$Z$10:$AK$132, MATCH(A105, '[3]Alt Est Detailed Bin Table'!$A$10:$A$132), MATCH(P105, '[3]Alt Est Detailed Bin Table'!$Z$9:$AK$9,0)), INDEX('[3]Detailed Bin Table'!$Z$9:$AK$132,MATCH($A105,'[3]Detailed Bin Table'!$A$9:$A$132,0),MATCH($B105,'[3]Detailed Bin Table'!$Z$9:$AK$9,0)))*24)</f>
        <v>#N/A</v>
      </c>
      <c r="H105" s="34" t="e">
        <f>IF(B105="Custom", Q105, IF(B105="Imputation", INDEX('[3]Alt Est Detailed Bin Table'!$AL$10:$AW$132, MATCH(A105, '[3]Alt Est Detailed Bin Table'!$A$10:$A$132), MATCH(P105, '[3]Alt Est Detailed Bin Table'!$AL$9:$AW$9,0)), INDEX('[3]Detailed Bin Table'!$AL$9:$AW$132,MATCH($A105,'[3]Detailed Bin Table'!$A$9:$A$132,0),MATCH($B105,'[3]Detailed Bin Table'!$AL$9:$AW$9,0)))*24)</f>
        <v>#N/A</v>
      </c>
      <c r="I105" s="34" t="e">
        <f>IF(B105="Custom", Q105, IF(B105="Imputation", INDEX('[3]Alt Est Detailed Bin Table'!$AX$10:$BI$132, MATCH(A105, '[3]Alt Est Detailed Bin Table'!$A$10:$A$132), MATCH(P105, '[3]Alt Est Detailed Bin Table'!$AX$9:$BI$9,0)), INDEX('[3]Detailed Bin Table'!$AX$9:$BI$132,MATCH($A105,'[3]Detailed Bin Table'!$A$9:$A$132,0),MATCH($B105,'[3]Detailed Bin Table'!$AX$9:$BI$9,0)))*24)</f>
        <v>#N/A</v>
      </c>
      <c r="J105" s="222" t="e">
        <f>IF(B105="Custom", Q105, IF(B105="Imputation", INDEX('[3]Alt Est Detailed Bin Table'!$BJ$10:$BO$132, MATCH(A105, '[3]Alt Est Detailed Bin Table'!$A$10:$A$132), MATCH(P105, '[3]Alt Est Detailed Bin Table'!$BJ$9:$BO$9,0)), INDEX('[3]Detailed Bin Table'!$BJ$9:$BO$132,MATCH($A105,'[3]Detailed Bin Table'!$A$9:$A$132,0),MATCH($B105,'[3]Detailed Bin Table'!$BJ$9:$BO$9,0)))*24)</f>
        <v>#N/A</v>
      </c>
      <c r="K105" s="33" t="e">
        <f>IF(B105="Custom", Q105, IF(B105="Imputation", INDEX('[3]Alt Est Detailed Bin Table'!$BP$10:$CC$132, MATCH(A105, '[3]Alt Est Detailed Bin Table'!$A$10:$A$132), MATCH(P105, '[3]Alt Est Detailed Bin Table'!$BP$9:$CC$9,0)), INDEX('[3]Detailed Bin Table'!$BP$9:$CC$132,MATCH($A105,'[3]Detailed Bin Table'!$A$9:$A$132,0),MATCH($B105,'[3]Detailed Bin Table'!$BP$9:$CC$9,0)))*24)</f>
        <v>#N/A</v>
      </c>
      <c r="L105" s="223" t="e">
        <f>IF(B105="Custom", Q105, IF(B105="Imputation", INDEX('[3]Alt Est Detailed Bin Table'!$CD$10:$CK$132, MATCH(A105, '[3]Alt Est Detailed Bin Table'!$A$10:$A$132), MATCH(P105, '[3]Alt Est Detailed Bin Table'!$CD$9:$CK$9,0)), INDEX('[3]Detailed Bin Table'!$CD$9:$CK$132,MATCH($A105,'[3]Detailed Bin Table'!$A$9:$A$132,0),MATCH($B105,'[3]Detailed Bin Table'!$CD$9:$CK$9,0)))*24)</f>
        <v>#N/A</v>
      </c>
      <c r="M105" s="34" t="e">
        <f>IF(B105="Custom", Q105, IF(B105="Imputation", INDEX('[3]Alt Est Detailed Bin Table'!$CL$10:$CS$132, MATCH(A105, '[3]Alt Est Detailed Bin Table'!$A$10:$A$132), MATCH(P105, '[3]Alt Est Detailed Bin Table'!$CL$9:$CS$9,0)), INDEX('[3]Detailed Bin Table'!$CL$9:$CS$132,MATCH($A105,'[3]Detailed Bin Table'!$A$9:$A$132,0),MATCH($B105,'[3]Detailed Bin Table'!$CL$9:$CS$9,0)))*24)</f>
        <v>#N/A</v>
      </c>
      <c r="N105" s="34" t="e">
        <f>IF(B105="Custom", Q105, IF(B105="Imputation", INDEX('[3]Alt Est Detailed Bin Table'!$CT$10:$DA$132, MATCH(A105, '[3]Alt Est Detailed Bin Table'!$A$10:$A$132), MATCH(P105, '[3]Alt Est Detailed Bin Table'!$CT$9:$DA$9,0)), INDEX('[3]Detailed Bin Table'!$CT$9:$DA$132,MATCH($A105,'[3]Detailed Bin Table'!$A$9:$A$132,0),MATCH($B105,'[3]Detailed Bin Table'!$CT$9:$DA$9,0)))*24)</f>
        <v>#N/A</v>
      </c>
      <c r="O105" s="222" t="e">
        <f>IF(B105="Custom", Q105, IF(B105="Imputation", INDEX('[3]Alt Est Detailed Bin Table'!$DB$10:$DI$132, MATCH(A105, '[3]Alt Est Detailed Bin Table'!$A$10:$A$132), MATCH(P105, '[3]Alt Est Detailed Bin Table'!$DB$9:$DI$9,0)), INDEX('[3]Detailed Bin Table'!$DB$9:$DI$132,MATCH($A105,'[3]Detailed Bin Table'!$A$9:$A$132,0),MATCH($B105,'[3]Detailed Bin Table'!$DB$9:$DI$9,0)))*24)</f>
        <v>#N/A</v>
      </c>
      <c r="P105" s="215"/>
      <c r="Q105" s="62"/>
      <c r="R105" s="63"/>
      <c r="S105" s="63"/>
      <c r="T105" s="63"/>
      <c r="U105" s="63"/>
      <c r="V105" s="63"/>
      <c r="W105" s="64"/>
      <c r="X105" s="63"/>
      <c r="Y105" s="63"/>
      <c r="Z105" s="63"/>
      <c r="AA105" s="65"/>
      <c r="AB105" s="213" t="e">
        <f>IF(SUM(E105:O105)='[1]Passage Estimates'!$D105, "Ok", "Check")</f>
        <v>#N/A</v>
      </c>
    </row>
    <row r="106" spans="1:28" x14ac:dyDescent="0.3">
      <c r="A106" s="20">
        <f>'1. Mixture Model Inputs'!A106</f>
        <v>45208</v>
      </c>
      <c r="B106" s="13">
        <f>'[1]Passage Estimates'!$C106</f>
        <v>0</v>
      </c>
      <c r="C106" s="206"/>
      <c r="D106" s="206"/>
      <c r="E106" s="34" t="e">
        <f>IF(B106="Custom", Q106, IF(B106="Imputation", INDEX('[3]Alt Est Detailed Bin Table'!$B$10:$M$132, MATCH(A106, '[3]Alt Est Detailed Bin Table'!$A$10:$A$132), MATCH(P106, '[3]Alt Est Detailed Bin Table'!$B$9:$M$9,0)), INDEX('[3]Detailed Bin Table'!$B$9:$M$132,MATCH($A106,'[3]Detailed Bin Table'!$A$9:$A$132,0),MATCH($B106,'[3]Detailed Bin Table'!$B$9:$M$9,0)))*24)</f>
        <v>#N/A</v>
      </c>
      <c r="F106" s="34" t="e">
        <f>IF(B106="Custom", Q106, IF(B106="Imputation", INDEX('[3]Alt Est Detailed Bin Table'!$N$10:$Y$132, MATCH(A106, '[3]Alt Est Detailed Bin Table'!$A$10:$A$132), MATCH(P106, '[3]Alt Est Detailed Bin Table'!$N$9:$Y$9,0)), INDEX('[3]Detailed Bin Table'!$N$9:$Y$132,MATCH($A106,'[3]Detailed Bin Table'!$A$9:$A$132,0),MATCH($B106,'[3]Detailed Bin Table'!$N$9:$Y$9,0)))*24)</f>
        <v>#N/A</v>
      </c>
      <c r="G106" s="34" t="e">
        <f>IF(B106="Custom", Q106, IF(B106="Imputation", INDEX('[3]Alt Est Detailed Bin Table'!$Z$10:$AK$132, MATCH(A106, '[3]Alt Est Detailed Bin Table'!$A$10:$A$132), MATCH(P106, '[3]Alt Est Detailed Bin Table'!$Z$9:$AK$9,0)), INDEX('[3]Detailed Bin Table'!$Z$9:$AK$132,MATCH($A106,'[3]Detailed Bin Table'!$A$9:$A$132,0),MATCH($B106,'[3]Detailed Bin Table'!$Z$9:$AK$9,0)))*24)</f>
        <v>#N/A</v>
      </c>
      <c r="H106" s="34" t="e">
        <f>IF(B106="Custom", Q106, IF(B106="Imputation", INDEX('[3]Alt Est Detailed Bin Table'!$AL$10:$AW$132, MATCH(A106, '[3]Alt Est Detailed Bin Table'!$A$10:$A$132), MATCH(P106, '[3]Alt Est Detailed Bin Table'!$AL$9:$AW$9,0)), INDEX('[3]Detailed Bin Table'!$AL$9:$AW$132,MATCH($A106,'[3]Detailed Bin Table'!$A$9:$A$132,0),MATCH($B106,'[3]Detailed Bin Table'!$AL$9:$AW$9,0)))*24)</f>
        <v>#N/A</v>
      </c>
      <c r="I106" s="34" t="e">
        <f>IF(B106="Custom", Q106, IF(B106="Imputation", INDEX('[3]Alt Est Detailed Bin Table'!$AX$10:$BI$132, MATCH(A106, '[3]Alt Est Detailed Bin Table'!$A$10:$A$132), MATCH(P106, '[3]Alt Est Detailed Bin Table'!$AX$9:$BI$9,0)), INDEX('[3]Detailed Bin Table'!$AX$9:$BI$132,MATCH($A106,'[3]Detailed Bin Table'!$A$9:$A$132,0),MATCH($B106,'[3]Detailed Bin Table'!$AX$9:$BI$9,0)))*24)</f>
        <v>#N/A</v>
      </c>
      <c r="J106" s="222" t="e">
        <f>IF(B106="Custom", Q106, IF(B106="Imputation", INDEX('[3]Alt Est Detailed Bin Table'!$BJ$10:$BO$132, MATCH(A106, '[3]Alt Est Detailed Bin Table'!$A$10:$A$132), MATCH(P106, '[3]Alt Est Detailed Bin Table'!$BJ$9:$BO$9,0)), INDEX('[3]Detailed Bin Table'!$BJ$9:$BO$132,MATCH($A106,'[3]Detailed Bin Table'!$A$9:$A$132,0),MATCH($B106,'[3]Detailed Bin Table'!$BJ$9:$BO$9,0)))*24)</f>
        <v>#N/A</v>
      </c>
      <c r="K106" s="33" t="e">
        <f>IF(B106="Custom", Q106, IF(B106="Imputation", INDEX('[3]Alt Est Detailed Bin Table'!$BP$10:$CC$132, MATCH(A106, '[3]Alt Est Detailed Bin Table'!$A$10:$A$132), MATCH(P106, '[3]Alt Est Detailed Bin Table'!$BP$9:$CC$9,0)), INDEX('[3]Detailed Bin Table'!$BP$9:$CC$132,MATCH($A106,'[3]Detailed Bin Table'!$A$9:$A$132,0),MATCH($B106,'[3]Detailed Bin Table'!$BP$9:$CC$9,0)))*24)</f>
        <v>#N/A</v>
      </c>
      <c r="L106" s="223" t="e">
        <f>IF(B106="Custom", Q106, IF(B106="Imputation", INDEX('[3]Alt Est Detailed Bin Table'!$CD$10:$CK$132, MATCH(A106, '[3]Alt Est Detailed Bin Table'!$A$10:$A$132), MATCH(P106, '[3]Alt Est Detailed Bin Table'!$CD$9:$CK$9,0)), INDEX('[3]Detailed Bin Table'!$CD$9:$CK$132,MATCH($A106,'[3]Detailed Bin Table'!$A$9:$A$132,0),MATCH($B106,'[3]Detailed Bin Table'!$CD$9:$CK$9,0)))*24)</f>
        <v>#N/A</v>
      </c>
      <c r="M106" s="34" t="e">
        <f>IF(B106="Custom", Q106, IF(B106="Imputation", INDEX('[3]Alt Est Detailed Bin Table'!$CL$10:$CS$132, MATCH(A106, '[3]Alt Est Detailed Bin Table'!$A$10:$A$132), MATCH(P106, '[3]Alt Est Detailed Bin Table'!$CL$9:$CS$9,0)), INDEX('[3]Detailed Bin Table'!$CL$9:$CS$132,MATCH($A106,'[3]Detailed Bin Table'!$A$9:$A$132,0),MATCH($B106,'[3]Detailed Bin Table'!$CL$9:$CS$9,0)))*24)</f>
        <v>#N/A</v>
      </c>
      <c r="N106" s="34" t="e">
        <f>IF(B106="Custom", Q106, IF(B106="Imputation", INDEX('[3]Alt Est Detailed Bin Table'!$CT$10:$DA$132, MATCH(A106, '[3]Alt Est Detailed Bin Table'!$A$10:$A$132), MATCH(P106, '[3]Alt Est Detailed Bin Table'!$CT$9:$DA$9,0)), INDEX('[3]Detailed Bin Table'!$CT$9:$DA$132,MATCH($A106,'[3]Detailed Bin Table'!$A$9:$A$132,0),MATCH($B106,'[3]Detailed Bin Table'!$CT$9:$DA$9,0)))*24)</f>
        <v>#N/A</v>
      </c>
      <c r="O106" s="222" t="e">
        <f>IF(B106="Custom", Q106, IF(B106="Imputation", INDEX('[3]Alt Est Detailed Bin Table'!$DB$10:$DI$132, MATCH(A106, '[3]Alt Est Detailed Bin Table'!$A$10:$A$132), MATCH(P106, '[3]Alt Est Detailed Bin Table'!$DB$9:$DI$9,0)), INDEX('[3]Detailed Bin Table'!$DB$9:$DI$132,MATCH($A106,'[3]Detailed Bin Table'!$A$9:$A$132,0),MATCH($B106,'[3]Detailed Bin Table'!$DB$9:$DI$9,0)))*24)</f>
        <v>#N/A</v>
      </c>
      <c r="P106" s="215"/>
      <c r="Q106" s="62"/>
      <c r="R106" s="63"/>
      <c r="S106" s="63"/>
      <c r="T106" s="63"/>
      <c r="U106" s="63"/>
      <c r="V106" s="63"/>
      <c r="W106" s="64"/>
      <c r="X106" s="63"/>
      <c r="Y106" s="63"/>
      <c r="Z106" s="63"/>
      <c r="AA106" s="65"/>
      <c r="AB106" s="213" t="e">
        <f>IF(SUM(E106:O106)='[1]Passage Estimates'!$D106, "Ok", "Check")</f>
        <v>#N/A</v>
      </c>
    </row>
    <row r="107" spans="1:28" x14ac:dyDescent="0.3">
      <c r="A107" s="20">
        <f>'1. Mixture Model Inputs'!A107</f>
        <v>45209</v>
      </c>
      <c r="B107" s="13">
        <f>'[1]Passage Estimates'!$C107</f>
        <v>0</v>
      </c>
      <c r="C107" s="206"/>
      <c r="D107" s="206"/>
      <c r="E107" s="34" t="e">
        <f>IF(B107="Custom", Q107, IF(B107="Imputation", INDEX('[3]Alt Est Detailed Bin Table'!$B$10:$M$132, MATCH(A107, '[3]Alt Est Detailed Bin Table'!$A$10:$A$132), MATCH(P107, '[3]Alt Est Detailed Bin Table'!$B$9:$M$9,0)), INDEX('[3]Detailed Bin Table'!$B$9:$M$132,MATCH($A107,'[3]Detailed Bin Table'!$A$9:$A$132,0),MATCH($B107,'[3]Detailed Bin Table'!$B$9:$M$9,0)))*24)</f>
        <v>#N/A</v>
      </c>
      <c r="F107" s="34" t="e">
        <f>IF(B107="Custom", Q107, IF(B107="Imputation", INDEX('[3]Alt Est Detailed Bin Table'!$N$10:$Y$132, MATCH(A107, '[3]Alt Est Detailed Bin Table'!$A$10:$A$132), MATCH(P107, '[3]Alt Est Detailed Bin Table'!$N$9:$Y$9,0)), INDEX('[3]Detailed Bin Table'!$N$9:$Y$132,MATCH($A107,'[3]Detailed Bin Table'!$A$9:$A$132,0),MATCH($B107,'[3]Detailed Bin Table'!$N$9:$Y$9,0)))*24)</f>
        <v>#N/A</v>
      </c>
      <c r="G107" s="34" t="e">
        <f>IF(B107="Custom", Q107, IF(B107="Imputation", INDEX('[3]Alt Est Detailed Bin Table'!$Z$10:$AK$132, MATCH(A107, '[3]Alt Est Detailed Bin Table'!$A$10:$A$132), MATCH(P107, '[3]Alt Est Detailed Bin Table'!$Z$9:$AK$9,0)), INDEX('[3]Detailed Bin Table'!$Z$9:$AK$132,MATCH($A107,'[3]Detailed Bin Table'!$A$9:$A$132,0),MATCH($B107,'[3]Detailed Bin Table'!$Z$9:$AK$9,0)))*24)</f>
        <v>#N/A</v>
      </c>
      <c r="H107" s="34" t="e">
        <f>IF(B107="Custom", Q107, IF(B107="Imputation", INDEX('[3]Alt Est Detailed Bin Table'!$AL$10:$AW$132, MATCH(A107, '[3]Alt Est Detailed Bin Table'!$A$10:$A$132), MATCH(P107, '[3]Alt Est Detailed Bin Table'!$AL$9:$AW$9,0)), INDEX('[3]Detailed Bin Table'!$AL$9:$AW$132,MATCH($A107,'[3]Detailed Bin Table'!$A$9:$A$132,0),MATCH($B107,'[3]Detailed Bin Table'!$AL$9:$AW$9,0)))*24)</f>
        <v>#N/A</v>
      </c>
      <c r="I107" s="34" t="e">
        <f>IF(B107="Custom", Q107, IF(B107="Imputation", INDEX('[3]Alt Est Detailed Bin Table'!$AX$10:$BI$132, MATCH(A107, '[3]Alt Est Detailed Bin Table'!$A$10:$A$132), MATCH(P107, '[3]Alt Est Detailed Bin Table'!$AX$9:$BI$9,0)), INDEX('[3]Detailed Bin Table'!$AX$9:$BI$132,MATCH($A107,'[3]Detailed Bin Table'!$A$9:$A$132,0),MATCH($B107,'[3]Detailed Bin Table'!$AX$9:$BI$9,0)))*24)</f>
        <v>#N/A</v>
      </c>
      <c r="J107" s="222" t="e">
        <f>IF(B107="Custom", Q107, IF(B107="Imputation", INDEX('[3]Alt Est Detailed Bin Table'!$BJ$10:$BO$132, MATCH(A107, '[3]Alt Est Detailed Bin Table'!$A$10:$A$132), MATCH(P107, '[3]Alt Est Detailed Bin Table'!$BJ$9:$BO$9,0)), INDEX('[3]Detailed Bin Table'!$BJ$9:$BO$132,MATCH($A107,'[3]Detailed Bin Table'!$A$9:$A$132,0),MATCH($B107,'[3]Detailed Bin Table'!$BJ$9:$BO$9,0)))*24)</f>
        <v>#N/A</v>
      </c>
      <c r="K107" s="33" t="e">
        <f>IF(B107="Custom", Q107, IF(B107="Imputation", INDEX('[3]Alt Est Detailed Bin Table'!$BP$10:$CC$132, MATCH(A107, '[3]Alt Est Detailed Bin Table'!$A$10:$A$132), MATCH(P107, '[3]Alt Est Detailed Bin Table'!$BP$9:$CC$9,0)), INDEX('[3]Detailed Bin Table'!$BP$9:$CC$132,MATCH($A107,'[3]Detailed Bin Table'!$A$9:$A$132,0),MATCH($B107,'[3]Detailed Bin Table'!$BP$9:$CC$9,0)))*24)</f>
        <v>#N/A</v>
      </c>
      <c r="L107" s="223" t="e">
        <f>IF(B107="Custom", Q107, IF(B107="Imputation", INDEX('[3]Alt Est Detailed Bin Table'!$CD$10:$CK$132, MATCH(A107, '[3]Alt Est Detailed Bin Table'!$A$10:$A$132), MATCH(P107, '[3]Alt Est Detailed Bin Table'!$CD$9:$CK$9,0)), INDEX('[3]Detailed Bin Table'!$CD$9:$CK$132,MATCH($A107,'[3]Detailed Bin Table'!$A$9:$A$132,0),MATCH($B107,'[3]Detailed Bin Table'!$CD$9:$CK$9,0)))*24)</f>
        <v>#N/A</v>
      </c>
      <c r="M107" s="34" t="e">
        <f>IF(B107="Custom", Q107, IF(B107="Imputation", INDEX('[3]Alt Est Detailed Bin Table'!$CL$10:$CS$132, MATCH(A107, '[3]Alt Est Detailed Bin Table'!$A$10:$A$132), MATCH(P107, '[3]Alt Est Detailed Bin Table'!$CL$9:$CS$9,0)), INDEX('[3]Detailed Bin Table'!$CL$9:$CS$132,MATCH($A107,'[3]Detailed Bin Table'!$A$9:$A$132,0),MATCH($B107,'[3]Detailed Bin Table'!$CL$9:$CS$9,0)))*24)</f>
        <v>#N/A</v>
      </c>
      <c r="N107" s="34" t="e">
        <f>IF(B107="Custom", Q107, IF(B107="Imputation", INDEX('[3]Alt Est Detailed Bin Table'!$CT$10:$DA$132, MATCH(A107, '[3]Alt Est Detailed Bin Table'!$A$10:$A$132), MATCH(P107, '[3]Alt Est Detailed Bin Table'!$CT$9:$DA$9,0)), INDEX('[3]Detailed Bin Table'!$CT$9:$DA$132,MATCH($A107,'[3]Detailed Bin Table'!$A$9:$A$132,0),MATCH($B107,'[3]Detailed Bin Table'!$CT$9:$DA$9,0)))*24)</f>
        <v>#N/A</v>
      </c>
      <c r="O107" s="222" t="e">
        <f>IF(B107="Custom", Q107, IF(B107="Imputation", INDEX('[3]Alt Est Detailed Bin Table'!$DB$10:$DI$132, MATCH(A107, '[3]Alt Est Detailed Bin Table'!$A$10:$A$132), MATCH(P107, '[3]Alt Est Detailed Bin Table'!$DB$9:$DI$9,0)), INDEX('[3]Detailed Bin Table'!$DB$9:$DI$132,MATCH($A107,'[3]Detailed Bin Table'!$A$9:$A$132,0),MATCH($B107,'[3]Detailed Bin Table'!$DB$9:$DI$9,0)))*24)</f>
        <v>#N/A</v>
      </c>
      <c r="P107" s="215"/>
      <c r="Q107" s="62"/>
      <c r="R107" s="63"/>
      <c r="S107" s="63"/>
      <c r="T107" s="63"/>
      <c r="U107" s="63"/>
      <c r="V107" s="63"/>
      <c r="W107" s="64"/>
      <c r="X107" s="63"/>
      <c r="Y107" s="63"/>
      <c r="Z107" s="63"/>
      <c r="AA107" s="65"/>
      <c r="AB107" s="213" t="e">
        <f>IF(SUM(E107:O107)='[1]Passage Estimates'!$D107, "Ok", "Check")</f>
        <v>#N/A</v>
      </c>
    </row>
    <row r="108" spans="1:28" x14ac:dyDescent="0.3">
      <c r="A108" s="20">
        <f>'1. Mixture Model Inputs'!A108</f>
        <v>45210</v>
      </c>
      <c r="B108" s="13">
        <f>'[1]Passage Estimates'!$C108</f>
        <v>0</v>
      </c>
      <c r="C108" s="206"/>
      <c r="D108" s="206"/>
      <c r="E108" s="34" t="e">
        <f>IF(B108="Custom", Q108, IF(B108="Imputation", INDEX('[3]Alt Est Detailed Bin Table'!$B$10:$M$132, MATCH(A108, '[3]Alt Est Detailed Bin Table'!$A$10:$A$132), MATCH(P108, '[3]Alt Est Detailed Bin Table'!$B$9:$M$9,0)), INDEX('[3]Detailed Bin Table'!$B$9:$M$132,MATCH($A108,'[3]Detailed Bin Table'!$A$9:$A$132,0),MATCH($B108,'[3]Detailed Bin Table'!$B$9:$M$9,0)))*24)</f>
        <v>#N/A</v>
      </c>
      <c r="F108" s="34" t="e">
        <f>IF(B108="Custom", Q108, IF(B108="Imputation", INDEX('[3]Alt Est Detailed Bin Table'!$N$10:$Y$132, MATCH(A108, '[3]Alt Est Detailed Bin Table'!$A$10:$A$132), MATCH(P108, '[3]Alt Est Detailed Bin Table'!$N$9:$Y$9,0)), INDEX('[3]Detailed Bin Table'!$N$9:$Y$132,MATCH($A108,'[3]Detailed Bin Table'!$A$9:$A$132,0),MATCH($B108,'[3]Detailed Bin Table'!$N$9:$Y$9,0)))*24)</f>
        <v>#N/A</v>
      </c>
      <c r="G108" s="34" t="e">
        <f>IF(B108="Custom", Q108, IF(B108="Imputation", INDEX('[3]Alt Est Detailed Bin Table'!$Z$10:$AK$132, MATCH(A108, '[3]Alt Est Detailed Bin Table'!$A$10:$A$132), MATCH(P108, '[3]Alt Est Detailed Bin Table'!$Z$9:$AK$9,0)), INDEX('[3]Detailed Bin Table'!$Z$9:$AK$132,MATCH($A108,'[3]Detailed Bin Table'!$A$9:$A$132,0),MATCH($B108,'[3]Detailed Bin Table'!$Z$9:$AK$9,0)))*24)</f>
        <v>#N/A</v>
      </c>
      <c r="H108" s="34" t="e">
        <f>IF(B108="Custom", Q108, IF(B108="Imputation", INDEX('[3]Alt Est Detailed Bin Table'!$AL$10:$AW$132, MATCH(A108, '[3]Alt Est Detailed Bin Table'!$A$10:$A$132), MATCH(P108, '[3]Alt Est Detailed Bin Table'!$AL$9:$AW$9,0)), INDEX('[3]Detailed Bin Table'!$AL$9:$AW$132,MATCH($A108,'[3]Detailed Bin Table'!$A$9:$A$132,0),MATCH($B108,'[3]Detailed Bin Table'!$AL$9:$AW$9,0)))*24)</f>
        <v>#N/A</v>
      </c>
      <c r="I108" s="34" t="e">
        <f>IF(B108="Custom", Q108, IF(B108="Imputation", INDEX('[3]Alt Est Detailed Bin Table'!$AX$10:$BI$132, MATCH(A108, '[3]Alt Est Detailed Bin Table'!$A$10:$A$132), MATCH(P108, '[3]Alt Est Detailed Bin Table'!$AX$9:$BI$9,0)), INDEX('[3]Detailed Bin Table'!$AX$9:$BI$132,MATCH($A108,'[3]Detailed Bin Table'!$A$9:$A$132,0),MATCH($B108,'[3]Detailed Bin Table'!$AX$9:$BI$9,0)))*24)</f>
        <v>#N/A</v>
      </c>
      <c r="J108" s="222" t="e">
        <f>IF(B108="Custom", Q108, IF(B108="Imputation", INDEX('[3]Alt Est Detailed Bin Table'!$BJ$10:$BO$132, MATCH(A108, '[3]Alt Est Detailed Bin Table'!$A$10:$A$132), MATCH(P108, '[3]Alt Est Detailed Bin Table'!$BJ$9:$BO$9,0)), INDEX('[3]Detailed Bin Table'!$BJ$9:$BO$132,MATCH($A108,'[3]Detailed Bin Table'!$A$9:$A$132,0),MATCH($B108,'[3]Detailed Bin Table'!$BJ$9:$BO$9,0)))*24)</f>
        <v>#N/A</v>
      </c>
      <c r="K108" s="33" t="e">
        <f>IF(B108="Custom", Q108, IF(B108="Imputation", INDEX('[3]Alt Est Detailed Bin Table'!$BP$10:$CC$132, MATCH(A108, '[3]Alt Est Detailed Bin Table'!$A$10:$A$132), MATCH(P108, '[3]Alt Est Detailed Bin Table'!$BP$9:$CC$9,0)), INDEX('[3]Detailed Bin Table'!$BP$9:$CC$132,MATCH($A108,'[3]Detailed Bin Table'!$A$9:$A$132,0),MATCH($B108,'[3]Detailed Bin Table'!$BP$9:$CC$9,0)))*24)</f>
        <v>#N/A</v>
      </c>
      <c r="L108" s="223" t="e">
        <f>IF(B108="Custom", Q108, IF(B108="Imputation", INDEX('[3]Alt Est Detailed Bin Table'!$CD$10:$CK$132, MATCH(A108, '[3]Alt Est Detailed Bin Table'!$A$10:$A$132), MATCH(P108, '[3]Alt Est Detailed Bin Table'!$CD$9:$CK$9,0)), INDEX('[3]Detailed Bin Table'!$CD$9:$CK$132,MATCH($A108,'[3]Detailed Bin Table'!$A$9:$A$132,0),MATCH($B108,'[3]Detailed Bin Table'!$CD$9:$CK$9,0)))*24)</f>
        <v>#N/A</v>
      </c>
      <c r="M108" s="34" t="e">
        <f>IF(B108="Custom", Q108, IF(B108="Imputation", INDEX('[3]Alt Est Detailed Bin Table'!$CL$10:$CS$132, MATCH(A108, '[3]Alt Est Detailed Bin Table'!$A$10:$A$132), MATCH(P108, '[3]Alt Est Detailed Bin Table'!$CL$9:$CS$9,0)), INDEX('[3]Detailed Bin Table'!$CL$9:$CS$132,MATCH($A108,'[3]Detailed Bin Table'!$A$9:$A$132,0),MATCH($B108,'[3]Detailed Bin Table'!$CL$9:$CS$9,0)))*24)</f>
        <v>#N/A</v>
      </c>
      <c r="N108" s="34" t="e">
        <f>IF(B108="Custom", Q108, IF(B108="Imputation", INDEX('[3]Alt Est Detailed Bin Table'!$CT$10:$DA$132, MATCH(A108, '[3]Alt Est Detailed Bin Table'!$A$10:$A$132), MATCH(P108, '[3]Alt Est Detailed Bin Table'!$CT$9:$DA$9,0)), INDEX('[3]Detailed Bin Table'!$CT$9:$DA$132,MATCH($A108,'[3]Detailed Bin Table'!$A$9:$A$132,0),MATCH($B108,'[3]Detailed Bin Table'!$CT$9:$DA$9,0)))*24)</f>
        <v>#N/A</v>
      </c>
      <c r="O108" s="222" t="e">
        <f>IF(B108="Custom", Q108, IF(B108="Imputation", INDEX('[3]Alt Est Detailed Bin Table'!$DB$10:$DI$132, MATCH(A108, '[3]Alt Est Detailed Bin Table'!$A$10:$A$132), MATCH(P108, '[3]Alt Est Detailed Bin Table'!$DB$9:$DI$9,0)), INDEX('[3]Detailed Bin Table'!$DB$9:$DI$132,MATCH($A108,'[3]Detailed Bin Table'!$A$9:$A$132,0),MATCH($B108,'[3]Detailed Bin Table'!$DB$9:$DI$9,0)))*24)</f>
        <v>#N/A</v>
      </c>
      <c r="P108" s="215"/>
      <c r="Q108" s="62"/>
      <c r="R108" s="63"/>
      <c r="S108" s="63"/>
      <c r="T108" s="63"/>
      <c r="U108" s="63"/>
      <c r="V108" s="63"/>
      <c r="W108" s="64"/>
      <c r="X108" s="63"/>
      <c r="Y108" s="63"/>
      <c r="Z108" s="63"/>
      <c r="AA108" s="65"/>
      <c r="AB108" s="213" t="e">
        <f>IF(SUM(E108:O108)='[1]Passage Estimates'!$D108, "Ok", "Check")</f>
        <v>#N/A</v>
      </c>
    </row>
    <row r="109" spans="1:28" x14ac:dyDescent="0.3">
      <c r="A109" s="20">
        <f>'1. Mixture Model Inputs'!A109</f>
        <v>45211</v>
      </c>
      <c r="B109" s="13">
        <f>'[1]Passage Estimates'!$C109</f>
        <v>0</v>
      </c>
      <c r="C109" s="206"/>
      <c r="D109" s="206"/>
      <c r="E109" s="34" t="e">
        <f>IF(B109="Custom", Q109, IF(B109="Imputation", INDEX('[3]Alt Est Detailed Bin Table'!$B$10:$M$132, MATCH(A109, '[3]Alt Est Detailed Bin Table'!$A$10:$A$132), MATCH(P109, '[3]Alt Est Detailed Bin Table'!$B$9:$M$9,0)), INDEX('[3]Detailed Bin Table'!$B$9:$M$132,MATCH($A109,'[3]Detailed Bin Table'!$A$9:$A$132,0),MATCH($B109,'[3]Detailed Bin Table'!$B$9:$M$9,0)))*24)</f>
        <v>#N/A</v>
      </c>
      <c r="F109" s="34" t="e">
        <f>IF(B109="Custom", Q109, IF(B109="Imputation", INDEX('[3]Alt Est Detailed Bin Table'!$N$10:$Y$132, MATCH(A109, '[3]Alt Est Detailed Bin Table'!$A$10:$A$132), MATCH(P109, '[3]Alt Est Detailed Bin Table'!$N$9:$Y$9,0)), INDEX('[3]Detailed Bin Table'!$N$9:$Y$132,MATCH($A109,'[3]Detailed Bin Table'!$A$9:$A$132,0),MATCH($B109,'[3]Detailed Bin Table'!$N$9:$Y$9,0)))*24)</f>
        <v>#N/A</v>
      </c>
      <c r="G109" s="34" t="e">
        <f>IF(B109="Custom", Q109, IF(B109="Imputation", INDEX('[3]Alt Est Detailed Bin Table'!$Z$10:$AK$132, MATCH(A109, '[3]Alt Est Detailed Bin Table'!$A$10:$A$132), MATCH(P109, '[3]Alt Est Detailed Bin Table'!$Z$9:$AK$9,0)), INDEX('[3]Detailed Bin Table'!$Z$9:$AK$132,MATCH($A109,'[3]Detailed Bin Table'!$A$9:$A$132,0),MATCH($B109,'[3]Detailed Bin Table'!$Z$9:$AK$9,0)))*24)</f>
        <v>#N/A</v>
      </c>
      <c r="H109" s="34" t="e">
        <f>IF(B109="Custom", Q109, IF(B109="Imputation", INDEX('[3]Alt Est Detailed Bin Table'!$AL$10:$AW$132, MATCH(A109, '[3]Alt Est Detailed Bin Table'!$A$10:$A$132), MATCH(P109, '[3]Alt Est Detailed Bin Table'!$AL$9:$AW$9,0)), INDEX('[3]Detailed Bin Table'!$AL$9:$AW$132,MATCH($A109,'[3]Detailed Bin Table'!$A$9:$A$132,0),MATCH($B109,'[3]Detailed Bin Table'!$AL$9:$AW$9,0)))*24)</f>
        <v>#N/A</v>
      </c>
      <c r="I109" s="34" t="e">
        <f>IF(B109="Custom", Q109, IF(B109="Imputation", INDEX('[3]Alt Est Detailed Bin Table'!$AX$10:$BI$132, MATCH(A109, '[3]Alt Est Detailed Bin Table'!$A$10:$A$132), MATCH(P109, '[3]Alt Est Detailed Bin Table'!$AX$9:$BI$9,0)), INDEX('[3]Detailed Bin Table'!$AX$9:$BI$132,MATCH($A109,'[3]Detailed Bin Table'!$A$9:$A$132,0),MATCH($B109,'[3]Detailed Bin Table'!$AX$9:$BI$9,0)))*24)</f>
        <v>#N/A</v>
      </c>
      <c r="J109" s="222" t="e">
        <f>IF(B109="Custom", Q109, IF(B109="Imputation", INDEX('[3]Alt Est Detailed Bin Table'!$BJ$10:$BO$132, MATCH(A109, '[3]Alt Est Detailed Bin Table'!$A$10:$A$132), MATCH(P109, '[3]Alt Est Detailed Bin Table'!$BJ$9:$BO$9,0)), INDEX('[3]Detailed Bin Table'!$BJ$9:$BO$132,MATCH($A109,'[3]Detailed Bin Table'!$A$9:$A$132,0),MATCH($B109,'[3]Detailed Bin Table'!$BJ$9:$BO$9,0)))*24)</f>
        <v>#N/A</v>
      </c>
      <c r="K109" s="33" t="e">
        <f>IF(B109="Custom", Q109, IF(B109="Imputation", INDEX('[3]Alt Est Detailed Bin Table'!$BP$10:$CC$132, MATCH(A109, '[3]Alt Est Detailed Bin Table'!$A$10:$A$132), MATCH(P109, '[3]Alt Est Detailed Bin Table'!$BP$9:$CC$9,0)), INDEX('[3]Detailed Bin Table'!$BP$9:$CC$132,MATCH($A109,'[3]Detailed Bin Table'!$A$9:$A$132,0),MATCH($B109,'[3]Detailed Bin Table'!$BP$9:$CC$9,0)))*24)</f>
        <v>#N/A</v>
      </c>
      <c r="L109" s="223" t="e">
        <f>IF(B109="Custom", Q109, IF(B109="Imputation", INDEX('[3]Alt Est Detailed Bin Table'!$CD$10:$CK$132, MATCH(A109, '[3]Alt Est Detailed Bin Table'!$A$10:$A$132), MATCH(P109, '[3]Alt Est Detailed Bin Table'!$CD$9:$CK$9,0)), INDEX('[3]Detailed Bin Table'!$CD$9:$CK$132,MATCH($A109,'[3]Detailed Bin Table'!$A$9:$A$132,0),MATCH($B109,'[3]Detailed Bin Table'!$CD$9:$CK$9,0)))*24)</f>
        <v>#N/A</v>
      </c>
      <c r="M109" s="34" t="e">
        <f>IF(B109="Custom", Q109, IF(B109="Imputation", INDEX('[3]Alt Est Detailed Bin Table'!$CL$10:$CS$132, MATCH(A109, '[3]Alt Est Detailed Bin Table'!$A$10:$A$132), MATCH(P109, '[3]Alt Est Detailed Bin Table'!$CL$9:$CS$9,0)), INDEX('[3]Detailed Bin Table'!$CL$9:$CS$132,MATCH($A109,'[3]Detailed Bin Table'!$A$9:$A$132,0),MATCH($B109,'[3]Detailed Bin Table'!$CL$9:$CS$9,0)))*24)</f>
        <v>#N/A</v>
      </c>
      <c r="N109" s="34" t="e">
        <f>IF(B109="Custom", Q109, IF(B109="Imputation", INDEX('[3]Alt Est Detailed Bin Table'!$CT$10:$DA$132, MATCH(A109, '[3]Alt Est Detailed Bin Table'!$A$10:$A$132), MATCH(P109, '[3]Alt Est Detailed Bin Table'!$CT$9:$DA$9,0)), INDEX('[3]Detailed Bin Table'!$CT$9:$DA$132,MATCH($A109,'[3]Detailed Bin Table'!$A$9:$A$132,0),MATCH($B109,'[3]Detailed Bin Table'!$CT$9:$DA$9,0)))*24)</f>
        <v>#N/A</v>
      </c>
      <c r="O109" s="222" t="e">
        <f>IF(B109="Custom", Q109, IF(B109="Imputation", INDEX('[3]Alt Est Detailed Bin Table'!$DB$10:$DI$132, MATCH(A109, '[3]Alt Est Detailed Bin Table'!$A$10:$A$132), MATCH(P109, '[3]Alt Est Detailed Bin Table'!$DB$9:$DI$9,0)), INDEX('[3]Detailed Bin Table'!$DB$9:$DI$132,MATCH($A109,'[3]Detailed Bin Table'!$A$9:$A$132,0),MATCH($B109,'[3]Detailed Bin Table'!$DB$9:$DI$9,0)))*24)</f>
        <v>#N/A</v>
      </c>
      <c r="P109" s="215"/>
      <c r="Q109" s="62"/>
      <c r="R109" s="63"/>
      <c r="S109" s="63"/>
      <c r="T109" s="63"/>
      <c r="U109" s="63"/>
      <c r="V109" s="63"/>
      <c r="W109" s="64"/>
      <c r="X109" s="63"/>
      <c r="Y109" s="63"/>
      <c r="Z109" s="63"/>
      <c r="AA109" s="65"/>
      <c r="AB109" s="213" t="e">
        <f>IF(SUM(E109:O109)='[1]Passage Estimates'!$D109, "Ok", "Check")</f>
        <v>#N/A</v>
      </c>
    </row>
    <row r="110" spans="1:28" x14ac:dyDescent="0.3">
      <c r="A110" s="20">
        <f>'1. Mixture Model Inputs'!A110</f>
        <v>45212</v>
      </c>
      <c r="B110" s="13">
        <f>'[1]Passage Estimates'!$C110</f>
        <v>0</v>
      </c>
      <c r="C110" s="206"/>
      <c r="D110" s="206"/>
      <c r="E110" s="34" t="e">
        <f>IF(B110="Custom", Q110, IF(B110="Imputation", INDEX('[3]Alt Est Detailed Bin Table'!$B$10:$M$132, MATCH(A110, '[3]Alt Est Detailed Bin Table'!$A$10:$A$132), MATCH(P110, '[3]Alt Est Detailed Bin Table'!$B$9:$M$9,0)), INDEX('[3]Detailed Bin Table'!$B$9:$M$132,MATCH($A110,'[3]Detailed Bin Table'!$A$9:$A$132,0),MATCH($B110,'[3]Detailed Bin Table'!$B$9:$M$9,0)))*24)</f>
        <v>#N/A</v>
      </c>
      <c r="F110" s="34" t="e">
        <f>IF(B110="Custom", Q110, IF(B110="Imputation", INDEX('[3]Alt Est Detailed Bin Table'!$N$10:$Y$132, MATCH(A110, '[3]Alt Est Detailed Bin Table'!$A$10:$A$132), MATCH(P110, '[3]Alt Est Detailed Bin Table'!$N$9:$Y$9,0)), INDEX('[3]Detailed Bin Table'!$N$9:$Y$132,MATCH($A110,'[3]Detailed Bin Table'!$A$9:$A$132,0),MATCH($B110,'[3]Detailed Bin Table'!$N$9:$Y$9,0)))*24)</f>
        <v>#N/A</v>
      </c>
      <c r="G110" s="34" t="e">
        <f>IF(B110="Custom", Q110, IF(B110="Imputation", INDEX('[3]Alt Est Detailed Bin Table'!$Z$10:$AK$132, MATCH(A110, '[3]Alt Est Detailed Bin Table'!$A$10:$A$132), MATCH(P110, '[3]Alt Est Detailed Bin Table'!$Z$9:$AK$9,0)), INDEX('[3]Detailed Bin Table'!$Z$9:$AK$132,MATCH($A110,'[3]Detailed Bin Table'!$A$9:$A$132,0),MATCH($B110,'[3]Detailed Bin Table'!$Z$9:$AK$9,0)))*24)</f>
        <v>#N/A</v>
      </c>
      <c r="H110" s="34" t="e">
        <f>IF(B110="Custom", Q110, IF(B110="Imputation", INDEX('[3]Alt Est Detailed Bin Table'!$AL$10:$AW$132, MATCH(A110, '[3]Alt Est Detailed Bin Table'!$A$10:$A$132), MATCH(P110, '[3]Alt Est Detailed Bin Table'!$AL$9:$AW$9,0)), INDEX('[3]Detailed Bin Table'!$AL$9:$AW$132,MATCH($A110,'[3]Detailed Bin Table'!$A$9:$A$132,0),MATCH($B110,'[3]Detailed Bin Table'!$AL$9:$AW$9,0)))*24)</f>
        <v>#N/A</v>
      </c>
      <c r="I110" s="34" t="e">
        <f>IF(B110="Custom", Q110, IF(B110="Imputation", INDEX('[3]Alt Est Detailed Bin Table'!$AX$10:$BI$132, MATCH(A110, '[3]Alt Est Detailed Bin Table'!$A$10:$A$132), MATCH(P110, '[3]Alt Est Detailed Bin Table'!$AX$9:$BI$9,0)), INDEX('[3]Detailed Bin Table'!$AX$9:$BI$132,MATCH($A110,'[3]Detailed Bin Table'!$A$9:$A$132,0),MATCH($B110,'[3]Detailed Bin Table'!$AX$9:$BI$9,0)))*24)</f>
        <v>#N/A</v>
      </c>
      <c r="J110" s="222" t="e">
        <f>IF(B110="Custom", Q110, IF(B110="Imputation", INDEX('[3]Alt Est Detailed Bin Table'!$BJ$10:$BO$132, MATCH(A110, '[3]Alt Est Detailed Bin Table'!$A$10:$A$132), MATCH(P110, '[3]Alt Est Detailed Bin Table'!$BJ$9:$BO$9,0)), INDEX('[3]Detailed Bin Table'!$BJ$9:$BO$132,MATCH($A110,'[3]Detailed Bin Table'!$A$9:$A$132,0),MATCH($B110,'[3]Detailed Bin Table'!$BJ$9:$BO$9,0)))*24)</f>
        <v>#N/A</v>
      </c>
      <c r="K110" s="33" t="e">
        <f>IF(B110="Custom", Q110, IF(B110="Imputation", INDEX('[3]Alt Est Detailed Bin Table'!$BP$10:$CC$132, MATCH(A110, '[3]Alt Est Detailed Bin Table'!$A$10:$A$132), MATCH(P110, '[3]Alt Est Detailed Bin Table'!$BP$9:$CC$9,0)), INDEX('[3]Detailed Bin Table'!$BP$9:$CC$132,MATCH($A110,'[3]Detailed Bin Table'!$A$9:$A$132,0),MATCH($B110,'[3]Detailed Bin Table'!$BP$9:$CC$9,0)))*24)</f>
        <v>#N/A</v>
      </c>
      <c r="L110" s="223" t="e">
        <f>IF(B110="Custom", Q110, IF(B110="Imputation", INDEX('[3]Alt Est Detailed Bin Table'!$CD$10:$CK$132, MATCH(A110, '[3]Alt Est Detailed Bin Table'!$A$10:$A$132), MATCH(P110, '[3]Alt Est Detailed Bin Table'!$CD$9:$CK$9,0)), INDEX('[3]Detailed Bin Table'!$CD$9:$CK$132,MATCH($A110,'[3]Detailed Bin Table'!$A$9:$A$132,0),MATCH($B110,'[3]Detailed Bin Table'!$CD$9:$CK$9,0)))*24)</f>
        <v>#N/A</v>
      </c>
      <c r="M110" s="34" t="e">
        <f>IF(B110="Custom", Q110, IF(B110="Imputation", INDEX('[3]Alt Est Detailed Bin Table'!$CL$10:$CS$132, MATCH(A110, '[3]Alt Est Detailed Bin Table'!$A$10:$A$132), MATCH(P110, '[3]Alt Est Detailed Bin Table'!$CL$9:$CS$9,0)), INDEX('[3]Detailed Bin Table'!$CL$9:$CS$132,MATCH($A110,'[3]Detailed Bin Table'!$A$9:$A$132,0),MATCH($B110,'[3]Detailed Bin Table'!$CL$9:$CS$9,0)))*24)</f>
        <v>#N/A</v>
      </c>
      <c r="N110" s="34" t="e">
        <f>IF(B110="Custom", Q110, IF(B110="Imputation", INDEX('[3]Alt Est Detailed Bin Table'!$CT$10:$DA$132, MATCH(A110, '[3]Alt Est Detailed Bin Table'!$A$10:$A$132), MATCH(P110, '[3]Alt Est Detailed Bin Table'!$CT$9:$DA$9,0)), INDEX('[3]Detailed Bin Table'!$CT$9:$DA$132,MATCH($A110,'[3]Detailed Bin Table'!$A$9:$A$132,0),MATCH($B110,'[3]Detailed Bin Table'!$CT$9:$DA$9,0)))*24)</f>
        <v>#N/A</v>
      </c>
      <c r="O110" s="222" t="e">
        <f>IF(B110="Custom", Q110, IF(B110="Imputation", INDEX('[3]Alt Est Detailed Bin Table'!$DB$10:$DI$132, MATCH(A110, '[3]Alt Est Detailed Bin Table'!$A$10:$A$132), MATCH(P110, '[3]Alt Est Detailed Bin Table'!$DB$9:$DI$9,0)), INDEX('[3]Detailed Bin Table'!$DB$9:$DI$132,MATCH($A110,'[3]Detailed Bin Table'!$A$9:$A$132,0),MATCH($B110,'[3]Detailed Bin Table'!$DB$9:$DI$9,0)))*24)</f>
        <v>#N/A</v>
      </c>
      <c r="P110" s="215"/>
      <c r="Q110" s="62"/>
      <c r="R110" s="63"/>
      <c r="S110" s="63"/>
      <c r="T110" s="63"/>
      <c r="U110" s="63"/>
      <c r="V110" s="63"/>
      <c r="W110" s="64"/>
      <c r="X110" s="63"/>
      <c r="Y110" s="63"/>
      <c r="Z110" s="63"/>
      <c r="AA110" s="65"/>
      <c r="AB110" s="213" t="e">
        <f>IF(SUM(E110:O110)='[1]Passage Estimates'!$D110, "Ok", "Check")</f>
        <v>#N/A</v>
      </c>
    </row>
    <row r="111" spans="1:28" x14ac:dyDescent="0.3">
      <c r="A111" s="20">
        <f>'1. Mixture Model Inputs'!A111</f>
        <v>45213</v>
      </c>
      <c r="B111" s="13">
        <f>'[1]Passage Estimates'!$C111</f>
        <v>0</v>
      </c>
      <c r="C111" s="206"/>
      <c r="D111" s="206"/>
      <c r="E111" s="34" t="e">
        <f>IF(B111="Custom", Q111, IF(B111="Imputation", INDEX('[3]Alt Est Detailed Bin Table'!$B$10:$M$132, MATCH(A111, '[3]Alt Est Detailed Bin Table'!$A$10:$A$132), MATCH(P111, '[3]Alt Est Detailed Bin Table'!$B$9:$M$9,0)), INDEX('[3]Detailed Bin Table'!$B$9:$M$132,MATCH($A111,'[3]Detailed Bin Table'!$A$9:$A$132,0),MATCH($B111,'[3]Detailed Bin Table'!$B$9:$M$9,0)))*24)</f>
        <v>#N/A</v>
      </c>
      <c r="F111" s="34" t="e">
        <f>IF(B111="Custom", Q111, IF(B111="Imputation", INDEX('[3]Alt Est Detailed Bin Table'!$N$10:$Y$132, MATCH(A111, '[3]Alt Est Detailed Bin Table'!$A$10:$A$132), MATCH(P111, '[3]Alt Est Detailed Bin Table'!$N$9:$Y$9,0)), INDEX('[3]Detailed Bin Table'!$N$9:$Y$132,MATCH($A111,'[3]Detailed Bin Table'!$A$9:$A$132,0),MATCH($B111,'[3]Detailed Bin Table'!$N$9:$Y$9,0)))*24)</f>
        <v>#N/A</v>
      </c>
      <c r="G111" s="34" t="e">
        <f>IF(B111="Custom", Q111, IF(B111="Imputation", INDEX('[3]Alt Est Detailed Bin Table'!$Z$10:$AK$132, MATCH(A111, '[3]Alt Est Detailed Bin Table'!$A$10:$A$132), MATCH(P111, '[3]Alt Est Detailed Bin Table'!$Z$9:$AK$9,0)), INDEX('[3]Detailed Bin Table'!$Z$9:$AK$132,MATCH($A111,'[3]Detailed Bin Table'!$A$9:$A$132,0),MATCH($B111,'[3]Detailed Bin Table'!$Z$9:$AK$9,0)))*24)</f>
        <v>#N/A</v>
      </c>
      <c r="H111" s="34" t="e">
        <f>IF(B111="Custom", Q111, IF(B111="Imputation", INDEX('[3]Alt Est Detailed Bin Table'!$AL$10:$AW$132, MATCH(A111, '[3]Alt Est Detailed Bin Table'!$A$10:$A$132), MATCH(P111, '[3]Alt Est Detailed Bin Table'!$AL$9:$AW$9,0)), INDEX('[3]Detailed Bin Table'!$AL$9:$AW$132,MATCH($A111,'[3]Detailed Bin Table'!$A$9:$A$132,0),MATCH($B111,'[3]Detailed Bin Table'!$AL$9:$AW$9,0)))*24)</f>
        <v>#N/A</v>
      </c>
      <c r="I111" s="34" t="e">
        <f>IF(B111="Custom", Q111, IF(B111="Imputation", INDEX('[3]Alt Est Detailed Bin Table'!$AX$10:$BI$132, MATCH(A111, '[3]Alt Est Detailed Bin Table'!$A$10:$A$132), MATCH(P111, '[3]Alt Est Detailed Bin Table'!$AX$9:$BI$9,0)), INDEX('[3]Detailed Bin Table'!$AX$9:$BI$132,MATCH($A111,'[3]Detailed Bin Table'!$A$9:$A$132,0),MATCH($B111,'[3]Detailed Bin Table'!$AX$9:$BI$9,0)))*24)</f>
        <v>#N/A</v>
      </c>
      <c r="J111" s="222" t="e">
        <f>IF(B111="Custom", Q111, IF(B111="Imputation", INDEX('[3]Alt Est Detailed Bin Table'!$BJ$10:$BO$132, MATCH(A111, '[3]Alt Est Detailed Bin Table'!$A$10:$A$132), MATCH(P111, '[3]Alt Est Detailed Bin Table'!$BJ$9:$BO$9,0)), INDEX('[3]Detailed Bin Table'!$BJ$9:$BO$132,MATCH($A111,'[3]Detailed Bin Table'!$A$9:$A$132,0),MATCH($B111,'[3]Detailed Bin Table'!$BJ$9:$BO$9,0)))*24)</f>
        <v>#N/A</v>
      </c>
      <c r="K111" s="33" t="e">
        <f>IF(B111="Custom", Q111, IF(B111="Imputation", INDEX('[3]Alt Est Detailed Bin Table'!$BP$10:$CC$132, MATCH(A111, '[3]Alt Est Detailed Bin Table'!$A$10:$A$132), MATCH(P111, '[3]Alt Est Detailed Bin Table'!$BP$9:$CC$9,0)), INDEX('[3]Detailed Bin Table'!$BP$9:$CC$132,MATCH($A111,'[3]Detailed Bin Table'!$A$9:$A$132,0),MATCH($B111,'[3]Detailed Bin Table'!$BP$9:$CC$9,0)))*24)</f>
        <v>#N/A</v>
      </c>
      <c r="L111" s="223" t="e">
        <f>IF(B111="Custom", Q111, IF(B111="Imputation", INDEX('[3]Alt Est Detailed Bin Table'!$CD$10:$CK$132, MATCH(A111, '[3]Alt Est Detailed Bin Table'!$A$10:$A$132), MATCH(P111, '[3]Alt Est Detailed Bin Table'!$CD$9:$CK$9,0)), INDEX('[3]Detailed Bin Table'!$CD$9:$CK$132,MATCH($A111,'[3]Detailed Bin Table'!$A$9:$A$132,0),MATCH($B111,'[3]Detailed Bin Table'!$CD$9:$CK$9,0)))*24)</f>
        <v>#N/A</v>
      </c>
      <c r="M111" s="34" t="e">
        <f>IF(B111="Custom", Q111, IF(B111="Imputation", INDEX('[3]Alt Est Detailed Bin Table'!$CL$10:$CS$132, MATCH(A111, '[3]Alt Est Detailed Bin Table'!$A$10:$A$132), MATCH(P111, '[3]Alt Est Detailed Bin Table'!$CL$9:$CS$9,0)), INDEX('[3]Detailed Bin Table'!$CL$9:$CS$132,MATCH($A111,'[3]Detailed Bin Table'!$A$9:$A$132,0),MATCH($B111,'[3]Detailed Bin Table'!$CL$9:$CS$9,0)))*24)</f>
        <v>#N/A</v>
      </c>
      <c r="N111" s="34" t="e">
        <f>IF(B111="Custom", Q111, IF(B111="Imputation", INDEX('[3]Alt Est Detailed Bin Table'!$CT$10:$DA$132, MATCH(A111, '[3]Alt Est Detailed Bin Table'!$A$10:$A$132), MATCH(P111, '[3]Alt Est Detailed Bin Table'!$CT$9:$DA$9,0)), INDEX('[3]Detailed Bin Table'!$CT$9:$DA$132,MATCH($A111,'[3]Detailed Bin Table'!$A$9:$A$132,0),MATCH($B111,'[3]Detailed Bin Table'!$CT$9:$DA$9,0)))*24)</f>
        <v>#N/A</v>
      </c>
      <c r="O111" s="222" t="e">
        <f>IF(B111="Custom", Q111, IF(B111="Imputation", INDEX('[3]Alt Est Detailed Bin Table'!$DB$10:$DI$132, MATCH(A111, '[3]Alt Est Detailed Bin Table'!$A$10:$A$132), MATCH(P111, '[3]Alt Est Detailed Bin Table'!$DB$9:$DI$9,0)), INDEX('[3]Detailed Bin Table'!$DB$9:$DI$132,MATCH($A111,'[3]Detailed Bin Table'!$A$9:$A$132,0),MATCH($B111,'[3]Detailed Bin Table'!$DB$9:$DI$9,0)))*24)</f>
        <v>#N/A</v>
      </c>
      <c r="P111" s="215"/>
      <c r="Q111" s="62"/>
      <c r="R111" s="63"/>
      <c r="S111" s="63"/>
      <c r="T111" s="63"/>
      <c r="U111" s="63"/>
      <c r="V111" s="63"/>
      <c r="W111" s="64"/>
      <c r="X111" s="63"/>
      <c r="Y111" s="63"/>
      <c r="Z111" s="63"/>
      <c r="AA111" s="65"/>
      <c r="AB111" s="213" t="e">
        <f>IF(SUM(E111:O111)='[1]Passage Estimates'!$D111, "Ok", "Check")</f>
        <v>#N/A</v>
      </c>
    </row>
    <row r="112" spans="1:28" x14ac:dyDescent="0.3">
      <c r="A112" s="20">
        <f>'1. Mixture Model Inputs'!A112</f>
        <v>45214</v>
      </c>
      <c r="B112" s="13">
        <f>'[1]Passage Estimates'!$C112</f>
        <v>0</v>
      </c>
      <c r="C112" s="206"/>
      <c r="D112" s="206"/>
      <c r="E112" s="34" t="e">
        <f>IF(B112="Custom", Q112, IF(B112="Imputation", INDEX('[3]Alt Est Detailed Bin Table'!$B$10:$M$132, MATCH(A112, '[3]Alt Est Detailed Bin Table'!$A$10:$A$132), MATCH(P112, '[3]Alt Est Detailed Bin Table'!$B$9:$M$9,0)), INDEX('[3]Detailed Bin Table'!$B$9:$M$132,MATCH($A112,'[3]Detailed Bin Table'!$A$9:$A$132,0),MATCH($B112,'[3]Detailed Bin Table'!$B$9:$M$9,0)))*24)</f>
        <v>#N/A</v>
      </c>
      <c r="F112" s="34" t="e">
        <f>IF(B112="Custom", Q112, IF(B112="Imputation", INDEX('[3]Alt Est Detailed Bin Table'!$N$10:$Y$132, MATCH(A112, '[3]Alt Est Detailed Bin Table'!$A$10:$A$132), MATCH(P112, '[3]Alt Est Detailed Bin Table'!$N$9:$Y$9,0)), INDEX('[3]Detailed Bin Table'!$N$9:$Y$132,MATCH($A112,'[3]Detailed Bin Table'!$A$9:$A$132,0),MATCH($B112,'[3]Detailed Bin Table'!$N$9:$Y$9,0)))*24)</f>
        <v>#N/A</v>
      </c>
      <c r="G112" s="34" t="e">
        <f>IF(B112="Custom", Q112, IF(B112="Imputation", INDEX('[3]Alt Est Detailed Bin Table'!$Z$10:$AK$132, MATCH(A112, '[3]Alt Est Detailed Bin Table'!$A$10:$A$132), MATCH(P112, '[3]Alt Est Detailed Bin Table'!$Z$9:$AK$9,0)), INDEX('[3]Detailed Bin Table'!$Z$9:$AK$132,MATCH($A112,'[3]Detailed Bin Table'!$A$9:$A$132,0),MATCH($B112,'[3]Detailed Bin Table'!$Z$9:$AK$9,0)))*24)</f>
        <v>#N/A</v>
      </c>
      <c r="H112" s="34" t="e">
        <f>IF(B112="Custom", Q112, IF(B112="Imputation", INDEX('[3]Alt Est Detailed Bin Table'!$AL$10:$AW$132, MATCH(A112, '[3]Alt Est Detailed Bin Table'!$A$10:$A$132), MATCH(P112, '[3]Alt Est Detailed Bin Table'!$AL$9:$AW$9,0)), INDEX('[3]Detailed Bin Table'!$AL$9:$AW$132,MATCH($A112,'[3]Detailed Bin Table'!$A$9:$A$132,0),MATCH($B112,'[3]Detailed Bin Table'!$AL$9:$AW$9,0)))*24)</f>
        <v>#N/A</v>
      </c>
      <c r="I112" s="34" t="e">
        <f>IF(B112="Custom", Q112, IF(B112="Imputation", INDEX('[3]Alt Est Detailed Bin Table'!$AX$10:$BI$132, MATCH(A112, '[3]Alt Est Detailed Bin Table'!$A$10:$A$132), MATCH(P112, '[3]Alt Est Detailed Bin Table'!$AX$9:$BI$9,0)), INDEX('[3]Detailed Bin Table'!$AX$9:$BI$132,MATCH($A112,'[3]Detailed Bin Table'!$A$9:$A$132,0),MATCH($B112,'[3]Detailed Bin Table'!$AX$9:$BI$9,0)))*24)</f>
        <v>#N/A</v>
      </c>
      <c r="J112" s="222" t="e">
        <f>IF(B112="Custom", Q112, IF(B112="Imputation", INDEX('[3]Alt Est Detailed Bin Table'!$BJ$10:$BO$132, MATCH(A112, '[3]Alt Est Detailed Bin Table'!$A$10:$A$132), MATCH(P112, '[3]Alt Est Detailed Bin Table'!$BJ$9:$BO$9,0)), INDEX('[3]Detailed Bin Table'!$BJ$9:$BO$132,MATCH($A112,'[3]Detailed Bin Table'!$A$9:$A$132,0),MATCH($B112,'[3]Detailed Bin Table'!$BJ$9:$BO$9,0)))*24)</f>
        <v>#N/A</v>
      </c>
      <c r="K112" s="33" t="e">
        <f>IF(B112="Custom", Q112, IF(B112="Imputation", INDEX('[3]Alt Est Detailed Bin Table'!$BP$10:$CC$132, MATCH(A112, '[3]Alt Est Detailed Bin Table'!$A$10:$A$132), MATCH(P112, '[3]Alt Est Detailed Bin Table'!$BP$9:$CC$9,0)), INDEX('[3]Detailed Bin Table'!$BP$9:$CC$132,MATCH($A112,'[3]Detailed Bin Table'!$A$9:$A$132,0),MATCH($B112,'[3]Detailed Bin Table'!$BP$9:$CC$9,0)))*24)</f>
        <v>#N/A</v>
      </c>
      <c r="L112" s="223" t="e">
        <f>IF(B112="Custom", Q112, IF(B112="Imputation", INDEX('[3]Alt Est Detailed Bin Table'!$CD$10:$CK$132, MATCH(A112, '[3]Alt Est Detailed Bin Table'!$A$10:$A$132), MATCH(P112, '[3]Alt Est Detailed Bin Table'!$CD$9:$CK$9,0)), INDEX('[3]Detailed Bin Table'!$CD$9:$CK$132,MATCH($A112,'[3]Detailed Bin Table'!$A$9:$A$132,0),MATCH($B112,'[3]Detailed Bin Table'!$CD$9:$CK$9,0)))*24)</f>
        <v>#N/A</v>
      </c>
      <c r="M112" s="34" t="e">
        <f>IF(B112="Custom", Q112, IF(B112="Imputation", INDEX('[3]Alt Est Detailed Bin Table'!$CL$10:$CS$132, MATCH(A112, '[3]Alt Est Detailed Bin Table'!$A$10:$A$132), MATCH(P112, '[3]Alt Est Detailed Bin Table'!$CL$9:$CS$9,0)), INDEX('[3]Detailed Bin Table'!$CL$9:$CS$132,MATCH($A112,'[3]Detailed Bin Table'!$A$9:$A$132,0),MATCH($B112,'[3]Detailed Bin Table'!$CL$9:$CS$9,0)))*24)</f>
        <v>#N/A</v>
      </c>
      <c r="N112" s="34" t="e">
        <f>IF(B112="Custom", Q112, IF(B112="Imputation", INDEX('[3]Alt Est Detailed Bin Table'!$CT$10:$DA$132, MATCH(A112, '[3]Alt Est Detailed Bin Table'!$A$10:$A$132), MATCH(P112, '[3]Alt Est Detailed Bin Table'!$CT$9:$DA$9,0)), INDEX('[3]Detailed Bin Table'!$CT$9:$DA$132,MATCH($A112,'[3]Detailed Bin Table'!$A$9:$A$132,0),MATCH($B112,'[3]Detailed Bin Table'!$CT$9:$DA$9,0)))*24)</f>
        <v>#N/A</v>
      </c>
      <c r="O112" s="222" t="e">
        <f>IF(B112="Custom", Q112, IF(B112="Imputation", INDEX('[3]Alt Est Detailed Bin Table'!$DB$10:$DI$132, MATCH(A112, '[3]Alt Est Detailed Bin Table'!$A$10:$A$132), MATCH(P112, '[3]Alt Est Detailed Bin Table'!$DB$9:$DI$9,0)), INDEX('[3]Detailed Bin Table'!$DB$9:$DI$132,MATCH($A112,'[3]Detailed Bin Table'!$A$9:$A$132,0),MATCH($B112,'[3]Detailed Bin Table'!$DB$9:$DI$9,0)))*24)</f>
        <v>#N/A</v>
      </c>
      <c r="P112" s="215"/>
      <c r="Q112" s="62"/>
      <c r="R112" s="63"/>
      <c r="S112" s="63"/>
      <c r="T112" s="63"/>
      <c r="U112" s="63"/>
      <c r="V112" s="63"/>
      <c r="W112" s="64"/>
      <c r="X112" s="63"/>
      <c r="Y112" s="63"/>
      <c r="Z112" s="63"/>
      <c r="AA112" s="65"/>
      <c r="AB112" s="213" t="e">
        <f>IF(SUM(E112:O112)='[1]Passage Estimates'!$D112, "Ok", "Check")</f>
        <v>#N/A</v>
      </c>
    </row>
    <row r="113" spans="1:28" x14ac:dyDescent="0.3">
      <c r="A113" s="20">
        <f>'1. Mixture Model Inputs'!A113</f>
        <v>45215</v>
      </c>
      <c r="B113" s="13">
        <f>'[1]Passage Estimates'!$C113</f>
        <v>0</v>
      </c>
      <c r="C113" s="206"/>
      <c r="D113" s="206"/>
      <c r="E113" s="34" t="e">
        <f>IF(B113="Custom", Q113, IF(B113="Imputation", INDEX('[3]Alt Est Detailed Bin Table'!$B$10:$M$132, MATCH(A113, '[3]Alt Est Detailed Bin Table'!$A$10:$A$132), MATCH(P113, '[3]Alt Est Detailed Bin Table'!$B$9:$M$9,0)), INDEX('[3]Detailed Bin Table'!$B$9:$M$132,MATCH($A113,'[3]Detailed Bin Table'!$A$9:$A$132,0),MATCH($B113,'[3]Detailed Bin Table'!$B$9:$M$9,0)))*24)</f>
        <v>#N/A</v>
      </c>
      <c r="F113" s="34" t="e">
        <f>IF(B113="Custom", Q113, IF(B113="Imputation", INDEX('[3]Alt Est Detailed Bin Table'!$N$10:$Y$132, MATCH(A113, '[3]Alt Est Detailed Bin Table'!$A$10:$A$132), MATCH(P113, '[3]Alt Est Detailed Bin Table'!$N$9:$Y$9,0)), INDEX('[3]Detailed Bin Table'!$N$9:$Y$132,MATCH($A113,'[3]Detailed Bin Table'!$A$9:$A$132,0),MATCH($B113,'[3]Detailed Bin Table'!$N$9:$Y$9,0)))*24)</f>
        <v>#N/A</v>
      </c>
      <c r="G113" s="34" t="e">
        <f>IF(B113="Custom", Q113, IF(B113="Imputation", INDEX('[3]Alt Est Detailed Bin Table'!$Z$10:$AK$132, MATCH(A113, '[3]Alt Est Detailed Bin Table'!$A$10:$A$132), MATCH(P113, '[3]Alt Est Detailed Bin Table'!$Z$9:$AK$9,0)), INDEX('[3]Detailed Bin Table'!$Z$9:$AK$132,MATCH($A113,'[3]Detailed Bin Table'!$A$9:$A$132,0),MATCH($B113,'[3]Detailed Bin Table'!$Z$9:$AK$9,0)))*24)</f>
        <v>#N/A</v>
      </c>
      <c r="H113" s="34" t="e">
        <f>IF(B113="Custom", Q113, IF(B113="Imputation", INDEX('[3]Alt Est Detailed Bin Table'!$AL$10:$AW$132, MATCH(A113, '[3]Alt Est Detailed Bin Table'!$A$10:$A$132), MATCH(P113, '[3]Alt Est Detailed Bin Table'!$AL$9:$AW$9,0)), INDEX('[3]Detailed Bin Table'!$AL$9:$AW$132,MATCH($A113,'[3]Detailed Bin Table'!$A$9:$A$132,0),MATCH($B113,'[3]Detailed Bin Table'!$AL$9:$AW$9,0)))*24)</f>
        <v>#N/A</v>
      </c>
      <c r="I113" s="34" t="e">
        <f>IF(B113="Custom", Q113, IF(B113="Imputation", INDEX('[3]Alt Est Detailed Bin Table'!$AX$10:$BI$132, MATCH(A113, '[3]Alt Est Detailed Bin Table'!$A$10:$A$132), MATCH(P113, '[3]Alt Est Detailed Bin Table'!$AX$9:$BI$9,0)), INDEX('[3]Detailed Bin Table'!$AX$9:$BI$132,MATCH($A113,'[3]Detailed Bin Table'!$A$9:$A$132,0),MATCH($B113,'[3]Detailed Bin Table'!$AX$9:$BI$9,0)))*24)</f>
        <v>#N/A</v>
      </c>
      <c r="J113" s="222" t="e">
        <f>IF(B113="Custom", Q113, IF(B113="Imputation", INDEX('[3]Alt Est Detailed Bin Table'!$BJ$10:$BO$132, MATCH(A113, '[3]Alt Est Detailed Bin Table'!$A$10:$A$132), MATCH(P113, '[3]Alt Est Detailed Bin Table'!$BJ$9:$BO$9,0)), INDEX('[3]Detailed Bin Table'!$BJ$9:$BO$132,MATCH($A113,'[3]Detailed Bin Table'!$A$9:$A$132,0),MATCH($B113,'[3]Detailed Bin Table'!$BJ$9:$BO$9,0)))*24)</f>
        <v>#N/A</v>
      </c>
      <c r="K113" s="33" t="e">
        <f>IF(B113="Custom", Q113, IF(B113="Imputation", INDEX('[3]Alt Est Detailed Bin Table'!$BP$10:$CC$132, MATCH(A113, '[3]Alt Est Detailed Bin Table'!$A$10:$A$132), MATCH(P113, '[3]Alt Est Detailed Bin Table'!$BP$9:$CC$9,0)), INDEX('[3]Detailed Bin Table'!$BP$9:$CC$132,MATCH($A113,'[3]Detailed Bin Table'!$A$9:$A$132,0),MATCH($B113,'[3]Detailed Bin Table'!$BP$9:$CC$9,0)))*24)</f>
        <v>#N/A</v>
      </c>
      <c r="L113" s="223" t="e">
        <f>IF(B113="Custom", Q113, IF(B113="Imputation", INDEX('[3]Alt Est Detailed Bin Table'!$CD$10:$CK$132, MATCH(A113, '[3]Alt Est Detailed Bin Table'!$A$10:$A$132), MATCH(P113, '[3]Alt Est Detailed Bin Table'!$CD$9:$CK$9,0)), INDEX('[3]Detailed Bin Table'!$CD$9:$CK$132,MATCH($A113,'[3]Detailed Bin Table'!$A$9:$A$132,0),MATCH($B113,'[3]Detailed Bin Table'!$CD$9:$CK$9,0)))*24)</f>
        <v>#N/A</v>
      </c>
      <c r="M113" s="34" t="e">
        <f>IF(B113="Custom", Q113, IF(B113="Imputation", INDEX('[3]Alt Est Detailed Bin Table'!$CL$10:$CS$132, MATCH(A113, '[3]Alt Est Detailed Bin Table'!$A$10:$A$132), MATCH(P113, '[3]Alt Est Detailed Bin Table'!$CL$9:$CS$9,0)), INDEX('[3]Detailed Bin Table'!$CL$9:$CS$132,MATCH($A113,'[3]Detailed Bin Table'!$A$9:$A$132,0),MATCH($B113,'[3]Detailed Bin Table'!$CL$9:$CS$9,0)))*24)</f>
        <v>#N/A</v>
      </c>
      <c r="N113" s="34" t="e">
        <f>IF(B113="Custom", Q113, IF(B113="Imputation", INDEX('[3]Alt Est Detailed Bin Table'!$CT$10:$DA$132, MATCH(A113, '[3]Alt Est Detailed Bin Table'!$A$10:$A$132), MATCH(P113, '[3]Alt Est Detailed Bin Table'!$CT$9:$DA$9,0)), INDEX('[3]Detailed Bin Table'!$CT$9:$DA$132,MATCH($A113,'[3]Detailed Bin Table'!$A$9:$A$132,0),MATCH($B113,'[3]Detailed Bin Table'!$CT$9:$DA$9,0)))*24)</f>
        <v>#N/A</v>
      </c>
      <c r="O113" s="222" t="e">
        <f>IF(B113="Custom", Q113, IF(B113="Imputation", INDEX('[3]Alt Est Detailed Bin Table'!$DB$10:$DI$132, MATCH(A113, '[3]Alt Est Detailed Bin Table'!$A$10:$A$132), MATCH(P113, '[3]Alt Est Detailed Bin Table'!$DB$9:$DI$9,0)), INDEX('[3]Detailed Bin Table'!$DB$9:$DI$132,MATCH($A113,'[3]Detailed Bin Table'!$A$9:$A$132,0),MATCH($B113,'[3]Detailed Bin Table'!$DB$9:$DI$9,0)))*24)</f>
        <v>#N/A</v>
      </c>
      <c r="P113" s="215"/>
      <c r="Q113" s="62"/>
      <c r="R113" s="63"/>
      <c r="S113" s="63"/>
      <c r="T113" s="63"/>
      <c r="U113" s="63"/>
      <c r="V113" s="63"/>
      <c r="W113" s="64"/>
      <c r="X113" s="63"/>
      <c r="Y113" s="63"/>
      <c r="Z113" s="63"/>
      <c r="AA113" s="65"/>
      <c r="AB113" s="213" t="e">
        <f>IF(SUM(E113:O113)='[1]Passage Estimates'!$D113, "Ok", "Check")</f>
        <v>#N/A</v>
      </c>
    </row>
    <row r="114" spans="1:28" x14ac:dyDescent="0.3">
      <c r="A114" s="20">
        <f>'1. Mixture Model Inputs'!A114</f>
        <v>45216</v>
      </c>
      <c r="B114" s="13">
        <f>'[1]Passage Estimates'!$C114</f>
        <v>0</v>
      </c>
      <c r="C114" s="206"/>
      <c r="D114" s="206"/>
      <c r="E114" s="34" t="e">
        <f>IF(B114="Custom", Q114, IF(B114="Imputation", INDEX('[3]Alt Est Detailed Bin Table'!$B$10:$M$132, MATCH(A114, '[3]Alt Est Detailed Bin Table'!$A$10:$A$132), MATCH(P114, '[3]Alt Est Detailed Bin Table'!$B$9:$M$9,0)), INDEX('[3]Detailed Bin Table'!$B$9:$M$132,MATCH($A114,'[3]Detailed Bin Table'!$A$9:$A$132,0),MATCH($B114,'[3]Detailed Bin Table'!$B$9:$M$9,0)))*24)</f>
        <v>#N/A</v>
      </c>
      <c r="F114" s="34" t="e">
        <f>IF(B114="Custom", Q114, IF(B114="Imputation", INDEX('[3]Alt Est Detailed Bin Table'!$N$10:$Y$132, MATCH(A114, '[3]Alt Est Detailed Bin Table'!$A$10:$A$132), MATCH(P114, '[3]Alt Est Detailed Bin Table'!$N$9:$Y$9,0)), INDEX('[3]Detailed Bin Table'!$N$9:$Y$132,MATCH($A114,'[3]Detailed Bin Table'!$A$9:$A$132,0),MATCH($B114,'[3]Detailed Bin Table'!$N$9:$Y$9,0)))*24)</f>
        <v>#N/A</v>
      </c>
      <c r="G114" s="34" t="e">
        <f>IF(B114="Custom", Q114, IF(B114="Imputation", INDEX('[3]Alt Est Detailed Bin Table'!$Z$10:$AK$132, MATCH(A114, '[3]Alt Est Detailed Bin Table'!$A$10:$A$132), MATCH(P114, '[3]Alt Est Detailed Bin Table'!$Z$9:$AK$9,0)), INDEX('[3]Detailed Bin Table'!$Z$9:$AK$132,MATCH($A114,'[3]Detailed Bin Table'!$A$9:$A$132,0),MATCH($B114,'[3]Detailed Bin Table'!$Z$9:$AK$9,0)))*24)</f>
        <v>#N/A</v>
      </c>
      <c r="H114" s="34" t="e">
        <f>IF(B114="Custom", Q114, IF(B114="Imputation", INDEX('[3]Alt Est Detailed Bin Table'!$AL$10:$AW$132, MATCH(A114, '[3]Alt Est Detailed Bin Table'!$A$10:$A$132), MATCH(P114, '[3]Alt Est Detailed Bin Table'!$AL$9:$AW$9,0)), INDEX('[3]Detailed Bin Table'!$AL$9:$AW$132,MATCH($A114,'[3]Detailed Bin Table'!$A$9:$A$132,0),MATCH($B114,'[3]Detailed Bin Table'!$AL$9:$AW$9,0)))*24)</f>
        <v>#N/A</v>
      </c>
      <c r="I114" s="34" t="e">
        <f>IF(B114="Custom", Q114, IF(B114="Imputation", INDEX('[3]Alt Est Detailed Bin Table'!$AX$10:$BI$132, MATCH(A114, '[3]Alt Est Detailed Bin Table'!$A$10:$A$132), MATCH(P114, '[3]Alt Est Detailed Bin Table'!$AX$9:$BI$9,0)), INDEX('[3]Detailed Bin Table'!$AX$9:$BI$132,MATCH($A114,'[3]Detailed Bin Table'!$A$9:$A$132,0),MATCH($B114,'[3]Detailed Bin Table'!$AX$9:$BI$9,0)))*24)</f>
        <v>#N/A</v>
      </c>
      <c r="J114" s="222" t="e">
        <f>IF(B114="Custom", Q114, IF(B114="Imputation", INDEX('[3]Alt Est Detailed Bin Table'!$BJ$10:$BO$132, MATCH(A114, '[3]Alt Est Detailed Bin Table'!$A$10:$A$132), MATCH(P114, '[3]Alt Est Detailed Bin Table'!$BJ$9:$BO$9,0)), INDEX('[3]Detailed Bin Table'!$BJ$9:$BO$132,MATCH($A114,'[3]Detailed Bin Table'!$A$9:$A$132,0),MATCH($B114,'[3]Detailed Bin Table'!$BJ$9:$BO$9,0)))*24)</f>
        <v>#N/A</v>
      </c>
      <c r="K114" s="33" t="e">
        <f>IF(B114="Custom", Q114, IF(B114="Imputation", INDEX('[3]Alt Est Detailed Bin Table'!$BP$10:$CC$132, MATCH(A114, '[3]Alt Est Detailed Bin Table'!$A$10:$A$132), MATCH(P114, '[3]Alt Est Detailed Bin Table'!$BP$9:$CC$9,0)), INDEX('[3]Detailed Bin Table'!$BP$9:$CC$132,MATCH($A114,'[3]Detailed Bin Table'!$A$9:$A$132,0),MATCH($B114,'[3]Detailed Bin Table'!$BP$9:$CC$9,0)))*24)</f>
        <v>#N/A</v>
      </c>
      <c r="L114" s="223" t="e">
        <f>IF(B114="Custom", Q114, IF(B114="Imputation", INDEX('[3]Alt Est Detailed Bin Table'!$CD$10:$CK$132, MATCH(A114, '[3]Alt Est Detailed Bin Table'!$A$10:$A$132), MATCH(P114, '[3]Alt Est Detailed Bin Table'!$CD$9:$CK$9,0)), INDEX('[3]Detailed Bin Table'!$CD$9:$CK$132,MATCH($A114,'[3]Detailed Bin Table'!$A$9:$A$132,0),MATCH($B114,'[3]Detailed Bin Table'!$CD$9:$CK$9,0)))*24)</f>
        <v>#N/A</v>
      </c>
      <c r="M114" s="34" t="e">
        <f>IF(B114="Custom", Q114, IF(B114="Imputation", INDEX('[3]Alt Est Detailed Bin Table'!$CL$10:$CS$132, MATCH(A114, '[3]Alt Est Detailed Bin Table'!$A$10:$A$132), MATCH(P114, '[3]Alt Est Detailed Bin Table'!$CL$9:$CS$9,0)), INDEX('[3]Detailed Bin Table'!$CL$9:$CS$132,MATCH($A114,'[3]Detailed Bin Table'!$A$9:$A$132,0),MATCH($B114,'[3]Detailed Bin Table'!$CL$9:$CS$9,0)))*24)</f>
        <v>#N/A</v>
      </c>
      <c r="N114" s="34" t="e">
        <f>IF(B114="Custom", Q114, IF(B114="Imputation", INDEX('[3]Alt Est Detailed Bin Table'!$CT$10:$DA$132, MATCH(A114, '[3]Alt Est Detailed Bin Table'!$A$10:$A$132), MATCH(P114, '[3]Alt Est Detailed Bin Table'!$CT$9:$DA$9,0)), INDEX('[3]Detailed Bin Table'!$CT$9:$DA$132,MATCH($A114,'[3]Detailed Bin Table'!$A$9:$A$132,0),MATCH($B114,'[3]Detailed Bin Table'!$CT$9:$DA$9,0)))*24)</f>
        <v>#N/A</v>
      </c>
      <c r="O114" s="222" t="e">
        <f>IF(B114="Custom", Q114, IF(B114="Imputation", INDEX('[3]Alt Est Detailed Bin Table'!$DB$10:$DI$132, MATCH(A114, '[3]Alt Est Detailed Bin Table'!$A$10:$A$132), MATCH(P114, '[3]Alt Est Detailed Bin Table'!$DB$9:$DI$9,0)), INDEX('[3]Detailed Bin Table'!$DB$9:$DI$132,MATCH($A114,'[3]Detailed Bin Table'!$A$9:$A$132,0),MATCH($B114,'[3]Detailed Bin Table'!$DB$9:$DI$9,0)))*24)</f>
        <v>#N/A</v>
      </c>
      <c r="P114" s="215"/>
      <c r="Q114" s="62"/>
      <c r="R114" s="63"/>
      <c r="S114" s="63"/>
      <c r="T114" s="63"/>
      <c r="U114" s="63"/>
      <c r="V114" s="63"/>
      <c r="W114" s="64"/>
      <c r="X114" s="63"/>
      <c r="Y114" s="63"/>
      <c r="Z114" s="63"/>
      <c r="AA114" s="65"/>
      <c r="AB114" s="213" t="e">
        <f>IF(SUM(E114:O114)='[1]Passage Estimates'!$D114, "Ok", "Check")</f>
        <v>#N/A</v>
      </c>
    </row>
    <row r="115" spans="1:28" x14ac:dyDescent="0.3">
      <c r="A115" s="20">
        <f>'1. Mixture Model Inputs'!A115</f>
        <v>45217</v>
      </c>
      <c r="B115" s="13">
        <f>'[1]Passage Estimates'!$C115</f>
        <v>0</v>
      </c>
      <c r="C115" s="206"/>
      <c r="D115" s="206"/>
      <c r="E115" s="34" t="e">
        <f>IF(B115="Custom", Q115, IF(B115="Imputation", INDEX('[3]Alt Est Detailed Bin Table'!$B$10:$M$132, MATCH(A115, '[3]Alt Est Detailed Bin Table'!$A$10:$A$132), MATCH(P115, '[3]Alt Est Detailed Bin Table'!$B$9:$M$9,0)), INDEX('[3]Detailed Bin Table'!$B$9:$M$132,MATCH($A115,'[3]Detailed Bin Table'!$A$9:$A$132,0),MATCH($B115,'[3]Detailed Bin Table'!$B$9:$M$9,0)))*24)</f>
        <v>#N/A</v>
      </c>
      <c r="F115" s="34" t="e">
        <f>IF(B115="Custom", Q115, IF(B115="Imputation", INDEX('[3]Alt Est Detailed Bin Table'!$N$10:$Y$132, MATCH(A115, '[3]Alt Est Detailed Bin Table'!$A$10:$A$132), MATCH(P115, '[3]Alt Est Detailed Bin Table'!$N$9:$Y$9,0)), INDEX('[3]Detailed Bin Table'!$N$9:$Y$132,MATCH($A115,'[3]Detailed Bin Table'!$A$9:$A$132,0),MATCH($B115,'[3]Detailed Bin Table'!$N$9:$Y$9,0)))*24)</f>
        <v>#N/A</v>
      </c>
      <c r="G115" s="34" t="e">
        <f>IF(B115="Custom", Q115, IF(B115="Imputation", INDEX('[3]Alt Est Detailed Bin Table'!$Z$10:$AK$132, MATCH(A115, '[3]Alt Est Detailed Bin Table'!$A$10:$A$132), MATCH(P115, '[3]Alt Est Detailed Bin Table'!$Z$9:$AK$9,0)), INDEX('[3]Detailed Bin Table'!$Z$9:$AK$132,MATCH($A115,'[3]Detailed Bin Table'!$A$9:$A$132,0),MATCH($B115,'[3]Detailed Bin Table'!$Z$9:$AK$9,0)))*24)</f>
        <v>#N/A</v>
      </c>
      <c r="H115" s="34" t="e">
        <f>IF(B115="Custom", Q115, IF(B115="Imputation", INDEX('[3]Alt Est Detailed Bin Table'!$AL$10:$AW$132, MATCH(A115, '[3]Alt Est Detailed Bin Table'!$A$10:$A$132), MATCH(P115, '[3]Alt Est Detailed Bin Table'!$AL$9:$AW$9,0)), INDEX('[3]Detailed Bin Table'!$AL$9:$AW$132,MATCH($A115,'[3]Detailed Bin Table'!$A$9:$A$132,0),MATCH($B115,'[3]Detailed Bin Table'!$AL$9:$AW$9,0)))*24)</f>
        <v>#N/A</v>
      </c>
      <c r="I115" s="34" t="e">
        <f>IF(B115="Custom", Q115, IF(B115="Imputation", INDEX('[3]Alt Est Detailed Bin Table'!$AX$10:$BI$132, MATCH(A115, '[3]Alt Est Detailed Bin Table'!$A$10:$A$132), MATCH(P115, '[3]Alt Est Detailed Bin Table'!$AX$9:$BI$9,0)), INDEX('[3]Detailed Bin Table'!$AX$9:$BI$132,MATCH($A115,'[3]Detailed Bin Table'!$A$9:$A$132,0),MATCH($B115,'[3]Detailed Bin Table'!$AX$9:$BI$9,0)))*24)</f>
        <v>#N/A</v>
      </c>
      <c r="J115" s="222" t="e">
        <f>IF(B115="Custom", Q115, IF(B115="Imputation", INDEX('[3]Alt Est Detailed Bin Table'!$BJ$10:$BO$132, MATCH(A115, '[3]Alt Est Detailed Bin Table'!$A$10:$A$132), MATCH(P115, '[3]Alt Est Detailed Bin Table'!$BJ$9:$BO$9,0)), INDEX('[3]Detailed Bin Table'!$BJ$9:$BO$132,MATCH($A115,'[3]Detailed Bin Table'!$A$9:$A$132,0),MATCH($B115,'[3]Detailed Bin Table'!$BJ$9:$BO$9,0)))*24)</f>
        <v>#N/A</v>
      </c>
      <c r="K115" s="33" t="e">
        <f>IF(B115="Custom", Q115, IF(B115="Imputation", INDEX('[3]Alt Est Detailed Bin Table'!$BP$10:$CC$132, MATCH(A115, '[3]Alt Est Detailed Bin Table'!$A$10:$A$132), MATCH(P115, '[3]Alt Est Detailed Bin Table'!$BP$9:$CC$9,0)), INDEX('[3]Detailed Bin Table'!$BP$9:$CC$132,MATCH($A115,'[3]Detailed Bin Table'!$A$9:$A$132,0),MATCH($B115,'[3]Detailed Bin Table'!$BP$9:$CC$9,0)))*24)</f>
        <v>#N/A</v>
      </c>
      <c r="L115" s="223" t="e">
        <f>IF(B115="Custom", Q115, IF(B115="Imputation", INDEX('[3]Alt Est Detailed Bin Table'!$CD$10:$CK$132, MATCH(A115, '[3]Alt Est Detailed Bin Table'!$A$10:$A$132), MATCH(P115, '[3]Alt Est Detailed Bin Table'!$CD$9:$CK$9,0)), INDEX('[3]Detailed Bin Table'!$CD$9:$CK$132,MATCH($A115,'[3]Detailed Bin Table'!$A$9:$A$132,0),MATCH($B115,'[3]Detailed Bin Table'!$CD$9:$CK$9,0)))*24)</f>
        <v>#N/A</v>
      </c>
      <c r="M115" s="34" t="e">
        <f>IF(B115="Custom", Q115, IF(B115="Imputation", INDEX('[3]Alt Est Detailed Bin Table'!$CL$10:$CS$132, MATCH(A115, '[3]Alt Est Detailed Bin Table'!$A$10:$A$132), MATCH(P115, '[3]Alt Est Detailed Bin Table'!$CL$9:$CS$9,0)), INDEX('[3]Detailed Bin Table'!$CL$9:$CS$132,MATCH($A115,'[3]Detailed Bin Table'!$A$9:$A$132,0),MATCH($B115,'[3]Detailed Bin Table'!$CL$9:$CS$9,0)))*24)</f>
        <v>#N/A</v>
      </c>
      <c r="N115" s="34" t="e">
        <f>IF(B115="Custom", Q115, IF(B115="Imputation", INDEX('[3]Alt Est Detailed Bin Table'!$CT$10:$DA$132, MATCH(A115, '[3]Alt Est Detailed Bin Table'!$A$10:$A$132), MATCH(P115, '[3]Alt Est Detailed Bin Table'!$CT$9:$DA$9,0)), INDEX('[3]Detailed Bin Table'!$CT$9:$DA$132,MATCH($A115,'[3]Detailed Bin Table'!$A$9:$A$132,0),MATCH($B115,'[3]Detailed Bin Table'!$CT$9:$DA$9,0)))*24)</f>
        <v>#N/A</v>
      </c>
      <c r="O115" s="222" t="e">
        <f>IF(B115="Custom", Q115, IF(B115="Imputation", INDEX('[3]Alt Est Detailed Bin Table'!$DB$10:$DI$132, MATCH(A115, '[3]Alt Est Detailed Bin Table'!$A$10:$A$132), MATCH(P115, '[3]Alt Est Detailed Bin Table'!$DB$9:$DI$9,0)), INDEX('[3]Detailed Bin Table'!$DB$9:$DI$132,MATCH($A115,'[3]Detailed Bin Table'!$A$9:$A$132,0),MATCH($B115,'[3]Detailed Bin Table'!$DB$9:$DI$9,0)))*24)</f>
        <v>#N/A</v>
      </c>
      <c r="P115" s="215"/>
      <c r="Q115" s="62"/>
      <c r="R115" s="63"/>
      <c r="S115" s="63"/>
      <c r="T115" s="63"/>
      <c r="U115" s="63"/>
      <c r="V115" s="63"/>
      <c r="W115" s="64"/>
      <c r="X115" s="63"/>
      <c r="Y115" s="63"/>
      <c r="Z115" s="63"/>
      <c r="AA115" s="65"/>
      <c r="AB115" s="213" t="e">
        <f>IF(SUM(E115:O115)='[1]Passage Estimates'!$D115, "Ok", "Check")</f>
        <v>#N/A</v>
      </c>
    </row>
    <row r="116" spans="1:28" x14ac:dyDescent="0.3">
      <c r="A116" s="20">
        <f>'1. Mixture Model Inputs'!A116</f>
        <v>45218</v>
      </c>
      <c r="B116" s="13">
        <f>'[1]Passage Estimates'!$C116</f>
        <v>0</v>
      </c>
      <c r="C116" s="206"/>
      <c r="D116" s="206"/>
      <c r="E116" s="34" t="e">
        <f>IF(B116="Custom", Q116, IF(B116="Imputation", INDEX('[3]Alt Est Detailed Bin Table'!$B$10:$M$132, MATCH(A116, '[3]Alt Est Detailed Bin Table'!$A$10:$A$132), MATCH(P116, '[3]Alt Est Detailed Bin Table'!$B$9:$M$9,0)), INDEX('[3]Detailed Bin Table'!$B$9:$M$132,MATCH($A116,'[3]Detailed Bin Table'!$A$9:$A$132,0),MATCH($B116,'[3]Detailed Bin Table'!$B$9:$M$9,0)))*24)</f>
        <v>#N/A</v>
      </c>
      <c r="F116" s="34" t="e">
        <f>IF(B116="Custom", Q116, IF(B116="Imputation", INDEX('[3]Alt Est Detailed Bin Table'!$N$10:$Y$132, MATCH(A116, '[3]Alt Est Detailed Bin Table'!$A$10:$A$132), MATCH(P116, '[3]Alt Est Detailed Bin Table'!$N$9:$Y$9,0)), INDEX('[3]Detailed Bin Table'!$N$9:$Y$132,MATCH($A116,'[3]Detailed Bin Table'!$A$9:$A$132,0),MATCH($B116,'[3]Detailed Bin Table'!$N$9:$Y$9,0)))*24)</f>
        <v>#N/A</v>
      </c>
      <c r="G116" s="34" t="e">
        <f>IF(B116="Custom", Q116, IF(B116="Imputation", INDEX('[3]Alt Est Detailed Bin Table'!$Z$10:$AK$132, MATCH(A116, '[3]Alt Est Detailed Bin Table'!$A$10:$A$132), MATCH(P116, '[3]Alt Est Detailed Bin Table'!$Z$9:$AK$9,0)), INDEX('[3]Detailed Bin Table'!$Z$9:$AK$132,MATCH($A116,'[3]Detailed Bin Table'!$A$9:$A$132,0),MATCH($B116,'[3]Detailed Bin Table'!$Z$9:$AK$9,0)))*24)</f>
        <v>#N/A</v>
      </c>
      <c r="H116" s="34" t="e">
        <f>IF(B116="Custom", Q116, IF(B116="Imputation", INDEX('[3]Alt Est Detailed Bin Table'!$AL$10:$AW$132, MATCH(A116, '[3]Alt Est Detailed Bin Table'!$A$10:$A$132), MATCH(P116, '[3]Alt Est Detailed Bin Table'!$AL$9:$AW$9,0)), INDEX('[3]Detailed Bin Table'!$AL$9:$AW$132,MATCH($A116,'[3]Detailed Bin Table'!$A$9:$A$132,0),MATCH($B116,'[3]Detailed Bin Table'!$AL$9:$AW$9,0)))*24)</f>
        <v>#N/A</v>
      </c>
      <c r="I116" s="34" t="e">
        <f>IF(B116="Custom", Q116, IF(B116="Imputation", INDEX('[3]Alt Est Detailed Bin Table'!$AX$10:$BI$132, MATCH(A116, '[3]Alt Est Detailed Bin Table'!$A$10:$A$132), MATCH(P116, '[3]Alt Est Detailed Bin Table'!$AX$9:$BI$9,0)), INDEX('[3]Detailed Bin Table'!$AX$9:$BI$132,MATCH($A116,'[3]Detailed Bin Table'!$A$9:$A$132,0),MATCH($B116,'[3]Detailed Bin Table'!$AX$9:$BI$9,0)))*24)</f>
        <v>#N/A</v>
      </c>
      <c r="J116" s="222" t="e">
        <f>IF(B116="Custom", Q116, IF(B116="Imputation", INDEX('[3]Alt Est Detailed Bin Table'!$BJ$10:$BO$132, MATCH(A116, '[3]Alt Est Detailed Bin Table'!$A$10:$A$132), MATCH(P116, '[3]Alt Est Detailed Bin Table'!$BJ$9:$BO$9,0)), INDEX('[3]Detailed Bin Table'!$BJ$9:$BO$132,MATCH($A116,'[3]Detailed Bin Table'!$A$9:$A$132,0),MATCH($B116,'[3]Detailed Bin Table'!$BJ$9:$BO$9,0)))*24)</f>
        <v>#N/A</v>
      </c>
      <c r="K116" s="33" t="e">
        <f>IF(B116="Custom", Q116, IF(B116="Imputation", INDEX('[3]Alt Est Detailed Bin Table'!$BP$10:$CC$132, MATCH(A116, '[3]Alt Est Detailed Bin Table'!$A$10:$A$132), MATCH(P116, '[3]Alt Est Detailed Bin Table'!$BP$9:$CC$9,0)), INDEX('[3]Detailed Bin Table'!$BP$9:$CC$132,MATCH($A116,'[3]Detailed Bin Table'!$A$9:$A$132,0),MATCH($B116,'[3]Detailed Bin Table'!$BP$9:$CC$9,0)))*24)</f>
        <v>#N/A</v>
      </c>
      <c r="L116" s="223" t="e">
        <f>IF(B116="Custom", Q116, IF(B116="Imputation", INDEX('[3]Alt Est Detailed Bin Table'!$CD$10:$CK$132, MATCH(A116, '[3]Alt Est Detailed Bin Table'!$A$10:$A$132), MATCH(P116, '[3]Alt Est Detailed Bin Table'!$CD$9:$CK$9,0)), INDEX('[3]Detailed Bin Table'!$CD$9:$CK$132,MATCH($A116,'[3]Detailed Bin Table'!$A$9:$A$132,0),MATCH($B116,'[3]Detailed Bin Table'!$CD$9:$CK$9,0)))*24)</f>
        <v>#N/A</v>
      </c>
      <c r="M116" s="34" t="e">
        <f>IF(B116="Custom", Q116, IF(B116="Imputation", INDEX('[3]Alt Est Detailed Bin Table'!$CL$10:$CS$132, MATCH(A116, '[3]Alt Est Detailed Bin Table'!$A$10:$A$132), MATCH(P116, '[3]Alt Est Detailed Bin Table'!$CL$9:$CS$9,0)), INDEX('[3]Detailed Bin Table'!$CL$9:$CS$132,MATCH($A116,'[3]Detailed Bin Table'!$A$9:$A$132,0),MATCH($B116,'[3]Detailed Bin Table'!$CL$9:$CS$9,0)))*24)</f>
        <v>#N/A</v>
      </c>
      <c r="N116" s="34" t="e">
        <f>IF(B116="Custom", Q116, IF(B116="Imputation", INDEX('[3]Alt Est Detailed Bin Table'!$CT$10:$DA$132, MATCH(A116, '[3]Alt Est Detailed Bin Table'!$A$10:$A$132), MATCH(P116, '[3]Alt Est Detailed Bin Table'!$CT$9:$DA$9,0)), INDEX('[3]Detailed Bin Table'!$CT$9:$DA$132,MATCH($A116,'[3]Detailed Bin Table'!$A$9:$A$132,0),MATCH($B116,'[3]Detailed Bin Table'!$CT$9:$DA$9,0)))*24)</f>
        <v>#N/A</v>
      </c>
      <c r="O116" s="222" t="e">
        <f>IF(B116="Custom", Q116, IF(B116="Imputation", INDEX('[3]Alt Est Detailed Bin Table'!$DB$10:$DI$132, MATCH(A116, '[3]Alt Est Detailed Bin Table'!$A$10:$A$132), MATCH(P116, '[3]Alt Est Detailed Bin Table'!$DB$9:$DI$9,0)), INDEX('[3]Detailed Bin Table'!$DB$9:$DI$132,MATCH($A116,'[3]Detailed Bin Table'!$A$9:$A$132,0),MATCH($B116,'[3]Detailed Bin Table'!$DB$9:$DI$9,0)))*24)</f>
        <v>#N/A</v>
      </c>
      <c r="P116" s="215"/>
      <c r="Q116" s="62"/>
      <c r="R116" s="63"/>
      <c r="S116" s="63"/>
      <c r="T116" s="63"/>
      <c r="U116" s="63"/>
      <c r="V116" s="63"/>
      <c r="W116" s="64"/>
      <c r="X116" s="63"/>
      <c r="Y116" s="63"/>
      <c r="Z116" s="63"/>
      <c r="AA116" s="65"/>
      <c r="AB116" s="213" t="e">
        <f>IF(SUM(E116:O116)='[1]Passage Estimates'!$D116, "Ok", "Check")</f>
        <v>#N/A</v>
      </c>
    </row>
    <row r="117" spans="1:28" x14ac:dyDescent="0.3">
      <c r="A117" s="20">
        <f>'1. Mixture Model Inputs'!A117</f>
        <v>45219</v>
      </c>
      <c r="B117" s="13">
        <f>'[1]Passage Estimates'!$C117</f>
        <v>0</v>
      </c>
      <c r="C117" s="206"/>
      <c r="D117" s="206"/>
      <c r="E117" s="34" t="e">
        <f>IF(B117="Custom", Q117, IF(B117="Imputation", INDEX('[3]Alt Est Detailed Bin Table'!$B$10:$M$132, MATCH(A117, '[3]Alt Est Detailed Bin Table'!$A$10:$A$132), MATCH(P117, '[3]Alt Est Detailed Bin Table'!$B$9:$M$9,0)), INDEX('[3]Detailed Bin Table'!$B$9:$M$132,MATCH($A117,'[3]Detailed Bin Table'!$A$9:$A$132,0),MATCH($B117,'[3]Detailed Bin Table'!$B$9:$M$9,0)))*24)</f>
        <v>#N/A</v>
      </c>
      <c r="F117" s="34" t="e">
        <f>IF(B117="Custom", Q117, IF(B117="Imputation", INDEX('[3]Alt Est Detailed Bin Table'!$N$10:$Y$132, MATCH(A117, '[3]Alt Est Detailed Bin Table'!$A$10:$A$132), MATCH(P117, '[3]Alt Est Detailed Bin Table'!$N$9:$Y$9,0)), INDEX('[3]Detailed Bin Table'!$N$9:$Y$132,MATCH($A117,'[3]Detailed Bin Table'!$A$9:$A$132,0),MATCH($B117,'[3]Detailed Bin Table'!$N$9:$Y$9,0)))*24)</f>
        <v>#N/A</v>
      </c>
      <c r="G117" s="34" t="e">
        <f>IF(B117="Custom", Q117, IF(B117="Imputation", INDEX('[3]Alt Est Detailed Bin Table'!$Z$10:$AK$132, MATCH(A117, '[3]Alt Est Detailed Bin Table'!$A$10:$A$132), MATCH(P117, '[3]Alt Est Detailed Bin Table'!$Z$9:$AK$9,0)), INDEX('[3]Detailed Bin Table'!$Z$9:$AK$132,MATCH($A117,'[3]Detailed Bin Table'!$A$9:$A$132,0),MATCH($B117,'[3]Detailed Bin Table'!$Z$9:$AK$9,0)))*24)</f>
        <v>#N/A</v>
      </c>
      <c r="H117" s="34" t="e">
        <f>IF(B117="Custom", Q117, IF(B117="Imputation", INDEX('[3]Alt Est Detailed Bin Table'!$AL$10:$AW$132, MATCH(A117, '[3]Alt Est Detailed Bin Table'!$A$10:$A$132), MATCH(P117, '[3]Alt Est Detailed Bin Table'!$AL$9:$AW$9,0)), INDEX('[3]Detailed Bin Table'!$AL$9:$AW$132,MATCH($A117,'[3]Detailed Bin Table'!$A$9:$A$132,0),MATCH($B117,'[3]Detailed Bin Table'!$AL$9:$AW$9,0)))*24)</f>
        <v>#N/A</v>
      </c>
      <c r="I117" s="34" t="e">
        <f>IF(B117="Custom", Q117, IF(B117="Imputation", INDEX('[3]Alt Est Detailed Bin Table'!$AX$10:$BI$132, MATCH(A117, '[3]Alt Est Detailed Bin Table'!$A$10:$A$132), MATCH(P117, '[3]Alt Est Detailed Bin Table'!$AX$9:$BI$9,0)), INDEX('[3]Detailed Bin Table'!$AX$9:$BI$132,MATCH($A117,'[3]Detailed Bin Table'!$A$9:$A$132,0),MATCH($B117,'[3]Detailed Bin Table'!$AX$9:$BI$9,0)))*24)</f>
        <v>#N/A</v>
      </c>
      <c r="J117" s="222" t="e">
        <f>IF(B117="Custom", Q117, IF(B117="Imputation", INDEX('[3]Alt Est Detailed Bin Table'!$BJ$10:$BO$132, MATCH(A117, '[3]Alt Est Detailed Bin Table'!$A$10:$A$132), MATCH(P117, '[3]Alt Est Detailed Bin Table'!$BJ$9:$BO$9,0)), INDEX('[3]Detailed Bin Table'!$BJ$9:$BO$132,MATCH($A117,'[3]Detailed Bin Table'!$A$9:$A$132,0),MATCH($B117,'[3]Detailed Bin Table'!$BJ$9:$BO$9,0)))*24)</f>
        <v>#N/A</v>
      </c>
      <c r="K117" s="33" t="e">
        <f>IF(B117="Custom", Q117, IF(B117="Imputation", INDEX('[3]Alt Est Detailed Bin Table'!$BP$10:$CC$132, MATCH(A117, '[3]Alt Est Detailed Bin Table'!$A$10:$A$132), MATCH(P117, '[3]Alt Est Detailed Bin Table'!$BP$9:$CC$9,0)), INDEX('[3]Detailed Bin Table'!$BP$9:$CC$132,MATCH($A117,'[3]Detailed Bin Table'!$A$9:$A$132,0),MATCH($B117,'[3]Detailed Bin Table'!$BP$9:$CC$9,0)))*24)</f>
        <v>#N/A</v>
      </c>
      <c r="L117" s="223" t="e">
        <f>IF(B117="Custom", Q117, IF(B117="Imputation", INDEX('[3]Alt Est Detailed Bin Table'!$CD$10:$CK$132, MATCH(A117, '[3]Alt Est Detailed Bin Table'!$A$10:$A$132), MATCH(P117, '[3]Alt Est Detailed Bin Table'!$CD$9:$CK$9,0)), INDEX('[3]Detailed Bin Table'!$CD$9:$CK$132,MATCH($A117,'[3]Detailed Bin Table'!$A$9:$A$132,0),MATCH($B117,'[3]Detailed Bin Table'!$CD$9:$CK$9,0)))*24)</f>
        <v>#N/A</v>
      </c>
      <c r="M117" s="34" t="e">
        <f>IF(B117="Custom", Q117, IF(B117="Imputation", INDEX('[3]Alt Est Detailed Bin Table'!$CL$10:$CS$132, MATCH(A117, '[3]Alt Est Detailed Bin Table'!$A$10:$A$132), MATCH(P117, '[3]Alt Est Detailed Bin Table'!$CL$9:$CS$9,0)), INDEX('[3]Detailed Bin Table'!$CL$9:$CS$132,MATCH($A117,'[3]Detailed Bin Table'!$A$9:$A$132,0),MATCH($B117,'[3]Detailed Bin Table'!$CL$9:$CS$9,0)))*24)</f>
        <v>#N/A</v>
      </c>
      <c r="N117" s="34" t="e">
        <f>IF(B117="Custom", Q117, IF(B117="Imputation", INDEX('[3]Alt Est Detailed Bin Table'!$CT$10:$DA$132, MATCH(A117, '[3]Alt Est Detailed Bin Table'!$A$10:$A$132), MATCH(P117, '[3]Alt Est Detailed Bin Table'!$CT$9:$DA$9,0)), INDEX('[3]Detailed Bin Table'!$CT$9:$DA$132,MATCH($A117,'[3]Detailed Bin Table'!$A$9:$A$132,0),MATCH($B117,'[3]Detailed Bin Table'!$CT$9:$DA$9,0)))*24)</f>
        <v>#N/A</v>
      </c>
      <c r="O117" s="222" t="e">
        <f>IF(B117="Custom", Q117, IF(B117="Imputation", INDEX('[3]Alt Est Detailed Bin Table'!$DB$10:$DI$132, MATCH(A117, '[3]Alt Est Detailed Bin Table'!$A$10:$A$132), MATCH(P117, '[3]Alt Est Detailed Bin Table'!$DB$9:$DI$9,0)), INDEX('[3]Detailed Bin Table'!$DB$9:$DI$132,MATCH($A117,'[3]Detailed Bin Table'!$A$9:$A$132,0),MATCH($B117,'[3]Detailed Bin Table'!$DB$9:$DI$9,0)))*24)</f>
        <v>#N/A</v>
      </c>
      <c r="P117" s="215"/>
      <c r="Q117" s="62"/>
      <c r="R117" s="63"/>
      <c r="S117" s="63"/>
      <c r="T117" s="63"/>
      <c r="U117" s="63"/>
      <c r="V117" s="63"/>
      <c r="W117" s="64"/>
      <c r="X117" s="63"/>
      <c r="Y117" s="63"/>
      <c r="Z117" s="63"/>
      <c r="AA117" s="65"/>
      <c r="AB117" s="213" t="e">
        <f>IF(SUM(E117:O117)='[1]Passage Estimates'!$D117, "Ok", "Check")</f>
        <v>#N/A</v>
      </c>
    </row>
    <row r="118" spans="1:28" x14ac:dyDescent="0.3">
      <c r="A118" s="20">
        <f>'1. Mixture Model Inputs'!A118</f>
        <v>45220</v>
      </c>
      <c r="B118" s="13">
        <f>'[1]Passage Estimates'!$C118</f>
        <v>0</v>
      </c>
      <c r="C118" s="206"/>
      <c r="D118" s="206"/>
      <c r="E118" s="34" t="e">
        <f>IF(B118="Custom", Q118, IF(B118="Imputation", INDEX('[3]Alt Est Detailed Bin Table'!$B$10:$M$132, MATCH(A118, '[3]Alt Est Detailed Bin Table'!$A$10:$A$132), MATCH(P118, '[3]Alt Est Detailed Bin Table'!$B$9:$M$9,0)), INDEX('[3]Detailed Bin Table'!$B$9:$M$132,MATCH($A118,'[3]Detailed Bin Table'!$A$9:$A$132,0),MATCH($B118,'[3]Detailed Bin Table'!$B$9:$M$9,0)))*24)</f>
        <v>#N/A</v>
      </c>
      <c r="F118" s="34" t="e">
        <f>IF(B118="Custom", Q118, IF(B118="Imputation", INDEX('[3]Alt Est Detailed Bin Table'!$N$10:$Y$132, MATCH(A118, '[3]Alt Est Detailed Bin Table'!$A$10:$A$132), MATCH(P118, '[3]Alt Est Detailed Bin Table'!$N$9:$Y$9,0)), INDEX('[3]Detailed Bin Table'!$N$9:$Y$132,MATCH($A118,'[3]Detailed Bin Table'!$A$9:$A$132,0),MATCH($B118,'[3]Detailed Bin Table'!$N$9:$Y$9,0)))*24)</f>
        <v>#N/A</v>
      </c>
      <c r="G118" s="34" t="e">
        <f>IF(B118="Custom", Q118, IF(B118="Imputation", INDEX('[3]Alt Est Detailed Bin Table'!$Z$10:$AK$132, MATCH(A118, '[3]Alt Est Detailed Bin Table'!$A$10:$A$132), MATCH(P118, '[3]Alt Est Detailed Bin Table'!$Z$9:$AK$9,0)), INDEX('[3]Detailed Bin Table'!$Z$9:$AK$132,MATCH($A118,'[3]Detailed Bin Table'!$A$9:$A$132,0),MATCH($B118,'[3]Detailed Bin Table'!$Z$9:$AK$9,0)))*24)</f>
        <v>#N/A</v>
      </c>
      <c r="H118" s="34" t="e">
        <f>IF(B118="Custom", Q118, IF(B118="Imputation", INDEX('[3]Alt Est Detailed Bin Table'!$AL$10:$AW$132, MATCH(A118, '[3]Alt Est Detailed Bin Table'!$A$10:$A$132), MATCH(P118, '[3]Alt Est Detailed Bin Table'!$AL$9:$AW$9,0)), INDEX('[3]Detailed Bin Table'!$AL$9:$AW$132,MATCH($A118,'[3]Detailed Bin Table'!$A$9:$A$132,0),MATCH($B118,'[3]Detailed Bin Table'!$AL$9:$AW$9,0)))*24)</f>
        <v>#N/A</v>
      </c>
      <c r="I118" s="34" t="e">
        <f>IF(B118="Custom", Q118, IF(B118="Imputation", INDEX('[3]Alt Est Detailed Bin Table'!$AX$10:$BI$132, MATCH(A118, '[3]Alt Est Detailed Bin Table'!$A$10:$A$132), MATCH(P118, '[3]Alt Est Detailed Bin Table'!$AX$9:$BI$9,0)), INDEX('[3]Detailed Bin Table'!$AX$9:$BI$132,MATCH($A118,'[3]Detailed Bin Table'!$A$9:$A$132,0),MATCH($B118,'[3]Detailed Bin Table'!$AX$9:$BI$9,0)))*24)</f>
        <v>#N/A</v>
      </c>
      <c r="J118" s="222" t="e">
        <f>IF(B118="Custom", Q118, IF(B118="Imputation", INDEX('[3]Alt Est Detailed Bin Table'!$BJ$10:$BO$132, MATCH(A118, '[3]Alt Est Detailed Bin Table'!$A$10:$A$132), MATCH(P118, '[3]Alt Est Detailed Bin Table'!$BJ$9:$BO$9,0)), INDEX('[3]Detailed Bin Table'!$BJ$9:$BO$132,MATCH($A118,'[3]Detailed Bin Table'!$A$9:$A$132,0),MATCH($B118,'[3]Detailed Bin Table'!$BJ$9:$BO$9,0)))*24)</f>
        <v>#N/A</v>
      </c>
      <c r="K118" s="33" t="e">
        <f>IF(B118="Custom", Q118, IF(B118="Imputation", INDEX('[3]Alt Est Detailed Bin Table'!$BP$10:$CC$132, MATCH(A118, '[3]Alt Est Detailed Bin Table'!$A$10:$A$132), MATCH(P118, '[3]Alt Est Detailed Bin Table'!$BP$9:$CC$9,0)), INDEX('[3]Detailed Bin Table'!$BP$9:$CC$132,MATCH($A118,'[3]Detailed Bin Table'!$A$9:$A$132,0),MATCH($B118,'[3]Detailed Bin Table'!$BP$9:$CC$9,0)))*24)</f>
        <v>#N/A</v>
      </c>
      <c r="L118" s="223" t="e">
        <f>IF(B118="Custom", Q118, IF(B118="Imputation", INDEX('[3]Alt Est Detailed Bin Table'!$CD$10:$CK$132, MATCH(A118, '[3]Alt Est Detailed Bin Table'!$A$10:$A$132), MATCH(P118, '[3]Alt Est Detailed Bin Table'!$CD$9:$CK$9,0)), INDEX('[3]Detailed Bin Table'!$CD$9:$CK$132,MATCH($A118,'[3]Detailed Bin Table'!$A$9:$A$132,0),MATCH($B118,'[3]Detailed Bin Table'!$CD$9:$CK$9,0)))*24)</f>
        <v>#N/A</v>
      </c>
      <c r="M118" s="34" t="e">
        <f>IF(B118="Custom", Q118, IF(B118="Imputation", INDEX('[3]Alt Est Detailed Bin Table'!$CL$10:$CS$132, MATCH(A118, '[3]Alt Est Detailed Bin Table'!$A$10:$A$132), MATCH(P118, '[3]Alt Est Detailed Bin Table'!$CL$9:$CS$9,0)), INDEX('[3]Detailed Bin Table'!$CL$9:$CS$132,MATCH($A118,'[3]Detailed Bin Table'!$A$9:$A$132,0),MATCH($B118,'[3]Detailed Bin Table'!$CL$9:$CS$9,0)))*24)</f>
        <v>#N/A</v>
      </c>
      <c r="N118" s="34" t="e">
        <f>IF(B118="Custom", Q118, IF(B118="Imputation", INDEX('[3]Alt Est Detailed Bin Table'!$CT$10:$DA$132, MATCH(A118, '[3]Alt Est Detailed Bin Table'!$A$10:$A$132), MATCH(P118, '[3]Alt Est Detailed Bin Table'!$CT$9:$DA$9,0)), INDEX('[3]Detailed Bin Table'!$CT$9:$DA$132,MATCH($A118,'[3]Detailed Bin Table'!$A$9:$A$132,0),MATCH($B118,'[3]Detailed Bin Table'!$CT$9:$DA$9,0)))*24)</f>
        <v>#N/A</v>
      </c>
      <c r="O118" s="222" t="e">
        <f>IF(B118="Custom", Q118, IF(B118="Imputation", INDEX('[3]Alt Est Detailed Bin Table'!$DB$10:$DI$132, MATCH(A118, '[3]Alt Est Detailed Bin Table'!$A$10:$A$132), MATCH(P118, '[3]Alt Est Detailed Bin Table'!$DB$9:$DI$9,0)), INDEX('[3]Detailed Bin Table'!$DB$9:$DI$132,MATCH($A118,'[3]Detailed Bin Table'!$A$9:$A$132,0),MATCH($B118,'[3]Detailed Bin Table'!$DB$9:$DI$9,0)))*24)</f>
        <v>#N/A</v>
      </c>
      <c r="P118" s="215"/>
      <c r="Q118" s="62"/>
      <c r="R118" s="63"/>
      <c r="S118" s="63"/>
      <c r="T118" s="63"/>
      <c r="U118" s="63"/>
      <c r="V118" s="63"/>
      <c r="W118" s="64"/>
      <c r="X118" s="63"/>
      <c r="Y118" s="63"/>
      <c r="Z118" s="63"/>
      <c r="AA118" s="65"/>
      <c r="AB118" s="213" t="e">
        <f>IF(SUM(E118:O118)='[1]Passage Estimates'!$D118, "Ok", "Check")</f>
        <v>#N/A</v>
      </c>
    </row>
    <row r="119" spans="1:28" x14ac:dyDescent="0.3">
      <c r="A119" s="20">
        <f>'1. Mixture Model Inputs'!A119</f>
        <v>45221</v>
      </c>
      <c r="B119" s="13">
        <f>'[1]Passage Estimates'!$C119</f>
        <v>0</v>
      </c>
      <c r="C119" s="206"/>
      <c r="D119" s="206"/>
      <c r="E119" s="34" t="e">
        <f>IF(B119="Custom", Q119, IF(B119="Imputation", INDEX('[3]Alt Est Detailed Bin Table'!$B$10:$M$132, MATCH(A119, '[3]Alt Est Detailed Bin Table'!$A$10:$A$132), MATCH(P119, '[3]Alt Est Detailed Bin Table'!$B$9:$M$9,0)), INDEX('[3]Detailed Bin Table'!$B$9:$M$132,MATCH($A119,'[3]Detailed Bin Table'!$A$9:$A$132,0),MATCH($B119,'[3]Detailed Bin Table'!$B$9:$M$9,0)))*24)</f>
        <v>#N/A</v>
      </c>
      <c r="F119" s="34" t="e">
        <f>IF(B119="Custom", Q119, IF(B119="Imputation", INDEX('[3]Alt Est Detailed Bin Table'!$N$10:$Y$132, MATCH(A119, '[3]Alt Est Detailed Bin Table'!$A$10:$A$132), MATCH(P119, '[3]Alt Est Detailed Bin Table'!$N$9:$Y$9,0)), INDEX('[3]Detailed Bin Table'!$N$9:$Y$132,MATCH($A119,'[3]Detailed Bin Table'!$A$9:$A$132,0),MATCH($B119,'[3]Detailed Bin Table'!$N$9:$Y$9,0)))*24)</f>
        <v>#N/A</v>
      </c>
      <c r="G119" s="34" t="e">
        <f>IF(B119="Custom", Q119, IF(B119="Imputation", INDEX('[3]Alt Est Detailed Bin Table'!$Z$10:$AK$132, MATCH(A119, '[3]Alt Est Detailed Bin Table'!$A$10:$A$132), MATCH(P119, '[3]Alt Est Detailed Bin Table'!$Z$9:$AK$9,0)), INDEX('[3]Detailed Bin Table'!$Z$9:$AK$132,MATCH($A119,'[3]Detailed Bin Table'!$A$9:$A$132,0),MATCH($B119,'[3]Detailed Bin Table'!$Z$9:$AK$9,0)))*24)</f>
        <v>#N/A</v>
      </c>
      <c r="H119" s="34" t="e">
        <f>IF(B119="Custom", Q119, IF(B119="Imputation", INDEX('[3]Alt Est Detailed Bin Table'!$AL$10:$AW$132, MATCH(A119, '[3]Alt Est Detailed Bin Table'!$A$10:$A$132), MATCH(P119, '[3]Alt Est Detailed Bin Table'!$AL$9:$AW$9,0)), INDEX('[3]Detailed Bin Table'!$AL$9:$AW$132,MATCH($A119,'[3]Detailed Bin Table'!$A$9:$A$132,0),MATCH($B119,'[3]Detailed Bin Table'!$AL$9:$AW$9,0)))*24)</f>
        <v>#N/A</v>
      </c>
      <c r="I119" s="34" t="e">
        <f>IF(B119="Custom", Q119, IF(B119="Imputation", INDEX('[3]Alt Est Detailed Bin Table'!$AX$10:$BI$132, MATCH(A119, '[3]Alt Est Detailed Bin Table'!$A$10:$A$132), MATCH(P119, '[3]Alt Est Detailed Bin Table'!$AX$9:$BI$9,0)), INDEX('[3]Detailed Bin Table'!$AX$9:$BI$132,MATCH($A119,'[3]Detailed Bin Table'!$A$9:$A$132,0),MATCH($B119,'[3]Detailed Bin Table'!$AX$9:$BI$9,0)))*24)</f>
        <v>#N/A</v>
      </c>
      <c r="J119" s="222" t="e">
        <f>IF(B119="Custom", Q119, IF(B119="Imputation", INDEX('[3]Alt Est Detailed Bin Table'!$BJ$10:$BO$132, MATCH(A119, '[3]Alt Est Detailed Bin Table'!$A$10:$A$132), MATCH(P119, '[3]Alt Est Detailed Bin Table'!$BJ$9:$BO$9,0)), INDEX('[3]Detailed Bin Table'!$BJ$9:$BO$132,MATCH($A119,'[3]Detailed Bin Table'!$A$9:$A$132,0),MATCH($B119,'[3]Detailed Bin Table'!$BJ$9:$BO$9,0)))*24)</f>
        <v>#N/A</v>
      </c>
      <c r="K119" s="33" t="e">
        <f>IF(B119="Custom", Q119, IF(B119="Imputation", INDEX('[3]Alt Est Detailed Bin Table'!$BP$10:$CC$132, MATCH(A119, '[3]Alt Est Detailed Bin Table'!$A$10:$A$132), MATCH(P119, '[3]Alt Est Detailed Bin Table'!$BP$9:$CC$9,0)), INDEX('[3]Detailed Bin Table'!$BP$9:$CC$132,MATCH($A119,'[3]Detailed Bin Table'!$A$9:$A$132,0),MATCH($B119,'[3]Detailed Bin Table'!$BP$9:$CC$9,0)))*24)</f>
        <v>#N/A</v>
      </c>
      <c r="L119" s="223" t="e">
        <f>IF(B119="Custom", Q119, IF(B119="Imputation", INDEX('[3]Alt Est Detailed Bin Table'!$CD$10:$CK$132, MATCH(A119, '[3]Alt Est Detailed Bin Table'!$A$10:$A$132), MATCH(P119, '[3]Alt Est Detailed Bin Table'!$CD$9:$CK$9,0)), INDEX('[3]Detailed Bin Table'!$CD$9:$CK$132,MATCH($A119,'[3]Detailed Bin Table'!$A$9:$A$132,0),MATCH($B119,'[3]Detailed Bin Table'!$CD$9:$CK$9,0)))*24)</f>
        <v>#N/A</v>
      </c>
      <c r="M119" s="34" t="e">
        <f>IF(B119="Custom", Q119, IF(B119="Imputation", INDEX('[3]Alt Est Detailed Bin Table'!$CL$10:$CS$132, MATCH(A119, '[3]Alt Est Detailed Bin Table'!$A$10:$A$132), MATCH(P119, '[3]Alt Est Detailed Bin Table'!$CL$9:$CS$9,0)), INDEX('[3]Detailed Bin Table'!$CL$9:$CS$132,MATCH($A119,'[3]Detailed Bin Table'!$A$9:$A$132,0),MATCH($B119,'[3]Detailed Bin Table'!$CL$9:$CS$9,0)))*24)</f>
        <v>#N/A</v>
      </c>
      <c r="N119" s="34" t="e">
        <f>IF(B119="Custom", Q119, IF(B119="Imputation", INDEX('[3]Alt Est Detailed Bin Table'!$CT$10:$DA$132, MATCH(A119, '[3]Alt Est Detailed Bin Table'!$A$10:$A$132), MATCH(P119, '[3]Alt Est Detailed Bin Table'!$CT$9:$DA$9,0)), INDEX('[3]Detailed Bin Table'!$CT$9:$DA$132,MATCH($A119,'[3]Detailed Bin Table'!$A$9:$A$132,0),MATCH($B119,'[3]Detailed Bin Table'!$CT$9:$DA$9,0)))*24)</f>
        <v>#N/A</v>
      </c>
      <c r="O119" s="222" t="e">
        <f>IF(B119="Custom", Q119, IF(B119="Imputation", INDEX('[3]Alt Est Detailed Bin Table'!$DB$10:$DI$132, MATCH(A119, '[3]Alt Est Detailed Bin Table'!$A$10:$A$132), MATCH(P119, '[3]Alt Est Detailed Bin Table'!$DB$9:$DI$9,0)), INDEX('[3]Detailed Bin Table'!$DB$9:$DI$132,MATCH($A119,'[3]Detailed Bin Table'!$A$9:$A$132,0),MATCH($B119,'[3]Detailed Bin Table'!$DB$9:$DI$9,0)))*24)</f>
        <v>#N/A</v>
      </c>
      <c r="P119" s="215"/>
      <c r="Q119" s="62"/>
      <c r="R119" s="63"/>
      <c r="S119" s="63"/>
      <c r="T119" s="63"/>
      <c r="U119" s="63"/>
      <c r="V119" s="63"/>
      <c r="W119" s="64"/>
      <c r="X119" s="63"/>
      <c r="Y119" s="63"/>
      <c r="Z119" s="63"/>
      <c r="AA119" s="65"/>
      <c r="AB119" s="213" t="e">
        <f>IF(SUM(E119:O119)='[1]Passage Estimates'!$D119, "Ok", "Check")</f>
        <v>#N/A</v>
      </c>
    </row>
    <row r="120" spans="1:28" x14ac:dyDescent="0.3">
      <c r="A120" s="20">
        <f>'1. Mixture Model Inputs'!A120</f>
        <v>45222</v>
      </c>
      <c r="B120" s="13">
        <f>'[1]Passage Estimates'!$C120</f>
        <v>0</v>
      </c>
      <c r="C120" s="206"/>
      <c r="D120" s="206"/>
      <c r="E120" s="34" t="e">
        <f>IF(B120="Custom", Q120, IF(B120="Imputation", INDEX('[3]Alt Est Detailed Bin Table'!$B$10:$M$132, MATCH(A120, '[3]Alt Est Detailed Bin Table'!$A$10:$A$132), MATCH(P120, '[3]Alt Est Detailed Bin Table'!$B$9:$M$9,0)), INDEX('[3]Detailed Bin Table'!$B$9:$M$132,MATCH($A120,'[3]Detailed Bin Table'!$A$9:$A$132,0),MATCH($B120,'[3]Detailed Bin Table'!$B$9:$M$9,0)))*24)</f>
        <v>#N/A</v>
      </c>
      <c r="F120" s="34" t="e">
        <f>IF(B120="Custom", Q120, IF(B120="Imputation", INDEX('[3]Alt Est Detailed Bin Table'!$N$10:$Y$132, MATCH(A120, '[3]Alt Est Detailed Bin Table'!$A$10:$A$132), MATCH(P120, '[3]Alt Est Detailed Bin Table'!$N$9:$Y$9,0)), INDEX('[3]Detailed Bin Table'!$N$9:$Y$132,MATCH($A120,'[3]Detailed Bin Table'!$A$9:$A$132,0),MATCH($B120,'[3]Detailed Bin Table'!$N$9:$Y$9,0)))*24)</f>
        <v>#N/A</v>
      </c>
      <c r="G120" s="34" t="e">
        <f>IF(B120="Custom", Q120, IF(B120="Imputation", INDEX('[3]Alt Est Detailed Bin Table'!$Z$10:$AK$132, MATCH(A120, '[3]Alt Est Detailed Bin Table'!$A$10:$A$132), MATCH(P120, '[3]Alt Est Detailed Bin Table'!$Z$9:$AK$9,0)), INDEX('[3]Detailed Bin Table'!$Z$9:$AK$132,MATCH($A120,'[3]Detailed Bin Table'!$A$9:$A$132,0),MATCH($B120,'[3]Detailed Bin Table'!$Z$9:$AK$9,0)))*24)</f>
        <v>#N/A</v>
      </c>
      <c r="H120" s="34" t="e">
        <f>IF(B120="Custom", Q120, IF(B120="Imputation", INDEX('[3]Alt Est Detailed Bin Table'!$AL$10:$AW$132, MATCH(A120, '[3]Alt Est Detailed Bin Table'!$A$10:$A$132), MATCH(P120, '[3]Alt Est Detailed Bin Table'!$AL$9:$AW$9,0)), INDEX('[3]Detailed Bin Table'!$AL$9:$AW$132,MATCH($A120,'[3]Detailed Bin Table'!$A$9:$A$132,0),MATCH($B120,'[3]Detailed Bin Table'!$AL$9:$AW$9,0)))*24)</f>
        <v>#N/A</v>
      </c>
      <c r="I120" s="34" t="e">
        <f>IF(B120="Custom", Q120, IF(B120="Imputation", INDEX('[3]Alt Est Detailed Bin Table'!$AX$10:$BI$132, MATCH(A120, '[3]Alt Est Detailed Bin Table'!$A$10:$A$132), MATCH(P120, '[3]Alt Est Detailed Bin Table'!$AX$9:$BI$9,0)), INDEX('[3]Detailed Bin Table'!$AX$9:$BI$132,MATCH($A120,'[3]Detailed Bin Table'!$A$9:$A$132,0),MATCH($B120,'[3]Detailed Bin Table'!$AX$9:$BI$9,0)))*24)</f>
        <v>#N/A</v>
      </c>
      <c r="J120" s="222" t="e">
        <f>IF(B120="Custom", Q120, IF(B120="Imputation", INDEX('[3]Alt Est Detailed Bin Table'!$BJ$10:$BO$132, MATCH(A120, '[3]Alt Est Detailed Bin Table'!$A$10:$A$132), MATCH(P120, '[3]Alt Est Detailed Bin Table'!$BJ$9:$BO$9,0)), INDEX('[3]Detailed Bin Table'!$BJ$9:$BO$132,MATCH($A120,'[3]Detailed Bin Table'!$A$9:$A$132,0),MATCH($B120,'[3]Detailed Bin Table'!$BJ$9:$BO$9,0)))*24)</f>
        <v>#N/A</v>
      </c>
      <c r="K120" s="33" t="e">
        <f>IF(B120="Custom", Q120, IF(B120="Imputation", INDEX('[3]Alt Est Detailed Bin Table'!$BP$10:$CC$132, MATCH(A120, '[3]Alt Est Detailed Bin Table'!$A$10:$A$132), MATCH(P120, '[3]Alt Est Detailed Bin Table'!$BP$9:$CC$9,0)), INDEX('[3]Detailed Bin Table'!$BP$9:$CC$132,MATCH($A120,'[3]Detailed Bin Table'!$A$9:$A$132,0),MATCH($B120,'[3]Detailed Bin Table'!$BP$9:$CC$9,0)))*24)</f>
        <v>#N/A</v>
      </c>
      <c r="L120" s="223" t="e">
        <f>IF(B120="Custom", Q120, IF(B120="Imputation", INDEX('[3]Alt Est Detailed Bin Table'!$CD$10:$CK$132, MATCH(A120, '[3]Alt Est Detailed Bin Table'!$A$10:$A$132), MATCH(P120, '[3]Alt Est Detailed Bin Table'!$CD$9:$CK$9,0)), INDEX('[3]Detailed Bin Table'!$CD$9:$CK$132,MATCH($A120,'[3]Detailed Bin Table'!$A$9:$A$132,0),MATCH($B120,'[3]Detailed Bin Table'!$CD$9:$CK$9,0)))*24)</f>
        <v>#N/A</v>
      </c>
      <c r="M120" s="34" t="e">
        <f>IF(B120="Custom", Q120, IF(B120="Imputation", INDEX('[3]Alt Est Detailed Bin Table'!$CL$10:$CS$132, MATCH(A120, '[3]Alt Est Detailed Bin Table'!$A$10:$A$132), MATCH(P120, '[3]Alt Est Detailed Bin Table'!$CL$9:$CS$9,0)), INDEX('[3]Detailed Bin Table'!$CL$9:$CS$132,MATCH($A120,'[3]Detailed Bin Table'!$A$9:$A$132,0),MATCH($B120,'[3]Detailed Bin Table'!$CL$9:$CS$9,0)))*24)</f>
        <v>#N/A</v>
      </c>
      <c r="N120" s="34" t="e">
        <f>IF(B120="Custom", Q120, IF(B120="Imputation", INDEX('[3]Alt Est Detailed Bin Table'!$CT$10:$DA$132, MATCH(A120, '[3]Alt Est Detailed Bin Table'!$A$10:$A$132), MATCH(P120, '[3]Alt Est Detailed Bin Table'!$CT$9:$DA$9,0)), INDEX('[3]Detailed Bin Table'!$CT$9:$DA$132,MATCH($A120,'[3]Detailed Bin Table'!$A$9:$A$132,0),MATCH($B120,'[3]Detailed Bin Table'!$CT$9:$DA$9,0)))*24)</f>
        <v>#N/A</v>
      </c>
      <c r="O120" s="222" t="e">
        <f>IF(B120="Custom", Q120, IF(B120="Imputation", INDEX('[3]Alt Est Detailed Bin Table'!$DB$10:$DI$132, MATCH(A120, '[3]Alt Est Detailed Bin Table'!$A$10:$A$132), MATCH(P120, '[3]Alt Est Detailed Bin Table'!$DB$9:$DI$9,0)), INDEX('[3]Detailed Bin Table'!$DB$9:$DI$132,MATCH($A120,'[3]Detailed Bin Table'!$A$9:$A$132,0),MATCH($B120,'[3]Detailed Bin Table'!$DB$9:$DI$9,0)))*24)</f>
        <v>#N/A</v>
      </c>
      <c r="P120" s="215"/>
      <c r="Q120" s="62"/>
      <c r="R120" s="63"/>
      <c r="S120" s="63"/>
      <c r="T120" s="63"/>
      <c r="U120" s="63"/>
      <c r="V120" s="63"/>
      <c r="W120" s="64"/>
      <c r="X120" s="63"/>
      <c r="Y120" s="63"/>
      <c r="Z120" s="63"/>
      <c r="AA120" s="65"/>
      <c r="AB120" s="213" t="e">
        <f>IF(SUM(E120:O120)='[1]Passage Estimates'!$D120, "Ok", "Check")</f>
        <v>#N/A</v>
      </c>
    </row>
    <row r="121" spans="1:28" x14ac:dyDescent="0.3">
      <c r="A121" s="20">
        <f>'1. Mixture Model Inputs'!A121</f>
        <v>45223</v>
      </c>
      <c r="B121" s="13">
        <f>'[1]Passage Estimates'!$C121</f>
        <v>0</v>
      </c>
      <c r="C121" s="206"/>
      <c r="D121" s="206"/>
      <c r="E121" s="34" t="e">
        <f>IF(B121="Custom", Q121, IF(B121="Imputation", INDEX('[3]Alt Est Detailed Bin Table'!$B$10:$M$132, MATCH(A121, '[3]Alt Est Detailed Bin Table'!$A$10:$A$132), MATCH(P121, '[3]Alt Est Detailed Bin Table'!$B$9:$M$9,0)), INDEX('[3]Detailed Bin Table'!$B$9:$M$132,MATCH($A121,'[3]Detailed Bin Table'!$A$9:$A$132,0),MATCH($B121,'[3]Detailed Bin Table'!$B$9:$M$9,0)))*24)</f>
        <v>#N/A</v>
      </c>
      <c r="F121" s="34" t="e">
        <f>IF(B121="Custom", Q121, IF(B121="Imputation", INDEX('[3]Alt Est Detailed Bin Table'!$N$10:$Y$132, MATCH(A121, '[3]Alt Est Detailed Bin Table'!$A$10:$A$132), MATCH(P121, '[3]Alt Est Detailed Bin Table'!$N$9:$Y$9,0)), INDEX('[3]Detailed Bin Table'!$N$9:$Y$132,MATCH($A121,'[3]Detailed Bin Table'!$A$9:$A$132,0),MATCH($B121,'[3]Detailed Bin Table'!$N$9:$Y$9,0)))*24)</f>
        <v>#N/A</v>
      </c>
      <c r="G121" s="34" t="e">
        <f>IF(B121="Custom", Q121, IF(B121="Imputation", INDEX('[3]Alt Est Detailed Bin Table'!$Z$10:$AK$132, MATCH(A121, '[3]Alt Est Detailed Bin Table'!$A$10:$A$132), MATCH(P121, '[3]Alt Est Detailed Bin Table'!$Z$9:$AK$9,0)), INDEX('[3]Detailed Bin Table'!$Z$9:$AK$132,MATCH($A121,'[3]Detailed Bin Table'!$A$9:$A$132,0),MATCH($B121,'[3]Detailed Bin Table'!$Z$9:$AK$9,0)))*24)</f>
        <v>#N/A</v>
      </c>
      <c r="H121" s="34" t="e">
        <f>IF(B121="Custom", Q121, IF(B121="Imputation", INDEX('[3]Alt Est Detailed Bin Table'!$AL$10:$AW$132, MATCH(A121, '[3]Alt Est Detailed Bin Table'!$A$10:$A$132), MATCH(P121, '[3]Alt Est Detailed Bin Table'!$AL$9:$AW$9,0)), INDEX('[3]Detailed Bin Table'!$AL$9:$AW$132,MATCH($A121,'[3]Detailed Bin Table'!$A$9:$A$132,0),MATCH($B121,'[3]Detailed Bin Table'!$AL$9:$AW$9,0)))*24)</f>
        <v>#N/A</v>
      </c>
      <c r="I121" s="34" t="e">
        <f>IF(B121="Custom", Q121, IF(B121="Imputation", INDEX('[3]Alt Est Detailed Bin Table'!$AX$10:$BI$132, MATCH(A121, '[3]Alt Est Detailed Bin Table'!$A$10:$A$132), MATCH(P121, '[3]Alt Est Detailed Bin Table'!$AX$9:$BI$9,0)), INDEX('[3]Detailed Bin Table'!$AX$9:$BI$132,MATCH($A121,'[3]Detailed Bin Table'!$A$9:$A$132,0),MATCH($B121,'[3]Detailed Bin Table'!$AX$9:$BI$9,0)))*24)</f>
        <v>#N/A</v>
      </c>
      <c r="J121" s="222" t="e">
        <f>IF(B121="Custom", Q121, IF(B121="Imputation", INDEX('[3]Alt Est Detailed Bin Table'!$BJ$10:$BO$132, MATCH(A121, '[3]Alt Est Detailed Bin Table'!$A$10:$A$132), MATCH(P121, '[3]Alt Est Detailed Bin Table'!$BJ$9:$BO$9,0)), INDEX('[3]Detailed Bin Table'!$BJ$9:$BO$132,MATCH($A121,'[3]Detailed Bin Table'!$A$9:$A$132,0),MATCH($B121,'[3]Detailed Bin Table'!$BJ$9:$BO$9,0)))*24)</f>
        <v>#N/A</v>
      </c>
      <c r="K121" s="33" t="e">
        <f>IF(B121="Custom", Q121, IF(B121="Imputation", INDEX('[3]Alt Est Detailed Bin Table'!$BP$10:$CC$132, MATCH(A121, '[3]Alt Est Detailed Bin Table'!$A$10:$A$132), MATCH(P121, '[3]Alt Est Detailed Bin Table'!$BP$9:$CC$9,0)), INDEX('[3]Detailed Bin Table'!$BP$9:$CC$132,MATCH($A121,'[3]Detailed Bin Table'!$A$9:$A$132,0),MATCH($B121,'[3]Detailed Bin Table'!$BP$9:$CC$9,0)))*24)</f>
        <v>#N/A</v>
      </c>
      <c r="L121" s="223" t="e">
        <f>IF(B121="Custom", Q121, IF(B121="Imputation", INDEX('[3]Alt Est Detailed Bin Table'!$CD$10:$CK$132, MATCH(A121, '[3]Alt Est Detailed Bin Table'!$A$10:$A$132), MATCH(P121, '[3]Alt Est Detailed Bin Table'!$CD$9:$CK$9,0)), INDEX('[3]Detailed Bin Table'!$CD$9:$CK$132,MATCH($A121,'[3]Detailed Bin Table'!$A$9:$A$132,0),MATCH($B121,'[3]Detailed Bin Table'!$CD$9:$CK$9,0)))*24)</f>
        <v>#N/A</v>
      </c>
      <c r="M121" s="34" t="e">
        <f>IF(B121="Custom", Q121, IF(B121="Imputation", INDEX('[3]Alt Est Detailed Bin Table'!$CL$10:$CS$132, MATCH(A121, '[3]Alt Est Detailed Bin Table'!$A$10:$A$132), MATCH(P121, '[3]Alt Est Detailed Bin Table'!$CL$9:$CS$9,0)), INDEX('[3]Detailed Bin Table'!$CL$9:$CS$132,MATCH($A121,'[3]Detailed Bin Table'!$A$9:$A$132,0),MATCH($B121,'[3]Detailed Bin Table'!$CL$9:$CS$9,0)))*24)</f>
        <v>#N/A</v>
      </c>
      <c r="N121" s="34" t="e">
        <f>IF(B121="Custom", Q121, IF(B121="Imputation", INDEX('[3]Alt Est Detailed Bin Table'!$CT$10:$DA$132, MATCH(A121, '[3]Alt Est Detailed Bin Table'!$A$10:$A$132), MATCH(P121, '[3]Alt Est Detailed Bin Table'!$CT$9:$DA$9,0)), INDEX('[3]Detailed Bin Table'!$CT$9:$DA$132,MATCH($A121,'[3]Detailed Bin Table'!$A$9:$A$132,0),MATCH($B121,'[3]Detailed Bin Table'!$CT$9:$DA$9,0)))*24)</f>
        <v>#N/A</v>
      </c>
      <c r="O121" s="222" t="e">
        <f>IF(B121="Custom", Q121, IF(B121="Imputation", INDEX('[3]Alt Est Detailed Bin Table'!$DB$10:$DI$132, MATCH(A121, '[3]Alt Est Detailed Bin Table'!$A$10:$A$132), MATCH(P121, '[3]Alt Est Detailed Bin Table'!$DB$9:$DI$9,0)), INDEX('[3]Detailed Bin Table'!$DB$9:$DI$132,MATCH($A121,'[3]Detailed Bin Table'!$A$9:$A$132,0),MATCH($B121,'[3]Detailed Bin Table'!$DB$9:$DI$9,0)))*24)</f>
        <v>#N/A</v>
      </c>
      <c r="P121" s="215"/>
      <c r="Q121" s="62"/>
      <c r="R121" s="63"/>
      <c r="S121" s="63"/>
      <c r="T121" s="63"/>
      <c r="U121" s="63"/>
      <c r="V121" s="63"/>
      <c r="W121" s="64"/>
      <c r="X121" s="63"/>
      <c r="Y121" s="63"/>
      <c r="Z121" s="63"/>
      <c r="AA121" s="65"/>
      <c r="AB121" s="213" t="e">
        <f>IF(SUM(E121:O121)='[1]Passage Estimates'!$D121, "Ok", "Check")</f>
        <v>#N/A</v>
      </c>
    </row>
    <row r="122" spans="1:28" x14ac:dyDescent="0.3">
      <c r="A122" s="20">
        <f>'1. Mixture Model Inputs'!A122</f>
        <v>45224</v>
      </c>
      <c r="B122" s="13">
        <f>'[1]Passage Estimates'!$C122</f>
        <v>0</v>
      </c>
      <c r="C122" s="206"/>
      <c r="D122" s="206"/>
      <c r="E122" s="34" t="e">
        <f>IF(B122="Custom", Q122, IF(B122="Imputation", INDEX('[3]Alt Est Detailed Bin Table'!$B$10:$M$132, MATCH(A122, '[3]Alt Est Detailed Bin Table'!$A$10:$A$132), MATCH(P122, '[3]Alt Est Detailed Bin Table'!$B$9:$M$9,0)), INDEX('[3]Detailed Bin Table'!$B$9:$M$132,MATCH($A122,'[3]Detailed Bin Table'!$A$9:$A$132,0),MATCH($B122,'[3]Detailed Bin Table'!$B$9:$M$9,0)))*24)</f>
        <v>#N/A</v>
      </c>
      <c r="F122" s="34" t="e">
        <f>IF(B122="Custom", Q122, IF(B122="Imputation", INDEX('[3]Alt Est Detailed Bin Table'!$N$10:$Y$132, MATCH(A122, '[3]Alt Est Detailed Bin Table'!$A$10:$A$132), MATCH(P122, '[3]Alt Est Detailed Bin Table'!$N$9:$Y$9,0)), INDEX('[3]Detailed Bin Table'!$N$9:$Y$132,MATCH($A122,'[3]Detailed Bin Table'!$A$9:$A$132,0),MATCH($B122,'[3]Detailed Bin Table'!$N$9:$Y$9,0)))*24)</f>
        <v>#N/A</v>
      </c>
      <c r="G122" s="34" t="e">
        <f>IF(B122="Custom", Q122, IF(B122="Imputation", INDEX('[3]Alt Est Detailed Bin Table'!$Z$10:$AK$132, MATCH(A122, '[3]Alt Est Detailed Bin Table'!$A$10:$A$132), MATCH(P122, '[3]Alt Est Detailed Bin Table'!$Z$9:$AK$9,0)), INDEX('[3]Detailed Bin Table'!$Z$9:$AK$132,MATCH($A122,'[3]Detailed Bin Table'!$A$9:$A$132,0),MATCH($B122,'[3]Detailed Bin Table'!$Z$9:$AK$9,0)))*24)</f>
        <v>#N/A</v>
      </c>
      <c r="H122" s="34" t="e">
        <f>IF(B122="Custom", Q122, IF(B122="Imputation", INDEX('[3]Alt Est Detailed Bin Table'!$AL$10:$AW$132, MATCH(A122, '[3]Alt Est Detailed Bin Table'!$A$10:$A$132), MATCH(P122, '[3]Alt Est Detailed Bin Table'!$AL$9:$AW$9,0)), INDEX('[3]Detailed Bin Table'!$AL$9:$AW$132,MATCH($A122,'[3]Detailed Bin Table'!$A$9:$A$132,0),MATCH($B122,'[3]Detailed Bin Table'!$AL$9:$AW$9,0)))*24)</f>
        <v>#N/A</v>
      </c>
      <c r="I122" s="34" t="e">
        <f>IF(B122="Custom", Q122, IF(B122="Imputation", INDEX('[3]Alt Est Detailed Bin Table'!$AX$10:$BI$132, MATCH(A122, '[3]Alt Est Detailed Bin Table'!$A$10:$A$132), MATCH(P122, '[3]Alt Est Detailed Bin Table'!$AX$9:$BI$9,0)), INDEX('[3]Detailed Bin Table'!$AX$9:$BI$132,MATCH($A122,'[3]Detailed Bin Table'!$A$9:$A$132,0),MATCH($B122,'[3]Detailed Bin Table'!$AX$9:$BI$9,0)))*24)</f>
        <v>#N/A</v>
      </c>
      <c r="J122" s="222" t="e">
        <f>IF(B122="Custom", Q122, IF(B122="Imputation", INDEX('[3]Alt Est Detailed Bin Table'!$BJ$10:$BO$132, MATCH(A122, '[3]Alt Est Detailed Bin Table'!$A$10:$A$132), MATCH(P122, '[3]Alt Est Detailed Bin Table'!$BJ$9:$BO$9,0)), INDEX('[3]Detailed Bin Table'!$BJ$9:$BO$132,MATCH($A122,'[3]Detailed Bin Table'!$A$9:$A$132,0),MATCH($B122,'[3]Detailed Bin Table'!$BJ$9:$BO$9,0)))*24)</f>
        <v>#N/A</v>
      </c>
      <c r="K122" s="33" t="e">
        <f>IF(B122="Custom", Q122, IF(B122="Imputation", INDEX('[3]Alt Est Detailed Bin Table'!$BP$10:$CC$132, MATCH(A122, '[3]Alt Est Detailed Bin Table'!$A$10:$A$132), MATCH(P122, '[3]Alt Est Detailed Bin Table'!$BP$9:$CC$9,0)), INDEX('[3]Detailed Bin Table'!$BP$9:$CC$132,MATCH($A122,'[3]Detailed Bin Table'!$A$9:$A$132,0),MATCH($B122,'[3]Detailed Bin Table'!$BP$9:$CC$9,0)))*24)</f>
        <v>#N/A</v>
      </c>
      <c r="L122" s="223" t="e">
        <f>IF(B122="Custom", Q122, IF(B122="Imputation", INDEX('[3]Alt Est Detailed Bin Table'!$CD$10:$CK$132, MATCH(A122, '[3]Alt Est Detailed Bin Table'!$A$10:$A$132), MATCH(P122, '[3]Alt Est Detailed Bin Table'!$CD$9:$CK$9,0)), INDEX('[3]Detailed Bin Table'!$CD$9:$CK$132,MATCH($A122,'[3]Detailed Bin Table'!$A$9:$A$132,0),MATCH($B122,'[3]Detailed Bin Table'!$CD$9:$CK$9,0)))*24)</f>
        <v>#N/A</v>
      </c>
      <c r="M122" s="34" t="e">
        <f>IF(B122="Custom", Q122, IF(B122="Imputation", INDEX('[3]Alt Est Detailed Bin Table'!$CL$10:$CS$132, MATCH(A122, '[3]Alt Est Detailed Bin Table'!$A$10:$A$132), MATCH(P122, '[3]Alt Est Detailed Bin Table'!$CL$9:$CS$9,0)), INDEX('[3]Detailed Bin Table'!$CL$9:$CS$132,MATCH($A122,'[3]Detailed Bin Table'!$A$9:$A$132,0),MATCH($B122,'[3]Detailed Bin Table'!$CL$9:$CS$9,0)))*24)</f>
        <v>#N/A</v>
      </c>
      <c r="N122" s="34" t="e">
        <f>IF(B122="Custom", Q122, IF(B122="Imputation", INDEX('[3]Alt Est Detailed Bin Table'!$CT$10:$DA$132, MATCH(A122, '[3]Alt Est Detailed Bin Table'!$A$10:$A$132), MATCH(P122, '[3]Alt Est Detailed Bin Table'!$CT$9:$DA$9,0)), INDEX('[3]Detailed Bin Table'!$CT$9:$DA$132,MATCH($A122,'[3]Detailed Bin Table'!$A$9:$A$132,0),MATCH($B122,'[3]Detailed Bin Table'!$CT$9:$DA$9,0)))*24)</f>
        <v>#N/A</v>
      </c>
      <c r="O122" s="222" t="e">
        <f>IF(B122="Custom", Q122, IF(B122="Imputation", INDEX('[3]Alt Est Detailed Bin Table'!$DB$10:$DI$132, MATCH(A122, '[3]Alt Est Detailed Bin Table'!$A$10:$A$132), MATCH(P122, '[3]Alt Est Detailed Bin Table'!$DB$9:$DI$9,0)), INDEX('[3]Detailed Bin Table'!$DB$9:$DI$132,MATCH($A122,'[3]Detailed Bin Table'!$A$9:$A$132,0),MATCH($B122,'[3]Detailed Bin Table'!$DB$9:$DI$9,0)))*24)</f>
        <v>#N/A</v>
      </c>
      <c r="P122" s="215"/>
      <c r="Q122" s="62"/>
      <c r="R122" s="63"/>
      <c r="S122" s="63"/>
      <c r="T122" s="63"/>
      <c r="U122" s="63"/>
      <c r="V122" s="63"/>
      <c r="W122" s="64"/>
      <c r="X122" s="63"/>
      <c r="Y122" s="63"/>
      <c r="Z122" s="63"/>
      <c r="AA122" s="65"/>
      <c r="AB122" s="213" t="e">
        <f>IF(SUM(E122:O122)='[1]Passage Estimates'!$D122, "Ok", "Check")</f>
        <v>#N/A</v>
      </c>
    </row>
    <row r="123" spans="1:28" x14ac:dyDescent="0.3">
      <c r="A123" s="20">
        <f>'1. Mixture Model Inputs'!A123</f>
        <v>45225</v>
      </c>
      <c r="B123" s="13">
        <f>'[1]Passage Estimates'!$C123</f>
        <v>0</v>
      </c>
      <c r="C123" s="206"/>
      <c r="D123" s="206"/>
      <c r="E123" s="34" t="e">
        <f>IF(B123="Custom", Q123, IF(B123="Imputation", INDEX('[3]Alt Est Detailed Bin Table'!$B$10:$M$132, MATCH(A123, '[3]Alt Est Detailed Bin Table'!$A$10:$A$132), MATCH(P123, '[3]Alt Est Detailed Bin Table'!$B$9:$M$9,0)), INDEX('[3]Detailed Bin Table'!$B$9:$M$132,MATCH($A123,'[3]Detailed Bin Table'!$A$9:$A$132,0),MATCH($B123,'[3]Detailed Bin Table'!$B$9:$M$9,0)))*24)</f>
        <v>#N/A</v>
      </c>
      <c r="F123" s="34" t="e">
        <f>IF(B123="Custom", Q123, IF(B123="Imputation", INDEX('[3]Alt Est Detailed Bin Table'!$N$10:$Y$132, MATCH(A123, '[3]Alt Est Detailed Bin Table'!$A$10:$A$132), MATCH(P123, '[3]Alt Est Detailed Bin Table'!$N$9:$Y$9,0)), INDEX('[3]Detailed Bin Table'!$N$9:$Y$132,MATCH($A123,'[3]Detailed Bin Table'!$A$9:$A$132,0),MATCH($B123,'[3]Detailed Bin Table'!$N$9:$Y$9,0)))*24)</f>
        <v>#N/A</v>
      </c>
      <c r="G123" s="34" t="e">
        <f>IF(B123="Custom", Q123, IF(B123="Imputation", INDEX('[3]Alt Est Detailed Bin Table'!$Z$10:$AK$132, MATCH(A123, '[3]Alt Est Detailed Bin Table'!$A$10:$A$132), MATCH(P123, '[3]Alt Est Detailed Bin Table'!$Z$9:$AK$9,0)), INDEX('[3]Detailed Bin Table'!$Z$9:$AK$132,MATCH($A123,'[3]Detailed Bin Table'!$A$9:$A$132,0),MATCH($B123,'[3]Detailed Bin Table'!$Z$9:$AK$9,0)))*24)</f>
        <v>#N/A</v>
      </c>
      <c r="H123" s="34" t="e">
        <f>IF(B123="Custom", Q123, IF(B123="Imputation", INDEX('[3]Alt Est Detailed Bin Table'!$AL$10:$AW$132, MATCH(A123, '[3]Alt Est Detailed Bin Table'!$A$10:$A$132), MATCH(P123, '[3]Alt Est Detailed Bin Table'!$AL$9:$AW$9,0)), INDEX('[3]Detailed Bin Table'!$AL$9:$AW$132,MATCH($A123,'[3]Detailed Bin Table'!$A$9:$A$132,0),MATCH($B123,'[3]Detailed Bin Table'!$AL$9:$AW$9,0)))*24)</f>
        <v>#N/A</v>
      </c>
      <c r="I123" s="34" t="e">
        <f>IF(B123="Custom", Q123, IF(B123="Imputation", INDEX('[3]Alt Est Detailed Bin Table'!$AX$10:$BI$132, MATCH(A123, '[3]Alt Est Detailed Bin Table'!$A$10:$A$132), MATCH(P123, '[3]Alt Est Detailed Bin Table'!$AX$9:$BI$9,0)), INDEX('[3]Detailed Bin Table'!$AX$9:$BI$132,MATCH($A123,'[3]Detailed Bin Table'!$A$9:$A$132,0),MATCH($B123,'[3]Detailed Bin Table'!$AX$9:$BI$9,0)))*24)</f>
        <v>#N/A</v>
      </c>
      <c r="J123" s="222" t="e">
        <f>IF(B123="Custom", Q123, IF(B123="Imputation", INDEX('[3]Alt Est Detailed Bin Table'!$BJ$10:$BO$132, MATCH(A123, '[3]Alt Est Detailed Bin Table'!$A$10:$A$132), MATCH(P123, '[3]Alt Est Detailed Bin Table'!$BJ$9:$BO$9,0)), INDEX('[3]Detailed Bin Table'!$BJ$9:$BO$132,MATCH($A123,'[3]Detailed Bin Table'!$A$9:$A$132,0),MATCH($B123,'[3]Detailed Bin Table'!$BJ$9:$BO$9,0)))*24)</f>
        <v>#N/A</v>
      </c>
      <c r="K123" s="33" t="e">
        <f>IF(B123="Custom", Q123, IF(B123="Imputation", INDEX('[3]Alt Est Detailed Bin Table'!$BP$10:$CC$132, MATCH(A123, '[3]Alt Est Detailed Bin Table'!$A$10:$A$132), MATCH(P123, '[3]Alt Est Detailed Bin Table'!$BP$9:$CC$9,0)), INDEX('[3]Detailed Bin Table'!$BP$9:$CC$132,MATCH($A123,'[3]Detailed Bin Table'!$A$9:$A$132,0),MATCH($B123,'[3]Detailed Bin Table'!$BP$9:$CC$9,0)))*24)</f>
        <v>#N/A</v>
      </c>
      <c r="L123" s="223" t="e">
        <f>IF(B123="Custom", Q123, IF(B123="Imputation", INDEX('[3]Alt Est Detailed Bin Table'!$CD$10:$CK$132, MATCH(A123, '[3]Alt Est Detailed Bin Table'!$A$10:$A$132), MATCH(P123, '[3]Alt Est Detailed Bin Table'!$CD$9:$CK$9,0)), INDEX('[3]Detailed Bin Table'!$CD$9:$CK$132,MATCH($A123,'[3]Detailed Bin Table'!$A$9:$A$132,0),MATCH($B123,'[3]Detailed Bin Table'!$CD$9:$CK$9,0)))*24)</f>
        <v>#N/A</v>
      </c>
      <c r="M123" s="34" t="e">
        <f>IF(B123="Custom", Q123, IF(B123="Imputation", INDEX('[3]Alt Est Detailed Bin Table'!$CL$10:$CS$132, MATCH(A123, '[3]Alt Est Detailed Bin Table'!$A$10:$A$132), MATCH(P123, '[3]Alt Est Detailed Bin Table'!$CL$9:$CS$9,0)), INDEX('[3]Detailed Bin Table'!$CL$9:$CS$132,MATCH($A123,'[3]Detailed Bin Table'!$A$9:$A$132,0),MATCH($B123,'[3]Detailed Bin Table'!$CL$9:$CS$9,0)))*24)</f>
        <v>#N/A</v>
      </c>
      <c r="N123" s="34" t="e">
        <f>IF(B123="Custom", Q123, IF(B123="Imputation", INDEX('[3]Alt Est Detailed Bin Table'!$CT$10:$DA$132, MATCH(A123, '[3]Alt Est Detailed Bin Table'!$A$10:$A$132), MATCH(P123, '[3]Alt Est Detailed Bin Table'!$CT$9:$DA$9,0)), INDEX('[3]Detailed Bin Table'!$CT$9:$DA$132,MATCH($A123,'[3]Detailed Bin Table'!$A$9:$A$132,0),MATCH($B123,'[3]Detailed Bin Table'!$CT$9:$DA$9,0)))*24)</f>
        <v>#N/A</v>
      </c>
      <c r="O123" s="222" t="e">
        <f>IF(B123="Custom", Q123, IF(B123="Imputation", INDEX('[3]Alt Est Detailed Bin Table'!$DB$10:$DI$132, MATCH(A123, '[3]Alt Est Detailed Bin Table'!$A$10:$A$132), MATCH(P123, '[3]Alt Est Detailed Bin Table'!$DB$9:$DI$9,0)), INDEX('[3]Detailed Bin Table'!$DB$9:$DI$132,MATCH($A123,'[3]Detailed Bin Table'!$A$9:$A$132,0),MATCH($B123,'[3]Detailed Bin Table'!$DB$9:$DI$9,0)))*24)</f>
        <v>#N/A</v>
      </c>
      <c r="P123" s="215"/>
      <c r="Q123" s="62"/>
      <c r="R123" s="63"/>
      <c r="S123" s="63"/>
      <c r="T123" s="63"/>
      <c r="U123" s="63"/>
      <c r="V123" s="63"/>
      <c r="W123" s="64"/>
      <c r="X123" s="63"/>
      <c r="Y123" s="63"/>
      <c r="Z123" s="63"/>
      <c r="AA123" s="65"/>
      <c r="AB123" s="213" t="e">
        <f>IF(SUM(E123:O123)='[1]Passage Estimates'!$D123, "Ok", "Check")</f>
        <v>#N/A</v>
      </c>
    </row>
    <row r="124" spans="1:28" x14ac:dyDescent="0.3">
      <c r="A124" s="20">
        <f>'1. Mixture Model Inputs'!A124</f>
        <v>45226</v>
      </c>
      <c r="B124" s="13">
        <f>'[1]Passage Estimates'!$C124</f>
        <v>0</v>
      </c>
      <c r="C124" s="206"/>
      <c r="D124" s="206"/>
      <c r="E124" s="34" t="e">
        <f>IF(B124="Custom", Q124, IF(B124="Imputation", INDEX('[3]Alt Est Detailed Bin Table'!$B$10:$M$132, MATCH(A124, '[3]Alt Est Detailed Bin Table'!$A$10:$A$132), MATCH(P124, '[3]Alt Est Detailed Bin Table'!$B$9:$M$9,0)), INDEX('[3]Detailed Bin Table'!$B$9:$M$132,MATCH($A124,'[3]Detailed Bin Table'!$A$9:$A$132,0),MATCH($B124,'[3]Detailed Bin Table'!$B$9:$M$9,0)))*24)</f>
        <v>#N/A</v>
      </c>
      <c r="F124" s="34" t="e">
        <f>IF(B124="Custom", Q124, IF(B124="Imputation", INDEX('[3]Alt Est Detailed Bin Table'!$N$10:$Y$132, MATCH(A124, '[3]Alt Est Detailed Bin Table'!$A$10:$A$132), MATCH(P124, '[3]Alt Est Detailed Bin Table'!$N$9:$Y$9,0)), INDEX('[3]Detailed Bin Table'!$N$9:$Y$132,MATCH($A124,'[3]Detailed Bin Table'!$A$9:$A$132,0),MATCH($B124,'[3]Detailed Bin Table'!$N$9:$Y$9,0)))*24)</f>
        <v>#N/A</v>
      </c>
      <c r="G124" s="34" t="e">
        <f>IF(B124="Custom", Q124, IF(B124="Imputation", INDEX('[3]Alt Est Detailed Bin Table'!$Z$10:$AK$132, MATCH(A124, '[3]Alt Est Detailed Bin Table'!$A$10:$A$132), MATCH(P124, '[3]Alt Est Detailed Bin Table'!$Z$9:$AK$9,0)), INDEX('[3]Detailed Bin Table'!$Z$9:$AK$132,MATCH($A124,'[3]Detailed Bin Table'!$A$9:$A$132,0),MATCH($B124,'[3]Detailed Bin Table'!$Z$9:$AK$9,0)))*24)</f>
        <v>#N/A</v>
      </c>
      <c r="H124" s="34" t="e">
        <f>IF(B124="Custom", Q124, IF(B124="Imputation", INDEX('[3]Alt Est Detailed Bin Table'!$AL$10:$AW$132, MATCH(A124, '[3]Alt Est Detailed Bin Table'!$A$10:$A$132), MATCH(P124, '[3]Alt Est Detailed Bin Table'!$AL$9:$AW$9,0)), INDEX('[3]Detailed Bin Table'!$AL$9:$AW$132,MATCH($A124,'[3]Detailed Bin Table'!$A$9:$A$132,0),MATCH($B124,'[3]Detailed Bin Table'!$AL$9:$AW$9,0)))*24)</f>
        <v>#N/A</v>
      </c>
      <c r="I124" s="34" t="e">
        <f>IF(B124="Custom", Q124, IF(B124="Imputation", INDEX('[3]Alt Est Detailed Bin Table'!$AX$10:$BI$132, MATCH(A124, '[3]Alt Est Detailed Bin Table'!$A$10:$A$132), MATCH(P124, '[3]Alt Est Detailed Bin Table'!$AX$9:$BI$9,0)), INDEX('[3]Detailed Bin Table'!$AX$9:$BI$132,MATCH($A124,'[3]Detailed Bin Table'!$A$9:$A$132,0),MATCH($B124,'[3]Detailed Bin Table'!$AX$9:$BI$9,0)))*24)</f>
        <v>#N/A</v>
      </c>
      <c r="J124" s="222" t="e">
        <f>IF(B124="Custom", Q124, IF(B124="Imputation", INDEX('[3]Alt Est Detailed Bin Table'!$BJ$10:$BO$132, MATCH(A124, '[3]Alt Est Detailed Bin Table'!$A$10:$A$132), MATCH(P124, '[3]Alt Est Detailed Bin Table'!$BJ$9:$BO$9,0)), INDEX('[3]Detailed Bin Table'!$BJ$9:$BO$132,MATCH($A124,'[3]Detailed Bin Table'!$A$9:$A$132,0),MATCH($B124,'[3]Detailed Bin Table'!$BJ$9:$BO$9,0)))*24)</f>
        <v>#N/A</v>
      </c>
      <c r="K124" s="33" t="e">
        <f>IF(B124="Custom", Q124, IF(B124="Imputation", INDEX('[3]Alt Est Detailed Bin Table'!$BP$10:$CC$132, MATCH(A124, '[3]Alt Est Detailed Bin Table'!$A$10:$A$132), MATCH(P124, '[3]Alt Est Detailed Bin Table'!$BP$9:$CC$9,0)), INDEX('[3]Detailed Bin Table'!$BP$9:$CC$132,MATCH($A124,'[3]Detailed Bin Table'!$A$9:$A$132,0),MATCH($B124,'[3]Detailed Bin Table'!$BP$9:$CC$9,0)))*24)</f>
        <v>#N/A</v>
      </c>
      <c r="L124" s="223" t="e">
        <f>IF(B124="Custom", Q124, IF(B124="Imputation", INDEX('[3]Alt Est Detailed Bin Table'!$CD$10:$CK$132, MATCH(A124, '[3]Alt Est Detailed Bin Table'!$A$10:$A$132), MATCH(P124, '[3]Alt Est Detailed Bin Table'!$CD$9:$CK$9,0)), INDEX('[3]Detailed Bin Table'!$CD$9:$CK$132,MATCH($A124,'[3]Detailed Bin Table'!$A$9:$A$132,0),MATCH($B124,'[3]Detailed Bin Table'!$CD$9:$CK$9,0)))*24)</f>
        <v>#N/A</v>
      </c>
      <c r="M124" s="34" t="e">
        <f>IF(B124="Custom", Q124, IF(B124="Imputation", INDEX('[3]Alt Est Detailed Bin Table'!$CL$10:$CS$132, MATCH(A124, '[3]Alt Est Detailed Bin Table'!$A$10:$A$132), MATCH(P124, '[3]Alt Est Detailed Bin Table'!$CL$9:$CS$9,0)), INDEX('[3]Detailed Bin Table'!$CL$9:$CS$132,MATCH($A124,'[3]Detailed Bin Table'!$A$9:$A$132,0),MATCH($B124,'[3]Detailed Bin Table'!$CL$9:$CS$9,0)))*24)</f>
        <v>#N/A</v>
      </c>
      <c r="N124" s="34" t="e">
        <f>IF(B124="Custom", Q124, IF(B124="Imputation", INDEX('[3]Alt Est Detailed Bin Table'!$CT$10:$DA$132, MATCH(A124, '[3]Alt Est Detailed Bin Table'!$A$10:$A$132), MATCH(P124, '[3]Alt Est Detailed Bin Table'!$CT$9:$DA$9,0)), INDEX('[3]Detailed Bin Table'!$CT$9:$DA$132,MATCH($A124,'[3]Detailed Bin Table'!$A$9:$A$132,0),MATCH($B124,'[3]Detailed Bin Table'!$CT$9:$DA$9,0)))*24)</f>
        <v>#N/A</v>
      </c>
      <c r="O124" s="222" t="e">
        <f>IF(B124="Custom", Q124, IF(B124="Imputation", INDEX('[3]Alt Est Detailed Bin Table'!$DB$10:$DI$132, MATCH(A124, '[3]Alt Est Detailed Bin Table'!$A$10:$A$132), MATCH(P124, '[3]Alt Est Detailed Bin Table'!$DB$9:$DI$9,0)), INDEX('[3]Detailed Bin Table'!$DB$9:$DI$132,MATCH($A124,'[3]Detailed Bin Table'!$A$9:$A$132,0),MATCH($B124,'[3]Detailed Bin Table'!$DB$9:$DI$9,0)))*24)</f>
        <v>#N/A</v>
      </c>
      <c r="P124" s="215"/>
      <c r="Q124" s="62"/>
      <c r="R124" s="63"/>
      <c r="S124" s="63"/>
      <c r="T124" s="63"/>
      <c r="U124" s="63"/>
      <c r="V124" s="63"/>
      <c r="W124" s="64"/>
      <c r="X124" s="63"/>
      <c r="Y124" s="63"/>
      <c r="Z124" s="63"/>
      <c r="AA124" s="65"/>
      <c r="AB124" s="213" t="e">
        <f>IF(SUM(E124:O124)='[1]Passage Estimates'!$D124, "Ok", "Check")</f>
        <v>#N/A</v>
      </c>
    </row>
    <row r="125" spans="1:28" x14ac:dyDescent="0.3">
      <c r="A125" s="20">
        <f>'1. Mixture Model Inputs'!A125</f>
        <v>45227</v>
      </c>
      <c r="B125" s="13">
        <f>'[1]Passage Estimates'!$C125</f>
        <v>0</v>
      </c>
      <c r="C125" s="206"/>
      <c r="D125" s="206"/>
      <c r="E125" s="34" t="e">
        <f>IF(B125="Custom", Q125, IF(B125="Imputation", INDEX('[3]Alt Est Detailed Bin Table'!$B$10:$M$132, MATCH(A125, '[3]Alt Est Detailed Bin Table'!$A$10:$A$132), MATCH(P125, '[3]Alt Est Detailed Bin Table'!$B$9:$M$9,0)), INDEX('[3]Detailed Bin Table'!$B$9:$M$132,MATCH($A125,'[3]Detailed Bin Table'!$A$9:$A$132,0),MATCH($B125,'[3]Detailed Bin Table'!$B$9:$M$9,0)))*24)</f>
        <v>#N/A</v>
      </c>
      <c r="F125" s="34" t="e">
        <f>IF(B125="Custom", Q125, IF(B125="Imputation", INDEX('[3]Alt Est Detailed Bin Table'!$N$10:$Y$132, MATCH(A125, '[3]Alt Est Detailed Bin Table'!$A$10:$A$132), MATCH(P125, '[3]Alt Est Detailed Bin Table'!$N$9:$Y$9,0)), INDEX('[3]Detailed Bin Table'!$N$9:$Y$132,MATCH($A125,'[3]Detailed Bin Table'!$A$9:$A$132,0),MATCH($B125,'[3]Detailed Bin Table'!$N$9:$Y$9,0)))*24)</f>
        <v>#N/A</v>
      </c>
      <c r="G125" s="34" t="e">
        <f>IF(B125="Custom", Q125, IF(B125="Imputation", INDEX('[3]Alt Est Detailed Bin Table'!$Z$10:$AK$132, MATCH(A125, '[3]Alt Est Detailed Bin Table'!$A$10:$A$132), MATCH(P125, '[3]Alt Est Detailed Bin Table'!$Z$9:$AK$9,0)), INDEX('[3]Detailed Bin Table'!$Z$9:$AK$132,MATCH($A125,'[3]Detailed Bin Table'!$A$9:$A$132,0),MATCH($B125,'[3]Detailed Bin Table'!$Z$9:$AK$9,0)))*24)</f>
        <v>#N/A</v>
      </c>
      <c r="H125" s="34" t="e">
        <f>IF(B125="Custom", Q125, IF(B125="Imputation", INDEX('[3]Alt Est Detailed Bin Table'!$AL$10:$AW$132, MATCH(A125, '[3]Alt Est Detailed Bin Table'!$A$10:$A$132), MATCH(P125, '[3]Alt Est Detailed Bin Table'!$AL$9:$AW$9,0)), INDEX('[3]Detailed Bin Table'!$AL$9:$AW$132,MATCH($A125,'[3]Detailed Bin Table'!$A$9:$A$132,0),MATCH($B125,'[3]Detailed Bin Table'!$AL$9:$AW$9,0)))*24)</f>
        <v>#N/A</v>
      </c>
      <c r="I125" s="34" t="e">
        <f>IF(B125="Custom", Q125, IF(B125="Imputation", INDEX('[3]Alt Est Detailed Bin Table'!$AX$10:$BI$132, MATCH(A125, '[3]Alt Est Detailed Bin Table'!$A$10:$A$132), MATCH(P125, '[3]Alt Est Detailed Bin Table'!$AX$9:$BI$9,0)), INDEX('[3]Detailed Bin Table'!$AX$9:$BI$132,MATCH($A125,'[3]Detailed Bin Table'!$A$9:$A$132,0),MATCH($B125,'[3]Detailed Bin Table'!$AX$9:$BI$9,0)))*24)</f>
        <v>#N/A</v>
      </c>
      <c r="J125" s="222" t="e">
        <f>IF(B125="Custom", Q125, IF(B125="Imputation", INDEX('[3]Alt Est Detailed Bin Table'!$BJ$10:$BO$132, MATCH(A125, '[3]Alt Est Detailed Bin Table'!$A$10:$A$132), MATCH(P125, '[3]Alt Est Detailed Bin Table'!$BJ$9:$BO$9,0)), INDEX('[3]Detailed Bin Table'!$BJ$9:$BO$132,MATCH($A125,'[3]Detailed Bin Table'!$A$9:$A$132,0),MATCH($B125,'[3]Detailed Bin Table'!$BJ$9:$BO$9,0)))*24)</f>
        <v>#N/A</v>
      </c>
      <c r="K125" s="33" t="e">
        <f>IF(B125="Custom", Q125, IF(B125="Imputation", INDEX('[3]Alt Est Detailed Bin Table'!$BP$10:$CC$132, MATCH(A125, '[3]Alt Est Detailed Bin Table'!$A$10:$A$132), MATCH(P125, '[3]Alt Est Detailed Bin Table'!$BP$9:$CC$9,0)), INDEX('[3]Detailed Bin Table'!$BP$9:$CC$132,MATCH($A125,'[3]Detailed Bin Table'!$A$9:$A$132,0),MATCH($B125,'[3]Detailed Bin Table'!$BP$9:$CC$9,0)))*24)</f>
        <v>#N/A</v>
      </c>
      <c r="L125" s="223" t="e">
        <f>IF(B125="Custom", Q125, IF(B125="Imputation", INDEX('[3]Alt Est Detailed Bin Table'!$CD$10:$CK$132, MATCH(A125, '[3]Alt Est Detailed Bin Table'!$A$10:$A$132), MATCH(P125, '[3]Alt Est Detailed Bin Table'!$CD$9:$CK$9,0)), INDEX('[3]Detailed Bin Table'!$CD$9:$CK$132,MATCH($A125,'[3]Detailed Bin Table'!$A$9:$A$132,0),MATCH($B125,'[3]Detailed Bin Table'!$CD$9:$CK$9,0)))*24)</f>
        <v>#N/A</v>
      </c>
      <c r="M125" s="34" t="e">
        <f>IF(B125="Custom", Q125, IF(B125="Imputation", INDEX('[3]Alt Est Detailed Bin Table'!$CL$10:$CS$132, MATCH(A125, '[3]Alt Est Detailed Bin Table'!$A$10:$A$132), MATCH(P125, '[3]Alt Est Detailed Bin Table'!$CL$9:$CS$9,0)), INDEX('[3]Detailed Bin Table'!$CL$9:$CS$132,MATCH($A125,'[3]Detailed Bin Table'!$A$9:$A$132,0),MATCH($B125,'[3]Detailed Bin Table'!$CL$9:$CS$9,0)))*24)</f>
        <v>#N/A</v>
      </c>
      <c r="N125" s="34" t="e">
        <f>IF(B125="Custom", Q125, IF(B125="Imputation", INDEX('[3]Alt Est Detailed Bin Table'!$CT$10:$DA$132, MATCH(A125, '[3]Alt Est Detailed Bin Table'!$A$10:$A$132), MATCH(P125, '[3]Alt Est Detailed Bin Table'!$CT$9:$DA$9,0)), INDEX('[3]Detailed Bin Table'!$CT$9:$DA$132,MATCH($A125,'[3]Detailed Bin Table'!$A$9:$A$132,0),MATCH($B125,'[3]Detailed Bin Table'!$CT$9:$DA$9,0)))*24)</f>
        <v>#N/A</v>
      </c>
      <c r="O125" s="222" t="e">
        <f>IF(B125="Custom", Q125, IF(B125="Imputation", INDEX('[3]Alt Est Detailed Bin Table'!$DB$10:$DI$132, MATCH(A125, '[3]Alt Est Detailed Bin Table'!$A$10:$A$132), MATCH(P125, '[3]Alt Est Detailed Bin Table'!$DB$9:$DI$9,0)), INDEX('[3]Detailed Bin Table'!$DB$9:$DI$132,MATCH($A125,'[3]Detailed Bin Table'!$A$9:$A$132,0),MATCH($B125,'[3]Detailed Bin Table'!$DB$9:$DI$9,0)))*24)</f>
        <v>#N/A</v>
      </c>
      <c r="P125" s="215"/>
      <c r="Q125" s="62"/>
      <c r="R125" s="63"/>
      <c r="S125" s="63"/>
      <c r="T125" s="63"/>
      <c r="U125" s="63"/>
      <c r="V125" s="63"/>
      <c r="W125" s="64"/>
      <c r="X125" s="63"/>
      <c r="Y125" s="63"/>
      <c r="Z125" s="63"/>
      <c r="AA125" s="65"/>
      <c r="AB125" s="213" t="e">
        <f>IF(SUM(E125:O125)='[1]Passage Estimates'!$D125, "Ok", "Check")</f>
        <v>#N/A</v>
      </c>
    </row>
    <row r="126" spans="1:28" x14ac:dyDescent="0.3">
      <c r="A126" s="20">
        <f>'1. Mixture Model Inputs'!A126</f>
        <v>45228</v>
      </c>
      <c r="B126" s="13">
        <f>'[1]Passage Estimates'!$C126</f>
        <v>0</v>
      </c>
      <c r="C126" s="206"/>
      <c r="D126" s="206"/>
      <c r="E126" s="34" t="e">
        <f>IF(B126="Custom", Q126, IF(B126="Imputation", INDEX('[3]Alt Est Detailed Bin Table'!$B$10:$M$132, MATCH(A126, '[3]Alt Est Detailed Bin Table'!$A$10:$A$132), MATCH(P126, '[3]Alt Est Detailed Bin Table'!$B$9:$M$9,0)), INDEX('[3]Detailed Bin Table'!$B$9:$M$132,MATCH($A126,'[3]Detailed Bin Table'!$A$9:$A$132,0),MATCH($B126,'[3]Detailed Bin Table'!$B$9:$M$9,0)))*24)</f>
        <v>#N/A</v>
      </c>
      <c r="F126" s="34" t="e">
        <f>IF(B126="Custom", Q126, IF(B126="Imputation", INDEX('[3]Alt Est Detailed Bin Table'!$N$10:$Y$132, MATCH(A126, '[3]Alt Est Detailed Bin Table'!$A$10:$A$132), MATCH(P126, '[3]Alt Est Detailed Bin Table'!$N$9:$Y$9,0)), INDEX('[3]Detailed Bin Table'!$N$9:$Y$132,MATCH($A126,'[3]Detailed Bin Table'!$A$9:$A$132,0),MATCH($B126,'[3]Detailed Bin Table'!$N$9:$Y$9,0)))*24)</f>
        <v>#N/A</v>
      </c>
      <c r="G126" s="34" t="e">
        <f>IF(B126="Custom", Q126, IF(B126="Imputation", INDEX('[3]Alt Est Detailed Bin Table'!$Z$10:$AK$132, MATCH(A126, '[3]Alt Est Detailed Bin Table'!$A$10:$A$132), MATCH(P126, '[3]Alt Est Detailed Bin Table'!$Z$9:$AK$9,0)), INDEX('[3]Detailed Bin Table'!$Z$9:$AK$132,MATCH($A126,'[3]Detailed Bin Table'!$A$9:$A$132,0),MATCH($B126,'[3]Detailed Bin Table'!$Z$9:$AK$9,0)))*24)</f>
        <v>#N/A</v>
      </c>
      <c r="H126" s="34" t="e">
        <f>IF(B126="Custom", Q126, IF(B126="Imputation", INDEX('[3]Alt Est Detailed Bin Table'!$AL$10:$AW$132, MATCH(A126, '[3]Alt Est Detailed Bin Table'!$A$10:$A$132), MATCH(P126, '[3]Alt Est Detailed Bin Table'!$AL$9:$AW$9,0)), INDEX('[3]Detailed Bin Table'!$AL$9:$AW$132,MATCH($A126,'[3]Detailed Bin Table'!$A$9:$A$132,0),MATCH($B126,'[3]Detailed Bin Table'!$AL$9:$AW$9,0)))*24)</f>
        <v>#N/A</v>
      </c>
      <c r="I126" s="34" t="e">
        <f>IF(B126="Custom", Q126, IF(B126="Imputation", INDEX('[3]Alt Est Detailed Bin Table'!$AX$10:$BI$132, MATCH(A126, '[3]Alt Est Detailed Bin Table'!$A$10:$A$132), MATCH(P126, '[3]Alt Est Detailed Bin Table'!$AX$9:$BI$9,0)), INDEX('[3]Detailed Bin Table'!$AX$9:$BI$132,MATCH($A126,'[3]Detailed Bin Table'!$A$9:$A$132,0),MATCH($B126,'[3]Detailed Bin Table'!$AX$9:$BI$9,0)))*24)</f>
        <v>#N/A</v>
      </c>
      <c r="J126" s="222" t="e">
        <f>IF(B126="Custom", Q126, IF(B126="Imputation", INDEX('[3]Alt Est Detailed Bin Table'!$BJ$10:$BO$132, MATCH(A126, '[3]Alt Est Detailed Bin Table'!$A$10:$A$132), MATCH(P126, '[3]Alt Est Detailed Bin Table'!$BJ$9:$BO$9,0)), INDEX('[3]Detailed Bin Table'!$BJ$9:$BO$132,MATCH($A126,'[3]Detailed Bin Table'!$A$9:$A$132,0),MATCH($B126,'[3]Detailed Bin Table'!$BJ$9:$BO$9,0)))*24)</f>
        <v>#N/A</v>
      </c>
      <c r="K126" s="33" t="e">
        <f>IF(B126="Custom", Q126, IF(B126="Imputation", INDEX('[3]Alt Est Detailed Bin Table'!$BP$10:$CC$132, MATCH(A126, '[3]Alt Est Detailed Bin Table'!$A$10:$A$132), MATCH(P126, '[3]Alt Est Detailed Bin Table'!$BP$9:$CC$9,0)), INDEX('[3]Detailed Bin Table'!$BP$9:$CC$132,MATCH($A126,'[3]Detailed Bin Table'!$A$9:$A$132,0),MATCH($B126,'[3]Detailed Bin Table'!$BP$9:$CC$9,0)))*24)</f>
        <v>#N/A</v>
      </c>
      <c r="L126" s="223" t="e">
        <f>IF(B126="Custom", Q126, IF(B126="Imputation", INDEX('[3]Alt Est Detailed Bin Table'!$CD$10:$CK$132, MATCH(A126, '[3]Alt Est Detailed Bin Table'!$A$10:$A$132), MATCH(P126, '[3]Alt Est Detailed Bin Table'!$CD$9:$CK$9,0)), INDEX('[3]Detailed Bin Table'!$CD$9:$CK$132,MATCH($A126,'[3]Detailed Bin Table'!$A$9:$A$132,0),MATCH($B126,'[3]Detailed Bin Table'!$CD$9:$CK$9,0)))*24)</f>
        <v>#N/A</v>
      </c>
      <c r="M126" s="34" t="e">
        <f>IF(B126="Custom", Q126, IF(B126="Imputation", INDEX('[3]Alt Est Detailed Bin Table'!$CL$10:$CS$132, MATCH(A126, '[3]Alt Est Detailed Bin Table'!$A$10:$A$132), MATCH(P126, '[3]Alt Est Detailed Bin Table'!$CL$9:$CS$9,0)), INDEX('[3]Detailed Bin Table'!$CL$9:$CS$132,MATCH($A126,'[3]Detailed Bin Table'!$A$9:$A$132,0),MATCH($B126,'[3]Detailed Bin Table'!$CL$9:$CS$9,0)))*24)</f>
        <v>#N/A</v>
      </c>
      <c r="N126" s="34" t="e">
        <f>IF(B126="Custom", Q126, IF(B126="Imputation", INDEX('[3]Alt Est Detailed Bin Table'!$CT$10:$DA$132, MATCH(A126, '[3]Alt Est Detailed Bin Table'!$A$10:$A$132), MATCH(P126, '[3]Alt Est Detailed Bin Table'!$CT$9:$DA$9,0)), INDEX('[3]Detailed Bin Table'!$CT$9:$DA$132,MATCH($A126,'[3]Detailed Bin Table'!$A$9:$A$132,0),MATCH($B126,'[3]Detailed Bin Table'!$CT$9:$DA$9,0)))*24)</f>
        <v>#N/A</v>
      </c>
      <c r="O126" s="222" t="e">
        <f>IF(B126="Custom", Q126, IF(B126="Imputation", INDEX('[3]Alt Est Detailed Bin Table'!$DB$10:$DI$132, MATCH(A126, '[3]Alt Est Detailed Bin Table'!$A$10:$A$132), MATCH(P126, '[3]Alt Est Detailed Bin Table'!$DB$9:$DI$9,0)), INDEX('[3]Detailed Bin Table'!$DB$9:$DI$132,MATCH($A126,'[3]Detailed Bin Table'!$A$9:$A$132,0),MATCH($B126,'[3]Detailed Bin Table'!$DB$9:$DI$9,0)))*24)</f>
        <v>#N/A</v>
      </c>
      <c r="P126" s="215"/>
      <c r="Q126" s="62"/>
      <c r="R126" s="63"/>
      <c r="S126" s="63"/>
      <c r="T126" s="63"/>
      <c r="U126" s="63"/>
      <c r="V126" s="63"/>
      <c r="W126" s="64"/>
      <c r="X126" s="63"/>
      <c r="Y126" s="63"/>
      <c r="Z126" s="63"/>
      <c r="AA126" s="65"/>
      <c r="AB126" s="213" t="e">
        <f>IF(SUM(E126:O126)='[1]Passage Estimates'!$D126, "Ok", "Check")</f>
        <v>#N/A</v>
      </c>
    </row>
    <row r="127" spans="1:28" x14ac:dyDescent="0.3">
      <c r="A127" s="20">
        <f>'1. Mixture Model Inputs'!A127</f>
        <v>45229</v>
      </c>
      <c r="B127" s="13">
        <f>'[1]Passage Estimates'!$C127</f>
        <v>0</v>
      </c>
      <c r="C127" s="206"/>
      <c r="D127" s="206"/>
      <c r="E127" s="34" t="e">
        <f>IF(B127="Custom", Q127, IF(B127="Imputation", INDEX('[3]Alt Est Detailed Bin Table'!$B$10:$M$132, MATCH(A127, '[3]Alt Est Detailed Bin Table'!$A$10:$A$132), MATCH(P127, '[3]Alt Est Detailed Bin Table'!$B$9:$M$9,0)), INDEX('[3]Detailed Bin Table'!$B$9:$M$132,MATCH($A127,'[3]Detailed Bin Table'!$A$9:$A$132,0),MATCH($B127,'[3]Detailed Bin Table'!$B$9:$M$9,0)))*24)</f>
        <v>#N/A</v>
      </c>
      <c r="F127" s="34" t="e">
        <f>IF(B127="Custom", Q127, IF(B127="Imputation", INDEX('[3]Alt Est Detailed Bin Table'!$N$10:$Y$132, MATCH(A127, '[3]Alt Est Detailed Bin Table'!$A$10:$A$132), MATCH(P127, '[3]Alt Est Detailed Bin Table'!$N$9:$Y$9,0)), INDEX('[3]Detailed Bin Table'!$N$9:$Y$132,MATCH($A127,'[3]Detailed Bin Table'!$A$9:$A$132,0),MATCH($B127,'[3]Detailed Bin Table'!$N$9:$Y$9,0)))*24)</f>
        <v>#N/A</v>
      </c>
      <c r="G127" s="34" t="e">
        <f>IF(B127="Custom", Q127, IF(B127="Imputation", INDEX('[3]Alt Est Detailed Bin Table'!$Z$10:$AK$132, MATCH(A127, '[3]Alt Est Detailed Bin Table'!$A$10:$A$132), MATCH(P127, '[3]Alt Est Detailed Bin Table'!$Z$9:$AK$9,0)), INDEX('[3]Detailed Bin Table'!$Z$9:$AK$132,MATCH($A127,'[3]Detailed Bin Table'!$A$9:$A$132,0),MATCH($B127,'[3]Detailed Bin Table'!$Z$9:$AK$9,0)))*24)</f>
        <v>#N/A</v>
      </c>
      <c r="H127" s="34" t="e">
        <f>IF(B127="Custom", Q127, IF(B127="Imputation", INDEX('[3]Alt Est Detailed Bin Table'!$AL$10:$AW$132, MATCH(A127, '[3]Alt Est Detailed Bin Table'!$A$10:$A$132), MATCH(P127, '[3]Alt Est Detailed Bin Table'!$AL$9:$AW$9,0)), INDEX('[3]Detailed Bin Table'!$AL$9:$AW$132,MATCH($A127,'[3]Detailed Bin Table'!$A$9:$A$132,0),MATCH($B127,'[3]Detailed Bin Table'!$AL$9:$AW$9,0)))*24)</f>
        <v>#N/A</v>
      </c>
      <c r="I127" s="34" t="e">
        <f>IF(B127="Custom", Q127, IF(B127="Imputation", INDEX('[3]Alt Est Detailed Bin Table'!$AX$10:$BI$132, MATCH(A127, '[3]Alt Est Detailed Bin Table'!$A$10:$A$132), MATCH(P127, '[3]Alt Est Detailed Bin Table'!$AX$9:$BI$9,0)), INDEX('[3]Detailed Bin Table'!$AX$9:$BI$132,MATCH($A127,'[3]Detailed Bin Table'!$A$9:$A$132,0),MATCH($B127,'[3]Detailed Bin Table'!$AX$9:$BI$9,0)))*24)</f>
        <v>#N/A</v>
      </c>
      <c r="J127" s="222" t="e">
        <f>IF(B127="Custom", Q127, IF(B127="Imputation", INDEX('[3]Alt Est Detailed Bin Table'!$BJ$10:$BO$132, MATCH(A127, '[3]Alt Est Detailed Bin Table'!$A$10:$A$132), MATCH(P127, '[3]Alt Est Detailed Bin Table'!$BJ$9:$BO$9,0)), INDEX('[3]Detailed Bin Table'!$BJ$9:$BO$132,MATCH($A127,'[3]Detailed Bin Table'!$A$9:$A$132,0),MATCH($B127,'[3]Detailed Bin Table'!$BJ$9:$BO$9,0)))*24)</f>
        <v>#N/A</v>
      </c>
      <c r="K127" s="33" t="e">
        <f>IF(B127="Custom", Q127, IF(B127="Imputation", INDEX('[3]Alt Est Detailed Bin Table'!$BP$10:$CC$132, MATCH(A127, '[3]Alt Est Detailed Bin Table'!$A$10:$A$132), MATCH(P127, '[3]Alt Est Detailed Bin Table'!$BP$9:$CC$9,0)), INDEX('[3]Detailed Bin Table'!$BP$9:$CC$132,MATCH($A127,'[3]Detailed Bin Table'!$A$9:$A$132,0),MATCH($B127,'[3]Detailed Bin Table'!$BP$9:$CC$9,0)))*24)</f>
        <v>#N/A</v>
      </c>
      <c r="L127" s="223" t="e">
        <f>IF(B127="Custom", Q127, IF(B127="Imputation", INDEX('[3]Alt Est Detailed Bin Table'!$CD$10:$CK$132, MATCH(A127, '[3]Alt Est Detailed Bin Table'!$A$10:$A$132), MATCH(P127, '[3]Alt Est Detailed Bin Table'!$CD$9:$CK$9,0)), INDEX('[3]Detailed Bin Table'!$CD$9:$CK$132,MATCH($A127,'[3]Detailed Bin Table'!$A$9:$A$132,0),MATCH($B127,'[3]Detailed Bin Table'!$CD$9:$CK$9,0)))*24)</f>
        <v>#N/A</v>
      </c>
      <c r="M127" s="34" t="e">
        <f>IF(B127="Custom", Q127, IF(B127="Imputation", INDEX('[3]Alt Est Detailed Bin Table'!$CL$10:$CS$132, MATCH(A127, '[3]Alt Est Detailed Bin Table'!$A$10:$A$132), MATCH(P127, '[3]Alt Est Detailed Bin Table'!$CL$9:$CS$9,0)), INDEX('[3]Detailed Bin Table'!$CL$9:$CS$132,MATCH($A127,'[3]Detailed Bin Table'!$A$9:$A$132,0),MATCH($B127,'[3]Detailed Bin Table'!$CL$9:$CS$9,0)))*24)</f>
        <v>#N/A</v>
      </c>
      <c r="N127" s="34" t="e">
        <f>IF(B127="Custom", Q127, IF(B127="Imputation", INDEX('[3]Alt Est Detailed Bin Table'!$CT$10:$DA$132, MATCH(A127, '[3]Alt Est Detailed Bin Table'!$A$10:$A$132), MATCH(P127, '[3]Alt Est Detailed Bin Table'!$CT$9:$DA$9,0)), INDEX('[3]Detailed Bin Table'!$CT$9:$DA$132,MATCH($A127,'[3]Detailed Bin Table'!$A$9:$A$132,0),MATCH($B127,'[3]Detailed Bin Table'!$CT$9:$DA$9,0)))*24)</f>
        <v>#N/A</v>
      </c>
      <c r="O127" s="222" t="e">
        <f>IF(B127="Custom", Q127, IF(B127="Imputation", INDEX('[3]Alt Est Detailed Bin Table'!$DB$10:$DI$132, MATCH(A127, '[3]Alt Est Detailed Bin Table'!$A$10:$A$132), MATCH(P127, '[3]Alt Est Detailed Bin Table'!$DB$9:$DI$9,0)), INDEX('[3]Detailed Bin Table'!$DB$9:$DI$132,MATCH($A127,'[3]Detailed Bin Table'!$A$9:$A$132,0),MATCH($B127,'[3]Detailed Bin Table'!$DB$9:$DI$9,0)))*24)</f>
        <v>#N/A</v>
      </c>
      <c r="P127" s="215"/>
      <c r="Q127" s="62"/>
      <c r="R127" s="63"/>
      <c r="S127" s="63"/>
      <c r="T127" s="63"/>
      <c r="U127" s="63"/>
      <c r="V127" s="63"/>
      <c r="W127" s="64"/>
      <c r="X127" s="63"/>
      <c r="Y127" s="63"/>
      <c r="Z127" s="63"/>
      <c r="AA127" s="65"/>
      <c r="AB127" s="213" t="e">
        <f>IF(SUM(E127:O127)='[1]Passage Estimates'!$D127, "Ok", "Check")</f>
        <v>#N/A</v>
      </c>
    </row>
    <row r="128" spans="1:28" ht="15" thickBot="1" x14ac:dyDescent="0.35">
      <c r="A128" s="21">
        <f>'1. Mixture Model Inputs'!A128</f>
        <v>45230</v>
      </c>
      <c r="B128" s="16">
        <f>'[1]Passage Estimates'!$C128</f>
        <v>0</v>
      </c>
      <c r="C128" s="210"/>
      <c r="D128" s="210"/>
      <c r="E128" s="211" t="e">
        <f>IF(B128="Custom", Q128, IF(B128="Imputation", INDEX('[3]Alt Est Detailed Bin Table'!$B$10:$M$132, MATCH(A128, '[3]Alt Est Detailed Bin Table'!$A$10:$A$132), MATCH(P128, '[3]Alt Est Detailed Bin Table'!$B$9:$M$9,0)), INDEX('[3]Detailed Bin Table'!$B$9:$M$132,MATCH($A128,'[3]Detailed Bin Table'!$A$9:$A$132,0),MATCH($B128,'[3]Detailed Bin Table'!$B$9:$M$9,0)))*24)</f>
        <v>#N/A</v>
      </c>
      <c r="F128" s="211" t="e">
        <f>IF(B128="Custom", Q128, IF(B128="Imputation", INDEX('[3]Alt Est Detailed Bin Table'!$N$10:$Y$132, MATCH(A128, '[3]Alt Est Detailed Bin Table'!$A$10:$A$132), MATCH(P128, '[3]Alt Est Detailed Bin Table'!$N$9:$Y$9,0)), INDEX('[3]Detailed Bin Table'!$N$9:$Y$132,MATCH($A128,'[3]Detailed Bin Table'!$A$9:$A$132,0),MATCH($B128,'[3]Detailed Bin Table'!$N$9:$Y$9,0)))*24)</f>
        <v>#N/A</v>
      </c>
      <c r="G128" s="211" t="e">
        <f>IF(B128="Custom", Q128, IF(B128="Imputation", INDEX('[3]Alt Est Detailed Bin Table'!$Z$10:$AK$132, MATCH(A128, '[3]Alt Est Detailed Bin Table'!$A$10:$A$132), MATCH(P128, '[3]Alt Est Detailed Bin Table'!$Z$9:$AK$9,0)), INDEX('[3]Detailed Bin Table'!$Z$9:$AK$132,MATCH($A128,'[3]Detailed Bin Table'!$A$9:$A$132,0),MATCH($B128,'[3]Detailed Bin Table'!$Z$9:$AK$9,0)))*24)</f>
        <v>#N/A</v>
      </c>
      <c r="H128" s="211" t="e">
        <f>IF(B128="Custom", Q128, IF(B128="Imputation", INDEX('[3]Alt Est Detailed Bin Table'!$AL$10:$AW$132, MATCH(A128, '[3]Alt Est Detailed Bin Table'!$A$10:$A$132), MATCH(P128, '[3]Alt Est Detailed Bin Table'!$AL$9:$AW$9,0)), INDEX('[3]Detailed Bin Table'!$AL$9:$AW$132,MATCH($A128,'[3]Detailed Bin Table'!$A$9:$A$132,0),MATCH($B128,'[3]Detailed Bin Table'!$AL$9:$AW$9,0)))*24)</f>
        <v>#N/A</v>
      </c>
      <c r="I128" s="211" t="e">
        <f>IF(B128="Custom", Q128, IF(B128="Imputation", INDEX('[3]Alt Est Detailed Bin Table'!$AX$10:$BI$132, MATCH(A128, '[3]Alt Est Detailed Bin Table'!$A$10:$A$132), MATCH(P128, '[3]Alt Est Detailed Bin Table'!$AX$9:$BI$9,0)), INDEX('[3]Detailed Bin Table'!$AX$9:$BI$132,MATCH($A128,'[3]Detailed Bin Table'!$A$9:$A$132,0),MATCH($B128,'[3]Detailed Bin Table'!$AX$9:$BI$9,0)))*24)</f>
        <v>#N/A</v>
      </c>
      <c r="J128" s="218" t="e">
        <f>IF(B128="Custom", Q128, IF(B128="Imputation", INDEX('[3]Alt Est Detailed Bin Table'!$BJ$10:$BO$132, MATCH(A128, '[3]Alt Est Detailed Bin Table'!$A$10:$A$132), MATCH(P128, '[3]Alt Est Detailed Bin Table'!$BJ$9:$BO$9,0)), INDEX('[3]Detailed Bin Table'!$BJ$9:$BO$132,MATCH($A128,'[3]Detailed Bin Table'!$A$9:$A$132,0),MATCH($B128,'[3]Detailed Bin Table'!$BJ$9:$BO$9,0)))*24)</f>
        <v>#N/A</v>
      </c>
      <c r="K128" s="212" t="e">
        <f>IF(B128="Custom", Q128, IF(B128="Imputation", INDEX('[3]Alt Est Detailed Bin Table'!$BP$10:$CC$132, MATCH(A128, '[3]Alt Est Detailed Bin Table'!$A$10:$A$132), MATCH(P128, '[3]Alt Est Detailed Bin Table'!$BP$9:$CC$9,0)), INDEX('[3]Detailed Bin Table'!$BP$9:$CC$132,MATCH($A128,'[3]Detailed Bin Table'!$A$9:$A$132,0),MATCH($B128,'[3]Detailed Bin Table'!$BP$9:$CC$9,0)))*24)</f>
        <v>#N/A</v>
      </c>
      <c r="L128" s="217" t="e">
        <f>IF(B128="Custom", Q128, IF(B128="Imputation", INDEX('[3]Alt Est Detailed Bin Table'!$CD$10:$CK$132, MATCH(A128, '[3]Alt Est Detailed Bin Table'!$A$10:$A$132), MATCH(P128, '[3]Alt Est Detailed Bin Table'!$CD$9:$CK$9,0)), INDEX('[3]Detailed Bin Table'!$CD$9:$CK$132,MATCH($A128,'[3]Detailed Bin Table'!$A$9:$A$132,0),MATCH($B128,'[3]Detailed Bin Table'!$CD$9:$CK$9,0)))*24)</f>
        <v>#N/A</v>
      </c>
      <c r="M128" s="211" t="e">
        <f>IF(B128="Custom", Q128, IF(B128="Imputation", INDEX('[3]Alt Est Detailed Bin Table'!$CL$10:$CS$132, MATCH(A128, '[3]Alt Est Detailed Bin Table'!$A$10:$A$132), MATCH(P128, '[3]Alt Est Detailed Bin Table'!$CL$9:$CS$9,0)), INDEX('[3]Detailed Bin Table'!$CL$9:$CS$132,MATCH($A128,'[3]Detailed Bin Table'!$A$9:$A$132,0),MATCH($B128,'[3]Detailed Bin Table'!$CL$9:$CS$9,0)))*24)</f>
        <v>#N/A</v>
      </c>
      <c r="N128" s="211" t="e">
        <f>IF(B128="Custom", Q128, IF(B128="Imputation", INDEX('[3]Alt Est Detailed Bin Table'!$CT$10:$DA$132, MATCH(A128, '[3]Alt Est Detailed Bin Table'!$A$10:$A$132), MATCH(P128, '[3]Alt Est Detailed Bin Table'!$CT$9:$DA$9,0)), INDEX('[3]Detailed Bin Table'!$CT$9:$DA$132,MATCH($A128,'[3]Detailed Bin Table'!$A$9:$A$132,0),MATCH($B128,'[3]Detailed Bin Table'!$CT$9:$DA$9,0)))*24)</f>
        <v>#N/A</v>
      </c>
      <c r="O128" s="218" t="e">
        <f>IF(B128="Custom", Q128, IF(B128="Imputation", INDEX('[3]Alt Est Detailed Bin Table'!$DB$10:$DI$132, MATCH(A128, '[3]Alt Est Detailed Bin Table'!$A$10:$A$132), MATCH(P128, '[3]Alt Est Detailed Bin Table'!$DB$9:$DI$9,0)), INDEX('[3]Detailed Bin Table'!$DB$9:$DI$132,MATCH($A128,'[3]Detailed Bin Table'!$A$9:$A$132,0),MATCH($B128,'[3]Detailed Bin Table'!$DB$9:$DI$9,0)))*24)</f>
        <v>#N/A</v>
      </c>
      <c r="P128" s="216"/>
      <c r="Q128" s="66"/>
      <c r="R128" s="67"/>
      <c r="S128" s="67"/>
      <c r="T128" s="67"/>
      <c r="U128" s="67"/>
      <c r="V128" s="67"/>
      <c r="W128" s="68"/>
      <c r="X128" s="67"/>
      <c r="Y128" s="67"/>
      <c r="Z128" s="67"/>
      <c r="AA128" s="69"/>
      <c r="AB128" s="214" t="e">
        <f>IF(SUM(E128:O128)='[1]Passage Estimates'!$D128, "Ok", "Check")</f>
        <v>#N/A</v>
      </c>
    </row>
    <row r="129" spans="1:12" x14ac:dyDescent="0.3">
      <c r="A129" s="1"/>
      <c r="L129" s="72"/>
    </row>
    <row r="130" spans="1:12" x14ac:dyDescent="0.3">
      <c r="A130" s="1"/>
    </row>
    <row r="131" spans="1:12" x14ac:dyDescent="0.3">
      <c r="A131" s="1"/>
    </row>
    <row r="132" spans="1:12" x14ac:dyDescent="0.3">
      <c r="A132" s="1"/>
    </row>
    <row r="133" spans="1:12" x14ac:dyDescent="0.3">
      <c r="A133" s="1"/>
    </row>
    <row r="134" spans="1:12" x14ac:dyDescent="0.3">
      <c r="A134" s="1"/>
    </row>
    <row r="135" spans="1:12" x14ac:dyDescent="0.3">
      <c r="A135" s="1"/>
    </row>
    <row r="136" spans="1:12" x14ac:dyDescent="0.3">
      <c r="A136" s="1"/>
    </row>
    <row r="137" spans="1:12" x14ac:dyDescent="0.3">
      <c r="A137" s="1"/>
    </row>
    <row r="138" spans="1:12" x14ac:dyDescent="0.3">
      <c r="A138" s="1"/>
    </row>
    <row r="139" spans="1:12" x14ac:dyDescent="0.3">
      <c r="A139" s="1"/>
    </row>
    <row r="140" spans="1:12" x14ac:dyDescent="0.3">
      <c r="A140" s="1"/>
    </row>
    <row r="141" spans="1:12" x14ac:dyDescent="0.3">
      <c r="A141" s="1"/>
    </row>
    <row r="142" spans="1:12" x14ac:dyDescent="0.3">
      <c r="A142" s="1"/>
    </row>
    <row r="143" spans="1:12" x14ac:dyDescent="0.3">
      <c r="A143" s="1"/>
    </row>
    <row r="144" spans="1:12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</sheetData>
  <mergeCells count="11">
    <mergeCell ref="AB4:AB5"/>
    <mergeCell ref="Q4:V4"/>
    <mergeCell ref="W4:W5"/>
    <mergeCell ref="Q3:AA3"/>
    <mergeCell ref="A1:O1"/>
    <mergeCell ref="K4:K5"/>
    <mergeCell ref="B4:B5"/>
    <mergeCell ref="C4:J4"/>
    <mergeCell ref="P4:P5"/>
    <mergeCell ref="L4:O4"/>
    <mergeCell ref="X4:AA4"/>
  </mergeCells>
  <phoneticPr fontId="2" type="noConversion"/>
  <conditionalFormatting sqref="E6:E128">
    <cfRule type="expression" dxfId="30" priority="3">
      <formula>ABS(SUM($C6:$D6)-$E6) &gt;1</formula>
    </cfRule>
  </conditionalFormatting>
  <conditionalFormatting sqref="AB6:AB128">
    <cfRule type="containsText" dxfId="29" priority="1" operator="containsText" text="Check">
      <formula>NOT(ISERROR(SEARCH("Check",AB6)))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E428-2E4B-44FF-B67C-7AD80C7E7A38}">
  <sheetPr codeName="Sheet3">
    <tabColor theme="7" tint="0.59999389629810485"/>
  </sheetPr>
  <dimension ref="A1:AG128"/>
  <sheetViews>
    <sheetView topLeftCell="A83" workbookViewId="0">
      <selection activeCell="B100" sqref="B100"/>
    </sheetView>
  </sheetViews>
  <sheetFormatPr defaultRowHeight="14.4" x14ac:dyDescent="0.3"/>
  <cols>
    <col min="1" max="1" width="12.44140625" bestFit="1" customWidth="1"/>
    <col min="2" max="2" width="17.44140625" customWidth="1"/>
    <col min="3" max="3" width="8.6640625" customWidth="1"/>
    <col min="4" max="4" width="10.44140625" customWidth="1"/>
    <col min="5" max="5" width="11.33203125" customWidth="1"/>
    <col min="6" max="6" width="10" customWidth="1"/>
    <col min="7" max="8" width="8.88671875" customWidth="1"/>
    <col min="9" max="9" width="10.109375" customWidth="1"/>
    <col min="10" max="11" width="8.88671875" customWidth="1"/>
    <col min="12" max="12" width="12.33203125" customWidth="1"/>
    <col min="13" max="15" width="8.88671875" customWidth="1"/>
    <col min="16" max="17" width="8.6640625" bestFit="1" customWidth="1"/>
    <col min="18" max="18" width="12.109375" customWidth="1"/>
    <col min="29" max="30" width="11.5546875" customWidth="1"/>
    <col min="31" max="32" width="8.88671875" customWidth="1"/>
    <col min="33" max="33" width="11.5546875" customWidth="1"/>
  </cols>
  <sheetData>
    <row r="1" spans="1:33" ht="28.8" x14ac:dyDescent="0.55000000000000004">
      <c r="A1" s="49" t="s">
        <v>45</v>
      </c>
    </row>
    <row r="2" spans="1:33" ht="15" thickBot="1" x14ac:dyDescent="0.35"/>
    <row r="3" spans="1:33" ht="21.6" thickBot="1" x14ac:dyDescent="0.45">
      <c r="AC3" s="266" t="s">
        <v>20</v>
      </c>
      <c r="AD3" s="267"/>
      <c r="AE3" s="267"/>
      <c r="AF3" s="267"/>
      <c r="AG3" s="268"/>
    </row>
    <row r="4" spans="1:33" ht="18" x14ac:dyDescent="0.35">
      <c r="A4" s="260" t="s">
        <v>0</v>
      </c>
      <c r="B4" s="262" t="s">
        <v>44</v>
      </c>
      <c r="C4" s="264" t="s">
        <v>40</v>
      </c>
      <c r="D4" s="248" t="s">
        <v>46</v>
      </c>
      <c r="E4" s="248"/>
      <c r="F4" s="227"/>
      <c r="G4" s="255" t="s">
        <v>16</v>
      </c>
      <c r="H4" s="248"/>
      <c r="I4" s="248"/>
      <c r="J4" s="248"/>
      <c r="K4" s="248"/>
      <c r="L4" s="248"/>
      <c r="M4" s="248"/>
      <c r="N4" s="248"/>
      <c r="O4" s="248"/>
      <c r="P4" s="255" t="s">
        <v>17</v>
      </c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69" t="s">
        <v>19</v>
      </c>
      <c r="AD4" s="269" t="s">
        <v>22</v>
      </c>
      <c r="AE4" s="255" t="s">
        <v>23</v>
      </c>
      <c r="AF4" s="248"/>
      <c r="AG4" s="227"/>
    </row>
    <row r="5" spans="1:33" ht="47.25" customHeight="1" thickBot="1" x14ac:dyDescent="0.35">
      <c r="A5" s="261"/>
      <c r="B5" s="263"/>
      <c r="C5" s="265"/>
      <c r="D5" s="53" t="s">
        <v>41</v>
      </c>
      <c r="E5" s="53" t="s">
        <v>43</v>
      </c>
      <c r="F5" s="54" t="s">
        <v>42</v>
      </c>
      <c r="G5" s="26" t="s">
        <v>54</v>
      </c>
      <c r="H5" s="26" t="s">
        <v>55</v>
      </c>
      <c r="I5" s="26" t="s">
        <v>106</v>
      </c>
      <c r="J5" s="26" t="s">
        <v>8</v>
      </c>
      <c r="K5" s="26" t="s">
        <v>9</v>
      </c>
      <c r="L5" s="157" t="s">
        <v>33</v>
      </c>
      <c r="M5" s="27" t="s">
        <v>13</v>
      </c>
      <c r="N5" s="27" t="s">
        <v>14</v>
      </c>
      <c r="O5" s="28" t="s">
        <v>15</v>
      </c>
      <c r="P5" s="26" t="s">
        <v>54</v>
      </c>
      <c r="Q5" s="26" t="s">
        <v>55</v>
      </c>
      <c r="R5" s="26" t="s">
        <v>106</v>
      </c>
      <c r="S5" s="29" t="s">
        <v>8</v>
      </c>
      <c r="T5" s="29" t="s">
        <v>9</v>
      </c>
      <c r="U5" s="29" t="s">
        <v>102</v>
      </c>
      <c r="V5" s="29" t="s">
        <v>103</v>
      </c>
      <c r="W5" s="29" t="s">
        <v>104</v>
      </c>
      <c r="X5" s="30" t="s">
        <v>18</v>
      </c>
      <c r="Y5" s="27" t="s">
        <v>163</v>
      </c>
      <c r="Z5" s="27" t="s">
        <v>15</v>
      </c>
      <c r="AA5" s="27" t="s">
        <v>14</v>
      </c>
      <c r="AB5" s="27" t="s">
        <v>13</v>
      </c>
      <c r="AC5" s="270"/>
      <c r="AD5" s="270"/>
      <c r="AE5" s="11" t="s">
        <v>24</v>
      </c>
      <c r="AF5" s="158" t="s">
        <v>25</v>
      </c>
      <c r="AG5" s="8" t="s">
        <v>26</v>
      </c>
    </row>
    <row r="6" spans="1:33" ht="18.75" customHeight="1" x14ac:dyDescent="0.3">
      <c r="A6" s="5">
        <f>'1. Mixture Model Inputs'!A6</f>
        <v>45108</v>
      </c>
      <c r="B6" s="55" t="s">
        <v>43</v>
      </c>
      <c r="C6" s="60">
        <f>INDEX($D$6:$F$128, MATCH(A6, $A$6:$A$128, 0), MATCH(B6, $D$5:$F$5,0 ))</f>
        <v>1853.6406643074374</v>
      </c>
      <c r="D6" s="56">
        <f>'Chinook All Ages Proportions'!Y6</f>
        <v>1843.9826507285093</v>
      </c>
      <c r="E6" s="56">
        <f>'Chinook Adult Proportions'!Y6</f>
        <v>1853.6406643074374</v>
      </c>
      <c r="F6" s="57">
        <f>'Chinook Jack Proportions'!Y6</f>
        <v>0</v>
      </c>
      <c r="G6" s="71">
        <f>IF($B6="Jacks Only",'Chinook Jack Proportions'!C6,IF('3. Select Chinook Method'!$B6="Adults Only",'Chinook Adult Proportions'!C6,'Chinook All Ages Proportions'!C6))</f>
        <v>0</v>
      </c>
      <c r="H6" s="71">
        <f>IF($B6="Jacks Only",'Chinook Jack Proportions'!D6,IF('3. Select Chinook Method'!$B6="Adults Only",'Chinook Adult Proportions'!D6,'Chinook All Ages Proportions'!D6))</f>
        <v>0</v>
      </c>
      <c r="I6" s="71">
        <f>IF($B6="Jacks Only",'Chinook Jack Proportions'!E6,IF('3. Select Chinook Method'!$B6="Adults Only",'Chinook Adult Proportions'!E6,'Chinook All Ages Proportions'!E6))</f>
        <v>0</v>
      </c>
      <c r="J6" s="71">
        <f>IF($B6="Jacks Only",'Chinook Jack Proportions'!F6,IF('3. Select Chinook Method'!$B6="Adults Only",'Chinook Adult Proportions'!F6,'Chinook All Ages Proportions'!F6))</f>
        <v>0.19155639571518587</v>
      </c>
      <c r="K6" s="71">
        <f>IF($B6="Jacks Only",'Chinook Jack Proportions'!G6,IF('3. Select Chinook Method'!$B6="Adults Only",'Chinook Adult Proportions'!G6,'Chinook All Ages Proportions'!G6))</f>
        <v>0.87786824574389344</v>
      </c>
      <c r="L6" s="24">
        <f>IF($B6="Jacks Only",'Chinook Jack Proportions'!H6,IF('3. Select Chinook Method'!$B6="Adults Only",'Chinook Adult Proportions'!H6,'Chinook All Ages Proportions'!H6))</f>
        <v>0.5</v>
      </c>
      <c r="M6" s="71">
        <f>IF($B6="Jacks Only",'Chinook Jack Proportions'!I6,IF('3. Select Chinook Method'!$B6="Adults Only",'Chinook Adult Proportions'!I6,'Chinook All Ages Proportions'!I6))</f>
        <v>0</v>
      </c>
      <c r="N6" s="71">
        <f>IF($B6="Jacks Only",'Chinook Jack Proportions'!J6,IF('3. Select Chinook Method'!$B6="Adults Only",'Chinook Adult Proportions'!J6,'Chinook All Ages Proportions'!J6))</f>
        <v>0.52689873417721522</v>
      </c>
      <c r="O6" s="23">
        <f>IF($B6="Jacks Only",'Chinook Jack Proportions'!K6,IF('3. Select Chinook Method'!$B6="Adults Only",'Chinook Adult Proportions'!K6,'Chinook All Ages Proportions'!K6))</f>
        <v>0.29444208739923633</v>
      </c>
      <c r="P6" s="76">
        <f>IF($B6="Jacks Only",'Chinook Jack Proportions'!L6,IF('3. Select Chinook Method'!$B6="Adults Only",'Chinook Adult Proportions'!L6,'Chinook All Ages Proportions'!L6))</f>
        <v>0</v>
      </c>
      <c r="Q6" s="76">
        <f>IF($B6="Jacks Only",'Chinook Jack Proportions'!M6,IF('3. Select Chinook Method'!$B6="Adults Only",'Chinook Adult Proportions'!M6,'Chinook All Ages Proportions'!M6))</f>
        <v>0</v>
      </c>
      <c r="R6" s="76">
        <f>IF($B6="Jacks Only",'Chinook Jack Proportions'!X6,IF('3. Select Chinook Method'!$B6="Adults Only",'Chinook Adult Proportions'!X6,'Chinook All Ages Proportions'!X6))</f>
        <v>0</v>
      </c>
      <c r="S6" s="76">
        <f>IF($B6="Jacks Only",'Chinook Jack Proportions'!N6,IF('3. Select Chinook Method'!$B6="Adults Only",'Chinook Adult Proportions'!N6,'Chinook All Ages Proportions'!N6))</f>
        <v>76.913724007561427</v>
      </c>
      <c r="T6" s="76">
        <f>IF($B6="Jacks Only",'Chinook Jack Proportions'!O6,IF('3. Select Chinook Method'!$B6="Adults Only",'Chinook Adult Proportions'!O6,'Chinook All Ages Proportions'!O6))</f>
        <v>226.70069578090306</v>
      </c>
      <c r="U6" s="76">
        <f>IF($B6="Jacks Only",'Chinook Jack Proportions'!P6,IF('3. Select Chinook Method'!$B6="Adults Only",'Chinook Adult Proportions'!P6,'Chinook All Ages Proportions'!P6))</f>
        <v>235.12823094004446</v>
      </c>
      <c r="V6" s="76">
        <f>IF($B6="Jacks Only",'Chinook Jack Proportions'!Q6,IF('3. Select Chinook Method'!$B6="Adults Only",'Chinook Adult Proportions'!Q6,'Chinook All Ages Proportions'!Q6))</f>
        <v>0</v>
      </c>
      <c r="W6" s="76">
        <f>IF($B6="Jacks Only",'Chinook Jack Proportions'!R6,IF('3. Select Chinook Method'!$B6="Adults Only",'Chinook Adult Proportions'!R6,'Chinook All Ages Proportions'!R6))</f>
        <v>0</v>
      </c>
      <c r="X6" s="56">
        <f>IF(B6="Jacks Only",'Chinook Jack Proportions'!S6,IF(B6="Adults Only",'Chinook Adult Proportions'!S6,'Chinook All Ages Proportions'!S6))</f>
        <v>1305.2400000000005</v>
      </c>
      <c r="Y6" s="56">
        <f>IF($B6="Jacks Only",'Chinook Jack Proportions'!T6,IF('3. Select Chinook Method'!$B6="Adults Only",'Chinook Adult Proportions'!T6,'Chinook All Ages Proportions'!T6))</f>
        <v>0.39920722841279693</v>
      </c>
      <c r="Z6" s="56">
        <f>IF($B6="Jacks Only",'Chinook Jack Proportions'!U6,IF('3. Select Chinook Method'!$B6="Adults Only",'Chinook Adult Proportions'!U6,'Chinook All Ages Proportions'!U6))</f>
        <v>0.39920722841279693</v>
      </c>
      <c r="AA6" s="56">
        <f>IF($B6="Jacks Only",'Chinook Jack Proportions'!V6,IF('3. Select Chinook Method'!$B6="Adults Only",'Chinook Adult Proportions'!V6,'Chinook All Ages Proportions'!V6))</f>
        <v>8.859599122102841</v>
      </c>
      <c r="AB6" s="56">
        <f>IF($B6="Jacks Only",'Chinook Jack Proportions'!W6,IF('3. Select Chinook Method'!$B6="Adults Only",'Chinook Adult Proportions'!W6,'Chinook All Ages Proportions'!W6))</f>
        <v>0</v>
      </c>
      <c r="AC6" s="41">
        <f>IF(B6="Jacks Only",'Chinook Jack Proportions'!Y6,IF('3. Select Chinook Method'!B6="Adults Only",'Chinook Adult Proportions'!Y6,'Chinook All Ages Proportions'!Y6))</f>
        <v>1853.6406643074374</v>
      </c>
      <c r="AD6" s="42">
        <f>IF(B6="Jacks Only",'Chinook Jack Proportions'!Z6,IF('3. Select Chinook Method'!B6="Adults Only",'Chinook Adult Proportions'!Z6,'Chinook All Ages Proportions'!Z6))</f>
        <v>0.41208238748209425</v>
      </c>
      <c r="AE6" s="43">
        <f>IF($B6="Jacks Only",'Chinook Jack Proportions'!AA6,IF('3. Select Chinook Method'!$B6="Adults Only",'Chinook Adult Proportions'!AA6,'Chinook All Ages Proportions'!AA6))</f>
        <v>0.44734177853768836</v>
      </c>
      <c r="AF6" s="42">
        <f>IF($B6="Jacks Only",'Chinook Jack Proportions'!AB6,IF('3. Select Chinook Method'!$B6="Adults Only",'Chinook Adult Proportions'!AB6,'Chinook All Ages Proportions'!AB6))</f>
        <v>0.5</v>
      </c>
      <c r="AG6" s="44">
        <f>IF($B6="Jacks Only",'Chinook Jack Proportions'!AC6,IF('3. Select Chinook Method'!$B6="Adults Only",'Chinook Adult Proportions'!AC6,'Chinook All Ages Proportions'!AC6))</f>
        <v>0.49461735982464211</v>
      </c>
    </row>
    <row r="7" spans="1:33" x14ac:dyDescent="0.3">
      <c r="A7" s="5">
        <f>'1. Mixture Model Inputs'!A7</f>
        <v>45109</v>
      </c>
      <c r="B7" s="55" t="s">
        <v>43</v>
      </c>
      <c r="C7" s="60">
        <f t="shared" ref="C7:C70" si="0">INDEX($D$6:$F$128, MATCH(A7, $A$6:$A$128, 0), MATCH(B7, $D$5:$F$5,0 ))</f>
        <v>2303.3805048572058</v>
      </c>
      <c r="D7" s="56">
        <f>'Chinook All Ages Proportions'!Y7</f>
        <v>2296.3018505481091</v>
      </c>
      <c r="E7" s="56">
        <f>'Chinook Adult Proportions'!Y7</f>
        <v>2303.3805048572058</v>
      </c>
      <c r="F7" s="57">
        <f>'Chinook Jack Proportions'!Y7</f>
        <v>0</v>
      </c>
      <c r="G7" s="71">
        <f>IF($B7="Jacks Only",'Chinook Jack Proportions'!C7,IF('3. Select Chinook Method'!$B7="Adults Only",'Chinook Adult Proportions'!C7,'Chinook All Ages Proportions'!C7))</f>
        <v>0</v>
      </c>
      <c r="H7" s="71">
        <f>IF($B7="Jacks Only",'Chinook Jack Proportions'!D7,IF('3. Select Chinook Method'!$B7="Adults Only",'Chinook Adult Proportions'!D7,'Chinook All Ages Proportions'!D7))</f>
        <v>0</v>
      </c>
      <c r="I7" s="71">
        <f>IF($B7="Jacks Only",'Chinook Jack Proportions'!E7,IF('3. Select Chinook Method'!$B7="Adults Only",'Chinook Adult Proportions'!E7,'Chinook All Ages Proportions'!E7))</f>
        <v>0</v>
      </c>
      <c r="J7" s="71">
        <f>IF($B7="Jacks Only",'Chinook Jack Proportions'!F7,IF('3. Select Chinook Method'!$B7="Adults Only",'Chinook Adult Proportions'!F7,'Chinook All Ages Proportions'!F7))</f>
        <v>0.19155639571518587</v>
      </c>
      <c r="K7" s="71">
        <f>IF($B7="Jacks Only",'Chinook Jack Proportions'!G7,IF('3. Select Chinook Method'!$B7="Adults Only",'Chinook Adult Proportions'!G7,'Chinook All Ages Proportions'!G7))</f>
        <v>0.63151959402311808</v>
      </c>
      <c r="L7" s="24">
        <f>IF($B7="Jacks Only",'Chinook Jack Proportions'!H7,IF('3. Select Chinook Method'!$B7="Adults Only",'Chinook Adult Proportions'!H7,'Chinook All Ages Proportions'!H7))</f>
        <v>1</v>
      </c>
      <c r="M7" s="71">
        <f>IF($B7="Jacks Only",'Chinook Jack Proportions'!I7,IF('3. Select Chinook Method'!$B7="Adults Only",'Chinook Adult Proportions'!I7,'Chinook All Ages Proportions'!I7))</f>
        <v>0</v>
      </c>
      <c r="N7" s="71">
        <f>IF($B7="Jacks Only",'Chinook Jack Proportions'!J7,IF('3. Select Chinook Method'!$B7="Adults Only",'Chinook Adult Proportions'!J7,'Chinook All Ages Proportions'!J7))</f>
        <v>0.52689873417721522</v>
      </c>
      <c r="O7" s="23">
        <f>IF($B7="Jacks Only",'Chinook Jack Proportions'!K7,IF('3. Select Chinook Method'!$B7="Adults Only",'Chinook Adult Proportions'!K7,'Chinook All Ages Proportions'!K7))</f>
        <v>0.29444208739923633</v>
      </c>
      <c r="P7" s="76">
        <f>IF($B7="Jacks Only",'Chinook Jack Proportions'!L7,IF('3. Select Chinook Method'!$B7="Adults Only",'Chinook Adult Proportions'!L7,'Chinook All Ages Proportions'!L7))</f>
        <v>0</v>
      </c>
      <c r="Q7" s="76">
        <f>IF($B7="Jacks Only",'Chinook Jack Proportions'!M7,IF('3. Select Chinook Method'!$B7="Adults Only",'Chinook Adult Proportions'!M7,'Chinook All Ages Proportions'!M7))</f>
        <v>0</v>
      </c>
      <c r="R7" s="76">
        <f>IF($B7="Jacks Only",'Chinook Jack Proportions'!X7,IF('3. Select Chinook Method'!$B7="Adults Only",'Chinook Adult Proportions'!X7,'Chinook All Ages Proportions'!X7))</f>
        <v>0</v>
      </c>
      <c r="S7" s="76">
        <f>IF($B7="Jacks Only",'Chinook Jack Proportions'!N7,IF('3. Select Chinook Method'!$B7="Adults Only",'Chinook Adult Proportions'!N7,'Chinook All Ages Proportions'!N7))</f>
        <v>82.936257088846872</v>
      </c>
      <c r="T7" s="76">
        <f>IF($B7="Jacks Only",'Chinook Jack Proportions'!O7,IF('3. Select Chinook Method'!$B7="Adults Only",'Chinook Adult Proportions'!O7,'Chinook All Ages Proportions'!O7))</f>
        <v>154.89912602199041</v>
      </c>
      <c r="U7" s="76">
        <f>IF($B7="Jacks Only",'Chinook Jack Proportions'!P7,IF('3. Select Chinook Method'!$B7="Adults Only",'Chinook Adult Proportions'!P7,'Chinook All Ages Proportions'!P7))</f>
        <v>143.98646743727093</v>
      </c>
      <c r="V7" s="76">
        <f>IF($B7="Jacks Only",'Chinook Jack Proportions'!Q7,IF('3. Select Chinook Method'!$B7="Adults Only",'Chinook Adult Proportions'!Q7,'Chinook All Ages Proportions'!Q7))</f>
        <v>0</v>
      </c>
      <c r="W7" s="76">
        <f>IF($B7="Jacks Only",'Chinook Jack Proportions'!R7,IF('3. Select Chinook Method'!$B7="Adults Only",'Chinook Adult Proportions'!R7,'Chinook All Ages Proportions'!R7))</f>
        <v>0</v>
      </c>
      <c r="X7" s="56">
        <f>IF(B7="Jacks Only",'Chinook Jack Proportions'!S7,IF(B7="Adults Only",'Chinook Adult Proportions'!S7,'Chinook All Ages Proportions'!S7))</f>
        <v>1914.4800000000009</v>
      </c>
      <c r="Y7" s="56">
        <f>IF($B7="Jacks Only",'Chinook Jack Proportions'!T7,IF('3. Select Chinook Method'!$B7="Adults Only",'Chinook Adult Proportions'!T7,'Chinook All Ages Proportions'!T7))</f>
        <v>0.96609687217640039</v>
      </c>
      <c r="Z7" s="56">
        <f>IF($B7="Jacks Only",'Chinook Jack Proportions'!U7,IF('3. Select Chinook Method'!$B7="Adults Only",'Chinook Adult Proportions'!U7,'Chinook All Ages Proportions'!U7))</f>
        <v>0.46254513504365402</v>
      </c>
      <c r="AA7" s="56">
        <f>IF($B7="Jacks Only",'Chinook Jack Proportions'!V7,IF('3. Select Chinook Method'!$B7="Adults Only",'Chinook Adult Proportions'!V7,'Chinook All Ages Proportions'!V7))</f>
        <v>5.6500123018769477</v>
      </c>
      <c r="AB7" s="56">
        <f>IF($B7="Jacks Only",'Chinook Jack Proportions'!W7,IF('3. Select Chinook Method'!$B7="Adults Only",'Chinook Adult Proportions'!W7,'Chinook All Ages Proportions'!W7))</f>
        <v>0</v>
      </c>
      <c r="AC7" s="41">
        <f>IF(B7="Jacks Only",'Chinook Jack Proportions'!Y7,IF('3. Select Chinook Method'!B7="Adults Only",'Chinook Adult Proportions'!Y7,'Chinook All Ages Proportions'!Y7))</f>
        <v>2303.3805048572058</v>
      </c>
      <c r="AD7" s="42">
        <f>IF(B7="Jacks Only",'Chinook Jack Proportions'!Z7,IF('3. Select Chinook Method'!B7="Adults Only",'Chinook Adult Proportions'!Z7,'Chinook All Ages Proportions'!Z7))</f>
        <v>0.59235265722529329</v>
      </c>
      <c r="AE7" s="43">
        <f>IF($B7="Jacks Only",'Chinook Jack Proportions'!AA7,IF('3. Select Chinook Method'!$B7="Adults Only",'Chinook Adult Proportions'!AA7,'Chinook All Ages Proportions'!AA7))</f>
        <v>0.28202878519478536</v>
      </c>
      <c r="AF7" s="42">
        <f>IF($B7="Jacks Only",'Chinook Jack Proportions'!AB7,IF('3. Select Chinook Method'!$B7="Adults Only",'Chinook Adult Proportions'!AB7,'Chinook All Ages Proportions'!AB7))</f>
        <v>1</v>
      </c>
      <c r="AG7" s="44">
        <f>IF($B7="Jacks Only",'Chinook Jack Proportions'!AC7,IF('3. Select Chinook Method'!$B7="Adults Only",'Chinook Adult Proportions'!AC7,'Chinook All Ages Proportions'!AC7))</f>
        <v>0.45448307223272211</v>
      </c>
    </row>
    <row r="8" spans="1:33" x14ac:dyDescent="0.3">
      <c r="A8" s="5">
        <f>'1. Mixture Model Inputs'!A8</f>
        <v>45110</v>
      </c>
      <c r="B8" s="55" t="s">
        <v>43</v>
      </c>
      <c r="C8" s="60">
        <f t="shared" si="0"/>
        <v>1811.8064760682664</v>
      </c>
      <c r="D8" s="56">
        <f>'Chinook All Ages Proportions'!Y8</f>
        <v>1805.7455488980686</v>
      </c>
      <c r="E8" s="56">
        <f>'Chinook Adult Proportions'!Y8</f>
        <v>1811.8064760682664</v>
      </c>
      <c r="F8" s="57">
        <f>'Chinook Jack Proportions'!Y8</f>
        <v>0</v>
      </c>
      <c r="G8" s="71">
        <f>IF($B8="Jacks Only",'Chinook Jack Proportions'!C8,IF('3. Select Chinook Method'!$B8="Adults Only",'Chinook Adult Proportions'!C8,'Chinook All Ages Proportions'!C8))</f>
        <v>1</v>
      </c>
      <c r="H8" s="71">
        <f>IF($B8="Jacks Only",'Chinook Jack Proportions'!D8,IF('3. Select Chinook Method'!$B8="Adults Only",'Chinook Adult Proportions'!D8,'Chinook All Ages Proportions'!D8))</f>
        <v>0</v>
      </c>
      <c r="I8" s="71">
        <f>IF($B8="Jacks Only",'Chinook Jack Proportions'!E8,IF('3. Select Chinook Method'!$B8="Adults Only",'Chinook Adult Proportions'!E8,'Chinook All Ages Proportions'!E8))</f>
        <v>0.49333333333333335</v>
      </c>
      <c r="J8" s="71">
        <f>IF($B8="Jacks Only",'Chinook Jack Proportions'!F8,IF('3. Select Chinook Method'!$B8="Adults Only",'Chinook Adult Proportions'!F8,'Chinook All Ages Proportions'!F8))</f>
        <v>0.31625441696113077</v>
      </c>
      <c r="K8" s="71">
        <f>IF($B8="Jacks Only",'Chinook Jack Proportions'!G8,IF('3. Select Chinook Method'!$B8="Adults Only",'Chinook Adult Proportions'!G8,'Chinook All Ages Proportions'!G8))</f>
        <v>0.82963493199713678</v>
      </c>
      <c r="L8" s="24">
        <f>IF($B8="Jacks Only",'Chinook Jack Proportions'!H8,IF('3. Select Chinook Method'!$B8="Adults Only",'Chinook Adult Proportions'!H8,'Chinook All Ages Proportions'!H8))</f>
        <v>1</v>
      </c>
      <c r="M8" s="71">
        <f>IF($B8="Jacks Only",'Chinook Jack Proportions'!I8,IF('3. Select Chinook Method'!$B8="Adults Only",'Chinook Adult Proportions'!I8,'Chinook All Ages Proportions'!I8))</f>
        <v>0</v>
      </c>
      <c r="N8" s="71">
        <f>IF($B8="Jacks Only",'Chinook Jack Proportions'!J8,IF('3. Select Chinook Method'!$B8="Adults Only",'Chinook Adult Proportions'!J8,'Chinook All Ages Proportions'!J8))</f>
        <v>0.52689873417721522</v>
      </c>
      <c r="O8" s="23">
        <f>IF($B8="Jacks Only",'Chinook Jack Proportions'!K8,IF('3. Select Chinook Method'!$B8="Adults Only",'Chinook Adult Proportions'!K8,'Chinook All Ages Proportions'!K8))</f>
        <v>0.29444208739923633</v>
      </c>
      <c r="P8" s="76">
        <f>IF($B8="Jacks Only",'Chinook Jack Proportions'!L8,IF('3. Select Chinook Method'!$B8="Adults Only",'Chinook Adult Proportions'!L8,'Chinook All Ages Proportions'!L8))</f>
        <v>88</v>
      </c>
      <c r="Q8" s="76">
        <f>IF($B8="Jacks Only",'Chinook Jack Proportions'!M8,IF('3. Select Chinook Method'!$B8="Adults Only",'Chinook Adult Proportions'!M8,'Chinook All Ages Proportions'!M8))</f>
        <v>0</v>
      </c>
      <c r="R8" s="76">
        <f>IF($B8="Jacks Only",'Chinook Jack Proportions'!X8,IF('3. Select Chinook Method'!$B8="Adults Only",'Chinook Adult Proportions'!X8,'Chinook All Ages Proportions'!X8))</f>
        <v>84.182400000000001</v>
      </c>
      <c r="S8" s="76">
        <f>IF($B8="Jacks Only",'Chinook Jack Proportions'!N8,IF('3. Select Chinook Method'!$B8="Adults Only",'Chinook Adult Proportions'!N8,'Chinook All Ages Proportions'!N8))</f>
        <v>83.491166077738526</v>
      </c>
      <c r="T8" s="76">
        <f>IF($B8="Jacks Only",'Chinook Jack Proportions'!O8,IF('3. Select Chinook Method'!$B8="Adults Only",'Chinook Adult Proportions'!O8,'Chinook All Ages Proportions'!O8))</f>
        <v>216.43516105941305</v>
      </c>
      <c r="U8" s="76">
        <f>IF($B8="Jacks Only",'Chinook Jack Proportions'!P8,IF('3. Select Chinook Method'!$B8="Adults Only",'Chinook Adult Proportions'!P8,'Chinook All Ages Proportions'!P8))</f>
        <v>198.11682176091625</v>
      </c>
      <c r="V8" s="76">
        <f>IF($B8="Jacks Only",'Chinook Jack Proportions'!Q8,IF('3. Select Chinook Method'!$B8="Adults Only",'Chinook Adult Proportions'!Q8,'Chinook All Ages Proportions'!Q8))</f>
        <v>0</v>
      </c>
      <c r="W8" s="76">
        <f>IF($B8="Jacks Only",'Chinook Jack Proportions'!R8,IF('3. Select Chinook Method'!$B8="Adults Only",'Chinook Adult Proportions'!R8,'Chinook All Ages Proportions'!R8))</f>
        <v>0</v>
      </c>
      <c r="X8" s="56">
        <f>IF(B8="Jacks Only",'Chinook Jack Proportions'!S8,IF(B8="Adults Only",'Chinook Adult Proportions'!S8,'Chinook All Ages Proportions'!S8))</f>
        <v>1223.5200000000009</v>
      </c>
      <c r="Y8" s="56">
        <f>IF($B8="Jacks Only",'Chinook Jack Proportions'!T8,IF('3. Select Chinook Method'!$B8="Adults Only",'Chinook Adult Proportions'!T8,'Chinook All Ages Proportions'!T8))</f>
        <v>0.96947483326792605</v>
      </c>
      <c r="Z8" s="56">
        <f>IF($B8="Jacks Only",'Chinook Jack Proportions'!U8,IF('3. Select Chinook Method'!$B8="Adults Only",'Chinook Adult Proportions'!U8,'Chinook All Ages Proportions'!U8))</f>
        <v>0.17261809764888539</v>
      </c>
      <c r="AA8" s="56">
        <f>IF($B8="Jacks Only",'Chinook Jack Proportions'!V8,IF('3. Select Chinook Method'!$B8="Adults Only",'Chinook Adult Proportions'!V8,'Chinook All Ages Proportions'!V8))</f>
        <v>4.9188342392811073</v>
      </c>
      <c r="AB8" s="56">
        <f>IF($B8="Jacks Only",'Chinook Jack Proportions'!W8,IF('3. Select Chinook Method'!$B8="Adults Only",'Chinook Adult Proportions'!W8,'Chinook All Ages Proportions'!W8))</f>
        <v>0</v>
      </c>
      <c r="AC8" s="41">
        <f>IF(B8="Jacks Only",'Chinook Jack Proportions'!Y8,IF('3. Select Chinook Method'!B8="Adults Only",'Chinook Adult Proportions'!Y8,'Chinook All Ages Proportions'!Y8))</f>
        <v>1811.8064760682664</v>
      </c>
      <c r="AD8" s="42">
        <f>IF(B8="Jacks Only",'Chinook Jack Proportions'!Z8,IF('3. Select Chinook Method'!B8="Adults Only",'Chinook Adult Proportions'!Z8,'Chinook All Ages Proportions'!Z8))</f>
        <v>0.74318692008641196</v>
      </c>
      <c r="AE8" s="43">
        <f>IF($B8="Jacks Only",'Chinook Jack Proportions'!AA8,IF('3. Select Chinook Method'!$B8="Adults Only",'Chinook Adult Proportions'!AA8,'Chinook All Ages Proportions'!AA8))</f>
        <v>0.62724029122577685</v>
      </c>
      <c r="AF8" s="42">
        <f>IF($B8="Jacks Only",'Chinook Jack Proportions'!AB8,IF('3. Select Chinook Method'!$B8="Adults Only",'Chinook Adult Proportions'!AB8,'Chinook All Ages Proportions'!AB8))</f>
        <v>1</v>
      </c>
      <c r="AG8" s="44">
        <f>IF($B8="Jacks Only",'Chinook Jack Proportions'!AC8,IF('3. Select Chinook Method'!$B8="Adults Only",'Chinook Adult Proportions'!AC8,'Chinook All Ages Proportions'!AC8))</f>
        <v>0.45866487408487178</v>
      </c>
    </row>
    <row r="9" spans="1:33" x14ac:dyDescent="0.3">
      <c r="A9" s="5">
        <f>'1. Mixture Model Inputs'!A9</f>
        <v>45111</v>
      </c>
      <c r="B9" s="55" t="s">
        <v>43</v>
      </c>
      <c r="C9" s="60">
        <f t="shared" si="0"/>
        <v>1191.1247729005443</v>
      </c>
      <c r="D9" s="56">
        <f>'Chinook All Ages Proportions'!Y9</f>
        <v>1183.6744201655338</v>
      </c>
      <c r="E9" s="56">
        <f>'Chinook Adult Proportions'!Y9</f>
        <v>1191.1247729005443</v>
      </c>
      <c r="F9" s="57">
        <f>'Chinook Jack Proportions'!Y9</f>
        <v>0</v>
      </c>
      <c r="G9" s="71">
        <f>IF($B9="Jacks Only",'Chinook Jack Proportions'!C9,IF('3. Select Chinook Method'!$B9="Adults Only",'Chinook Adult Proportions'!C9,'Chinook All Ages Proportions'!C9))</f>
        <v>0</v>
      </c>
      <c r="H9" s="71">
        <f>IF($B9="Jacks Only",'Chinook Jack Proportions'!D9,IF('3. Select Chinook Method'!$B9="Adults Only",'Chinook Adult Proportions'!D9,'Chinook All Ages Proportions'!D9))</f>
        <v>0</v>
      </c>
      <c r="I9" s="71">
        <f>IF($B9="Jacks Only",'Chinook Jack Proportions'!E9,IF('3. Select Chinook Method'!$B9="Adults Only",'Chinook Adult Proportions'!E9,'Chinook All Ages Proportions'!E9))</f>
        <v>0</v>
      </c>
      <c r="J9" s="71">
        <f>IF($B9="Jacks Only",'Chinook Jack Proportions'!F9,IF('3. Select Chinook Method'!$B9="Adults Only",'Chinook Adult Proportions'!F9,'Chinook All Ages Proportions'!F9))</f>
        <v>0.55442840421381201</v>
      </c>
      <c r="K9" s="71">
        <f>IF($B9="Jacks Only",'Chinook Jack Proportions'!G9,IF('3. Select Chinook Method'!$B9="Adults Only",'Chinook Adult Proportions'!G9,'Chinook All Ages Proportions'!G9))</f>
        <v>0.63488759367194003</v>
      </c>
      <c r="L9" s="24">
        <f>IF($B9="Jacks Only",'Chinook Jack Proportions'!H9,IF('3. Select Chinook Method'!$B9="Adults Only",'Chinook Adult Proportions'!H9,'Chinook All Ages Proportions'!H9))</f>
        <v>0.66666666666666663</v>
      </c>
      <c r="M9" s="71">
        <f>IF($B9="Jacks Only",'Chinook Jack Proportions'!I9,IF('3. Select Chinook Method'!$B9="Adults Only",'Chinook Adult Proportions'!I9,'Chinook All Ages Proportions'!I9))</f>
        <v>0</v>
      </c>
      <c r="N9" s="71">
        <f>IF($B9="Jacks Only",'Chinook Jack Proportions'!J9,IF('3. Select Chinook Method'!$B9="Adults Only",'Chinook Adult Proportions'!J9,'Chinook All Ages Proportions'!J9))</f>
        <v>0.52689873417721522</v>
      </c>
      <c r="O9" s="23">
        <f>IF($B9="Jacks Only",'Chinook Jack Proportions'!K9,IF('3. Select Chinook Method'!$B9="Adults Only",'Chinook Adult Proportions'!K9,'Chinook All Ages Proportions'!K9))</f>
        <v>0.29444208739923633</v>
      </c>
      <c r="P9" s="76">
        <f>IF($B9="Jacks Only",'Chinook Jack Proportions'!L9,IF('3. Select Chinook Method'!$B9="Adults Only",'Chinook Adult Proportions'!L9,'Chinook All Ages Proportions'!L9))</f>
        <v>0</v>
      </c>
      <c r="Q9" s="76">
        <f>IF($B9="Jacks Only",'Chinook Jack Proportions'!M9,IF('3. Select Chinook Method'!$B9="Adults Only",'Chinook Adult Proportions'!M9,'Chinook All Ages Proportions'!M9))</f>
        <v>0</v>
      </c>
      <c r="R9" s="76">
        <f>IF($B9="Jacks Only",'Chinook Jack Proportions'!X9,IF('3. Select Chinook Method'!$B9="Adults Only",'Chinook Adult Proportions'!X9,'Chinook All Ages Proportions'!X9))</f>
        <v>0</v>
      </c>
      <c r="S9" s="76">
        <f>IF($B9="Jacks Only",'Chinook Jack Proportions'!N9,IF('3. Select Chinook Method'!$B9="Adults Only",'Chinook Adult Proportions'!N9,'Chinook All Ages Proportions'!N9))</f>
        <v>200.12647678501756</v>
      </c>
      <c r="T9" s="76">
        <f>IF($B9="Jacks Only",'Chinook Jack Proportions'!O9,IF('3. Select Chinook Method'!$B9="Adults Only",'Chinook Adult Proportions'!O9,'Chinook All Ages Proportions'!O9))</f>
        <v>179.64779350541212</v>
      </c>
      <c r="U9" s="76">
        <f>IF($B9="Jacks Only",'Chinook Jack Proportions'!P9,IF('3. Select Chinook Method'!$B9="Adults Only",'Chinook Adult Proportions'!P9,'Chinook All Ages Proportions'!P9))</f>
        <v>161.82014987510408</v>
      </c>
      <c r="V9" s="76">
        <f>IF($B9="Jacks Only",'Chinook Jack Proportions'!Q9,IF('3. Select Chinook Method'!$B9="Adults Only",'Chinook Adult Proportions'!Q9,'Chinook All Ages Proportions'!Q9))</f>
        <v>0</v>
      </c>
      <c r="W9" s="76">
        <f>IF($B9="Jacks Only",'Chinook Jack Proportions'!R9,IF('3. Select Chinook Method'!$B9="Adults Only",'Chinook Adult Proportions'!R9,'Chinook All Ages Proportions'!R9))</f>
        <v>0</v>
      </c>
      <c r="X9" s="56">
        <f>IF(B9="Jacks Only",'Chinook Jack Proportions'!S9,IF(B9="Adults Only",'Chinook Adult Proportions'!S9,'Chinook All Ages Proportions'!S9))</f>
        <v>642.07999999999993</v>
      </c>
      <c r="Y9" s="56">
        <f>IF($B9="Jacks Only",'Chinook Jack Proportions'!T9,IF('3. Select Chinook Method'!$B9="Adults Only",'Chinook Adult Proportions'!T9,'Chinook All Ages Proportions'!T9))</f>
        <v>1.9366976924748349</v>
      </c>
      <c r="Z9" s="56">
        <f>IF($B9="Jacks Only",'Chinook Jack Proportions'!U9,IF('3. Select Chinook Method'!$B9="Adults Only",'Chinook Adult Proportions'!U9,'Chinook All Ages Proportions'!U9))</f>
        <v>0.64229989822841072</v>
      </c>
      <c r="AA9" s="56">
        <f>IF($B9="Jacks Only",'Chinook Jack Proportions'!V9,IF('3. Select Chinook Method'!$B9="Adults Only",'Chinook Adult Proportions'!V9,'Chinook All Ages Proportions'!V9))</f>
        <v>4.8713551443073504</v>
      </c>
      <c r="AB9" s="56">
        <f>IF($B9="Jacks Only",'Chinook Jack Proportions'!W9,IF('3. Select Chinook Method'!$B9="Adults Only",'Chinook Adult Proportions'!W9,'Chinook All Ages Proportions'!W9))</f>
        <v>0</v>
      </c>
      <c r="AC9" s="41">
        <f>IF(B9="Jacks Only",'Chinook Jack Proportions'!Y9,IF('3. Select Chinook Method'!B9="Adults Only",'Chinook Adult Proportions'!Y9,'Chinook All Ages Proportions'!Y9))</f>
        <v>1191.1247729005443</v>
      </c>
      <c r="AD9" s="42">
        <f>IF(B9="Jacks Only",'Chinook Jack Proportions'!Z9,IF('3. Select Chinook Method'!B9="Adults Only",'Chinook Adult Proportions'!Z9,'Chinook All Ages Proportions'!Z9))</f>
        <v>0.38199464533933419</v>
      </c>
      <c r="AE9" s="43">
        <f>IF($B9="Jacks Only",'Chinook Jack Proportions'!AA9,IF('3. Select Chinook Method'!$B9="Adults Only",'Chinook Adult Proportions'!AA9,'Chinook All Ages Proportions'!AA9))</f>
        <v>0.47598469043585534</v>
      </c>
      <c r="AF9" s="42">
        <f>IF($B9="Jacks Only",'Chinook Jack Proportions'!AB9,IF('3. Select Chinook Method'!$B9="Adults Only",'Chinook Adult Proportions'!AB9,'Chinook All Ages Proportions'!AB9))</f>
        <v>0.66666666666666663</v>
      </c>
      <c r="AG9" s="44">
        <f>IF($B9="Jacks Only",'Chinook Jack Proportions'!AC9,IF('3. Select Chinook Method'!$B9="Adults Only",'Chinook Adult Proportions'!AC9,'Chinook All Ages Proportions'!AC9))</f>
        <v>0.41381044562810576</v>
      </c>
    </row>
    <row r="10" spans="1:33" x14ac:dyDescent="0.3">
      <c r="A10" s="5">
        <f>'1. Mixture Model Inputs'!A10</f>
        <v>45112</v>
      </c>
      <c r="B10" s="55" t="s">
        <v>43</v>
      </c>
      <c r="C10" s="60">
        <f t="shared" si="0"/>
        <v>2133.1742634527754</v>
      </c>
      <c r="D10" s="56">
        <f>'Chinook All Ages Proportions'!Y10</f>
        <v>2112.4254990906097</v>
      </c>
      <c r="E10" s="56">
        <f>'Chinook Adult Proportions'!Y10</f>
        <v>2133.1742634527754</v>
      </c>
      <c r="F10" s="57">
        <f>'Chinook Jack Proportions'!Y10</f>
        <v>0</v>
      </c>
      <c r="G10" s="71">
        <f>IF($B10="Jacks Only",'Chinook Jack Proportions'!C10,IF('3. Select Chinook Method'!$B10="Adults Only",'Chinook Adult Proportions'!C10,'Chinook All Ages Proportions'!C10))</f>
        <v>0</v>
      </c>
      <c r="H10" s="71">
        <f>IF($B10="Jacks Only",'Chinook Jack Proportions'!D10,IF('3. Select Chinook Method'!$B10="Adults Only",'Chinook Adult Proportions'!D10,'Chinook All Ages Proportions'!D10))</f>
        <v>0</v>
      </c>
      <c r="I10" s="71">
        <f>IF($B10="Jacks Only",'Chinook Jack Proportions'!E10,IF('3. Select Chinook Method'!$B10="Adults Only",'Chinook Adult Proportions'!E10,'Chinook All Ages Proportions'!E10))</f>
        <v>0</v>
      </c>
      <c r="J10" s="71">
        <f>IF($B10="Jacks Only",'Chinook Jack Proportions'!F10,IF('3. Select Chinook Method'!$B10="Adults Only",'Chinook Adult Proportions'!F10,'Chinook All Ages Proportions'!F10))</f>
        <v>0.28624382207578258</v>
      </c>
      <c r="K10" s="71">
        <f>IF($B10="Jacks Only",'Chinook Jack Proportions'!G10,IF('3. Select Chinook Method'!$B10="Adults Only",'Chinook Adult Proportions'!G10,'Chinook All Ages Proportions'!G10))</f>
        <v>1</v>
      </c>
      <c r="L10" s="24">
        <f>IF($B10="Jacks Only",'Chinook Jack Proportions'!H10,IF('3. Select Chinook Method'!$B10="Adults Only",'Chinook Adult Proportions'!H10,'Chinook All Ages Proportions'!H10))</f>
        <v>0.33333333333333331</v>
      </c>
      <c r="M10" s="71">
        <f>IF($B10="Jacks Only",'Chinook Jack Proportions'!I10,IF('3. Select Chinook Method'!$B10="Adults Only",'Chinook Adult Proportions'!I10,'Chinook All Ages Proportions'!I10))</f>
        <v>0</v>
      </c>
      <c r="N10" s="71">
        <f>IF($B10="Jacks Only",'Chinook Jack Proportions'!J10,IF('3. Select Chinook Method'!$B10="Adults Only",'Chinook Adult Proportions'!J10,'Chinook All Ages Proportions'!J10))</f>
        <v>0.52689873417721522</v>
      </c>
      <c r="O10" s="23">
        <f>IF($B10="Jacks Only",'Chinook Jack Proportions'!K10,IF('3. Select Chinook Method'!$B10="Adults Only",'Chinook Adult Proportions'!K10,'Chinook All Ages Proportions'!K10))</f>
        <v>0.29444208739923633</v>
      </c>
      <c r="P10" s="76">
        <f>IF($B10="Jacks Only",'Chinook Jack Proportions'!L10,IF('3. Select Chinook Method'!$B10="Adults Only",'Chinook Adult Proportions'!L10,'Chinook All Ages Proportions'!L10))</f>
        <v>0</v>
      </c>
      <c r="Q10" s="76">
        <f>IF($B10="Jacks Only",'Chinook Jack Proportions'!M10,IF('3. Select Chinook Method'!$B10="Adults Only",'Chinook Adult Proportions'!M10,'Chinook All Ages Proportions'!M10))</f>
        <v>0</v>
      </c>
      <c r="R10" s="76">
        <f>IF($B10="Jacks Only",'Chinook Jack Proportions'!X10,IF('3. Select Chinook Method'!$B10="Adults Only",'Chinook Adult Proportions'!X10,'Chinook All Ages Proportions'!X10))</f>
        <v>0</v>
      </c>
      <c r="S10" s="76">
        <f>IF($B10="Jacks Only",'Chinook Jack Proportions'!N10,IF('3. Select Chinook Method'!$B10="Adults Only",'Chinook Adult Proportions'!N10,'Chinook All Ages Proportions'!N10))</f>
        <v>237.18447509060962</v>
      </c>
      <c r="T10" s="76">
        <f>IF($B10="Jacks Only",'Chinook Jack Proportions'!O10,IF('3. Select Chinook Method'!$B10="Adults Only",'Chinook Adult Proportions'!O10,'Chinook All Ages Proportions'!O10))</f>
        <v>352.79244</v>
      </c>
      <c r="U10" s="76">
        <f>IF($B10="Jacks Only",'Chinook Jack Proportions'!P10,IF('3. Select Chinook Method'!$B10="Adults Only",'Chinook Adult Proportions'!P10,'Chinook All Ages Proportions'!P10))</f>
        <v>604.52858399999991</v>
      </c>
      <c r="V10" s="76">
        <f>IF($B10="Jacks Only",'Chinook Jack Proportions'!Q10,IF('3. Select Chinook Method'!$B10="Adults Only",'Chinook Adult Proportions'!Q10,'Chinook All Ages Proportions'!Q10))</f>
        <v>0</v>
      </c>
      <c r="W10" s="76">
        <f>IF($B10="Jacks Only",'Chinook Jack Proportions'!R10,IF('3. Select Chinook Method'!$B10="Adults Only",'Chinook Adult Proportions'!R10,'Chinook All Ages Proportions'!R10))</f>
        <v>0</v>
      </c>
      <c r="X10" s="56">
        <f>IF(B10="Jacks Only",'Chinook Jack Proportions'!S10,IF(B10="Adults Only",'Chinook Adult Proportions'!S10,'Chinook All Ages Proportions'!S10))</f>
        <v>917.92000000000007</v>
      </c>
      <c r="Y10" s="56">
        <f>IF($B10="Jacks Only",'Chinook Jack Proportions'!T10,IF('3. Select Chinook Method'!$B10="Adults Only",'Chinook Adult Proportions'!T10,'Chinook All Ages Proportions'!T10))</f>
        <v>2.8543771223393644</v>
      </c>
      <c r="Z10" s="56">
        <f>IF($B10="Jacks Only",'Chinook Jack Proportions'!U10,IF('3. Select Chinook Method'!$B10="Adults Only",'Chinook Adult Proportions'!U10,'Chinook All Ages Proportions'!U10))</f>
        <v>0.83989632525284541</v>
      </c>
      <c r="AA10" s="56">
        <f>IF($B10="Jacks Only",'Chinook Jack Proportions'!V10,IF('3. Select Chinook Method'!$B10="Adults Only",'Chinook Adult Proportions'!V10,'Chinook All Ages Proportions'!V10))</f>
        <v>17.054490914573105</v>
      </c>
      <c r="AB10" s="56">
        <f>IF($B10="Jacks Only",'Chinook Jack Proportions'!W10,IF('3. Select Chinook Method'!$B10="Adults Only",'Chinook Adult Proportions'!W10,'Chinook All Ages Proportions'!W10))</f>
        <v>0</v>
      </c>
      <c r="AC10" s="41">
        <f>IF(B10="Jacks Only",'Chinook Jack Proportions'!Y10,IF('3. Select Chinook Method'!B10="Adults Only",'Chinook Adult Proportions'!Y10,'Chinook All Ages Proportions'!Y10))</f>
        <v>2133.1742634527754</v>
      </c>
      <c r="AD10" s="42">
        <f>IF(B10="Jacks Only",'Chinook Jack Proportions'!Z10,IF('3. Select Chinook Method'!B10="Adults Only",'Chinook Adult Proportions'!Z10,'Chinook All Ages Proportions'!Z10))</f>
        <v>0.34585307732483805</v>
      </c>
      <c r="AE10" s="43">
        <f>IF($B10="Jacks Only",'Chinook Jack Proportions'!AA10,IF('3. Select Chinook Method'!$B10="Adults Only",'Chinook Adult Proportions'!AA10,'Chinook All Ages Proportions'!AA10))</f>
        <v>0.53171855655487343</v>
      </c>
      <c r="AF10" s="42">
        <f>IF($B10="Jacks Only",'Chinook Jack Proportions'!AB10,IF('3. Select Chinook Method'!$B10="Adults Only",'Chinook Adult Proportions'!AB10,'Chinook All Ages Proportions'!AB10))</f>
        <v>0.33333333333333331</v>
      </c>
      <c r="AG10" s="44">
        <f>IF($B10="Jacks Only",'Chinook Jack Proportions'!AC10,IF('3. Select Chinook Method'!$B10="Adults Only",'Chinook Adult Proportions'!AC10,'Chinook All Ages Proportions'!AC10))</f>
        <v>0.46196269604496415</v>
      </c>
    </row>
    <row r="11" spans="1:33" x14ac:dyDescent="0.3">
      <c r="A11" s="5">
        <f>'1. Mixture Model Inputs'!A11</f>
        <v>45113</v>
      </c>
      <c r="B11" s="55" t="s">
        <v>43</v>
      </c>
      <c r="C11" s="60">
        <f t="shared" si="0"/>
        <v>773.40246024724559</v>
      </c>
      <c r="D11" s="56">
        <f>'Chinook All Ages Proportions'!Y11</f>
        <v>978.14842164421555</v>
      </c>
      <c r="E11" s="56">
        <f>'Chinook Adult Proportions'!Y11</f>
        <v>773.40246024724559</v>
      </c>
      <c r="F11" s="57">
        <f>'Chinook Jack Proportions'!Y11</f>
        <v>0</v>
      </c>
      <c r="G11" s="71">
        <f>IF($B11="Jacks Only",'Chinook Jack Proportions'!C11,IF('3. Select Chinook Method'!$B11="Adults Only",'Chinook Adult Proportions'!C11,'Chinook All Ages Proportions'!C11))</f>
        <v>0</v>
      </c>
      <c r="H11" s="71">
        <f>IF($B11="Jacks Only",'Chinook Jack Proportions'!D11,IF('3. Select Chinook Method'!$B11="Adults Only",'Chinook Adult Proportions'!D11,'Chinook All Ages Proportions'!D11))</f>
        <v>0</v>
      </c>
      <c r="I11" s="71">
        <f>IF($B11="Jacks Only",'Chinook Jack Proportions'!E11,IF('3. Select Chinook Method'!$B11="Adults Only",'Chinook Adult Proportions'!E11,'Chinook All Ages Proportions'!E11))</f>
        <v>0</v>
      </c>
      <c r="J11" s="71">
        <f>IF($B11="Jacks Only",'Chinook Jack Proportions'!F11,IF('3. Select Chinook Method'!$B11="Adults Only",'Chinook Adult Proportions'!F11,'Chinook All Ages Proportions'!F11))</f>
        <v>0.6388415672913117</v>
      </c>
      <c r="K11" s="71">
        <f>IF($B11="Jacks Only",'Chinook Jack Proportions'!G11,IF('3. Select Chinook Method'!$B11="Adults Only",'Chinook Adult Proportions'!G11,'Chinook All Ages Proportions'!G11))</f>
        <v>0.66924398625429549</v>
      </c>
      <c r="L11" s="24">
        <f>IF($B11="Jacks Only",'Chinook Jack Proportions'!H11,IF('3. Select Chinook Method'!$B11="Adults Only",'Chinook Adult Proportions'!H11,'Chinook All Ages Proportions'!H11))</f>
        <v>0</v>
      </c>
      <c r="M11" s="71">
        <f>IF($B11="Jacks Only",'Chinook Jack Proportions'!I11,IF('3. Select Chinook Method'!$B11="Adults Only",'Chinook Adult Proportions'!I11,'Chinook All Ages Proportions'!I11))</f>
        <v>0</v>
      </c>
      <c r="N11" s="71">
        <f>IF($B11="Jacks Only",'Chinook Jack Proportions'!J11,IF('3. Select Chinook Method'!$B11="Adults Only",'Chinook Adult Proportions'!J11,'Chinook All Ages Proportions'!J11))</f>
        <v>0.52689873417721522</v>
      </c>
      <c r="O11" s="23">
        <f>IF($B11="Jacks Only",'Chinook Jack Proportions'!K11,IF('3. Select Chinook Method'!$B11="Adults Only",'Chinook Adult Proportions'!K11,'Chinook All Ages Proportions'!K11))</f>
        <v>0.29444208739923633</v>
      </c>
      <c r="P11" s="76">
        <f>IF($B11="Jacks Only",'Chinook Jack Proportions'!L11,IF('3. Select Chinook Method'!$B11="Adults Only",'Chinook Adult Proportions'!L11,'Chinook All Ages Proportions'!L11))</f>
        <v>0</v>
      </c>
      <c r="Q11" s="76">
        <f>IF($B11="Jacks Only",'Chinook Jack Proportions'!M11,IF('3. Select Chinook Method'!$B11="Adults Only",'Chinook Adult Proportions'!M11,'Chinook All Ages Proportions'!M11))</f>
        <v>0</v>
      </c>
      <c r="R11" s="76">
        <f>IF($B11="Jacks Only",'Chinook Jack Proportions'!X11,IF('3. Select Chinook Method'!$B11="Adults Only",'Chinook Adult Proportions'!X11,'Chinook All Ages Proportions'!X11))</f>
        <v>0</v>
      </c>
      <c r="S11" s="76">
        <f>IF($B11="Jacks Only",'Chinook Jack Proportions'!N11,IF('3. Select Chinook Method'!$B11="Adults Only",'Chinook Adult Proportions'!N11,'Chinook All Ages Proportions'!N11))</f>
        <v>381.77172061328781</v>
      </c>
      <c r="T11" s="76">
        <f>IF($B11="Jacks Only",'Chinook Jack Proportions'!O11,IF('3. Select Chinook Method'!$B11="Adults Only",'Chinook Adult Proportions'!O11,'Chinook All Ages Proportions'!O11))</f>
        <v>283.49175257731957</v>
      </c>
      <c r="U11" s="76">
        <f>IF($B11="Jacks Only",'Chinook Jack Proportions'!P11,IF('3. Select Chinook Method'!$B11="Adults Only",'Chinook Adult Proportions'!P11,'Chinook All Ages Proportions'!P11))</f>
        <v>312.88494845360822</v>
      </c>
      <c r="V11" s="76">
        <f>IF($B11="Jacks Only",'Chinook Jack Proportions'!Q11,IF('3. Select Chinook Method'!$B11="Adults Only",'Chinook Adult Proportions'!Q11,'Chinook All Ages Proportions'!Q11))</f>
        <v>0</v>
      </c>
      <c r="W11" s="76">
        <f>IF($B11="Jacks Only",'Chinook Jack Proportions'!R11,IF('3. Select Chinook Method'!$B11="Adults Only",'Chinook Adult Proportions'!R11,'Chinook All Ages Proportions'!R11))</f>
        <v>0</v>
      </c>
      <c r="X11" s="56">
        <f>IF(B11="Jacks Only",'Chinook Jack Proportions'!S11,IF(B11="Adults Only",'Chinook Adult Proportions'!S11,'Chinook All Ages Proportions'!S11))</f>
        <v>0</v>
      </c>
      <c r="Y11" s="56">
        <f>IF($B11="Jacks Only",'Chinook Jack Proportions'!T11,IF('3. Select Chinook Method'!$B11="Adults Only",'Chinook Adult Proportions'!T11,'Chinook All Ages Proportions'!T11))</f>
        <v>-25.322019516334326</v>
      </c>
      <c r="Z11" s="56">
        <f>IF($B11="Jacks Only",'Chinook Jack Proportions'!U11,IF('3. Select Chinook Method'!$B11="Adults Only",'Chinook Adult Proportions'!U11,'Chinook All Ages Proportions'!U11))</f>
        <v>-127.78786593126857</v>
      </c>
      <c r="AA11" s="56">
        <f>IF($B11="Jacks Only",'Chinook Jack Proportions'!V11,IF('3. Select Chinook Method'!$B11="Adults Only",'Chinook Adult Proportions'!V11,'Chinook All Ages Proportions'!V11))</f>
        <v>-51.63607594936709</v>
      </c>
      <c r="AB11" s="56">
        <f>IF($B11="Jacks Only",'Chinook Jack Proportions'!W11,IF('3. Select Chinook Method'!$B11="Adults Only",'Chinook Adult Proportions'!W11,'Chinook All Ages Proportions'!W11))</f>
        <v>0</v>
      </c>
      <c r="AC11" s="41">
        <f>IF(B11="Jacks Only",'Chinook Jack Proportions'!Y11,IF('3. Select Chinook Method'!B11="Adults Only",'Chinook Adult Proportions'!Y11,'Chinook All Ages Proportions'!Y11))</f>
        <v>773.40246024724559</v>
      </c>
      <c r="AD11" s="42">
        <f>IF(B11="Jacks Only",'Chinook Jack Proportions'!Z11,IF('3. Select Chinook Method'!B11="Adults Only",'Chinook Adult Proportions'!Z11,'Chinook All Ages Proportions'!Z11))</f>
        <v>0.16160629126803194</v>
      </c>
      <c r="AE11" s="43">
        <f>IF($B11="Jacks Only",'Chinook Jack Proportions'!AA11,IF('3. Select Chinook Method'!$B11="Adults Only",'Chinook Adult Proportions'!AA11,'Chinook All Ages Proportions'!AA11))</f>
        <v>0.48652482076131853</v>
      </c>
      <c r="AF11" s="42">
        <f>IF($B11="Jacks Only",'Chinook Jack Proportions'!AB11,IF('3. Select Chinook Method'!$B11="Adults Only",'Chinook Adult Proportions'!AB11,'Chinook All Ages Proportions'!AB11))</f>
        <v>0</v>
      </c>
      <c r="AG11" s="44">
        <f>IF($B11="Jacks Only",'Chinook Jack Proportions'!AC11,IF('3. Select Chinook Method'!$B11="Adults Only",'Chinook Adult Proportions'!AC11,'Chinook All Ages Proportions'!AC11))</f>
        <v>0.33130414465529123</v>
      </c>
    </row>
    <row r="12" spans="1:33" x14ac:dyDescent="0.3">
      <c r="A12" s="5">
        <f>'1. Mixture Model Inputs'!A12</f>
        <v>45114</v>
      </c>
      <c r="B12" s="55" t="s">
        <v>43</v>
      </c>
      <c r="C12" s="60">
        <f t="shared" si="0"/>
        <v>3405.499588494723</v>
      </c>
      <c r="D12" s="56">
        <f>'Chinook All Ages Proportions'!Y12</f>
        <v>3171.9443530796116</v>
      </c>
      <c r="E12" s="56">
        <f>'Chinook Adult Proportions'!Y12</f>
        <v>3405.499588494723</v>
      </c>
      <c r="F12" s="57">
        <f>'Chinook Jack Proportions'!Y12</f>
        <v>0</v>
      </c>
      <c r="G12" s="71">
        <f>IF($B12="Jacks Only",'Chinook Jack Proportions'!C12,IF('3. Select Chinook Method'!$B12="Adults Only",'Chinook Adult Proportions'!C12,'Chinook All Ages Proportions'!C12))</f>
        <v>0</v>
      </c>
      <c r="H12" s="71">
        <f>IF($B12="Jacks Only",'Chinook Jack Proportions'!D12,IF('3. Select Chinook Method'!$B12="Adults Only",'Chinook Adult Proportions'!D12,'Chinook All Ages Proportions'!D12))</f>
        <v>0</v>
      </c>
      <c r="I12" s="71">
        <f>IF($B12="Jacks Only",'Chinook Jack Proportions'!E12,IF('3. Select Chinook Method'!$B12="Adults Only",'Chinook Adult Proportions'!E12,'Chinook All Ages Proportions'!E12))</f>
        <v>0</v>
      </c>
      <c r="J12" s="71">
        <f>IF($B12="Jacks Only",'Chinook Jack Proportions'!F12,IF('3. Select Chinook Method'!$B12="Adults Only",'Chinook Adult Proportions'!F12,'Chinook All Ages Proportions'!F12))</f>
        <v>0.6388415672913117</v>
      </c>
      <c r="K12" s="71">
        <f>IF($B12="Jacks Only",'Chinook Jack Proportions'!G12,IF('3. Select Chinook Method'!$B12="Adults Only",'Chinook Adult Proportions'!G12,'Chinook All Ages Proportions'!G12))</f>
        <v>0.66924398625429549</v>
      </c>
      <c r="L12" s="24">
        <f>IF($B12="Jacks Only",'Chinook Jack Proportions'!H12,IF('3. Select Chinook Method'!$B12="Adults Only",'Chinook Adult Proportions'!H12,'Chinook All Ages Proportions'!H12))</f>
        <v>1</v>
      </c>
      <c r="M12" s="71">
        <f>IF($B12="Jacks Only",'Chinook Jack Proportions'!I12,IF('3. Select Chinook Method'!$B12="Adults Only",'Chinook Adult Proportions'!I12,'Chinook All Ages Proportions'!I12))</f>
        <v>0</v>
      </c>
      <c r="N12" s="71">
        <f>IF($B12="Jacks Only",'Chinook Jack Proportions'!J12,IF('3. Select Chinook Method'!$B12="Adults Only",'Chinook Adult Proportions'!J12,'Chinook All Ages Proportions'!J12))</f>
        <v>0.52689873417721522</v>
      </c>
      <c r="O12" s="23">
        <f>IF($B12="Jacks Only",'Chinook Jack Proportions'!K12,IF('3. Select Chinook Method'!$B12="Adults Only",'Chinook Adult Proportions'!K12,'Chinook All Ages Proportions'!K12))</f>
        <v>0.29444208739923633</v>
      </c>
      <c r="P12" s="76">
        <f>IF($B12="Jacks Only",'Chinook Jack Proportions'!L12,IF('3. Select Chinook Method'!$B12="Adults Only",'Chinook Adult Proportions'!L12,'Chinook All Ages Proportions'!L12))</f>
        <v>0</v>
      </c>
      <c r="Q12" s="76">
        <f>IF($B12="Jacks Only",'Chinook Jack Proportions'!M12,IF('3. Select Chinook Method'!$B12="Adults Only",'Chinook Adult Proportions'!M12,'Chinook All Ages Proportions'!M12))</f>
        <v>0</v>
      </c>
      <c r="R12" s="76">
        <f>IF($B12="Jacks Only",'Chinook Jack Proportions'!X12,IF('3. Select Chinook Method'!$B12="Adults Only",'Chinook Adult Proportions'!X12,'Chinook All Ages Proportions'!X12))</f>
        <v>0</v>
      </c>
      <c r="S12" s="76">
        <f>IF($B12="Jacks Only",'Chinook Jack Proportions'!N12,IF('3. Select Chinook Method'!$B12="Adults Only",'Chinook Adult Proportions'!N12,'Chinook All Ages Proportions'!N12))</f>
        <v>504.42930153321964</v>
      </c>
      <c r="T12" s="76">
        <f>IF($B12="Jacks Only",'Chinook Jack Proportions'!O12,IF('3. Select Chinook Method'!$B12="Adults Only",'Chinook Adult Proportions'!O12,'Chinook All Ages Proportions'!O12))</f>
        <v>167.04329896907217</v>
      </c>
      <c r="U12" s="76">
        <f>IF($B12="Jacks Only",'Chinook Jack Proportions'!P12,IF('3. Select Chinook Method'!$B12="Adults Only",'Chinook Adult Proportions'!P12,'Chinook All Ages Proportions'!P12))</f>
        <v>205.5917525773196</v>
      </c>
      <c r="V12" s="76">
        <f>IF($B12="Jacks Only",'Chinook Jack Proportions'!Q12,IF('3. Select Chinook Method'!$B12="Adults Only",'Chinook Adult Proportions'!Q12,'Chinook All Ages Proportions'!Q12))</f>
        <v>0</v>
      </c>
      <c r="W12" s="76">
        <f>IF($B12="Jacks Only",'Chinook Jack Proportions'!R12,IF('3. Select Chinook Method'!$B12="Adults Only",'Chinook Adult Proportions'!R12,'Chinook All Ages Proportions'!R12))</f>
        <v>0</v>
      </c>
      <c r="X12" s="56">
        <f>IF(B12="Jacks Only",'Chinook Jack Proportions'!S12,IF(B12="Adults Only",'Chinook Adult Proportions'!S12,'Chinook All Ages Proportions'!S12))</f>
        <v>2294.88</v>
      </c>
      <c r="Y12" s="56">
        <f>IF($B12="Jacks Only",'Chinook Jack Proportions'!T12,IF('3. Select Chinook Method'!$B12="Adults Only",'Chinook Adult Proportions'!T12,'Chinook All Ages Proportions'!T12))</f>
        <v>32.094187526516762</v>
      </c>
      <c r="Z12" s="56">
        <f>IF($B12="Jacks Only",'Chinook Jack Proportions'!U12,IF('3. Select Chinook Method'!$B12="Adults Only",'Chinook Adult Proportions'!U12,'Chinook All Ages Proportions'!U12))</f>
        <v>51.821807382265597</v>
      </c>
      <c r="AA12" s="56">
        <f>IF($B12="Jacks Only",'Chinook Jack Proportions'!V12,IF('3. Select Chinook Method'!$B12="Adults Only",'Chinook Adult Proportions'!V12,'Chinook All Ages Proportions'!V12))</f>
        <v>149.63924050632912</v>
      </c>
      <c r="AB12" s="56">
        <f>IF($B12="Jacks Only",'Chinook Jack Proportions'!W12,IF('3. Select Chinook Method'!$B12="Adults Only",'Chinook Adult Proportions'!W12,'Chinook All Ages Proportions'!W12))</f>
        <v>0</v>
      </c>
      <c r="AC12" s="41">
        <f>IF(B12="Jacks Only",'Chinook Jack Proportions'!Y12,IF('3. Select Chinook Method'!B12="Adults Only",'Chinook Adult Proportions'!Y12,'Chinook All Ages Proportions'!Y12))</f>
        <v>3405.499588494723</v>
      </c>
      <c r="AD12" s="42">
        <f>IF(B12="Jacks Only",'Chinook Jack Proportions'!Z12,IF('3. Select Chinook Method'!B12="Adults Only",'Chinook Adult Proportions'!Z12,'Chinook All Ages Proportions'!Z12))</f>
        <v>0.59429898512720547</v>
      </c>
      <c r="AE12" s="43">
        <f>IF($B12="Jacks Only",'Chinook Jack Proportions'!AA12,IF('3. Select Chinook Method'!$B12="Adults Only",'Chinook Adult Proportions'!AA12,'Chinook All Ages Proportions'!AA12))</f>
        <v>0.41717292288794311</v>
      </c>
      <c r="AF12" s="42">
        <f>IF($B12="Jacks Only",'Chinook Jack Proportions'!AB12,IF('3. Select Chinook Method'!$B12="Adults Only",'Chinook Adult Proportions'!AB12,'Chinook All Ages Proportions'!AB12))</f>
        <v>1</v>
      </c>
      <c r="AG12" s="44">
        <f>IF($B12="Jacks Only",'Chinook Jack Proportions'!AC12,IF('3. Select Chinook Method'!$B12="Adults Only",'Chinook Adult Proportions'!AC12,'Chinook All Ages Proportions'!AC12))</f>
        <v>0.41046614308455442</v>
      </c>
    </row>
    <row r="13" spans="1:33" x14ac:dyDescent="0.3">
      <c r="A13" s="5">
        <f>'1. Mixture Model Inputs'!A13</f>
        <v>45115</v>
      </c>
      <c r="B13" s="55" t="s">
        <v>43</v>
      </c>
      <c r="C13" s="60">
        <f t="shared" si="0"/>
        <v>3728.5276819982596</v>
      </c>
      <c r="D13" s="56">
        <f>'Chinook All Ages Proportions'!Y13</f>
        <v>3722.4993842533249</v>
      </c>
      <c r="E13" s="56">
        <f>'Chinook Adult Proportions'!Y13</f>
        <v>3728.5276819982596</v>
      </c>
      <c r="F13" s="57">
        <f>'Chinook Jack Proportions'!Y13</f>
        <v>0</v>
      </c>
      <c r="G13" s="71">
        <f>IF($B13="Jacks Only",'Chinook Jack Proportions'!C13,IF('3. Select Chinook Method'!$B13="Adults Only",'Chinook Adult Proportions'!C13,'Chinook All Ages Proportions'!C13))</f>
        <v>0</v>
      </c>
      <c r="H13" s="71">
        <f>IF($B13="Jacks Only",'Chinook Jack Proportions'!D13,IF('3. Select Chinook Method'!$B13="Adults Only",'Chinook Adult Proportions'!D13,'Chinook All Ages Proportions'!D13))</f>
        <v>0</v>
      </c>
      <c r="I13" s="71">
        <f>IF($B13="Jacks Only",'Chinook Jack Proportions'!E13,IF('3. Select Chinook Method'!$B13="Adults Only",'Chinook Adult Proportions'!E13,'Chinook All Ages Proportions'!E13))</f>
        <v>0</v>
      </c>
      <c r="J13" s="71">
        <f>IF($B13="Jacks Only",'Chinook Jack Proportions'!F13,IF('3. Select Chinook Method'!$B13="Adults Only",'Chinook Adult Proportions'!F13,'Chinook All Ages Proportions'!F13))</f>
        <v>0.6388415672913117</v>
      </c>
      <c r="K13" s="71">
        <f>IF($B13="Jacks Only",'Chinook Jack Proportions'!G13,IF('3. Select Chinook Method'!$B13="Adults Only",'Chinook Adult Proportions'!G13,'Chinook All Ages Proportions'!G13))</f>
        <v>0.66924398625429549</v>
      </c>
      <c r="L13" s="24">
        <f>IF($B13="Jacks Only",'Chinook Jack Proportions'!H13,IF('3. Select Chinook Method'!$B13="Adults Only",'Chinook Adult Proportions'!H13,'Chinook All Ages Proportions'!H13))</f>
        <v>1</v>
      </c>
      <c r="M13" s="71">
        <f>IF($B13="Jacks Only",'Chinook Jack Proportions'!I13,IF('3. Select Chinook Method'!$B13="Adults Only",'Chinook Adult Proportions'!I13,'Chinook All Ages Proportions'!I13))</f>
        <v>0</v>
      </c>
      <c r="N13" s="71">
        <f>IF($B13="Jacks Only",'Chinook Jack Proportions'!J13,IF('3. Select Chinook Method'!$B13="Adults Only",'Chinook Adult Proportions'!J13,'Chinook All Ages Proportions'!J13))</f>
        <v>0.52689873417721522</v>
      </c>
      <c r="O13" s="23">
        <f>IF($B13="Jacks Only",'Chinook Jack Proportions'!K13,IF('3. Select Chinook Method'!$B13="Adults Only",'Chinook Adult Proportions'!K13,'Chinook All Ages Proportions'!K13))</f>
        <v>0.29444208739923633</v>
      </c>
      <c r="P13" s="76">
        <f>IF($B13="Jacks Only",'Chinook Jack Proportions'!L13,IF('3. Select Chinook Method'!$B13="Adults Only",'Chinook Adult Proportions'!L13,'Chinook All Ages Proportions'!L13))</f>
        <v>0</v>
      </c>
      <c r="Q13" s="76">
        <f>IF($B13="Jacks Only",'Chinook Jack Proportions'!M13,IF('3. Select Chinook Method'!$B13="Adults Only",'Chinook Adult Proportions'!M13,'Chinook All Ages Proportions'!M13))</f>
        <v>0</v>
      </c>
      <c r="R13" s="76">
        <f>IF($B13="Jacks Only",'Chinook Jack Proportions'!X13,IF('3. Select Chinook Method'!$B13="Adults Only",'Chinook Adult Proportions'!X13,'Chinook All Ages Proportions'!X13))</f>
        <v>0</v>
      </c>
      <c r="S13" s="76">
        <f>IF($B13="Jacks Only",'Chinook Jack Proportions'!N13,IF('3. Select Chinook Method'!$B13="Adults Only",'Chinook Adult Proportions'!N13,'Chinook All Ages Proportions'!N13))</f>
        <v>598.41567291311753</v>
      </c>
      <c r="T13" s="76">
        <f>IF($B13="Jacks Only",'Chinook Jack Proportions'!O13,IF('3. Select Chinook Method'!$B13="Adults Only",'Chinook Adult Proportions'!O13,'Chinook All Ages Proportions'!O13))</f>
        <v>160.29731958762886</v>
      </c>
      <c r="U13" s="76">
        <f>IF($B13="Jacks Only",'Chinook Jack Proportions'!P13,IF('3. Select Chinook Method'!$B13="Adults Only",'Chinook Adult Proportions'!P13,'Chinook All Ages Proportions'!P13))</f>
        <v>275.6214432989691</v>
      </c>
      <c r="V13" s="76">
        <f>IF($B13="Jacks Only",'Chinook Jack Proportions'!Q13,IF('3. Select Chinook Method'!$B13="Adults Only",'Chinook Adult Proportions'!Q13,'Chinook All Ages Proportions'!Q13))</f>
        <v>125.92494845360824</v>
      </c>
      <c r="W13" s="76">
        <f>IF($B13="Jacks Only",'Chinook Jack Proportions'!R13,IF('3. Select Chinook Method'!$B13="Adults Only",'Chinook Adult Proportions'!R13,'Chinook All Ages Proportions'!R13))</f>
        <v>0</v>
      </c>
      <c r="X13" s="56">
        <f>IF(B13="Jacks Only",'Chinook Jack Proportions'!S13,IF(B13="Adults Only",'Chinook Adult Proportions'!S13,'Chinook All Ages Proportions'!S13))</f>
        <v>2562.2400000000011</v>
      </c>
      <c r="Y13" s="56">
        <f>IF($B13="Jacks Only",'Chinook Jack Proportions'!T13,IF('3. Select Chinook Method'!$B13="Adults Only",'Chinook Adult Proportions'!T13,'Chinook All Ages Proportions'!T13))</f>
        <v>2.3555366991938906</v>
      </c>
      <c r="Z13" s="56">
        <f>IF($B13="Jacks Only",'Chinook Jack Proportions'!U13,IF('3. Select Chinook Method'!$B13="Adults Only",'Chinook Adult Proportions'!U13,'Chinook All Ages Proportions'!U13))</f>
        <v>7.3610521849809079</v>
      </c>
      <c r="AA13" s="56">
        <f>IF($B13="Jacks Only",'Chinook Jack Proportions'!V13,IF('3. Select Chinook Method'!$B13="Adults Only",'Chinook Adult Proportions'!V13,'Chinook All Ages Proportions'!V13))</f>
        <v>-3.6882911392405067</v>
      </c>
      <c r="AB13" s="56">
        <f>IF($B13="Jacks Only",'Chinook Jack Proportions'!W13,IF('3. Select Chinook Method'!$B13="Adults Only",'Chinook Adult Proportions'!W13,'Chinook All Ages Proportions'!W13))</f>
        <v>0</v>
      </c>
      <c r="AC13" s="41">
        <f>IF(B13="Jacks Only",'Chinook Jack Proportions'!Y13,IF('3. Select Chinook Method'!B13="Adults Only",'Chinook Adult Proportions'!Y13,'Chinook All Ages Proportions'!Y13))</f>
        <v>3728.5276819982596</v>
      </c>
      <c r="AD13" s="42">
        <f>IF(B13="Jacks Only",'Chinook Jack Proportions'!Z13,IF('3. Select Chinook Method'!B13="Adults Only",'Chinook Adult Proportions'!Z13,'Chinook All Ages Proportions'!Z13))</f>
        <v>0.66150401352595933</v>
      </c>
      <c r="AE13" s="43">
        <f>IF($B13="Jacks Only",'Chinook Jack Proportions'!AA13,IF('3. Select Chinook Method'!$B13="Adults Only",'Chinook Adult Proportions'!AA13,'Chinook All Ages Proportions'!AA13))</f>
        <v>0.52094979537236163</v>
      </c>
      <c r="AF13" s="42">
        <f>IF($B13="Jacks Only",'Chinook Jack Proportions'!AB13,IF('3. Select Chinook Method'!$B13="Adults Only",'Chinook Adult Proportions'!AB13,'Chinook All Ages Proportions'!AB13))</f>
        <v>1</v>
      </c>
      <c r="AG13" s="44">
        <f>IF($B13="Jacks Only",'Chinook Jack Proportions'!AC13,IF('3. Select Chinook Method'!$B13="Adults Only",'Chinook Adult Proportions'!AC13,'Chinook All Ages Proportions'!AC13))</f>
        <v>0.23185760557439586</v>
      </c>
    </row>
    <row r="14" spans="1:33" x14ac:dyDescent="0.3">
      <c r="A14" s="5">
        <f>'1. Mixture Model Inputs'!A14</f>
        <v>45116</v>
      </c>
      <c r="B14" s="55" t="s">
        <v>43</v>
      </c>
      <c r="C14" s="60">
        <f t="shared" si="0"/>
        <v>4156.3573147644793</v>
      </c>
      <c r="D14" s="56">
        <f>'Chinook All Ages Proportions'!Y14</f>
        <v>4156.3573147644793</v>
      </c>
      <c r="E14" s="56">
        <f>'Chinook Adult Proportions'!Y14</f>
        <v>4156.3573147644793</v>
      </c>
      <c r="F14" s="57">
        <f>'Chinook Jack Proportions'!Y14</f>
        <v>0</v>
      </c>
      <c r="G14" s="71">
        <f>IF($B14="Jacks Only",'Chinook Jack Proportions'!C14,IF('3. Select Chinook Method'!$B14="Adults Only",'Chinook Adult Proportions'!C14,'Chinook All Ages Proportions'!C14))</f>
        <v>0</v>
      </c>
      <c r="H14" s="71">
        <f>IF($B14="Jacks Only",'Chinook Jack Proportions'!D14,IF('3. Select Chinook Method'!$B14="Adults Only",'Chinook Adult Proportions'!D14,'Chinook All Ages Proportions'!D14))</f>
        <v>0</v>
      </c>
      <c r="I14" s="71">
        <f>IF($B14="Jacks Only",'Chinook Jack Proportions'!E14,IF('3. Select Chinook Method'!$B14="Adults Only",'Chinook Adult Proportions'!E14,'Chinook All Ages Proportions'!E14))</f>
        <v>0</v>
      </c>
      <c r="J14" s="71">
        <f>IF($B14="Jacks Only",'Chinook Jack Proportions'!F14,IF('3. Select Chinook Method'!$B14="Adults Only",'Chinook Adult Proportions'!F14,'Chinook All Ages Proportions'!F14))</f>
        <v>0.50516917293233088</v>
      </c>
      <c r="K14" s="71">
        <f>IF($B14="Jacks Only",'Chinook Jack Proportions'!G14,IF('3. Select Chinook Method'!$B14="Adults Only",'Chinook Adult Proportions'!G14,'Chinook All Ages Proportions'!G14))</f>
        <v>1</v>
      </c>
      <c r="L14" s="24">
        <f>IF($B14="Jacks Only",'Chinook Jack Proportions'!H14,IF('3. Select Chinook Method'!$B14="Adults Only",'Chinook Adult Proportions'!H14,'Chinook All Ages Proportions'!H14))</f>
        <v>1</v>
      </c>
      <c r="M14" s="71">
        <f>IF($B14="Jacks Only",'Chinook Jack Proportions'!I14,IF('3. Select Chinook Method'!$B14="Adults Only",'Chinook Adult Proportions'!I14,'Chinook All Ages Proportions'!I14))</f>
        <v>0</v>
      </c>
      <c r="N14" s="71">
        <f>IF($B14="Jacks Only",'Chinook Jack Proportions'!J14,IF('3. Select Chinook Method'!$B14="Adults Only",'Chinook Adult Proportions'!J14,'Chinook All Ages Proportions'!J14))</f>
        <v>0.52689873417721522</v>
      </c>
      <c r="O14" s="23">
        <f>IF($B14="Jacks Only",'Chinook Jack Proportions'!K14,IF('3. Select Chinook Method'!$B14="Adults Only",'Chinook Adult Proportions'!K14,'Chinook All Ages Proportions'!K14))</f>
        <v>0.29444208739923633</v>
      </c>
      <c r="P14" s="76">
        <f>IF($B14="Jacks Only",'Chinook Jack Proportions'!L14,IF('3. Select Chinook Method'!$B14="Adults Only",'Chinook Adult Proportions'!L14,'Chinook All Ages Proportions'!L14))</f>
        <v>0</v>
      </c>
      <c r="Q14" s="76">
        <f>IF($B14="Jacks Only",'Chinook Jack Proportions'!M14,IF('3. Select Chinook Method'!$B14="Adults Only",'Chinook Adult Proportions'!M14,'Chinook All Ages Proportions'!M14))</f>
        <v>0</v>
      </c>
      <c r="R14" s="76">
        <f>IF($B14="Jacks Only",'Chinook Jack Proportions'!X14,IF('3. Select Chinook Method'!$B14="Adults Only",'Chinook Adult Proportions'!X14,'Chinook All Ages Proportions'!X14))</f>
        <v>0</v>
      </c>
      <c r="S14" s="76">
        <f>IF($B14="Jacks Only",'Chinook Jack Proportions'!N14,IF('3. Select Chinook Method'!$B14="Adults Only",'Chinook Adult Proportions'!N14,'Chinook All Ages Proportions'!N14))</f>
        <v>441.43703007518798</v>
      </c>
      <c r="T14" s="76">
        <f>IF($B14="Jacks Only",'Chinook Jack Proportions'!O14,IF('3. Select Chinook Method'!$B14="Adults Only",'Chinook Adult Proportions'!O14,'Chinook All Ages Proportions'!O14))</f>
        <v>550.08000000000004</v>
      </c>
      <c r="U14" s="76">
        <f>IF($B14="Jacks Only",'Chinook Jack Proportions'!P14,IF('3. Select Chinook Method'!$B14="Adults Only",'Chinook Adult Proportions'!P14,'Chinook All Ages Proportions'!P14))</f>
        <v>590.16</v>
      </c>
      <c r="V14" s="76">
        <f>IF($B14="Jacks Only",'Chinook Jack Proportions'!Q14,IF('3. Select Chinook Method'!$B14="Adults Only",'Chinook Adult Proportions'!Q14,'Chinook All Ages Proportions'!Q14))</f>
        <v>114.72</v>
      </c>
      <c r="W14" s="76">
        <f>IF($B14="Jacks Only",'Chinook Jack Proportions'!R14,IF('3. Select Chinook Method'!$B14="Adults Only",'Chinook Adult Proportions'!R14,'Chinook All Ages Proportions'!R14))</f>
        <v>0</v>
      </c>
      <c r="X14" s="56">
        <f>IF(B14="Jacks Only",'Chinook Jack Proportions'!S14,IF(B14="Adults Only",'Chinook Adult Proportions'!S14,'Chinook All Ages Proportions'!S14))</f>
        <v>2378.88</v>
      </c>
      <c r="Y14" s="56">
        <f>IF($B14="Jacks Only",'Chinook Jack Proportions'!T14,IF('3. Select Chinook Method'!$B14="Adults Only",'Chinook Adult Proportions'!T14,'Chinook All Ages Proportions'!T14))</f>
        <v>2.3555366991938906</v>
      </c>
      <c r="Z14" s="56">
        <f>IF($B14="Jacks Only",'Chinook Jack Proportions'!U14,IF('3. Select Chinook Method'!$B14="Adults Only",'Chinook Adult Proportions'!U14,'Chinook All Ages Proportions'!U14))</f>
        <v>27.088672040729744</v>
      </c>
      <c r="AA14" s="56">
        <f>IF($B14="Jacks Only",'Chinook Jack Proportions'!V14,IF('3. Select Chinook Method'!$B14="Adults Only",'Chinook Adult Proportions'!V14,'Chinook All Ages Proportions'!V14))</f>
        <v>51.63607594936709</v>
      </c>
      <c r="AB14" s="56">
        <f>IF($B14="Jacks Only",'Chinook Jack Proportions'!W14,IF('3. Select Chinook Method'!$B14="Adults Only",'Chinook Adult Proportions'!W14,'Chinook All Ages Proportions'!W14))</f>
        <v>0</v>
      </c>
      <c r="AC14" s="41">
        <f>IF(B14="Jacks Only",'Chinook Jack Proportions'!Y14,IF('3. Select Chinook Method'!B14="Adults Only",'Chinook Adult Proportions'!Y14,'Chinook All Ages Proportions'!Y14))</f>
        <v>4156.3573147644793</v>
      </c>
      <c r="AD14" s="42">
        <f>IF(B14="Jacks Only",'Chinook Jack Proportions'!Z14,IF('3. Select Chinook Method'!B14="Adults Only",'Chinook Adult Proportions'!Z14,'Chinook All Ages Proportions'!Z14))</f>
        <v>0.68086108003926238</v>
      </c>
      <c r="AE14" s="43">
        <f>IF($B14="Jacks Only",'Chinook Jack Proportions'!AA14,IF('3. Select Chinook Method'!$B14="Adults Only",'Chinook Adult Proportions'!AA14,'Chinook All Ages Proportions'!AA14))</f>
        <v>0.6237487609112794</v>
      </c>
      <c r="AF14" s="42">
        <f>IF($B14="Jacks Only",'Chinook Jack Proportions'!AB14,IF('3. Select Chinook Method'!$B14="Adults Only",'Chinook Adult Proportions'!AB14,'Chinook All Ages Proportions'!AB14))</f>
        <v>1</v>
      </c>
      <c r="AG14" s="44">
        <f>IF($B14="Jacks Only",'Chinook Jack Proportions'!AC14,IF('3. Select Chinook Method'!$B14="Adults Only",'Chinook Adult Proportions'!AC14,'Chinook All Ages Proportions'!AC14))</f>
        <v>0.4094963873196501</v>
      </c>
    </row>
    <row r="15" spans="1:33" x14ac:dyDescent="0.3">
      <c r="A15" s="5">
        <f>'1. Mixture Model Inputs'!A15</f>
        <v>45117</v>
      </c>
      <c r="B15" s="55" t="s">
        <v>43</v>
      </c>
      <c r="C15" s="60">
        <f t="shared" si="0"/>
        <v>4514.6590271867171</v>
      </c>
      <c r="D15" s="56">
        <f>'Chinook All Ages Proportions'!Y15</f>
        <v>4514.6590271867171</v>
      </c>
      <c r="E15" s="56">
        <f>'Chinook Adult Proportions'!Y15</f>
        <v>4514.6590271867171</v>
      </c>
      <c r="F15" s="57">
        <f>'Chinook Jack Proportions'!Y15</f>
        <v>0</v>
      </c>
      <c r="G15" s="71">
        <f>IF($B15="Jacks Only",'Chinook Jack Proportions'!C15,IF('3. Select Chinook Method'!$B15="Adults Only",'Chinook Adult Proportions'!C15,'Chinook All Ages Proportions'!C15))</f>
        <v>0</v>
      </c>
      <c r="H15" s="71">
        <f>IF($B15="Jacks Only",'Chinook Jack Proportions'!D15,IF('3. Select Chinook Method'!$B15="Adults Only",'Chinook Adult Proportions'!D15,'Chinook All Ages Proportions'!D15))</f>
        <v>0</v>
      </c>
      <c r="I15" s="71">
        <f>IF($B15="Jacks Only",'Chinook Jack Proportions'!E15,IF('3. Select Chinook Method'!$B15="Adults Only",'Chinook Adult Proportions'!E15,'Chinook All Ages Proportions'!E15))</f>
        <v>0</v>
      </c>
      <c r="J15" s="71">
        <f>IF($B15="Jacks Only",'Chinook Jack Proportions'!F15,IF('3. Select Chinook Method'!$B15="Adults Only",'Chinook Adult Proportions'!F15,'Chinook All Ages Proportions'!F15))</f>
        <v>0.50516917293233088</v>
      </c>
      <c r="K15" s="71">
        <f>IF($B15="Jacks Only",'Chinook Jack Proportions'!G15,IF('3. Select Chinook Method'!$B15="Adults Only",'Chinook Adult Proportions'!G15,'Chinook All Ages Proportions'!G15))</f>
        <v>1</v>
      </c>
      <c r="L15" s="24">
        <f>IF($B15="Jacks Only",'Chinook Jack Proportions'!H15,IF('3. Select Chinook Method'!$B15="Adults Only",'Chinook Adult Proportions'!H15,'Chinook All Ages Proportions'!H15))</f>
        <v>1</v>
      </c>
      <c r="M15" s="71">
        <f>IF($B15="Jacks Only",'Chinook Jack Proportions'!I15,IF('3. Select Chinook Method'!$B15="Adults Only",'Chinook Adult Proportions'!I15,'Chinook All Ages Proportions'!I15))</f>
        <v>0</v>
      </c>
      <c r="N15" s="71">
        <f>IF($B15="Jacks Only",'Chinook Jack Proportions'!J15,IF('3. Select Chinook Method'!$B15="Adults Only",'Chinook Adult Proportions'!J15,'Chinook All Ages Proportions'!J15))</f>
        <v>0.52689873417721522</v>
      </c>
      <c r="O15" s="23">
        <f>IF($B15="Jacks Only",'Chinook Jack Proportions'!K15,IF('3. Select Chinook Method'!$B15="Adults Only",'Chinook Adult Proportions'!K15,'Chinook All Ages Proportions'!K15))</f>
        <v>0.29444208739923633</v>
      </c>
      <c r="P15" s="76">
        <f>IF($B15="Jacks Only",'Chinook Jack Proportions'!L15,IF('3. Select Chinook Method'!$B15="Adults Only",'Chinook Adult Proportions'!L15,'Chinook All Ages Proportions'!L15))</f>
        <v>0</v>
      </c>
      <c r="Q15" s="76">
        <f>IF($B15="Jacks Only",'Chinook Jack Proportions'!M15,IF('3. Select Chinook Method'!$B15="Adults Only",'Chinook Adult Proportions'!M15,'Chinook All Ages Proportions'!M15))</f>
        <v>0</v>
      </c>
      <c r="R15" s="76">
        <f>IF($B15="Jacks Only",'Chinook Jack Proportions'!X15,IF('3. Select Chinook Method'!$B15="Adults Only",'Chinook Adult Proportions'!X15,'Chinook All Ages Proportions'!X15))</f>
        <v>0</v>
      </c>
      <c r="S15" s="76">
        <f>IF($B15="Jacks Only",'Chinook Jack Proportions'!N15,IF('3. Select Chinook Method'!$B15="Adults Only",'Chinook Adult Proportions'!N15,'Chinook All Ages Proportions'!N15))</f>
        <v>492.35808270676694</v>
      </c>
      <c r="T15" s="76">
        <f>IF($B15="Jacks Only",'Chinook Jack Proportions'!O15,IF('3. Select Chinook Method'!$B15="Adults Only",'Chinook Adult Proportions'!O15,'Chinook All Ages Proportions'!O15))</f>
        <v>795.36</v>
      </c>
      <c r="U15" s="76">
        <f>IF($B15="Jacks Only",'Chinook Jack Proportions'!P15,IF('3. Select Chinook Method'!$B15="Adults Only",'Chinook Adult Proportions'!P15,'Chinook All Ages Proportions'!P15))</f>
        <v>969.60000000000014</v>
      </c>
      <c r="V15" s="76">
        <f>IF($B15="Jacks Only",'Chinook Jack Proportions'!Q15,IF('3. Select Chinook Method'!$B15="Adults Only",'Chinook Adult Proportions'!Q15,'Chinook All Ages Proportions'!Q15))</f>
        <v>374.88</v>
      </c>
      <c r="W15" s="76">
        <f>IF($B15="Jacks Only",'Chinook Jack Proportions'!R15,IF('3. Select Chinook Method'!$B15="Adults Only",'Chinook Adult Proportions'!R15,'Chinook All Ages Proportions'!R15))</f>
        <v>0</v>
      </c>
      <c r="X15" s="56">
        <f>IF(B15="Jacks Only",'Chinook Jack Proportions'!S15,IF(B15="Adults Only",'Chinook Adult Proportions'!S15,'Chinook All Ages Proportions'!S15))</f>
        <v>1661.0400000000002</v>
      </c>
      <c r="Y15" s="56">
        <f>IF($B15="Jacks Only",'Chinook Jack Proportions'!T15,IF('3. Select Chinook Method'!$B15="Adults Only",'Chinook Adult Proportions'!T15,'Chinook All Ages Proportions'!T15))</f>
        <v>-14.722104369961816</v>
      </c>
      <c r="Z15" s="56">
        <f>IF($B15="Jacks Only",'Chinook Jack Proportions'!U15,IF('3. Select Chinook Method'!$B15="Adults Only",'Chinook Adult Proportions'!U15,'Chinook All Ages Proportions'!U15))</f>
        <v>126.02121340687314</v>
      </c>
      <c r="AA15" s="56">
        <f>IF($B15="Jacks Only",'Chinook Jack Proportions'!V15,IF('3. Select Chinook Method'!$B15="Adults Only",'Chinook Adult Proportions'!V15,'Chinook All Ages Proportions'!V15))</f>
        <v>110.12183544303798</v>
      </c>
      <c r="AB15" s="56">
        <f>IF($B15="Jacks Only",'Chinook Jack Proportions'!W15,IF('3. Select Chinook Method'!$B15="Adults Only",'Chinook Adult Proportions'!W15,'Chinook All Ages Proportions'!W15))</f>
        <v>0</v>
      </c>
      <c r="AC15" s="41">
        <f>IF(B15="Jacks Only",'Chinook Jack Proportions'!Y15,IF('3. Select Chinook Method'!B15="Adults Only",'Chinook Adult Proportions'!Y15,'Chinook All Ages Proportions'!Y15))</f>
        <v>4514.6590271867171</v>
      </c>
      <c r="AD15" s="42">
        <f>IF(B15="Jacks Only",'Chinook Jack Proportions'!Z15,IF('3. Select Chinook Method'!B15="Adults Only",'Chinook Adult Proportions'!Z15,'Chinook All Ages Proportions'!Z15))</f>
        <v>0.68830255082796443</v>
      </c>
      <c r="AE15" s="43">
        <f>IF($B15="Jacks Only",'Chinook Jack Proportions'!AA15,IF('3. Select Chinook Method'!$B15="Adults Only",'Chinook Adult Proportions'!AA15,'Chinook All Ages Proportions'!AA15))</f>
        <v>0.73400428398328188</v>
      </c>
      <c r="AF15" s="42">
        <f>IF($B15="Jacks Only",'Chinook Jack Proportions'!AB15,IF('3. Select Chinook Method'!$B15="Adults Only",'Chinook Adult Proportions'!AB15,'Chinook All Ages Proportions'!AB15))</f>
        <v>1</v>
      </c>
      <c r="AG15" s="44">
        <f>IF($B15="Jacks Only",'Chinook Jack Proportions'!AC15,IF('3. Select Chinook Method'!$B15="Adults Only",'Chinook Adult Proportions'!AC15,'Chinook All Ages Proportions'!AC15))</f>
        <v>0.37720774187384887</v>
      </c>
    </row>
    <row r="16" spans="1:33" x14ac:dyDescent="0.3">
      <c r="A16" s="5">
        <f>'1. Mixture Model Inputs'!A16</f>
        <v>45118</v>
      </c>
      <c r="B16" s="55" t="s">
        <v>43</v>
      </c>
      <c r="C16" s="60">
        <f t="shared" si="0"/>
        <v>1388.6142608546631</v>
      </c>
      <c r="D16" s="56">
        <f>'Chinook All Ages Proportions'!Y16</f>
        <v>1388.6142608546631</v>
      </c>
      <c r="E16" s="56">
        <f>'Chinook Adult Proportions'!Y16</f>
        <v>1388.6142608546631</v>
      </c>
      <c r="F16" s="57">
        <f>'Chinook Jack Proportions'!Y16</f>
        <v>0</v>
      </c>
      <c r="G16" s="71">
        <f>IF($B16="Jacks Only",'Chinook Jack Proportions'!C16,IF('3. Select Chinook Method'!$B16="Adults Only",'Chinook Adult Proportions'!C16,'Chinook All Ages Proportions'!C16))</f>
        <v>0</v>
      </c>
      <c r="H16" s="71">
        <f>IF($B16="Jacks Only",'Chinook Jack Proportions'!D16,IF('3. Select Chinook Method'!$B16="Adults Only",'Chinook Adult Proportions'!D16,'Chinook All Ages Proportions'!D16))</f>
        <v>0</v>
      </c>
      <c r="I16" s="71">
        <f>IF($B16="Jacks Only",'Chinook Jack Proportions'!E16,IF('3. Select Chinook Method'!$B16="Adults Only",'Chinook Adult Proportions'!E16,'Chinook All Ages Proportions'!E16))</f>
        <v>0</v>
      </c>
      <c r="J16" s="71">
        <f>IF($B16="Jacks Only",'Chinook Jack Proportions'!F16,IF('3. Select Chinook Method'!$B16="Adults Only",'Chinook Adult Proportions'!F16,'Chinook All Ages Proportions'!F16))</f>
        <v>0.35832004253056887</v>
      </c>
      <c r="K16" s="71">
        <f>IF($B16="Jacks Only",'Chinook Jack Proportions'!G16,IF('3. Select Chinook Method'!$B16="Adults Only",'Chinook Adult Proportions'!G16,'Chinook All Ages Proportions'!G16))</f>
        <v>0.61218548554793095</v>
      </c>
      <c r="L16" s="24">
        <f>IF($B16="Jacks Only",'Chinook Jack Proportions'!H16,IF('3. Select Chinook Method'!$B16="Adults Only",'Chinook Adult Proportions'!H16,'Chinook All Ages Proportions'!H16))</f>
        <v>0</v>
      </c>
      <c r="M16" s="71">
        <f>IF($B16="Jacks Only",'Chinook Jack Proportions'!I16,IF('3. Select Chinook Method'!$B16="Adults Only",'Chinook Adult Proportions'!I16,'Chinook All Ages Proportions'!I16))</f>
        <v>0</v>
      </c>
      <c r="N16" s="71">
        <f>IF($B16="Jacks Only",'Chinook Jack Proportions'!J16,IF('3. Select Chinook Method'!$B16="Adults Only",'Chinook Adult Proportions'!J16,'Chinook All Ages Proportions'!J16))</f>
        <v>0.52689873417721522</v>
      </c>
      <c r="O16" s="23">
        <f>IF($B16="Jacks Only",'Chinook Jack Proportions'!K16,IF('3. Select Chinook Method'!$B16="Adults Only",'Chinook Adult Proportions'!K16,'Chinook All Ages Proportions'!K16))</f>
        <v>0.29444208739923633</v>
      </c>
      <c r="P16" s="76">
        <f>IF($B16="Jacks Only",'Chinook Jack Proportions'!L16,IF('3. Select Chinook Method'!$B16="Adults Only",'Chinook Adult Proportions'!L16,'Chinook All Ages Proportions'!L16))</f>
        <v>0</v>
      </c>
      <c r="Q16" s="76">
        <f>IF($B16="Jacks Only",'Chinook Jack Proportions'!M16,IF('3. Select Chinook Method'!$B16="Adults Only",'Chinook Adult Proportions'!M16,'Chinook All Ages Proportions'!M16))</f>
        <v>0</v>
      </c>
      <c r="R16" s="76">
        <f>IF($B16="Jacks Only",'Chinook Jack Proportions'!X16,IF('3. Select Chinook Method'!$B16="Adults Only",'Chinook Adult Proportions'!X16,'Chinook All Ages Proportions'!X16))</f>
        <v>0</v>
      </c>
      <c r="S16" s="76">
        <f>IF($B16="Jacks Only",'Chinook Jack Proportions'!N16,IF('3. Select Chinook Method'!$B16="Adults Only",'Chinook Adult Proportions'!N16,'Chinook All Ages Proportions'!N16))</f>
        <v>283.70347687400317</v>
      </c>
      <c r="T16" s="76">
        <f>IF($B16="Jacks Only",'Chinook Jack Proportions'!O16,IF('3. Select Chinook Method'!$B16="Adults Only",'Chinook Adult Proportions'!O16,'Chinook All Ages Proportions'!O16))</f>
        <v>470.01152838427947</v>
      </c>
      <c r="U16" s="76">
        <f>IF($B16="Jacks Only",'Chinook Jack Proportions'!P16,IF('3. Select Chinook Method'!$B16="Adults Only",'Chinook Adult Proportions'!P16,'Chinook All Ages Proportions'!P16))</f>
        <v>397.57774173424826</v>
      </c>
      <c r="V16" s="76">
        <f>IF($B16="Jacks Only",'Chinook Jack Proportions'!Q16,IF('3. Select Chinook Method'!$B16="Adults Only",'Chinook Adult Proportions'!Q16,'Chinook All Ages Proportions'!Q16))</f>
        <v>207.31049282595134</v>
      </c>
      <c r="W16" s="76">
        <f>IF($B16="Jacks Only",'Chinook Jack Proportions'!R16,IF('3. Select Chinook Method'!$B16="Adults Only",'Chinook Adult Proportions'!R16,'Chinook All Ages Proportions'!R16))</f>
        <v>0</v>
      </c>
      <c r="X16" s="56">
        <f>IF(B16="Jacks Only",'Chinook Jack Proportions'!S16,IF(B16="Adults Only",'Chinook Adult Proportions'!S16,'Chinook All Ages Proportions'!S16))</f>
        <v>0</v>
      </c>
      <c r="Y16" s="56">
        <f>IF($B16="Jacks Only",'Chinook Jack Proportions'!T16,IF('3. Select Chinook Method'!$B16="Adults Only",'Chinook Adult Proportions'!T16,'Chinook All Ages Proportions'!T16))</f>
        <v>-5.3706236741620712</v>
      </c>
      <c r="Z16" s="56">
        <f>IF($B16="Jacks Only",'Chinook Jack Proportions'!U16,IF('3. Select Chinook Method'!$B16="Adults Only",'Chinook Adult Proportions'!U16,'Chinook All Ages Proportions'!U16))</f>
        <v>-18.867848960543064</v>
      </c>
      <c r="AA16" s="56">
        <f>IF($B16="Jacks Only",'Chinook Jack Proportions'!V16,IF('3. Select Chinook Method'!$B16="Adults Only",'Chinook Adult Proportions'!V16,'Chinook All Ages Proportions'!V16))</f>
        <v>54.249493670886082</v>
      </c>
      <c r="AB16" s="56">
        <f>IF($B16="Jacks Only",'Chinook Jack Proportions'!W16,IF('3. Select Chinook Method'!$B16="Adults Only",'Chinook Adult Proportions'!W16,'Chinook All Ages Proportions'!W16))</f>
        <v>0</v>
      </c>
      <c r="AC16" s="41">
        <f>IF(B16="Jacks Only",'Chinook Jack Proportions'!Y16,IF('3. Select Chinook Method'!B16="Adults Only",'Chinook Adult Proportions'!Y16,'Chinook All Ages Proportions'!Y16))</f>
        <v>1388.6142608546631</v>
      </c>
      <c r="AD16" s="42">
        <f>IF(B16="Jacks Only",'Chinook Jack Proportions'!Z16,IF('3. Select Chinook Method'!B16="Adults Only",'Chinook Adult Proportions'!Z16,'Chinook All Ages Proportions'!Z16))</f>
        <v>0.29344691147543212</v>
      </c>
      <c r="AE16" s="43">
        <f>IF($B16="Jacks Only",'Chinook Jack Proportions'!AA16,IF('3. Select Chinook Method'!$B16="Adults Only",'Chinook Adult Proportions'!AA16,'Chinook All Ages Proportions'!AA16))</f>
        <v>0.45744216828905132</v>
      </c>
      <c r="AF16" s="42">
        <f>IF($B16="Jacks Only",'Chinook Jack Proportions'!AB16,IF('3. Select Chinook Method'!$B16="Adults Only",'Chinook Adult Proportions'!AB16,'Chinook All Ages Proportions'!AB16))</f>
        <v>0</v>
      </c>
      <c r="AG16" s="44">
        <f>IF($B16="Jacks Only",'Chinook Jack Proportions'!AC16,IF('3. Select Chinook Method'!$B16="Adults Only",'Chinook Adult Proportions'!AC16,'Chinook All Ages Proportions'!AC16))</f>
        <v>1.4540223370242695</v>
      </c>
    </row>
    <row r="17" spans="1:33" x14ac:dyDescent="0.3">
      <c r="A17" s="5">
        <f>'1. Mixture Model Inputs'!A17</f>
        <v>45119</v>
      </c>
      <c r="B17" s="55" t="s">
        <v>43</v>
      </c>
      <c r="C17" s="60">
        <f t="shared" si="0"/>
        <v>1321.7094990152539</v>
      </c>
      <c r="D17" s="56">
        <f>'Chinook All Ages Proportions'!Y17</f>
        <v>1321.7094990152539</v>
      </c>
      <c r="E17" s="56">
        <f>'Chinook Adult Proportions'!Y17</f>
        <v>1321.7094990152539</v>
      </c>
      <c r="F17" s="57">
        <f>'Chinook Jack Proportions'!Y17</f>
        <v>0</v>
      </c>
      <c r="G17" s="71">
        <f>IF($B17="Jacks Only",'Chinook Jack Proportions'!C17,IF('3. Select Chinook Method'!$B17="Adults Only",'Chinook Adult Proportions'!C17,'Chinook All Ages Proportions'!C17))</f>
        <v>0.24085365853658536</v>
      </c>
      <c r="H17" s="71">
        <f>IF($B17="Jacks Only",'Chinook Jack Proportions'!D17,IF('3. Select Chinook Method'!$B17="Adults Only",'Chinook Adult Proportions'!D17,'Chinook All Ages Proportions'!D17))</f>
        <v>0</v>
      </c>
      <c r="I17" s="71">
        <f>IF($B17="Jacks Only",'Chinook Jack Proportions'!E17,IF('3. Select Chinook Method'!$B17="Adults Only",'Chinook Adult Proportions'!E17,'Chinook All Ages Proportions'!E17))</f>
        <v>2.313624678663239E-2</v>
      </c>
      <c r="J17" s="71">
        <f>IF($B17="Jacks Only",'Chinook Jack Proportions'!F17,IF('3. Select Chinook Method'!$B17="Adults Only",'Chinook Adult Proportions'!F17,'Chinook All Ages Proportions'!F17))</f>
        <v>0.41083974573435933</v>
      </c>
      <c r="K17" s="71">
        <f>IF($B17="Jacks Only",'Chinook Jack Proportions'!G17,IF('3. Select Chinook Method'!$B17="Adults Only",'Chinook Adult Proportions'!G17,'Chinook All Ages Proportions'!G17))</f>
        <v>0.80843218980442444</v>
      </c>
      <c r="L17" s="24">
        <f>IF($B17="Jacks Only",'Chinook Jack Proportions'!H17,IF('3. Select Chinook Method'!$B17="Adults Only",'Chinook Adult Proportions'!H17,'Chinook All Ages Proportions'!H17))</f>
        <v>0</v>
      </c>
      <c r="M17" s="71">
        <f>IF($B17="Jacks Only",'Chinook Jack Proportions'!I17,IF('3. Select Chinook Method'!$B17="Adults Only",'Chinook Adult Proportions'!I17,'Chinook All Ages Proportions'!I17))</f>
        <v>0</v>
      </c>
      <c r="N17" s="71">
        <f>IF($B17="Jacks Only",'Chinook Jack Proportions'!J17,IF('3. Select Chinook Method'!$B17="Adults Only",'Chinook Adult Proportions'!J17,'Chinook All Ages Proportions'!J17))</f>
        <v>0.21231422505307854</v>
      </c>
      <c r="O17" s="23">
        <f>IF($B17="Jacks Only",'Chinook Jack Proportions'!K17,IF('3. Select Chinook Method'!$B17="Adults Only",'Chinook Adult Proportions'!K17,'Chinook All Ages Proportions'!K17))</f>
        <v>0.25917767988252571</v>
      </c>
      <c r="P17" s="76">
        <f>IF($B17="Jacks Only",'Chinook Jack Proportions'!L17,IF('3. Select Chinook Method'!$B17="Adults Only",'Chinook Adult Proportions'!L17,'Chinook All Ages Proportions'!L17))</f>
        <v>74.63398004434589</v>
      </c>
      <c r="Q17" s="76">
        <f>IF($B17="Jacks Only",'Chinook Jack Proportions'!M17,IF('3. Select Chinook Method'!$B17="Adults Only",'Chinook Adult Proportions'!M17,'Chinook All Ages Proportions'!M17))</f>
        <v>0</v>
      </c>
      <c r="R17" s="76">
        <f>IF($B17="Jacks Only",'Chinook Jack Proportions'!X17,IF('3. Select Chinook Method'!$B17="Adults Only",'Chinook Adult Proportions'!X17,'Chinook All Ages Proportions'!X17))</f>
        <v>14.338583781257302</v>
      </c>
      <c r="S17" s="76">
        <f>IF($B17="Jacks Only",'Chinook Jack Proportions'!N17,IF('3. Select Chinook Method'!$B17="Adults Only",'Chinook Adult Proportions'!N17,'Chinook All Ages Proportions'!N17))</f>
        <v>329.92074941451989</v>
      </c>
      <c r="T17" s="76">
        <f>IF($B17="Jacks Only",'Chinook Jack Proportions'!O17,IF('3. Select Chinook Method'!$B17="Adults Only",'Chinook Adult Proportions'!O17,'Chinook All Ages Proportions'!O17))</f>
        <v>550.32183975050282</v>
      </c>
      <c r="U17" s="76">
        <f>IF($B17="Jacks Only",'Chinook Jack Proportions'!P17,IF('3. Select Chinook Method'!$B17="Adults Only",'Chinook Adult Proportions'!P17,'Chinook All Ages Proportions'!P17))</f>
        <v>345.09765367687777</v>
      </c>
      <c r="V17" s="76">
        <f>IF($B17="Jacks Only",'Chinook Jack Proportions'!Q17,IF('3. Select Chinook Method'!$B17="Adults Only",'Chinook Adult Proportions'!Q17,'Chinook All Ages Proportions'!Q17))</f>
        <v>121.00025066309129</v>
      </c>
      <c r="W17" s="76">
        <f>IF($B17="Jacks Only",'Chinook Jack Proportions'!R17,IF('3. Select Chinook Method'!$B17="Adults Only",'Chinook Adult Proportions'!R17,'Chinook All Ages Proportions'!R17))</f>
        <v>0</v>
      </c>
      <c r="X17" s="56">
        <f>IF(B17="Jacks Only",'Chinook Jack Proportions'!S17,IF(B17="Adults Only",'Chinook Adult Proportions'!S17,'Chinook All Ages Proportions'!S17))</f>
        <v>0</v>
      </c>
      <c r="Y17" s="56">
        <f>IF($B17="Jacks Only",'Chinook Jack Proportions'!T17,IF('3. Select Chinook Method'!$B17="Adults Only",'Chinook Adult Proportions'!T17,'Chinook All Ages Proportions'!T17))</f>
        <v>-18.66079295154185</v>
      </c>
      <c r="Z17" s="56">
        <f>IF($B17="Jacks Only",'Chinook Jack Proportions'!U17,IF('3. Select Chinook Method'!$B17="Adults Only",'Chinook Adult Proportions'!U17,'Chinook All Ages Proportions'!U17))</f>
        <v>-13.684581497797359</v>
      </c>
      <c r="AA17" s="56">
        <f>IF($B17="Jacks Only",'Chinook Jack Proportions'!V17,IF('3. Select Chinook Method'!$B17="Adults Only",'Chinook Adult Proportions'!V17,'Chinook All Ages Proportions'!V17))</f>
        <v>-6.6242038216560513</v>
      </c>
      <c r="AB17" s="56">
        <f>IF($B17="Jacks Only",'Chinook Jack Proportions'!W17,IF('3. Select Chinook Method'!$B17="Adults Only",'Chinook Adult Proportions'!W17,'Chinook All Ages Proportions'!W17))</f>
        <v>0</v>
      </c>
      <c r="AC17" s="41">
        <f>IF(B17="Jacks Only",'Chinook Jack Proportions'!Y17,IF('3. Select Chinook Method'!B17="Adults Only",'Chinook Adult Proportions'!Y17,'Chinook All Ages Proportions'!Y17))</f>
        <v>1321.7094990152539</v>
      </c>
      <c r="AD17" s="42">
        <f>IF(B17="Jacks Only",'Chinook Jack Proportions'!Z17,IF('3. Select Chinook Method'!B17="Adults Only",'Chinook Adult Proportions'!Z17,'Chinook All Ages Proportions'!Z17))</f>
        <v>0.2689693462428478</v>
      </c>
      <c r="AE17" s="43">
        <f>IF($B17="Jacks Only",'Chinook Jack Proportions'!AA17,IF('3. Select Chinook Method'!$B17="Adults Only",'Chinook Adult Proportions'!AA17,'Chinook All Ages Proportions'!AA17))</f>
        <v>0.5302028452924602</v>
      </c>
      <c r="AF17" s="42">
        <f>IF($B17="Jacks Only",'Chinook Jack Proportions'!AB17,IF('3. Select Chinook Method'!$B17="Adults Only",'Chinook Adult Proportions'!AB17,'Chinook All Ages Proportions'!AB17))</f>
        <v>0</v>
      </c>
      <c r="AG17" s="44">
        <f>IF($B17="Jacks Only",'Chinook Jack Proportions'!AC17,IF('3. Select Chinook Method'!$B17="Adults Only",'Chinook Adult Proportions'!AC17,'Chinook All Ages Proportions'!AC17))</f>
        <v>0.2498049889166363</v>
      </c>
    </row>
    <row r="18" spans="1:33" x14ac:dyDescent="0.3">
      <c r="A18" s="5">
        <f>'1. Mixture Model Inputs'!A18</f>
        <v>45120</v>
      </c>
      <c r="B18" s="55" t="s">
        <v>43</v>
      </c>
      <c r="C18" s="60">
        <f t="shared" si="0"/>
        <v>1513.298167389642</v>
      </c>
      <c r="D18" s="56">
        <f>'Chinook All Ages Proportions'!Y18</f>
        <v>1513.298167389642</v>
      </c>
      <c r="E18" s="56">
        <f>'Chinook Adult Proportions'!Y18</f>
        <v>1513.298167389642</v>
      </c>
      <c r="F18" s="57">
        <f>'Chinook Jack Proportions'!Y18</f>
        <v>0</v>
      </c>
      <c r="G18" s="71">
        <f>IF($B18="Jacks Only",'Chinook Jack Proportions'!C18,IF('3. Select Chinook Method'!$B18="Adults Only",'Chinook Adult Proportions'!C18,'Chinook All Ages Proportions'!C18))</f>
        <v>0.17073170731707316</v>
      </c>
      <c r="H18" s="71">
        <f>IF($B18="Jacks Only",'Chinook Jack Proportions'!D18,IF('3. Select Chinook Method'!$B18="Adults Only",'Chinook Adult Proportions'!D18,'Chinook All Ages Proportions'!D18))</f>
        <v>0</v>
      </c>
      <c r="I18" s="71">
        <f>IF($B18="Jacks Only",'Chinook Jack Proportions'!E18,IF('3. Select Chinook Method'!$B18="Adults Only",'Chinook Adult Proportions'!E18,'Chinook All Ages Proportions'!E18))</f>
        <v>0</v>
      </c>
      <c r="J18" s="71">
        <f>IF($B18="Jacks Only",'Chinook Jack Proportions'!F18,IF('3. Select Chinook Method'!$B18="Adults Only",'Chinook Adult Proportions'!F18,'Chinook All Ages Proportions'!F18))</f>
        <v>0.48167911775168976</v>
      </c>
      <c r="K18" s="71">
        <f>IF($B18="Jacks Only",'Chinook Jack Proportions'!G18,IF('3. Select Chinook Method'!$B18="Adults Only",'Chinook Adult Proportions'!G18,'Chinook All Ages Proportions'!G18))</f>
        <v>0.71767810026385226</v>
      </c>
      <c r="L18" s="24">
        <f>IF($B18="Jacks Only",'Chinook Jack Proportions'!H18,IF('3. Select Chinook Method'!$B18="Adults Only",'Chinook Adult Proportions'!H18,'Chinook All Ages Proportions'!H18))</f>
        <v>0</v>
      </c>
      <c r="M18" s="71">
        <f>IF($B18="Jacks Only",'Chinook Jack Proportions'!I18,IF('3. Select Chinook Method'!$B18="Adults Only",'Chinook Adult Proportions'!I18,'Chinook All Ages Proportions'!I18))</f>
        <v>0</v>
      </c>
      <c r="N18" s="71">
        <f>IF($B18="Jacks Only",'Chinook Jack Proportions'!J18,IF('3. Select Chinook Method'!$B18="Adults Only",'Chinook Adult Proportions'!J18,'Chinook All Ages Proportions'!J18))</f>
        <v>0.21231422505307854</v>
      </c>
      <c r="O18" s="23">
        <f>IF($B18="Jacks Only",'Chinook Jack Proportions'!K18,IF('3. Select Chinook Method'!$B18="Adults Only",'Chinook Adult Proportions'!K18,'Chinook All Ages Proportions'!K18))</f>
        <v>0.25917767988252571</v>
      </c>
      <c r="P18" s="76">
        <f>IF($B18="Jacks Only",'Chinook Jack Proportions'!L18,IF('3. Select Chinook Method'!$B18="Adults Only",'Chinook Adult Proportions'!L18,'Chinook All Ages Proportions'!L18))</f>
        <v>17.585365853658534</v>
      </c>
      <c r="Q18" s="76">
        <f>IF($B18="Jacks Only",'Chinook Jack Proportions'!M18,IF('3. Select Chinook Method'!$B18="Adults Only",'Chinook Adult Proportions'!M18,'Chinook All Ages Proportions'!M18))</f>
        <v>0</v>
      </c>
      <c r="R18" s="76">
        <f>IF($B18="Jacks Only",'Chinook Jack Proportions'!X18,IF('3. Select Chinook Method'!$B18="Adults Only",'Chinook Adult Proportions'!X18,'Chinook All Ages Proportions'!X18))</f>
        <v>0</v>
      </c>
      <c r="S18" s="76">
        <f>IF($B18="Jacks Only",'Chinook Jack Proportions'!N18,IF('3. Select Chinook Method'!$B18="Adults Only",'Chinook Adult Proportions'!N18,'Chinook All Ages Proportions'!N18))</f>
        <v>549.69220917822827</v>
      </c>
      <c r="T18" s="76">
        <f>IF($B18="Jacks Only",'Chinook Jack Proportions'!O18,IF('3. Select Chinook Method'!$B18="Adults Only",'Chinook Adult Proportions'!O18,'Chinook All Ages Proportions'!O18))</f>
        <v>441.8026385224274</v>
      </c>
      <c r="U18" s="76">
        <f>IF($B18="Jacks Only",'Chinook Jack Proportions'!P18,IF('3. Select Chinook Method'!$B18="Adults Only",'Chinook Adult Proportions'!P18,'Chinook All Ages Proportions'!P18))</f>
        <v>361.53751978891825</v>
      </c>
      <c r="V18" s="76">
        <f>IF($B18="Jacks Only",'Chinook Jack Proportions'!Q18,IF('3. Select Chinook Method'!$B18="Adults Only",'Chinook Adult Proportions'!Q18,'Chinook All Ages Proportions'!Q18))</f>
        <v>89.221741424802104</v>
      </c>
      <c r="W18" s="76">
        <f>IF($B18="Jacks Only",'Chinook Jack Proportions'!R18,IF('3. Select Chinook Method'!$B18="Adults Only",'Chinook Adult Proportions'!R18,'Chinook All Ages Proportions'!R18))</f>
        <v>0</v>
      </c>
      <c r="X18" s="56">
        <f>IF(B18="Jacks Only",'Chinook Jack Proportions'!S18,IF(B18="Adults Only",'Chinook Adult Proportions'!S18,'Chinook All Ages Proportions'!S18))</f>
        <v>0</v>
      </c>
      <c r="Y18" s="56">
        <f>IF($B18="Jacks Only",'Chinook Jack Proportions'!T18,IF('3. Select Chinook Method'!$B18="Adults Only",'Chinook Adult Proportions'!T18,'Chinook All Ages Proportions'!T18))</f>
        <v>4.9762114537444946</v>
      </c>
      <c r="Z18" s="56">
        <f>IF($B18="Jacks Only",'Chinook Jack Proportions'!U18,IF('3. Select Chinook Method'!$B18="Adults Only",'Chinook Adult Proportions'!U18,'Chinook All Ages Proportions'!U18))</f>
        <v>49.762114537444937</v>
      </c>
      <c r="AA18" s="56">
        <f>IF($B18="Jacks Only",'Chinook Jack Proportions'!V18,IF('3. Select Chinook Method'!$B18="Adults Only",'Chinook Adult Proportions'!V18,'Chinook All Ages Proportions'!V18))</f>
        <v>16.305732484076433</v>
      </c>
      <c r="AB18" s="56">
        <f>IF($B18="Jacks Only",'Chinook Jack Proportions'!W18,IF('3. Select Chinook Method'!$B18="Adults Only",'Chinook Adult Proportions'!W18,'Chinook All Ages Proportions'!W18))</f>
        <v>0</v>
      </c>
      <c r="AC18" s="41">
        <f>IF(B18="Jacks Only",'Chinook Jack Proportions'!Y18,IF('3. Select Chinook Method'!B18="Adults Only",'Chinook Adult Proportions'!Y18,'Chinook All Ages Proportions'!Y18))</f>
        <v>1513.298167389642</v>
      </c>
      <c r="AD18" s="42">
        <f>IF(B18="Jacks Only",'Chinook Jack Proportions'!Z18,IF('3. Select Chinook Method'!B18="Adults Only",'Chinook Adult Proportions'!Z18,'Chinook All Ages Proportions'!Z18))</f>
        <v>0.26405666195360677</v>
      </c>
      <c r="AE18" s="43">
        <f>IF($B18="Jacks Only",'Chinook Jack Proportions'!AA18,IF('3. Select Chinook Method'!$B18="Adults Only",'Chinook Adult Proportions'!AA18,'Chinook All Ages Proportions'!AA18))</f>
        <v>0.4341659156459774</v>
      </c>
      <c r="AF18" s="42">
        <f>IF($B18="Jacks Only",'Chinook Jack Proportions'!AB18,IF('3. Select Chinook Method'!$B18="Adults Only",'Chinook Adult Proportions'!AB18,'Chinook All Ages Proportions'!AB18))</f>
        <v>0</v>
      </c>
      <c r="AG18" s="44">
        <f>IF($B18="Jacks Only",'Chinook Jack Proportions'!AC18,IF('3. Select Chinook Method'!$B18="Adults Only",'Chinook Adult Proportions'!AC18,'Chinook All Ages Proportions'!AC18))</f>
        <v>0.24668075859467317</v>
      </c>
    </row>
    <row r="19" spans="1:33" x14ac:dyDescent="0.3">
      <c r="A19" s="5">
        <f>'1. Mixture Model Inputs'!A19</f>
        <v>45121</v>
      </c>
      <c r="B19" s="55" t="s">
        <v>43</v>
      </c>
      <c r="C19" s="60">
        <f t="shared" si="0"/>
        <v>1449.2947603654563</v>
      </c>
      <c r="D19" s="56">
        <f>'Chinook All Ages Proportions'!Y19</f>
        <v>1510.5176175083136</v>
      </c>
      <c r="E19" s="56">
        <f>'Chinook Adult Proportions'!Y19</f>
        <v>1449.2947603654563</v>
      </c>
      <c r="F19" s="57">
        <f>'Chinook Jack Proportions'!Y19</f>
        <v>61.222857142857166</v>
      </c>
      <c r="G19" s="71">
        <f>IF($B19="Jacks Only",'Chinook Jack Proportions'!C19,IF('3. Select Chinook Method'!$B19="Adults Only",'Chinook Adult Proportions'!C19,'Chinook All Ages Proportions'!C19))</f>
        <v>0</v>
      </c>
      <c r="H19" s="71">
        <f>IF($B19="Jacks Only",'Chinook Jack Proportions'!D19,IF('3. Select Chinook Method'!$B19="Adults Only",'Chinook Adult Proportions'!D19,'Chinook All Ages Proportions'!D19))</f>
        <v>0</v>
      </c>
      <c r="I19" s="71">
        <f>IF($B19="Jacks Only",'Chinook Jack Proportions'!E19,IF('3. Select Chinook Method'!$B19="Adults Only",'Chinook Adult Proportions'!E19,'Chinook All Ages Proportions'!E19))</f>
        <v>0</v>
      </c>
      <c r="J19" s="71">
        <f>IF($B19="Jacks Only",'Chinook Jack Proportions'!F19,IF('3. Select Chinook Method'!$B19="Adults Only",'Chinook Adult Proportions'!F19,'Chinook All Ages Proportions'!F19))</f>
        <v>0.27233584499461788</v>
      </c>
      <c r="K19" s="71">
        <f>IF($B19="Jacks Only",'Chinook Jack Proportions'!G19,IF('3. Select Chinook Method'!$B19="Adults Only",'Chinook Adult Proportions'!G19,'Chinook All Ages Proportions'!G19))</f>
        <v>0.45761150018429786</v>
      </c>
      <c r="L19" s="24">
        <f>IF($B19="Jacks Only",'Chinook Jack Proportions'!H19,IF('3. Select Chinook Method'!$B19="Adults Only",'Chinook Adult Proportions'!H19,'Chinook All Ages Proportions'!H19))</f>
        <v>0.33333333333333331</v>
      </c>
      <c r="M19" s="71">
        <f>IF($B19="Jacks Only",'Chinook Jack Proportions'!I19,IF('3. Select Chinook Method'!$B19="Adults Only",'Chinook Adult Proportions'!I19,'Chinook All Ages Proportions'!I19))</f>
        <v>0</v>
      </c>
      <c r="N19" s="71">
        <f>IF($B19="Jacks Only",'Chinook Jack Proportions'!J19,IF('3. Select Chinook Method'!$B19="Adults Only",'Chinook Adult Proportions'!J19,'Chinook All Ages Proportions'!J19))</f>
        <v>0.38510101010101006</v>
      </c>
      <c r="O19" s="23">
        <f>IF($B19="Jacks Only",'Chinook Jack Proportions'!K19,IF('3. Select Chinook Method'!$B19="Adults Only",'Chinook Adult Proportions'!K19,'Chinook All Ages Proportions'!K19))</f>
        <v>0.46383928571428573</v>
      </c>
      <c r="P19" s="76">
        <f>IF($B19="Jacks Only",'Chinook Jack Proportions'!L19,IF('3. Select Chinook Method'!$B19="Adults Only",'Chinook Adult Proportions'!L19,'Chinook All Ages Proportions'!L19))</f>
        <v>0</v>
      </c>
      <c r="Q19" s="76">
        <f>IF($B19="Jacks Only",'Chinook Jack Proportions'!M19,IF('3. Select Chinook Method'!$B19="Adults Only",'Chinook Adult Proportions'!M19,'Chinook All Ages Proportions'!M19))</f>
        <v>0</v>
      </c>
      <c r="R19" s="76">
        <f>IF($B19="Jacks Only",'Chinook Jack Proportions'!X19,IF('3. Select Chinook Method'!$B19="Adults Only",'Chinook Adult Proportions'!X19,'Chinook All Ages Proportions'!X19))</f>
        <v>0</v>
      </c>
      <c r="S19" s="76">
        <f>IF($B19="Jacks Only",'Chinook Jack Proportions'!N19,IF('3. Select Chinook Method'!$B19="Adults Only",'Chinook Adult Proportions'!N19,'Chinook All Ages Proportions'!N19))</f>
        <v>212.94484391819159</v>
      </c>
      <c r="T19" s="76">
        <f>IF($B19="Jacks Only",'Chinook Jack Proportions'!O19,IF('3. Select Chinook Method'!$B19="Adults Only",'Chinook Adult Proportions'!O19,'Chinook All Ages Proportions'!O19))</f>
        <v>338.59590121636563</v>
      </c>
      <c r="U19" s="76">
        <f>IF($B19="Jacks Only",'Chinook Jack Proportions'!P19,IF('3. Select Chinook Method'!$B19="Adults Only",'Chinook Adult Proportions'!P19,'Chinook All Ages Proportions'!P19))</f>
        <v>210.75755252488025</v>
      </c>
      <c r="V19" s="76">
        <f>IF($B19="Jacks Only",'Chinook Jack Proportions'!Q19,IF('3. Select Chinook Method'!$B19="Adults Only",'Chinook Adult Proportions'!Q19,'Chinook All Ages Proportions'!Q19))</f>
        <v>121.35856984887582</v>
      </c>
      <c r="W19" s="76">
        <f>IF($B19="Jacks Only",'Chinook Jack Proportions'!R19,IF('3. Select Chinook Method'!$B19="Adults Only",'Chinook Adult Proportions'!R19,'Chinook All Ages Proportions'!R19))</f>
        <v>0</v>
      </c>
      <c r="X19" s="56">
        <f>IF(B19="Jacks Only",'Chinook Jack Proportions'!S19,IF(B19="Adults Only",'Chinook Adult Proportions'!S19,'Chinook All Ages Proportions'!S19))</f>
        <v>428.56000000000017</v>
      </c>
      <c r="Y19" s="56">
        <f>IF($B19="Jacks Only",'Chinook Jack Proportions'!T19,IF('3. Select Chinook Method'!$B19="Adults Only",'Chinook Adult Proportions'!T19,'Chinook All Ages Proportions'!T19))</f>
        <v>3.7849285714285714</v>
      </c>
      <c r="Z19" s="56">
        <f>IF($B19="Jacks Only",'Chinook Jack Proportions'!U19,IF('3. Select Chinook Method'!$B19="Adults Only",'Chinook Adult Proportions'!U19,'Chinook All Ages Proportions'!U19))</f>
        <v>84.492964285714294</v>
      </c>
      <c r="AA19" s="56">
        <f>IF($B19="Jacks Only",'Chinook Jack Proportions'!V19,IF('3. Select Chinook Method'!$B19="Adults Only",'Chinook Adult Proportions'!V19,'Chinook All Ages Proportions'!V19))</f>
        <v>48.8</v>
      </c>
      <c r="AB19" s="56">
        <f>IF($B19="Jacks Only",'Chinook Jack Proportions'!W19,IF('3. Select Chinook Method'!$B19="Adults Only",'Chinook Adult Proportions'!W19,'Chinook All Ages Proportions'!W19))</f>
        <v>0</v>
      </c>
      <c r="AC19" s="41">
        <f>IF(B19="Jacks Only",'Chinook Jack Proportions'!Y19,IF('3. Select Chinook Method'!B19="Adults Only",'Chinook Adult Proportions'!Y19,'Chinook All Ages Proportions'!Y19))</f>
        <v>1449.2947603654563</v>
      </c>
      <c r="AD19" s="42">
        <f>IF(B19="Jacks Only",'Chinook Jack Proportions'!Z19,IF('3. Select Chinook Method'!B19="Adults Only",'Chinook Adult Proportions'!Z19,'Chinook All Ages Proportions'!Z19))</f>
        <v>0.32187666799154635</v>
      </c>
      <c r="AE19" s="43">
        <f>IF($B19="Jacks Only",'Chinook Jack Proportions'!AA19,IF('3. Select Chinook Method'!$B19="Adults Only",'Chinook Adult Proportions'!AA19,'Chinook All Ages Proportions'!AA19))</f>
        <v>0.31340684496237425</v>
      </c>
      <c r="AF19" s="42">
        <f>IF($B19="Jacks Only",'Chinook Jack Proportions'!AB19,IF('3. Select Chinook Method'!$B19="Adults Only",'Chinook Adult Proportions'!AB19,'Chinook All Ages Proportions'!AB19))</f>
        <v>0.33333333333333331</v>
      </c>
      <c r="AG19" s="44">
        <f>IF($B19="Jacks Only",'Chinook Jack Proportions'!AC19,IF('3. Select Chinook Method'!$B19="Adults Only",'Chinook Adult Proportions'!AC19,'Chinook All Ages Proportions'!AC19))</f>
        <v>0.43236781749035724</v>
      </c>
    </row>
    <row r="20" spans="1:33" x14ac:dyDescent="0.3">
      <c r="A20" s="5">
        <f>'1. Mixture Model Inputs'!A20</f>
        <v>45122</v>
      </c>
      <c r="B20" s="55" t="s">
        <v>43</v>
      </c>
      <c r="C20" s="60">
        <f t="shared" si="0"/>
        <v>1896.8866171124776</v>
      </c>
      <c r="D20" s="56">
        <f>'Chinook All Ages Proportions'!Y20</f>
        <v>1896.8866171124776</v>
      </c>
      <c r="E20" s="56">
        <f>'Chinook Adult Proportions'!Y20</f>
        <v>1896.8866171124776</v>
      </c>
      <c r="F20" s="57">
        <f>'Chinook Jack Proportions'!Y20</f>
        <v>0</v>
      </c>
      <c r="G20" s="71">
        <f>IF($B20="Jacks Only",'Chinook Jack Proportions'!C20,IF('3. Select Chinook Method'!$B20="Adults Only",'Chinook Adult Proportions'!C20,'Chinook All Ages Proportions'!C20))</f>
        <v>0.94224924012158062</v>
      </c>
      <c r="H20" s="71">
        <f>IF($B20="Jacks Only",'Chinook Jack Proportions'!D20,IF('3. Select Chinook Method'!$B20="Adults Only",'Chinook Adult Proportions'!D20,'Chinook All Ages Proportions'!D20))</f>
        <v>0.10294117647058824</v>
      </c>
      <c r="I20" s="71">
        <f>IF($B20="Jacks Only",'Chinook Jack Proportions'!E20,IF('3. Select Chinook Method'!$B20="Adults Only",'Chinook Adult Proportions'!E20,'Chinook All Ages Proportions'!E20))</f>
        <v>0.2928709055876686</v>
      </c>
      <c r="J20" s="71">
        <f>IF($B20="Jacks Only",'Chinook Jack Proportions'!F20,IF('3. Select Chinook Method'!$B20="Adults Only",'Chinook Adult Proportions'!F20,'Chinook All Ages Proportions'!F20))</f>
        <v>0.65766397755173622</v>
      </c>
      <c r="K20" s="71">
        <f>IF($B20="Jacks Only",'Chinook Jack Proportions'!G20,IF('3. Select Chinook Method'!$B20="Adults Only",'Chinook Adult Proportions'!G20,'Chinook All Ages Proportions'!G20))</f>
        <v>0.46911673872760962</v>
      </c>
      <c r="L20" s="24">
        <f>IF($B20="Jacks Only",'Chinook Jack Proportions'!H20,IF('3. Select Chinook Method'!$B20="Adults Only",'Chinook Adult Proportions'!H20,'Chinook All Ages Proportions'!H20))</f>
        <v>0.40909090909090912</v>
      </c>
      <c r="M20" s="71">
        <f>IF($B20="Jacks Only",'Chinook Jack Proportions'!I20,IF('3. Select Chinook Method'!$B20="Adults Only",'Chinook Adult Proportions'!I20,'Chinook All Ages Proportions'!I20))</f>
        <v>0</v>
      </c>
      <c r="N20" s="71">
        <f>IF($B20="Jacks Only",'Chinook Jack Proportions'!J20,IF('3. Select Chinook Method'!$B20="Adults Only",'Chinook Adult Proportions'!J20,'Chinook All Ages Proportions'!J20))</f>
        <v>0.38510101010101006</v>
      </c>
      <c r="O20" s="23">
        <f>IF($B20="Jacks Only",'Chinook Jack Proportions'!K20,IF('3. Select Chinook Method'!$B20="Adults Only",'Chinook Adult Proportions'!K20,'Chinook All Ages Proportions'!K20))</f>
        <v>0.46383928571428573</v>
      </c>
      <c r="P20" s="76">
        <f>IF($B20="Jacks Only",'Chinook Jack Proportions'!L20,IF('3. Select Chinook Method'!$B20="Adults Only",'Chinook Adult Proportions'!L20,'Chinook All Ages Proportions'!L20))</f>
        <v>47.112462006079028</v>
      </c>
      <c r="Q20" s="76">
        <f>IF($B20="Jacks Only",'Chinook Jack Proportions'!M20,IF('3. Select Chinook Method'!$B20="Adults Only",'Chinook Adult Proportions'!M20,'Chinook All Ages Proportions'!M20))</f>
        <v>14.308823529411766</v>
      </c>
      <c r="R20" s="76">
        <f>IF($B20="Jacks Only",'Chinook Jack Proportions'!X20,IF('3. Select Chinook Method'!$B20="Adults Only",'Chinook Adult Proportions'!X20,'Chinook All Ages Proportions'!X20))</f>
        <v>259.22589595375717</v>
      </c>
      <c r="S20" s="76">
        <f>IF($B20="Jacks Only",'Chinook Jack Proportions'!N20,IF('3. Select Chinook Method'!$B20="Adults Only",'Chinook Adult Proportions'!N20,'Chinook All Ages Proportions'!N20))</f>
        <v>481.56787092248334</v>
      </c>
      <c r="T20" s="76">
        <f>IF($B20="Jacks Only",'Chinook Jack Proportions'!O20,IF('3. Select Chinook Method'!$B20="Adults Only",'Chinook Adult Proportions'!O20,'Chinook All Ages Proportions'!O20))</f>
        <v>272.01264978381715</v>
      </c>
      <c r="U20" s="76">
        <f>IF($B20="Jacks Only",'Chinook Jack Proportions'!P20,IF('3. Select Chinook Method'!$B20="Adults Only",'Chinook Adult Proportions'!P20,'Chinook All Ages Proportions'!P20))</f>
        <v>253.3230389129092</v>
      </c>
      <c r="V20" s="76">
        <f>IF($B20="Jacks Only",'Chinook Jack Proportions'!Q20,IF('3. Select Chinook Method'!$B20="Adults Only",'Chinook Adult Proportions'!Q20,'Chinook All Ages Proportions'!Q20))</f>
        <v>99.640395305744292</v>
      </c>
      <c r="W20" s="76">
        <f>IF($B20="Jacks Only",'Chinook Jack Proportions'!R20,IF('3. Select Chinook Method'!$B20="Adults Only",'Chinook Adult Proportions'!R20,'Chinook All Ages Proportions'!R20))</f>
        <v>0</v>
      </c>
      <c r="X20" s="56">
        <f>IF(B20="Jacks Only",'Chinook Jack Proportions'!S20,IF(B20="Adults Only",'Chinook Adult Proportions'!S20,'Chinook All Ages Proportions'!S20))</f>
        <v>300.73090909090905</v>
      </c>
      <c r="Y20" s="56">
        <f>IF($B20="Jacks Only",'Chinook Jack Proportions'!T20,IF('3. Select Chinook Method'!$B20="Adults Only",'Chinook Adult Proportions'!T20,'Chinook All Ages Proportions'!T20))</f>
        <v>-88.16657142857143</v>
      </c>
      <c r="Z20" s="56">
        <f>IF($B20="Jacks Only",'Chinook Jack Proportions'!U20,IF('3. Select Chinook Method'!$B20="Adults Only",'Chinook Adult Proportions'!U20,'Chinook All Ages Proportions'!U20))</f>
        <v>245.35242857142859</v>
      </c>
      <c r="AA20" s="56">
        <f>IF($B20="Jacks Only",'Chinook Jack Proportions'!V20,IF('3. Select Chinook Method'!$B20="Adults Only",'Chinook Adult Proportions'!V20,'Chinook All Ages Proportions'!V20))</f>
        <v>73.199999999999989</v>
      </c>
      <c r="AB20" s="56">
        <f>IF($B20="Jacks Only",'Chinook Jack Proportions'!W20,IF('3. Select Chinook Method'!$B20="Adults Only",'Chinook Adult Proportions'!W20,'Chinook All Ages Proportions'!W20))</f>
        <v>0</v>
      </c>
      <c r="AC20" s="41">
        <f>IF(B20="Jacks Only",'Chinook Jack Proportions'!Y20,IF('3. Select Chinook Method'!B20="Adults Only",'Chinook Adult Proportions'!Y20,'Chinook All Ages Proportions'!Y20))</f>
        <v>1896.8866171124776</v>
      </c>
      <c r="AD20" s="42">
        <f>IF(B20="Jacks Only",'Chinook Jack Proportions'!Z20,IF('3. Select Chinook Method'!B20="Adults Only",'Chinook Adult Proportions'!Z20,'Chinook All Ages Proportions'!Z20))</f>
        <v>0.4375384321284686</v>
      </c>
      <c r="AE20" s="43">
        <f>IF($B20="Jacks Only",'Chinook Jack Proportions'!AA20,IF('3. Select Chinook Method'!$B20="Adults Only",'Chinook Adult Proportions'!AA20,'Chinook All Ages Proportions'!AA20))</f>
        <v>0.39597411190006937</v>
      </c>
      <c r="AF20" s="42">
        <f>IF($B20="Jacks Only",'Chinook Jack Proportions'!AB20,IF('3. Select Chinook Method'!$B20="Adults Only",'Chinook Adult Proportions'!AB20,'Chinook All Ages Proportions'!AB20))</f>
        <v>0.40909090909090912</v>
      </c>
      <c r="AG20" s="44">
        <f>IF($B20="Jacks Only",'Chinook Jack Proportions'!AC20,IF('3. Select Chinook Method'!$B20="Adults Only",'Chinook Adult Proportions'!AC20,'Chinook All Ages Proportions'!AC20))</f>
        <v>0.43554495073891625</v>
      </c>
    </row>
    <row r="21" spans="1:33" x14ac:dyDescent="0.3">
      <c r="A21" s="5">
        <f>'1. Mixture Model Inputs'!A21</f>
        <v>45123</v>
      </c>
      <c r="B21" s="55" t="s">
        <v>43</v>
      </c>
      <c r="C21" s="60">
        <f t="shared" si="0"/>
        <v>1408.2847103773895</v>
      </c>
      <c r="D21" s="56">
        <f>'Chinook All Ages Proportions'!Y21</f>
        <v>1408.2847103773895</v>
      </c>
      <c r="E21" s="56">
        <f>'Chinook Adult Proportions'!Y21</f>
        <v>1408.2847103773895</v>
      </c>
      <c r="F21" s="57">
        <f>'Chinook Jack Proportions'!Y21</f>
        <v>0</v>
      </c>
      <c r="G21" s="71">
        <f>IF($B21="Jacks Only",'Chinook Jack Proportions'!C21,IF('3. Select Chinook Method'!$B21="Adults Only",'Chinook Adult Proportions'!C21,'Chinook All Ages Proportions'!C21))</f>
        <v>0.11206896551724138</v>
      </c>
      <c r="H21" s="71">
        <f>IF($B21="Jacks Only",'Chinook Jack Proportions'!D21,IF('3. Select Chinook Method'!$B21="Adults Only",'Chinook Adult Proportions'!D21,'Chinook All Ages Proportions'!D21))</f>
        <v>0</v>
      </c>
      <c r="I21" s="71">
        <f>IF($B21="Jacks Only",'Chinook Jack Proportions'!E21,IF('3. Select Chinook Method'!$B21="Adults Only",'Chinook Adult Proportions'!E21,'Chinook All Ages Proportions'!E21))</f>
        <v>6.0085836909871237E-2</v>
      </c>
      <c r="J21" s="71">
        <f>IF($B21="Jacks Only",'Chinook Jack Proportions'!F21,IF('3. Select Chinook Method'!$B21="Adults Only",'Chinook Adult Proportions'!F21,'Chinook All Ages Proportions'!F21))</f>
        <v>0.39878366637706347</v>
      </c>
      <c r="K21" s="71">
        <f>IF($B21="Jacks Only",'Chinook Jack Proportions'!G21,IF('3. Select Chinook Method'!$B21="Adults Only",'Chinook Adult Proportions'!G21,'Chinook All Ages Proportions'!G21))</f>
        <v>0.48693726937269377</v>
      </c>
      <c r="L21" s="24">
        <f>IF($B21="Jacks Only",'Chinook Jack Proportions'!H21,IF('3. Select Chinook Method'!$B21="Adults Only",'Chinook Adult Proportions'!H21,'Chinook All Ages Proportions'!H21))</f>
        <v>0.1</v>
      </c>
      <c r="M21" s="71">
        <f>IF($B21="Jacks Only",'Chinook Jack Proportions'!I21,IF('3. Select Chinook Method'!$B21="Adults Only",'Chinook Adult Proportions'!I21,'Chinook All Ages Proportions'!I21))</f>
        <v>0</v>
      </c>
      <c r="N21" s="71">
        <f>IF($B21="Jacks Only",'Chinook Jack Proportions'!J21,IF('3. Select Chinook Method'!$B21="Adults Only",'Chinook Adult Proportions'!J21,'Chinook All Ages Proportions'!J21))</f>
        <v>0.13688760806916425</v>
      </c>
      <c r="O21" s="23">
        <f>IF($B21="Jacks Only",'Chinook Jack Proportions'!K21,IF('3. Select Chinook Method'!$B21="Adults Only",'Chinook Adult Proportions'!K21,'Chinook All Ages Proportions'!K21))</f>
        <v>0.43220338983050849</v>
      </c>
      <c r="P21" s="76">
        <f>IF($B21="Jacks Only",'Chinook Jack Proportions'!L21,IF('3. Select Chinook Method'!$B21="Adults Only",'Chinook Adult Proportions'!L21,'Chinook All Ages Proportions'!L21))</f>
        <v>15.913793103448276</v>
      </c>
      <c r="Q21" s="76">
        <f>IF($B21="Jacks Only",'Chinook Jack Proportions'!M21,IF('3. Select Chinook Method'!$B21="Adults Only",'Chinook Adult Proportions'!M21,'Chinook All Ages Proportions'!M21))</f>
        <v>0</v>
      </c>
      <c r="R21" s="76">
        <f>IF($B21="Jacks Only",'Chinook Jack Proportions'!X21,IF('3. Select Chinook Method'!$B21="Adults Only",'Chinook Adult Proportions'!X21,'Chinook All Ages Proportions'!X21))</f>
        <v>49.54918454935622</v>
      </c>
      <c r="S21" s="76">
        <f>IF($B21="Jacks Only",'Chinook Jack Proportions'!N21,IF('3. Select Chinook Method'!$B21="Adults Only",'Chinook Adult Proportions'!N21,'Chinook All Ages Proportions'!N21))</f>
        <v>394.12587315377937</v>
      </c>
      <c r="T21" s="76">
        <f>IF($B21="Jacks Only",'Chinook Jack Proportions'!O21,IF('3. Select Chinook Method'!$B21="Adults Only",'Chinook Adult Proportions'!O21,'Chinook All Ages Proportions'!O21))</f>
        <v>360.29462435424358</v>
      </c>
      <c r="U21" s="76">
        <f>IF($B21="Jacks Only",'Chinook Jack Proportions'!P21,IF('3. Select Chinook Method'!$B21="Adults Only",'Chinook Adult Proportions'!P21,'Chinook All Ages Proportions'!P21))</f>
        <v>265.28342435424361</v>
      </c>
      <c r="V21" s="76">
        <f>IF($B21="Jacks Only",'Chinook Jack Proportions'!Q21,IF('3. Select Chinook Method'!$B21="Adults Only",'Chinook Adult Proportions'!Q21,'Chinook All Ages Proportions'!Q21))</f>
        <v>197.85235129151292</v>
      </c>
      <c r="W21" s="76">
        <f>IF($B21="Jacks Only",'Chinook Jack Proportions'!R21,IF('3. Select Chinook Method'!$B21="Adults Only",'Chinook Adult Proportions'!R21,'Chinook All Ages Proportions'!R21))</f>
        <v>0</v>
      </c>
      <c r="X21" s="56">
        <f>IF(B21="Jacks Only",'Chinook Jack Proportions'!S21,IF(B21="Adults Only",'Chinook Adult Proportions'!S21,'Chinook All Ages Proportions'!S21))</f>
        <v>166.92000000000004</v>
      </c>
      <c r="Y21" s="56">
        <f>IF($B21="Jacks Only",'Chinook Jack Proportions'!T21,IF('3. Select Chinook Method'!$B21="Adults Only",'Chinook Adult Proportions'!T21,'Chinook All Ages Proportions'!T21))</f>
        <v>-66.593898305084736</v>
      </c>
      <c r="Z21" s="56">
        <f>IF($B21="Jacks Only",'Chinook Jack Proportions'!U21,IF('3. Select Chinook Method'!$B21="Adults Only",'Chinook Adult Proportions'!U21,'Chinook All Ages Proportions'!U21))</f>
        <v>12.862372881355931</v>
      </c>
      <c r="AA21" s="56">
        <f>IF($B21="Jacks Only",'Chinook Jack Proportions'!V21,IF('3. Select Chinook Method'!$B21="Adults Only",'Chinook Adult Proportions'!V21,'Chinook All Ages Proportions'!V21))</f>
        <v>27.990778097982705</v>
      </c>
      <c r="AB21" s="56">
        <f>IF($B21="Jacks Only",'Chinook Jack Proportions'!W21,IF('3. Select Chinook Method'!$B21="Adults Only",'Chinook Adult Proportions'!W21,'Chinook All Ages Proportions'!W21))</f>
        <v>0</v>
      </c>
      <c r="AC21" s="41">
        <f>IF(B21="Jacks Only",'Chinook Jack Proportions'!Y21,IF('3. Select Chinook Method'!B21="Adults Only",'Chinook Adult Proportions'!Y21,'Chinook All Ages Proportions'!Y21))</f>
        <v>1408.2847103773895</v>
      </c>
      <c r="AD21" s="42">
        <f>IF(B21="Jacks Only",'Chinook Jack Proportions'!Z21,IF('3. Select Chinook Method'!B21="Adults Only",'Chinook Adult Proportions'!Z21,'Chinook All Ages Proportions'!Z21))</f>
        <v>0.26522568070447428</v>
      </c>
      <c r="AE21" s="43">
        <f>IF($B21="Jacks Only",'Chinook Jack Proportions'!AA21,IF('3. Select Chinook Method'!$B21="Adults Only",'Chinook Adult Proportions'!AA21,'Chinook All Ages Proportions'!AA21))</f>
        <v>0.35201771297295309</v>
      </c>
      <c r="AF21" s="42">
        <f>IF($B21="Jacks Only",'Chinook Jack Proportions'!AB21,IF('3. Select Chinook Method'!$B21="Adults Only",'Chinook Adult Proportions'!AB21,'Chinook All Ages Proportions'!AB21))</f>
        <v>0.1</v>
      </c>
      <c r="AG21" s="44">
        <f>IF($B21="Jacks Only",'Chinook Jack Proportions'!AC21,IF('3. Select Chinook Method'!$B21="Adults Only",'Chinook Adult Proportions'!AC21,'Chinook All Ages Proportions'!AC21))</f>
        <v>-0.32111710735711202</v>
      </c>
    </row>
    <row r="22" spans="1:33" x14ac:dyDescent="0.3">
      <c r="A22" s="5">
        <f>'1. Mixture Model Inputs'!A22</f>
        <v>45124</v>
      </c>
      <c r="B22" s="55" t="s">
        <v>43</v>
      </c>
      <c r="C22" s="60">
        <f t="shared" si="0"/>
        <v>3316.9271607124028</v>
      </c>
      <c r="D22" s="56">
        <f>'Chinook All Ages Proportions'!Y22</f>
        <v>3316.9271607124028</v>
      </c>
      <c r="E22" s="56">
        <f>'Chinook Adult Proportions'!Y22</f>
        <v>3316.9271607124028</v>
      </c>
      <c r="F22" s="57">
        <f>'Chinook Jack Proportions'!Y22</f>
        <v>0</v>
      </c>
      <c r="G22" s="71">
        <f>IF($B22="Jacks Only",'Chinook Jack Proportions'!C22,IF('3. Select Chinook Method'!$B22="Adults Only",'Chinook Adult Proportions'!C22,'Chinook All Ages Proportions'!C22))</f>
        <v>0.32575757575757575</v>
      </c>
      <c r="H22" s="71">
        <f>IF($B22="Jacks Only",'Chinook Jack Proportions'!D22,IF('3. Select Chinook Method'!$B22="Adults Only",'Chinook Adult Proportions'!D22,'Chinook All Ages Proportions'!D22))</f>
        <v>0</v>
      </c>
      <c r="I22" s="71">
        <f>IF($B22="Jacks Only",'Chinook Jack Proportions'!E22,IF('3. Select Chinook Method'!$B22="Adults Only",'Chinook Adult Proportions'!E22,'Chinook All Ages Proportions'!E22))</f>
        <v>7.4999999999999997E-2</v>
      </c>
      <c r="J22" s="71">
        <f>IF($B22="Jacks Only",'Chinook Jack Proportions'!F22,IF('3. Select Chinook Method'!$B22="Adults Only",'Chinook Adult Proportions'!F22,'Chinook All Ages Proportions'!F22))</f>
        <v>0.52590011614401855</v>
      </c>
      <c r="K22" s="71">
        <f>IF($B22="Jacks Only",'Chinook Jack Proportions'!G22,IF('3. Select Chinook Method'!$B22="Adults Only",'Chinook Adult Proportions'!G22,'Chinook All Ages Proportions'!G22))</f>
        <v>0.80182198327359633</v>
      </c>
      <c r="L22" s="24">
        <f>IF($B22="Jacks Only",'Chinook Jack Proportions'!H22,IF('3. Select Chinook Method'!$B22="Adults Only",'Chinook Adult Proportions'!H22,'Chinook All Ages Proportions'!H22))</f>
        <v>0.4</v>
      </c>
      <c r="M22" s="71">
        <f>IF($B22="Jacks Only",'Chinook Jack Proportions'!I22,IF('3. Select Chinook Method'!$B22="Adults Only",'Chinook Adult Proportions'!I22,'Chinook All Ages Proportions'!I22))</f>
        <v>0</v>
      </c>
      <c r="N22" s="71">
        <f>IF($B22="Jacks Only",'Chinook Jack Proportions'!J22,IF('3. Select Chinook Method'!$B22="Adults Only",'Chinook Adult Proportions'!J22,'Chinook All Ages Proportions'!J22))</f>
        <v>0.13688760806916425</v>
      </c>
      <c r="O22" s="23">
        <f>IF($B22="Jacks Only",'Chinook Jack Proportions'!K22,IF('3. Select Chinook Method'!$B22="Adults Only",'Chinook Adult Proportions'!K22,'Chinook All Ages Proportions'!K22))</f>
        <v>0.43220338983050849</v>
      </c>
      <c r="P22" s="76">
        <f>IF($B22="Jacks Only",'Chinook Jack Proportions'!L22,IF('3. Select Chinook Method'!$B22="Adults Only",'Chinook Adult Proportions'!L22,'Chinook All Ages Proportions'!L22))</f>
        <v>30.621212121212121</v>
      </c>
      <c r="Q22" s="76">
        <f>IF($B22="Jacks Only",'Chinook Jack Proportions'!M22,IF('3. Select Chinook Method'!$B22="Adults Only",'Chinook Adult Proportions'!M22,'Chinook All Ages Proportions'!M22))</f>
        <v>0</v>
      </c>
      <c r="R22" s="76">
        <f>IF($B22="Jacks Only",'Chinook Jack Proportions'!X22,IF('3. Select Chinook Method'!$B22="Adults Only",'Chinook Adult Proportions'!X22,'Chinook All Ages Proportions'!X22))</f>
        <v>126.52199999999998</v>
      </c>
      <c r="S22" s="76">
        <f>IF($B22="Jacks Only",'Chinook Jack Proportions'!N22,IF('3. Select Chinook Method'!$B22="Adults Only",'Chinook Adult Proportions'!N22,'Chinook All Ages Proportions'!N22))</f>
        <v>401.99804878048781</v>
      </c>
      <c r="T22" s="76">
        <f>IF($B22="Jacks Only",'Chinook Jack Proportions'!O22,IF('3. Select Chinook Method'!$B22="Adults Only",'Chinook Adult Proportions'!O22,'Chinook All Ages Proportions'!O22))</f>
        <v>481.09318996415777</v>
      </c>
      <c r="U22" s="76">
        <f>IF($B22="Jacks Only",'Chinook Jack Proportions'!P22,IF('3. Select Chinook Method'!$B22="Adults Only",'Chinook Adult Proportions'!P22,'Chinook All Ages Proportions'!P22))</f>
        <v>563.07146953405027</v>
      </c>
      <c r="V22" s="76">
        <f>IF($B22="Jacks Only",'Chinook Jack Proportions'!Q22,IF('3. Select Chinook Method'!$B22="Adults Only",'Chinook Adult Proportions'!Q22,'Chinook All Ages Proportions'!Q22))</f>
        <v>279.9962365591399</v>
      </c>
      <c r="W22" s="76">
        <f>IF($B22="Jacks Only",'Chinook Jack Proportions'!R22,IF('3. Select Chinook Method'!$B22="Adults Only",'Chinook Adult Proportions'!R22,'Chinook All Ages Proportions'!R22))</f>
        <v>0</v>
      </c>
      <c r="X22" s="56">
        <f>IF(B22="Jacks Only",'Chinook Jack Proportions'!S22,IF(B22="Adults Only",'Chinook Adult Proportions'!S22,'Chinook All Ages Proportions'!S22))</f>
        <v>1269.8112000000006</v>
      </c>
      <c r="Y22" s="56">
        <f>IF($B22="Jacks Only",'Chinook Jack Proportions'!T22,IF('3. Select Chinook Method'!$B22="Adults Only",'Chinook Adult Proportions'!T22,'Chinook All Ages Proportions'!T22))</f>
        <v>3.9416949152542378</v>
      </c>
      <c r="Z22" s="56">
        <f>IF($B22="Jacks Only",'Chinook Jack Proportions'!U22,IF('3. Select Chinook Method'!$B22="Adults Only",'Chinook Adult Proportions'!U22,'Chinook All Ages Proportions'!U22))</f>
        <v>105.69966101694915</v>
      </c>
      <c r="AA22" s="56">
        <f>IF($B22="Jacks Only",'Chinook Jack Proportions'!V22,IF('3. Select Chinook Method'!$B22="Adults Only",'Chinook Adult Proportions'!V22,'Chinook All Ages Proportions'!V22))</f>
        <v>84.793659942363092</v>
      </c>
      <c r="AB22" s="56">
        <f>IF($B22="Jacks Only",'Chinook Jack Proportions'!W22,IF('3. Select Chinook Method'!$B22="Adults Only",'Chinook Adult Proportions'!W22,'Chinook All Ages Proportions'!W22))</f>
        <v>0</v>
      </c>
      <c r="AC22" s="41">
        <f>IF(B22="Jacks Only",'Chinook Jack Proportions'!Y22,IF('3. Select Chinook Method'!B22="Adults Only",'Chinook Adult Proportions'!Y22,'Chinook All Ages Proportions'!Y22))</f>
        <v>3316.9271607124028</v>
      </c>
      <c r="AD22" s="42">
        <f>IF(B22="Jacks Only",'Chinook Jack Proportions'!Z22,IF('3. Select Chinook Method'!B22="Adults Only",'Chinook Adult Proportions'!Z22,'Chinook All Ages Proportions'!Z22))</f>
        <v>0.40481689727364439</v>
      </c>
      <c r="AE22" s="43">
        <f>IF($B22="Jacks Only",'Chinook Jack Proportions'!AA22,IF('3. Select Chinook Method'!$B22="Adults Only",'Chinook Adult Proportions'!AA22,'Chinook All Ages Proportions'!AA22))</f>
        <v>0.42819054230258558</v>
      </c>
      <c r="AF22" s="42">
        <f>IF($B22="Jacks Only",'Chinook Jack Proportions'!AB22,IF('3. Select Chinook Method'!$B22="Adults Only",'Chinook Adult Proportions'!AB22,'Chinook All Ages Proportions'!AB22))</f>
        <v>0.4</v>
      </c>
      <c r="AG22" s="44">
        <f>IF($B22="Jacks Only",'Chinook Jack Proportions'!AC22,IF('3. Select Chinook Method'!$B22="Adults Only",'Chinook Adult Proportions'!AC22,'Chinook All Ages Proportions'!AC22))</f>
        <v>0.22268991189592097</v>
      </c>
    </row>
    <row r="23" spans="1:33" x14ac:dyDescent="0.3">
      <c r="A23" s="5">
        <f>'1. Mixture Model Inputs'!A23</f>
        <v>45125</v>
      </c>
      <c r="B23" s="55" t="s">
        <v>43</v>
      </c>
      <c r="C23" s="60">
        <f t="shared" si="0"/>
        <v>2658.1281606121347</v>
      </c>
      <c r="D23" s="56">
        <f>'Chinook All Ages Proportions'!Y23</f>
        <v>2765.2570495010241</v>
      </c>
      <c r="E23" s="56">
        <f>'Chinook Adult Proportions'!Y23</f>
        <v>2658.1281606121347</v>
      </c>
      <c r="F23" s="57">
        <f>'Chinook Jack Proportions'!Y23</f>
        <v>107.12888888888892</v>
      </c>
      <c r="G23" s="71">
        <f>IF($B23="Jacks Only",'Chinook Jack Proportions'!C23,IF('3. Select Chinook Method'!$B23="Adults Only",'Chinook Adult Proportions'!C23,'Chinook All Ages Proportions'!C23))</f>
        <v>0.33858267716535428</v>
      </c>
      <c r="H23" s="71">
        <f>IF($B23="Jacks Only",'Chinook Jack Proportions'!D23,IF('3. Select Chinook Method'!$B23="Adults Only",'Chinook Adult Proportions'!D23,'Chinook All Ages Proportions'!D23))</f>
        <v>0</v>
      </c>
      <c r="I23" s="71">
        <f>IF($B23="Jacks Only",'Chinook Jack Proportions'!E23,IF('3. Select Chinook Method'!$B23="Adults Only",'Chinook Adult Proportions'!E23,'Chinook All Ages Proportions'!E23))</f>
        <v>0.15656565656565655</v>
      </c>
      <c r="J23" s="71">
        <f>IF($B23="Jacks Only",'Chinook Jack Proportions'!F23,IF('3. Select Chinook Method'!$B23="Adults Only",'Chinook Adult Proportions'!F23,'Chinook All Ages Proportions'!F23))</f>
        <v>0.19524119947848761</v>
      </c>
      <c r="K23" s="71">
        <f>IF($B23="Jacks Only",'Chinook Jack Proportions'!G23,IF('3. Select Chinook Method'!$B23="Adults Only",'Chinook Adult Proportions'!G23,'Chinook All Ages Proportions'!G23))</f>
        <v>0.4130276033299255</v>
      </c>
      <c r="L23" s="24">
        <f>IF($B23="Jacks Only",'Chinook Jack Proportions'!H23,IF('3. Select Chinook Method'!$B23="Adults Only",'Chinook Adult Proportions'!H23,'Chinook All Ages Proportions'!H23))</f>
        <v>0.29629629629629628</v>
      </c>
      <c r="M23" s="71">
        <f>IF($B23="Jacks Only",'Chinook Jack Proportions'!I23,IF('3. Select Chinook Method'!$B23="Adults Only",'Chinook Adult Proportions'!I23,'Chinook All Ages Proportions'!I23))</f>
        <v>0</v>
      </c>
      <c r="N23" s="71">
        <f>IF($B23="Jacks Only",'Chinook Jack Proportions'!J23,IF('3. Select Chinook Method'!$B23="Adults Only",'Chinook Adult Proportions'!J23,'Chinook All Ages Proportions'!J23))</f>
        <v>0.61188271604938271</v>
      </c>
      <c r="O23" s="23">
        <f>IF($B23="Jacks Only",'Chinook Jack Proportions'!K23,IF('3. Select Chinook Method'!$B23="Adults Only",'Chinook Adult Proportions'!K23,'Chinook All Ages Proportions'!K23))</f>
        <v>0.53946028513238298</v>
      </c>
      <c r="P23" s="76">
        <f>IF($B23="Jacks Only",'Chinook Jack Proportions'!L23,IF('3. Select Chinook Method'!$B23="Adults Only",'Chinook Adult Proportions'!L23,'Chinook All Ages Proportions'!L23))</f>
        <v>42.661417322834637</v>
      </c>
      <c r="Q23" s="76">
        <f>IF($B23="Jacks Only",'Chinook Jack Proportions'!M23,IF('3. Select Chinook Method'!$B23="Adults Only",'Chinook Adult Proportions'!M23,'Chinook All Ages Proportions'!M23))</f>
        <v>0</v>
      </c>
      <c r="R23" s="76">
        <f>IF($B23="Jacks Only",'Chinook Jack Proportions'!X23,IF('3. Select Chinook Method'!$B23="Adults Only",'Chinook Adult Proportions'!X23,'Chinook All Ages Proportions'!X23))</f>
        <v>170.89454545454544</v>
      </c>
      <c r="S23" s="76">
        <f>IF($B23="Jacks Only",'Chinook Jack Proportions'!N23,IF('3. Select Chinook Method'!$B23="Adults Only",'Chinook Adult Proportions'!N23,'Chinook All Ages Proportions'!N23))</f>
        <v>209.6890482398957</v>
      </c>
      <c r="T23" s="76">
        <f>IF($B23="Jacks Only",'Chinook Jack Proportions'!O23,IF('3. Select Chinook Method'!$B23="Adults Only",'Chinook Adult Proportions'!O23,'Chinook All Ages Proportions'!O23))</f>
        <v>549.35975463706723</v>
      </c>
      <c r="U23" s="76">
        <f>IF($B23="Jacks Only",'Chinook Jack Proportions'!P23,IF('3. Select Chinook Method'!$B23="Adults Only",'Chinook Adult Proportions'!P23,'Chinook All Ages Proportions'!P23))</f>
        <v>413.35802541258948</v>
      </c>
      <c r="V23" s="76">
        <f>IF($B23="Jacks Only",'Chinook Jack Proportions'!Q23,IF('3. Select Chinook Method'!$B23="Adults Only",'Chinook Adult Proportions'!Q23,'Chinook All Ages Proportions'!Q23))</f>
        <v>280.6274748064846</v>
      </c>
      <c r="W23" s="76">
        <f>IF($B23="Jacks Only",'Chinook Jack Proportions'!R23,IF('3. Select Chinook Method'!$B23="Adults Only",'Chinook Adult Proportions'!R23,'Chinook All Ages Proportions'!R23))</f>
        <v>0</v>
      </c>
      <c r="X23" s="56">
        <f>IF(B23="Jacks Only",'Chinook Jack Proportions'!S23,IF(B23="Adults Only",'Chinook Adult Proportions'!S23,'Chinook All Ages Proportions'!S23))</f>
        <v>857.03111111111139</v>
      </c>
      <c r="Y23" s="56">
        <f>IF($B23="Jacks Only",'Chinook Jack Proportions'!T23,IF('3. Select Chinook Method'!$B23="Adults Only",'Chinook Adult Proportions'!T23,'Chinook All Ages Proportions'!T23))</f>
        <v>-43.761018329938906</v>
      </c>
      <c r="Z23" s="56">
        <f>IF($B23="Jacks Only",'Chinook Jack Proportions'!U23,IF('3. Select Chinook Method'!$B23="Adults Only",'Chinook Adult Proportions'!U23,'Chinook All Ages Proportions'!U23))</f>
        <v>59.685885947046863</v>
      </c>
      <c r="AA23" s="56">
        <f>IF($B23="Jacks Only",'Chinook Jack Proportions'!V23,IF('3. Select Chinook Method'!$B23="Adults Only",'Chinook Adult Proportions'!V23,'Chinook All Ages Proportions'!V23))</f>
        <v>161.24333333333331</v>
      </c>
      <c r="AB23" s="56">
        <f>IF($B23="Jacks Only",'Chinook Jack Proportions'!W23,IF('3. Select Chinook Method'!$B23="Adults Only",'Chinook Adult Proportions'!W23,'Chinook All Ages Proportions'!W23))</f>
        <v>0</v>
      </c>
      <c r="AC23" s="41">
        <f>IF(B23="Jacks Only",'Chinook Jack Proportions'!Y23,IF('3. Select Chinook Method'!B23="Adults Only",'Chinook Adult Proportions'!Y23,'Chinook All Ages Proportions'!Y23))</f>
        <v>2658.1281606121347</v>
      </c>
      <c r="AD23" s="42">
        <f>IF(B23="Jacks Only",'Chinook Jack Proportions'!Z23,IF('3. Select Chinook Method'!B23="Adults Only",'Chinook Adult Proportions'!Z23,'Chinook All Ages Proportions'!Z23))</f>
        <v>0.31558723472148625</v>
      </c>
      <c r="AE23" s="43">
        <f>IF($B23="Jacks Only",'Chinook Jack Proportions'!AA23,IF('3. Select Chinook Method'!$B23="Adults Only",'Chinook Adult Proportions'!AA23,'Chinook All Ages Proportions'!AA23))</f>
        <v>0.28897642129951301</v>
      </c>
      <c r="AF23" s="42">
        <f>IF($B23="Jacks Only",'Chinook Jack Proportions'!AB23,IF('3. Select Chinook Method'!$B23="Adults Only",'Chinook Adult Proportions'!AB23,'Chinook All Ages Proportions'!AB23))</f>
        <v>0.29629629629629628</v>
      </c>
      <c r="AG23" s="44">
        <f>IF($B23="Jacks Only",'Chinook Jack Proportions'!AC23,IF('3. Select Chinook Method'!$B23="Adults Only",'Chinook Adult Proportions'!AC23,'Chinook All Ages Proportions'!AC23))</f>
        <v>0.60458709033047131</v>
      </c>
    </row>
    <row r="24" spans="1:33" x14ac:dyDescent="0.3">
      <c r="A24" s="5">
        <f>'1. Mixture Model Inputs'!A24</f>
        <v>45126</v>
      </c>
      <c r="B24" s="55" t="s">
        <v>43</v>
      </c>
      <c r="C24" s="60">
        <f t="shared" si="0"/>
        <v>3254.4930753493036</v>
      </c>
      <c r="D24" s="56">
        <f>'Chinook All Ages Proportions'!Y24</f>
        <v>3254.4930753493036</v>
      </c>
      <c r="E24" s="56">
        <f>'Chinook Adult Proportions'!Y24</f>
        <v>3254.4930753493036</v>
      </c>
      <c r="F24" s="57">
        <f>'Chinook Jack Proportions'!Y24</f>
        <v>0</v>
      </c>
      <c r="G24" s="71">
        <f>IF($B24="Jacks Only",'Chinook Jack Proportions'!C24,IF('3. Select Chinook Method'!$B24="Adults Only",'Chinook Adult Proportions'!C24,'Chinook All Ages Proportions'!C24))</f>
        <v>0.51187335092348285</v>
      </c>
      <c r="H24" s="71">
        <f>IF($B24="Jacks Only",'Chinook Jack Proportions'!D24,IF('3. Select Chinook Method'!$B24="Adults Only",'Chinook Adult Proportions'!D24,'Chinook All Ages Proportions'!D24))</f>
        <v>0</v>
      </c>
      <c r="I24" s="71">
        <f>IF($B24="Jacks Only",'Chinook Jack Proportions'!E24,IF('3. Select Chinook Method'!$B24="Adults Only",'Chinook Adult Proportions'!E24,'Chinook All Ages Proportions'!E24))</f>
        <v>0.34649122807017546</v>
      </c>
      <c r="J24" s="71">
        <f>IF($B24="Jacks Only",'Chinook Jack Proportions'!F24,IF('3. Select Chinook Method'!$B24="Adults Only",'Chinook Adult Proportions'!F24,'Chinook All Ages Proportions'!F24))</f>
        <v>5.4669703872437352E-2</v>
      </c>
      <c r="K24" s="71">
        <f>IF($B24="Jacks Only",'Chinook Jack Proportions'!G24,IF('3. Select Chinook Method'!$B24="Adults Only",'Chinook Adult Proportions'!G24,'Chinook All Ages Proportions'!G24))</f>
        <v>0.46525771628402007</v>
      </c>
      <c r="L24" s="24">
        <f>IF($B24="Jacks Only",'Chinook Jack Proportions'!H24,IF('3. Select Chinook Method'!$B24="Adults Only",'Chinook Adult Proportions'!H24,'Chinook All Ages Proportions'!H24))</f>
        <v>0.25</v>
      </c>
      <c r="M24" s="71">
        <f>IF($B24="Jacks Only",'Chinook Jack Proportions'!I24,IF('3. Select Chinook Method'!$B24="Adults Only",'Chinook Adult Proportions'!I24,'Chinook All Ages Proportions'!I24))</f>
        <v>0</v>
      </c>
      <c r="N24" s="71">
        <f>IF($B24="Jacks Only",'Chinook Jack Proportions'!J24,IF('3. Select Chinook Method'!$B24="Adults Only",'Chinook Adult Proportions'!J24,'Chinook All Ages Proportions'!J24))</f>
        <v>0.61188271604938271</v>
      </c>
      <c r="O24" s="23">
        <f>IF($B24="Jacks Only",'Chinook Jack Proportions'!K24,IF('3. Select Chinook Method'!$B24="Adults Only",'Chinook Adult Proportions'!K24,'Chinook All Ages Proportions'!K24))</f>
        <v>0.53946028513238298</v>
      </c>
      <c r="P24" s="76">
        <f>IF($B24="Jacks Only",'Chinook Jack Proportions'!L24,IF('3. Select Chinook Method'!$B24="Adults Only",'Chinook Adult Proportions'!L24,'Chinook All Ages Proportions'!L24))</f>
        <v>37.366754617414252</v>
      </c>
      <c r="Q24" s="76">
        <f>IF($B24="Jacks Only",'Chinook Jack Proportions'!M24,IF('3. Select Chinook Method'!$B24="Adults Only",'Chinook Adult Proportions'!M24,'Chinook All Ages Proportions'!M24))</f>
        <v>0</v>
      </c>
      <c r="R24" s="76">
        <f>IF($B24="Jacks Only",'Chinook Jack Proportions'!X24,IF('3. Select Chinook Method'!$B24="Adults Only",'Chinook Adult Proportions'!X24,'Chinook All Ages Proportions'!X24))</f>
        <v>211.80315789473684</v>
      </c>
      <c r="S24" s="76">
        <f>IF($B24="Jacks Only",'Chinook Jack Proportions'!N24,IF('3. Select Chinook Method'!$B24="Adults Only",'Chinook Adult Proportions'!N24,'Chinook All Ages Proportions'!N24))</f>
        <v>41.632072892938488</v>
      </c>
      <c r="T24" s="76">
        <f>IF($B24="Jacks Only",'Chinook Jack Proportions'!O24,IF('3. Select Chinook Method'!$B24="Adults Only",'Chinook Adult Proportions'!O24,'Chinook All Ages Proportions'!O24))</f>
        <v>376.85875019005624</v>
      </c>
      <c r="U24" s="76">
        <f>IF($B24="Jacks Only",'Chinook Jack Proportions'!P24,IF('3. Select Chinook Method'!$B24="Adults Only",'Chinook Adult Proportions'!P24,'Chinook All Ages Proportions'!P24))</f>
        <v>417.05701687699565</v>
      </c>
      <c r="V24" s="76">
        <f>IF($B24="Jacks Only",'Chinook Jack Proportions'!Q24,IF('3. Select Chinook Method'!$B24="Adults Only",'Chinook Adult Proportions'!Q24,'Chinook All Ages Proportions'!Q24))</f>
        <v>214.72574121940093</v>
      </c>
      <c r="W24" s="76">
        <f>IF($B24="Jacks Only",'Chinook Jack Proportions'!R24,IF('3. Select Chinook Method'!$B24="Adults Only",'Chinook Adult Proportions'!R24,'Chinook All Ages Proportions'!R24))</f>
        <v>0</v>
      </c>
      <c r="X24" s="56">
        <f>IF(B24="Jacks Only",'Chinook Jack Proportions'!S24,IF(B24="Adults Only",'Chinook Adult Proportions'!S24,'Chinook All Ages Proportions'!S24))</f>
        <v>2034.4799999999996</v>
      </c>
      <c r="Y24" s="56">
        <f>IF($B24="Jacks Only",'Chinook Jack Proportions'!T24,IF('3. Select Chinook Method'!$B24="Adults Only",'Chinook Adult Proportions'!T24,'Chinook All Ages Proportions'!T24))</f>
        <v>-19.938452138492874</v>
      </c>
      <c r="Z24" s="56">
        <f>IF($B24="Jacks Only",'Chinook Jack Proportions'!U24,IF('3. Select Chinook Method'!$B24="Adults Only",'Chinook Adult Proportions'!U24,'Chinook All Ages Proportions'!U24))</f>
        <v>-39.747433808553971</v>
      </c>
      <c r="AA24" s="56">
        <f>IF($B24="Jacks Only",'Chinook Jack Proportions'!V24,IF('3. Select Chinook Method'!$B24="Adults Only",'Chinook Adult Proportions'!V24,'Chinook All Ages Proportions'!V24))</f>
        <v>17.62222222222222</v>
      </c>
      <c r="AB24" s="56">
        <f>IF($B24="Jacks Only",'Chinook Jack Proportions'!W24,IF('3. Select Chinook Method'!$B24="Adults Only",'Chinook Adult Proportions'!W24,'Chinook All Ages Proportions'!W24))</f>
        <v>0</v>
      </c>
      <c r="AC24" s="41">
        <f>IF(B24="Jacks Only",'Chinook Jack Proportions'!Y24,IF('3. Select Chinook Method'!B24="Adults Only",'Chinook Adult Proportions'!Y24,'Chinook All Ages Proportions'!Y24))</f>
        <v>3254.4930753493036</v>
      </c>
      <c r="AD24" s="42">
        <f>IF(B24="Jacks Only",'Chinook Jack Proportions'!Z24,IF('3. Select Chinook Method'!B24="Adults Only",'Chinook Adult Proportions'!Z24,'Chinook All Ages Proportions'!Z24))</f>
        <v>0.27925591165294661</v>
      </c>
      <c r="AE24" s="43">
        <f>IF($B24="Jacks Only",'Chinook Jack Proportions'!AA24,IF('3. Select Chinook Method'!$B24="Adults Only",'Chinook Adult Proportions'!AA24,'Chinook All Ages Proportions'!AA24))</f>
        <v>0.30718055530988203</v>
      </c>
      <c r="AF24" s="42">
        <f>IF($B24="Jacks Only",'Chinook Jack Proportions'!AB24,IF('3. Select Chinook Method'!$B24="Adults Only",'Chinook Adult Proportions'!AB24,'Chinook All Ages Proportions'!AB24))</f>
        <v>0.25</v>
      </c>
      <c r="AG24" s="44">
        <f>IF($B24="Jacks Only",'Chinook Jack Proportions'!AC24,IF('3. Select Chinook Method'!$B24="Adults Only",'Chinook Adult Proportions'!AC24,'Chinook All Ages Proportions'!AC24))</f>
        <v>0.51397438568945053</v>
      </c>
    </row>
    <row r="25" spans="1:33" x14ac:dyDescent="0.3">
      <c r="A25" s="5">
        <f>'1. Mixture Model Inputs'!A25</f>
        <v>45127</v>
      </c>
      <c r="B25" s="55" t="s">
        <v>43</v>
      </c>
      <c r="C25" s="60">
        <f>INDEX($D$6:$F$128, MATCH(A25, $A$6:$A$128, 0), MATCH(B25, $D$5:$F$5,0 ))</f>
        <v>4521.188015079556</v>
      </c>
      <c r="D25" s="56">
        <f>'Chinook All Ages Proportions'!Y25</f>
        <v>6156.2526304641715</v>
      </c>
      <c r="E25" s="56">
        <f>'Chinook Adult Proportions'!Y25</f>
        <v>4521.188015079556</v>
      </c>
      <c r="F25" s="57">
        <f>'Chinook Jack Proportions'!Y25</f>
        <v>1635.0646153846158</v>
      </c>
      <c r="G25" s="71">
        <f>IF($B25="Jacks Only",'Chinook Jack Proportions'!C25,IF('3. Select Chinook Method'!$B25="Adults Only",'Chinook Adult Proportions'!C25,'Chinook All Ages Proportions'!C25))</f>
        <v>0</v>
      </c>
      <c r="H25" s="71">
        <f>IF($B25="Jacks Only",'Chinook Jack Proportions'!D25,IF('3. Select Chinook Method'!$B25="Adults Only",'Chinook Adult Proportions'!D25,'Chinook All Ages Proportions'!D25))</f>
        <v>5.3424657534246578E-2</v>
      </c>
      <c r="I25" s="71">
        <f>IF($B25="Jacks Only",'Chinook Jack Proportions'!E25,IF('3. Select Chinook Method'!$B25="Adults Only",'Chinook Adult Proportions'!E25,'Chinook All Ages Proportions'!E25))</f>
        <v>7.6923076923076927E-2</v>
      </c>
      <c r="J25" s="71">
        <f>IF($B25="Jacks Only",'Chinook Jack Proportions'!F25,IF('3. Select Chinook Method'!$B25="Adults Only",'Chinook Adult Proportions'!F25,'Chinook All Ages Proportions'!F25))</f>
        <v>0.21176003178386971</v>
      </c>
      <c r="K25" s="71">
        <f>IF($B25="Jacks Only",'Chinook Jack Proportions'!G25,IF('3. Select Chinook Method'!$B25="Adults Only",'Chinook Adult Proportions'!G25,'Chinook All Ages Proportions'!G25))</f>
        <v>0.40690866510538642</v>
      </c>
      <c r="L25" s="24">
        <f>IF($B25="Jacks Only",'Chinook Jack Proportions'!H25,IF('3. Select Chinook Method'!$B25="Adults Only",'Chinook Adult Proportions'!H25,'Chinook All Ages Proportions'!H25))</f>
        <v>0.30769230769230771</v>
      </c>
      <c r="M25" s="71">
        <f>IF($B25="Jacks Only",'Chinook Jack Proportions'!I25,IF('3. Select Chinook Method'!$B25="Adults Only",'Chinook Adult Proportions'!I25,'Chinook All Ages Proportions'!I25))</f>
        <v>0</v>
      </c>
      <c r="N25" s="71">
        <f>IF($B25="Jacks Only",'Chinook Jack Proportions'!J25,IF('3. Select Chinook Method'!$B25="Adults Only",'Chinook Adult Proportions'!J25,'Chinook All Ages Proportions'!J25))</f>
        <v>0.68794326241134762</v>
      </c>
      <c r="O25" s="23">
        <f>IF($B25="Jacks Only",'Chinook Jack Proportions'!K25,IF('3. Select Chinook Method'!$B25="Adults Only",'Chinook Adult Proportions'!K25,'Chinook All Ages Proportions'!K25))</f>
        <v>0.8859999999999999</v>
      </c>
      <c r="P25" s="76">
        <f>IF($B25="Jacks Only",'Chinook Jack Proportions'!L25,IF('3. Select Chinook Method'!$B25="Adults Only",'Chinook Adult Proportions'!L25,'Chinook All Ages Proportions'!L25))</f>
        <v>0</v>
      </c>
      <c r="Q25" s="76">
        <f>IF($B25="Jacks Only",'Chinook Jack Proportions'!M25,IF('3. Select Chinook Method'!$B25="Adults Only",'Chinook Adult Proportions'!M25,'Chinook All Ages Proportions'!M25))</f>
        <v>17.523287671232879</v>
      </c>
      <c r="R25" s="76">
        <f>IF($B25="Jacks Only",'Chinook Jack Proportions'!X25,IF('3. Select Chinook Method'!$B25="Adults Only",'Chinook Adult Proportions'!X25,'Chinook All Ages Proportions'!X25))</f>
        <v>52.320000000000007</v>
      </c>
      <c r="S25" s="76">
        <f>IF($B25="Jacks Only",'Chinook Jack Proportions'!N25,IF('3. Select Chinook Method'!$B25="Adults Only",'Chinook Adult Proportions'!N25,'Chinook All Ages Proportions'!N25))</f>
        <v>167.30736591179979</v>
      </c>
      <c r="T25" s="76">
        <f>IF($B25="Jacks Only",'Chinook Jack Proportions'!O25,IF('3. Select Chinook Method'!$B25="Adults Only",'Chinook Adult Proportions'!O25,'Chinook All Ages Proportions'!O25))</f>
        <v>320.31850117096019</v>
      </c>
      <c r="U25" s="76">
        <f>IF($B25="Jacks Only",'Chinook Jack Proportions'!P25,IF('3. Select Chinook Method'!$B25="Adults Only",'Chinook Adult Proportions'!P25,'Chinook All Ages Proportions'!P25))</f>
        <v>193.07002341920378</v>
      </c>
      <c r="V25" s="76">
        <f>IF($B25="Jacks Only",'Chinook Jack Proportions'!Q25,IF('3. Select Chinook Method'!$B25="Adults Only",'Chinook Adult Proportions'!Q25,'Chinook All Ages Proportions'!Q25))</f>
        <v>61.036299765807961</v>
      </c>
      <c r="W25" s="76">
        <f>IF($B25="Jacks Only",'Chinook Jack Proportions'!R25,IF('3. Select Chinook Method'!$B25="Adults Only",'Chinook Adult Proportions'!R25,'Chinook All Ages Proportions'!R25))</f>
        <v>0</v>
      </c>
      <c r="X25" s="56">
        <f>IF(B25="Jacks Only",'Chinook Jack Proportions'!S25,IF(B25="Adults Only",'Chinook Adult Proportions'!S25,'Chinook All Ages Proportions'!S25))</f>
        <v>3270.1292307692315</v>
      </c>
      <c r="Y25" s="56">
        <f>IF($B25="Jacks Only",'Chinook Jack Proportions'!T25,IF('3. Select Chinook Method'!$B25="Adults Only",'Chinook Adult Proportions'!T25,'Chinook All Ages Proportions'!T25))</f>
        <v>164.79599999999999</v>
      </c>
      <c r="Z25" s="56">
        <f>IF($B25="Jacks Only",'Chinook Jack Proportions'!U25,IF('3. Select Chinook Method'!$B25="Adults Only",'Chinook Adult Proportions'!U25,'Chinook All Ages Proportions'!U25))</f>
        <v>164.58335999999997</v>
      </c>
      <c r="AA25" s="56">
        <f>IF($B25="Jacks Only",'Chinook Jack Proportions'!V25,IF('3. Select Chinook Method'!$B25="Adults Only",'Chinook Adult Proportions'!V25,'Chinook All Ages Proportions'!V25))</f>
        <v>127.62723404255321</v>
      </c>
      <c r="AB25" s="56">
        <f>IF($B25="Jacks Only",'Chinook Jack Proportions'!W25,IF('3. Select Chinook Method'!$B25="Adults Only",'Chinook Adult Proportions'!W25,'Chinook All Ages Proportions'!W25))</f>
        <v>0</v>
      </c>
      <c r="AC25" s="41">
        <f>IF(B25="Jacks Only",'Chinook Jack Proportions'!Y25,IF('3. Select Chinook Method'!B25="Adults Only",'Chinook Adult Proportions'!Y25,'Chinook All Ages Proportions'!Y25))</f>
        <v>4521.188015079556</v>
      </c>
      <c r="AD25" s="42">
        <f>IF(B25="Jacks Only",'Chinook Jack Proportions'!Z25,IF('3. Select Chinook Method'!B25="Adults Only",'Chinook Adult Proportions'!Z25,'Chinook All Ages Proportions'!Z25))</f>
        <v>0.3206516322751457</v>
      </c>
      <c r="AE25" s="43">
        <f>IF($B25="Jacks Only",'Chinook Jack Proportions'!AA25,IF('3. Select Chinook Method'!$B25="Adults Only",'Chinook Adult Proportions'!AA25,'Chinook All Ages Proportions'!AA25))</f>
        <v>0.26345473779251494</v>
      </c>
      <c r="AF25" s="42">
        <f>IF($B25="Jacks Only",'Chinook Jack Proportions'!AB25,IF('3. Select Chinook Method'!$B25="Adults Only",'Chinook Adult Proportions'!AB25,'Chinook All Ages Proportions'!AB25))</f>
        <v>0.30769230769230771</v>
      </c>
      <c r="AG25" s="44">
        <f>IF($B25="Jacks Only",'Chinook Jack Proportions'!AC25,IF('3. Select Chinook Method'!$B25="Adults Only",'Chinook Adult Proportions'!AC25,'Chinook All Ages Proportions'!AC25))</f>
        <v>0.82006638322307135</v>
      </c>
    </row>
    <row r="26" spans="1:33" x14ac:dyDescent="0.3">
      <c r="A26" s="5">
        <f>'1. Mixture Model Inputs'!A26</f>
        <v>45128</v>
      </c>
      <c r="B26" s="55" t="s">
        <v>43</v>
      </c>
      <c r="C26" s="60">
        <f>INDEX($D$6:$F$128, MATCH(A26, $A$6:$A$128, 0), MATCH(B26, $D$5:$F$5,0 ))</f>
        <v>5000.3377982807306</v>
      </c>
      <c r="D26" s="56">
        <f>'Chinook All Ages Proportions'!Y26</f>
        <v>5000.3377982807306</v>
      </c>
      <c r="E26" s="56">
        <f>'Chinook Adult Proportions'!Y26</f>
        <v>5000.3377982807306</v>
      </c>
      <c r="F26" s="57">
        <f>'Chinook Jack Proportions'!Y26</f>
        <v>0</v>
      </c>
      <c r="G26" s="71">
        <f>IF($B26="Jacks Only",'Chinook Jack Proportions'!C26,IF('3. Select Chinook Method'!$B26="Adults Only",'Chinook Adult Proportions'!C26,'Chinook All Ages Proportions'!C26))</f>
        <v>0</v>
      </c>
      <c r="H26" s="71">
        <f>IF($B26="Jacks Only",'Chinook Jack Proportions'!D26,IF('3. Select Chinook Method'!$B26="Adults Only",'Chinook Adult Proportions'!D26,'Chinook All Ages Proportions'!D26))</f>
        <v>0</v>
      </c>
      <c r="I26" s="71">
        <f>IF($B26="Jacks Only",'Chinook Jack Proportions'!E26,IF('3. Select Chinook Method'!$B26="Adults Only",'Chinook Adult Proportions'!E26,'Chinook All Ages Proportions'!E26))</f>
        <v>0</v>
      </c>
      <c r="J26" s="71">
        <f>IF($B26="Jacks Only",'Chinook Jack Proportions'!F26,IF('3. Select Chinook Method'!$B26="Adults Only",'Chinook Adult Proportions'!F26,'Chinook All Ages Proportions'!F26))</f>
        <v>0.24645823155837812</v>
      </c>
      <c r="K26" s="71">
        <f>IF($B26="Jacks Only",'Chinook Jack Proportions'!G26,IF('3. Select Chinook Method'!$B26="Adults Only",'Chinook Adult Proportions'!G26,'Chinook All Ages Proportions'!G26))</f>
        <v>0.60708487084870855</v>
      </c>
      <c r="L26" s="24">
        <f>IF($B26="Jacks Only",'Chinook Jack Proportions'!H26,IF('3. Select Chinook Method'!$B26="Adults Only",'Chinook Adult Proportions'!H26,'Chinook All Ages Proportions'!H26))</f>
        <v>0.5</v>
      </c>
      <c r="M26" s="71">
        <f>IF($B26="Jacks Only",'Chinook Jack Proportions'!I26,IF('3. Select Chinook Method'!$B26="Adults Only",'Chinook Adult Proportions'!I26,'Chinook All Ages Proportions'!I26))</f>
        <v>0</v>
      </c>
      <c r="N26" s="71">
        <f>IF($B26="Jacks Only",'Chinook Jack Proportions'!J26,IF('3. Select Chinook Method'!$B26="Adults Only",'Chinook Adult Proportions'!J26,'Chinook All Ages Proportions'!J26))</f>
        <v>0.68794326241134762</v>
      </c>
      <c r="O26" s="23">
        <f>IF($B26="Jacks Only",'Chinook Jack Proportions'!K26,IF('3. Select Chinook Method'!$B26="Adults Only",'Chinook Adult Proportions'!K26,'Chinook All Ages Proportions'!K26))</f>
        <v>0.8859999999999999</v>
      </c>
      <c r="P26" s="76">
        <f>IF($B26="Jacks Only",'Chinook Jack Proportions'!L26,IF('3. Select Chinook Method'!$B26="Adults Only",'Chinook Adult Proportions'!L26,'Chinook All Ages Proportions'!L26))</f>
        <v>0</v>
      </c>
      <c r="Q26" s="76">
        <f>IF($B26="Jacks Only",'Chinook Jack Proportions'!M26,IF('3. Select Chinook Method'!$B26="Adults Only",'Chinook Adult Proportions'!M26,'Chinook All Ages Proportions'!M26))</f>
        <v>0</v>
      </c>
      <c r="R26" s="76">
        <f>IF($B26="Jacks Only",'Chinook Jack Proportions'!X26,IF('3. Select Chinook Method'!$B26="Adults Only",'Chinook Adult Proportions'!X26,'Chinook All Ages Proportions'!X26))</f>
        <v>0</v>
      </c>
      <c r="S26" s="76">
        <f>IF($B26="Jacks Only",'Chinook Jack Proportions'!N26,IF('3. Select Chinook Method'!$B26="Adults Only",'Chinook Adult Proportions'!N26,'Chinook All Ages Proportions'!N26))</f>
        <v>181.53127503663902</v>
      </c>
      <c r="T26" s="76">
        <f>IF($B26="Jacks Only",'Chinook Jack Proportions'!O26,IF('3. Select Chinook Method'!$B26="Adults Only",'Chinook Adult Proportions'!O26,'Chinook All Ages Proportions'!O26))</f>
        <v>341.66736531365314</v>
      </c>
      <c r="U26" s="76">
        <f>IF($B26="Jacks Only",'Chinook Jack Proportions'!P26,IF('3. Select Chinook Method'!$B26="Adults Only",'Chinook Adult Proportions'!P26,'Chinook All Ages Proportions'!P26))</f>
        <v>377.65535645756466</v>
      </c>
      <c r="V26" s="76">
        <f>IF($B26="Jacks Only",'Chinook Jack Proportions'!Q26,IF('3. Select Chinook Method'!$B26="Adults Only",'Chinook Adult Proportions'!Q26,'Chinook All Ages Proportions'!Q26))</f>
        <v>195.82129594095946</v>
      </c>
      <c r="W26" s="76">
        <f>IF($B26="Jacks Only",'Chinook Jack Proportions'!R26,IF('3. Select Chinook Method'!$B26="Adults Only",'Chinook Adult Proportions'!R26,'Chinook All Ages Proportions'!R26))</f>
        <v>0</v>
      </c>
      <c r="X26" s="56">
        <f>IF(B26="Jacks Only",'Chinook Jack Proportions'!S26,IF(B26="Adults Only",'Chinook Adult Proportions'!S26,'Chinook All Ages Proportions'!S26))</f>
        <v>3552.4799999999996</v>
      </c>
      <c r="Y26" s="56">
        <f>IF($B26="Jacks Only",'Chinook Jack Proportions'!T26,IF('3. Select Chinook Method'!$B26="Adults Only",'Chinook Adult Proportions'!T26,'Chinook All Ages Proportions'!T26))</f>
        <v>93.136319999999998</v>
      </c>
      <c r="Z26" s="56">
        <f>IF($B26="Jacks Only",'Chinook Jack Proportions'!U26,IF('3. Select Chinook Method'!$B26="Adults Only",'Chinook Adult Proportions'!U26,'Chinook All Ages Proportions'!U26))</f>
        <v>172.02575999999999</v>
      </c>
      <c r="AA26" s="56">
        <f>IF($B26="Jacks Only",'Chinook Jack Proportions'!V26,IF('3. Select Chinook Method'!$B26="Adults Only",'Chinook Adult Proportions'!V26,'Chinook All Ages Proportions'!V26))</f>
        <v>86.020425531914896</v>
      </c>
      <c r="AB26" s="56">
        <f>IF($B26="Jacks Only",'Chinook Jack Proportions'!W26,IF('3. Select Chinook Method'!$B26="Adults Only",'Chinook Adult Proportions'!W26,'Chinook All Ages Proportions'!W26))</f>
        <v>0</v>
      </c>
      <c r="AC26" s="41">
        <f>IF(B26="Jacks Only",'Chinook Jack Proportions'!Y26,IF('3. Select Chinook Method'!B26="Adults Only",'Chinook Adult Proportions'!Y26,'Chinook All Ages Proportions'!Y26))</f>
        <v>5000.3377982807306</v>
      </c>
      <c r="AD26" s="42">
        <f>IF(B26="Jacks Only",'Chinook Jack Proportions'!Z26,IF('3. Select Chinook Method'!B26="Adults Only",'Chinook Adult Proportions'!Z26,'Chinook All Ages Proportions'!Z26))</f>
        <v>0.48974521240585095</v>
      </c>
      <c r="AE26" s="43">
        <f>IF($B26="Jacks Only",'Chinook Jack Proportions'!AA26,IF('3. Select Chinook Method'!$B26="Adults Only",'Chinook Adult Proportions'!AA26,'Chinook All Ages Proportions'!AA26))</f>
        <v>0.41529404584689644</v>
      </c>
      <c r="AF26" s="42">
        <f>IF($B26="Jacks Only",'Chinook Jack Proportions'!AB26,IF('3. Select Chinook Method'!$B26="Adults Only",'Chinook Adult Proportions'!AB26,'Chinook All Ages Proportions'!AB26))</f>
        <v>0.5</v>
      </c>
      <c r="AG26" s="44">
        <f>IF($B26="Jacks Only",'Chinook Jack Proportions'!AC26,IF('3. Select Chinook Method'!$B26="Adults Only",'Chinook Adult Proportions'!AC26,'Chinook All Ages Proportions'!AC26))</f>
        <v>0.82763599531465626</v>
      </c>
    </row>
    <row r="27" spans="1:33" x14ac:dyDescent="0.3">
      <c r="A27" s="5">
        <f>'1. Mixture Model Inputs'!A27</f>
        <v>45129</v>
      </c>
      <c r="B27" s="55" t="s">
        <v>43</v>
      </c>
      <c r="C27" s="60">
        <f t="shared" ca="1" si="0"/>
        <v>8236.3065520579494</v>
      </c>
      <c r="D27" s="56">
        <f ca="1">'Chinook All Ages Proportions'!Y27</f>
        <v>8236.3065520579494</v>
      </c>
      <c r="E27" s="56">
        <f ca="1">'Chinook Adult Proportions'!Y27</f>
        <v>8236.3065520579494</v>
      </c>
      <c r="F27" s="57">
        <f ca="1">'Chinook Jack Proportions'!Y27</f>
        <v>0</v>
      </c>
      <c r="G27" s="71">
        <f>IF($B27="Jacks Only",'Chinook Jack Proportions'!C27,IF('3. Select Chinook Method'!$B27="Adults Only",'Chinook Adult Proportions'!C27,'Chinook All Ages Proportions'!C27))</f>
        <v>0</v>
      </c>
      <c r="H27" s="71">
        <f>IF($B27="Jacks Only",'Chinook Jack Proportions'!D27,IF('3. Select Chinook Method'!$B27="Adults Only",'Chinook Adult Proportions'!D27,'Chinook All Ages Proportions'!D27))</f>
        <v>0</v>
      </c>
      <c r="I27" s="71">
        <f>IF($B27="Jacks Only",'Chinook Jack Proportions'!E27,IF('3. Select Chinook Method'!$B27="Adults Only",'Chinook Adult Proportions'!E27,'Chinook All Ages Proportions'!E27))</f>
        <v>0</v>
      </c>
      <c r="J27" s="71">
        <f>IF($B27="Jacks Only",'Chinook Jack Proportions'!F27,IF('3. Select Chinook Method'!$B27="Adults Only",'Chinook Adult Proportions'!F27,'Chinook All Ages Proportions'!F27))</f>
        <v>0.12648221343873517</v>
      </c>
      <c r="K27" s="71">
        <f>IF($B27="Jacks Only",'Chinook Jack Proportions'!G27,IF('3. Select Chinook Method'!$B27="Adults Only",'Chinook Adult Proportions'!G27,'Chinook All Ages Proportions'!G27))</f>
        <v>0.6196985629162286</v>
      </c>
      <c r="L27" s="24">
        <f>IF($B27="Jacks Only",'Chinook Jack Proportions'!H27,IF('3. Select Chinook Method'!$B27="Adults Only",'Chinook Adult Proportions'!H27,'Chinook All Ages Proportions'!H27))</f>
        <v>1</v>
      </c>
      <c r="M27" s="71">
        <f>IF($B27="Jacks Only",'Chinook Jack Proportions'!I27,IF('3. Select Chinook Method'!$B27="Adults Only",'Chinook Adult Proportions'!I27,'Chinook All Ages Proportions'!I27))</f>
        <v>0</v>
      </c>
      <c r="N27" s="71">
        <f>IF($B27="Jacks Only",'Chinook Jack Proportions'!J27,IF('3. Select Chinook Method'!$B27="Adults Only",'Chinook Adult Proportions'!J27,'Chinook All Ages Proportions'!J27))</f>
        <v>0.71680790960451979</v>
      </c>
      <c r="O27" s="23">
        <f>IF($B27="Jacks Only",'Chinook Jack Proportions'!K27,IF('3. Select Chinook Method'!$B27="Adults Only",'Chinook Adult Proportions'!K27,'Chinook All Ages Proportions'!K27))</f>
        <v>0.57235367372353674</v>
      </c>
      <c r="P27" s="76">
        <f>IF($B27="Jacks Only",'Chinook Jack Proportions'!L27,IF('3. Select Chinook Method'!$B27="Adults Only",'Chinook Adult Proportions'!L27,'Chinook All Ages Proportions'!L27))</f>
        <v>0</v>
      </c>
      <c r="Q27" s="76">
        <f>IF($B27="Jacks Only",'Chinook Jack Proportions'!M27,IF('3. Select Chinook Method'!$B27="Adults Only",'Chinook Adult Proportions'!M27,'Chinook All Ages Proportions'!M27))</f>
        <v>0</v>
      </c>
      <c r="R27" s="76">
        <f>IF($B27="Jacks Only",'Chinook Jack Proportions'!X27,IF('3. Select Chinook Method'!$B27="Adults Only",'Chinook Adult Proportions'!X27,'Chinook All Ages Proportions'!X27))</f>
        <v>0</v>
      </c>
      <c r="S27" s="76">
        <f>IF($B27="Jacks Only",'Chinook Jack Proportions'!N27,IF('3. Select Chinook Method'!$B27="Adults Only",'Chinook Adult Proportions'!N27,'Chinook All Ages Proportions'!N27))</f>
        <v>130.22608695652173</v>
      </c>
      <c r="T27" s="76">
        <f>IF($B27="Jacks Only",'Chinook Jack Proportions'!O27,IF('3. Select Chinook Method'!$B27="Adults Only",'Chinook Adult Proportions'!O27,'Chinook All Ages Proportions'!O27))</f>
        <v>660.20206098843335</v>
      </c>
      <c r="U27" s="76">
        <f>IF($B27="Jacks Only",'Chinook Jack Proportions'!P27,IF('3. Select Chinook Method'!$B27="Adults Only",'Chinook Adult Proportions'!P27,'Chinook All Ages Proportions'!P27))</f>
        <v>659.16096740273395</v>
      </c>
      <c r="V27" s="76">
        <f>IF($B27="Jacks Only",'Chinook Jack Proportions'!Q27,IF('3. Select Chinook Method'!$B27="Adults Only",'Chinook Adult Proportions'!Q27,'Chinook All Ages Proportions'!Q27))</f>
        <v>153.04075709779181</v>
      </c>
      <c r="W27" s="76">
        <f>IF($B27="Jacks Only",'Chinook Jack Proportions'!R27,IF('3. Select Chinook Method'!$B27="Adults Only",'Chinook Adult Proportions'!R27,'Chinook All Ages Proportions'!R27))</f>
        <v>0</v>
      </c>
      <c r="X27" s="56">
        <f ca="1">IF(B27="Jacks Only",'Chinook Jack Proportions'!S27,IF(B27="Adults Only",'Chinook Adult Proportions'!S27,'Chinook All Ages Proportions'!S27))</f>
        <v>6460.3199999999988</v>
      </c>
      <c r="Y27" s="56">
        <f>IF($B27="Jacks Only",'Chinook Jack Proportions'!T27,IF('3. Select Chinook Method'!$B27="Adults Only",'Chinook Adult Proportions'!T27,'Chinook All Ages Proportions'!T27))</f>
        <v>16.071691158156909</v>
      </c>
      <c r="Z27" s="56">
        <f>IF($B27="Jacks Only",'Chinook Jack Proportions'!U27,IF('3. Select Chinook Method'!$B27="Adults Only",'Chinook Adult Proportions'!U27,'Chinook All Ages Proportions'!U27))</f>
        <v>102.06210709838106</v>
      </c>
      <c r="AA27" s="56">
        <f>IF($B27="Jacks Only",'Chinook Jack Proportions'!V27,IF('3. Select Chinook Method'!$B27="Adults Only",'Chinook Adult Proportions'!V27,'Chinook All Ages Proportions'!V27))</f>
        <v>55.222881355932202</v>
      </c>
      <c r="AB27" s="56">
        <f>IF($B27="Jacks Only",'Chinook Jack Proportions'!W27,IF('3. Select Chinook Method'!$B27="Adults Only",'Chinook Adult Proportions'!W27,'Chinook All Ages Proportions'!W27))</f>
        <v>0</v>
      </c>
      <c r="AC27" s="41">
        <f ca="1">IF(B27="Jacks Only",'Chinook Jack Proportions'!Y27,IF('3. Select Chinook Method'!B27="Adults Only",'Chinook Adult Proportions'!Y27,'Chinook All Ages Proportions'!Y27))</f>
        <v>8236.3065520579494</v>
      </c>
      <c r="AD27" s="42">
        <f ca="1">IF(B27="Jacks Only",'Chinook Jack Proportions'!Z27,IF('3. Select Chinook Method'!B27="Adults Only",'Chinook Adult Proportions'!Z27,'Chinook All Ages Proportions'!Z27))</f>
        <v>0.7202993864265832</v>
      </c>
      <c r="AE27" s="43">
        <f>IF($B27="Jacks Only",'Chinook Jack Proportions'!AA27,IF('3. Select Chinook Method'!$B27="Adults Only",'Chinook Adult Proportions'!AA27,'Chinook All Ages Proportions'!AA27))</f>
        <v>0.35472108730532997</v>
      </c>
      <c r="AF27" s="42">
        <f ca="1">IF($B27="Jacks Only",'Chinook Jack Proportions'!AB27,IF('3. Select Chinook Method'!$B27="Adults Only",'Chinook Adult Proportions'!AB27,'Chinook All Ages Proportions'!AB27))</f>
        <v>1</v>
      </c>
      <c r="AG27" s="44">
        <f>IF($B27="Jacks Only",'Chinook Jack Proportions'!AC27,IF('3. Select Chinook Method'!$B27="Adults Only",'Chinook Adult Proportions'!AC27,'Chinook All Ages Proportions'!AC27))</f>
        <v>0.61161684875977351</v>
      </c>
    </row>
    <row r="28" spans="1:33" x14ac:dyDescent="0.3">
      <c r="A28" s="5">
        <f>'1. Mixture Model Inputs'!A28</f>
        <v>45130</v>
      </c>
      <c r="B28" s="55" t="s">
        <v>43</v>
      </c>
      <c r="C28" s="60">
        <f t="shared" si="0"/>
        <v>2694.6674493051373</v>
      </c>
      <c r="D28" s="56">
        <f>'Chinook All Ages Proportions'!Y28</f>
        <v>2694.6674493051373</v>
      </c>
      <c r="E28" s="56">
        <f>'Chinook Adult Proportions'!Y28</f>
        <v>2694.6674493051373</v>
      </c>
      <c r="F28" s="57">
        <f>'Chinook Jack Proportions'!Y28</f>
        <v>0</v>
      </c>
      <c r="G28" s="71">
        <f>IF($B28="Jacks Only",'Chinook Jack Proportions'!C28,IF('3. Select Chinook Method'!$B28="Adults Only",'Chinook Adult Proportions'!C28,'Chinook All Ages Proportions'!C28))</f>
        <v>0</v>
      </c>
      <c r="H28" s="71">
        <f>IF($B28="Jacks Only",'Chinook Jack Proportions'!D28,IF('3. Select Chinook Method'!$B28="Adults Only",'Chinook Adult Proportions'!D28,'Chinook All Ages Proportions'!D28))</f>
        <v>0</v>
      </c>
      <c r="I28" s="71">
        <f>IF($B28="Jacks Only",'Chinook Jack Proportions'!E28,IF('3. Select Chinook Method'!$B28="Adults Only",'Chinook Adult Proportions'!E28,'Chinook All Ages Proportions'!E28))</f>
        <v>0</v>
      </c>
      <c r="J28" s="71">
        <f>IF($B28="Jacks Only",'Chinook Jack Proportions'!F28,IF('3. Select Chinook Method'!$B28="Adults Only",'Chinook Adult Proportions'!F28,'Chinook All Ages Proportions'!F28))</f>
        <v>0.43579164517792685</v>
      </c>
      <c r="K28" s="71">
        <f>IF($B28="Jacks Only",'Chinook Jack Proportions'!G28,IF('3. Select Chinook Method'!$B28="Adults Only",'Chinook Adult Proportions'!G28,'Chinook All Ages Proportions'!G28))</f>
        <v>0.63128976286871019</v>
      </c>
      <c r="L28" s="24">
        <f>IF($B28="Jacks Only",'Chinook Jack Proportions'!H28,IF('3. Select Chinook Method'!$B28="Adults Only",'Chinook Adult Proportions'!H28,'Chinook All Ages Proportions'!H28))</f>
        <v>0</v>
      </c>
      <c r="M28" s="71">
        <f>IF($B28="Jacks Only",'Chinook Jack Proportions'!I28,IF('3. Select Chinook Method'!$B28="Adults Only",'Chinook Adult Proportions'!I28,'Chinook All Ages Proportions'!I28))</f>
        <v>0</v>
      </c>
      <c r="N28" s="71">
        <f>IF($B28="Jacks Only",'Chinook Jack Proportions'!J28,IF('3. Select Chinook Method'!$B28="Adults Only",'Chinook Adult Proportions'!J28,'Chinook All Ages Proportions'!J28))</f>
        <v>0.71680790960451979</v>
      </c>
      <c r="O28" s="23">
        <f>IF($B28="Jacks Only",'Chinook Jack Proportions'!K28,IF('3. Select Chinook Method'!$B28="Adults Only",'Chinook Adult Proportions'!K28,'Chinook All Ages Proportions'!K28))</f>
        <v>0.57235367372353674</v>
      </c>
      <c r="P28" s="76">
        <f>IF($B28="Jacks Only",'Chinook Jack Proportions'!L28,IF('3. Select Chinook Method'!$B28="Adults Only",'Chinook Adult Proportions'!L28,'Chinook All Ages Proportions'!L28))</f>
        <v>0</v>
      </c>
      <c r="Q28" s="76">
        <f>IF($B28="Jacks Only",'Chinook Jack Proportions'!M28,IF('3. Select Chinook Method'!$B28="Adults Only",'Chinook Adult Proportions'!M28,'Chinook All Ages Proportions'!M28))</f>
        <v>0</v>
      </c>
      <c r="R28" s="76">
        <f>IF($B28="Jacks Only",'Chinook Jack Proportions'!X28,IF('3. Select Chinook Method'!$B28="Adults Only",'Chinook Adult Proportions'!X28,'Chinook All Ages Proportions'!X28))</f>
        <v>0</v>
      </c>
      <c r="S28" s="76">
        <f>IF($B28="Jacks Only",'Chinook Jack Proportions'!N28,IF('3. Select Chinook Method'!$B28="Adults Only",'Chinook Adult Proportions'!N28,'Chinook All Ages Proportions'!N28))</f>
        <v>466.26219700876754</v>
      </c>
      <c r="T28" s="76">
        <f>IF($B28="Jacks Only",'Chinook Jack Proportions'!O28,IF('3. Select Chinook Method'!$B28="Adults Only",'Chinook Adult Proportions'!O28,'Chinook All Ages Proportions'!O28))</f>
        <v>811.18209369577789</v>
      </c>
      <c r="U28" s="76">
        <f>IF($B28="Jacks Only",'Chinook Jack Proportions'!P28,IF('3. Select Chinook Method'!$B28="Adults Only",'Chinook Adult Proportions'!P28,'Chinook All Ages Proportions'!P28))</f>
        <v>607.55326778484675</v>
      </c>
      <c r="V28" s="76">
        <f>IF($B28="Jacks Only",'Chinook Jack Proportions'!Q28,IF('3. Select Chinook Method'!$B28="Adults Only",'Chinook Adult Proportions'!Q28,'Chinook All Ages Proportions'!Q28))</f>
        <v>375.59215731636783</v>
      </c>
      <c r="W28" s="76">
        <f>IF($B28="Jacks Only",'Chinook Jack Proportions'!R28,IF('3. Select Chinook Method'!$B28="Adults Only",'Chinook Adult Proportions'!R28,'Chinook All Ages Proportions'!R28))</f>
        <v>0</v>
      </c>
      <c r="X28" s="56">
        <f>IF(B28="Jacks Only",'Chinook Jack Proportions'!S28,IF(B28="Adults Only",'Chinook Adult Proportions'!S28,'Chinook All Ages Proportions'!S28))</f>
        <v>0</v>
      </c>
      <c r="Y28" s="56">
        <f>IF($B28="Jacks Only",'Chinook Jack Proportions'!T28,IF('3. Select Chinook Method'!$B28="Adults Only",'Chinook Adult Proportions'!T28,'Chinook All Ages Proportions'!T28))</f>
        <v>117.17224408468242</v>
      </c>
      <c r="Z28" s="56">
        <f>IF($B28="Jacks Only",'Chinook Jack Proportions'!U28,IF('3. Select Chinook Method'!$B28="Adults Only",'Chinook Adult Proportions'!U28,'Chinook All Ages Proportions'!U28))</f>
        <v>134.20548941469488</v>
      </c>
      <c r="AA28" s="56">
        <f>IF($B28="Jacks Only",'Chinook Jack Proportions'!V28,IF('3. Select Chinook Method'!$B28="Adults Only",'Chinook Adult Proportions'!V28,'Chinook All Ages Proportions'!V28))</f>
        <v>182.7</v>
      </c>
      <c r="AB28" s="56">
        <f>IF($B28="Jacks Only",'Chinook Jack Proportions'!W28,IF('3. Select Chinook Method'!$B28="Adults Only",'Chinook Adult Proportions'!W28,'Chinook All Ages Proportions'!W28))</f>
        <v>0</v>
      </c>
      <c r="AC28" s="41">
        <f>IF(B28="Jacks Only",'Chinook Jack Proportions'!Y28,IF('3. Select Chinook Method'!B28="Adults Only",'Chinook Adult Proportions'!Y28,'Chinook All Ages Proportions'!Y28))</f>
        <v>2694.6674493051373</v>
      </c>
      <c r="AD28" s="42">
        <f>IF(B28="Jacks Only",'Chinook Jack Proportions'!Z28,IF('3. Select Chinook Method'!B28="Adults Only",'Chinook Adult Proportions'!Z28,'Chinook All Ages Proportions'!Z28))</f>
        <v>0.25525225722989536</v>
      </c>
      <c r="AE28" s="43">
        <f>IF($B28="Jacks Only",'Chinook Jack Proportions'!AA28,IF('3. Select Chinook Method'!$B28="Adults Only",'Chinook Adult Proportions'!AA28,'Chinook All Ages Proportions'!AA28))</f>
        <v>0.46700995665909728</v>
      </c>
      <c r="AF28" s="42">
        <f>IF($B28="Jacks Only",'Chinook Jack Proportions'!AB28,IF('3. Select Chinook Method'!$B28="Adults Only",'Chinook Adult Proportions'!AB28,'Chinook All Ages Proportions'!AB28))</f>
        <v>0</v>
      </c>
      <c r="AG28" s="44">
        <f>IF($B28="Jacks Only",'Chinook Jack Proportions'!AC28,IF('3. Select Chinook Method'!$B28="Adults Only",'Chinook Adult Proportions'!AC28,'Chinook All Ages Proportions'!AC28))</f>
        <v>0.62540014623584794</v>
      </c>
    </row>
    <row r="29" spans="1:33" x14ac:dyDescent="0.3">
      <c r="A29" s="5">
        <f>'1. Mixture Model Inputs'!A29</f>
        <v>45131</v>
      </c>
      <c r="B29" s="55" t="s">
        <v>43</v>
      </c>
      <c r="C29" s="60">
        <f t="shared" ca="1" si="0"/>
        <v>4382.6555757453789</v>
      </c>
      <c r="D29" s="56">
        <f ca="1">'Chinook All Ages Proportions'!Y29</f>
        <v>4382.6555757453789</v>
      </c>
      <c r="E29" s="56">
        <f ca="1">'Chinook Adult Proportions'!Y29</f>
        <v>4382.6555757453789</v>
      </c>
      <c r="F29" s="57">
        <f ca="1">'Chinook Jack Proportions'!Y29</f>
        <v>0</v>
      </c>
      <c r="G29" s="71">
        <f>IF($B29="Jacks Only",'Chinook Jack Proportions'!C29,IF('3. Select Chinook Method'!$B29="Adults Only",'Chinook Adult Proportions'!C29,'Chinook All Ages Proportions'!C29))</f>
        <v>1.6949152542372881E-2</v>
      </c>
      <c r="H29" s="71">
        <f>IF($B29="Jacks Only",'Chinook Jack Proportions'!D29,IF('3. Select Chinook Method'!$B29="Adults Only",'Chinook Adult Proportions'!D29,'Chinook All Ages Proportions'!D29))</f>
        <v>0</v>
      </c>
      <c r="I29" s="71">
        <f>IF($B29="Jacks Only",'Chinook Jack Proportions'!E29,IF('3. Select Chinook Method'!$B29="Adults Only",'Chinook Adult Proportions'!E29,'Chinook All Ages Proportions'!E29))</f>
        <v>0</v>
      </c>
      <c r="J29" s="71">
        <f>IF($B29="Jacks Only",'Chinook Jack Proportions'!F29,IF('3. Select Chinook Method'!$B29="Adults Only",'Chinook Adult Proportions'!F29,'Chinook All Ages Proportions'!F29))</f>
        <v>0.39505261214694481</v>
      </c>
      <c r="K29" s="71">
        <f>IF($B29="Jacks Only",'Chinook Jack Proportions'!G29,IF('3. Select Chinook Method'!$B29="Adults Only",'Chinook Adult Proportions'!G29,'Chinook All Ages Proportions'!G29))</f>
        <v>0.76997448637035049</v>
      </c>
      <c r="L29" s="24">
        <f>IF($B29="Jacks Only",'Chinook Jack Proportions'!H29,IF('3. Select Chinook Method'!$B29="Adults Only",'Chinook Adult Proportions'!H29,'Chinook All Ages Proportions'!H29))</f>
        <v>0.16666666666666666</v>
      </c>
      <c r="M29" s="71">
        <f>IF($B29="Jacks Only",'Chinook Jack Proportions'!I29,IF('3. Select Chinook Method'!$B29="Adults Only",'Chinook Adult Proportions'!I29,'Chinook All Ages Proportions'!I29))</f>
        <v>0.53402646502835538</v>
      </c>
      <c r="N29" s="71">
        <f>IF($B29="Jacks Only",'Chinook Jack Proportions'!J29,IF('3. Select Chinook Method'!$B29="Adults Only",'Chinook Adult Proportions'!J29,'Chinook All Ages Proportions'!J29))</f>
        <v>0.37205162438807293</v>
      </c>
      <c r="O29" s="23">
        <f>IF($B29="Jacks Only",'Chinook Jack Proportions'!K29,IF('3. Select Chinook Method'!$B29="Adults Only",'Chinook Adult Proportions'!K29,'Chinook All Ages Proportions'!K29))</f>
        <v>0.85800052205690414</v>
      </c>
      <c r="P29" s="76">
        <f>IF($B29="Jacks Only",'Chinook Jack Proportions'!L29,IF('3. Select Chinook Method'!$B29="Adults Only",'Chinook Adult Proportions'!L29,'Chinook All Ages Proportions'!L29))</f>
        <v>6.1355932203389827</v>
      </c>
      <c r="Q29" s="76">
        <f>IF($B29="Jacks Only",'Chinook Jack Proportions'!M29,IF('3. Select Chinook Method'!$B29="Adults Only",'Chinook Adult Proportions'!M29,'Chinook All Ages Proportions'!M29))</f>
        <v>0</v>
      </c>
      <c r="R29" s="76">
        <f>IF($B29="Jacks Only",'Chinook Jack Proportions'!X29,IF('3. Select Chinook Method'!$B29="Adults Only",'Chinook Adult Proportions'!X29,'Chinook All Ages Proportions'!X29))</f>
        <v>0</v>
      </c>
      <c r="S29" s="76">
        <f>IF($B29="Jacks Only",'Chinook Jack Proportions'!N29,IF('3. Select Chinook Method'!$B29="Adults Only",'Chinook Adult Proportions'!N29,'Chinook All Ages Proportions'!N29))</f>
        <v>575.79708325641502</v>
      </c>
      <c r="T29" s="76">
        <f>IF($B29="Jacks Only",'Chinook Jack Proportions'!O29,IF('3. Select Chinook Method'!$B29="Adults Only",'Chinook Adult Proportions'!O29,'Chinook All Ages Proportions'!O29))</f>
        <v>1110.4264052638646</v>
      </c>
      <c r="U29" s="76">
        <f>IF($B29="Jacks Only",'Chinook Jack Proportions'!P29,IF('3. Select Chinook Method'!$B29="Adults Only",'Chinook Adult Proportions'!P29,'Chinook All Ages Proportions'!P29))</f>
        <v>754.14381093057614</v>
      </c>
      <c r="V29" s="76">
        <f>IF($B29="Jacks Only",'Chinook Jack Proportions'!Q29,IF('3. Select Chinook Method'!$B29="Adults Only",'Chinook Adult Proportions'!Q29,'Chinook All Ages Proportions'!Q29))</f>
        <v>459.58237142473473</v>
      </c>
      <c r="W29" s="76">
        <f>IF($B29="Jacks Only",'Chinook Jack Proportions'!R29,IF('3. Select Chinook Method'!$B29="Adults Only",'Chinook Adult Proportions'!R29,'Chinook All Ages Proportions'!R29))</f>
        <v>0</v>
      </c>
      <c r="X29" s="56">
        <f ca="1">IF(B29="Jacks Only",'Chinook Jack Proportions'!S29,IF(B29="Adults Only",'Chinook Adult Proportions'!S29,'Chinook All Ages Proportions'!S29))</f>
        <v>1253.7589554524034</v>
      </c>
      <c r="Y29" s="56">
        <f>IF($B29="Jacks Only",'Chinook Jack Proportions'!T29,IF('3. Select Chinook Method'!$B29="Adults Only",'Chinook Adult Proportions'!T29,'Chinook All Ages Proportions'!T29))</f>
        <v>137.9664839467502</v>
      </c>
      <c r="Z29" s="56">
        <f>IF($B29="Jacks Only",'Chinook Jack Proportions'!U29,IF('3. Select Chinook Method'!$B29="Adults Only",'Chinook Adult Proportions'!U29,'Chinook All Ages Proportions'!U29))</f>
        <v>-41.389945184025052</v>
      </c>
      <c r="AA29" s="56">
        <f>IF($B29="Jacks Only",'Chinook Jack Proportions'!V29,IF('3. Select Chinook Method'!$B29="Adults Only",'Chinook Adult Proportions'!V29,'Chinook All Ages Proportions'!V29))</f>
        <v>53.932603471295053</v>
      </c>
      <c r="AB29" s="56">
        <f>IF($B29="Jacks Only",'Chinook Jack Proportions'!W29,IF('3. Select Chinook Method'!$B29="Adults Only",'Chinook Adult Proportions'!W29,'Chinook All Ages Proportions'!W29))</f>
        <v>78.437807183364839</v>
      </c>
      <c r="AC29" s="41">
        <f ca="1">IF(B29="Jacks Only",'Chinook Jack Proportions'!Y29,IF('3. Select Chinook Method'!B29="Adults Only",'Chinook Adult Proportions'!Y29,'Chinook All Ages Proportions'!Y29))</f>
        <v>4382.6555757453789</v>
      </c>
      <c r="AD29" s="42">
        <f ca="1">IF(B29="Jacks Only",'Chinook Jack Proportions'!Z29,IF('3. Select Chinook Method'!B29="Adults Only",'Chinook Adult Proportions'!Z29,'Chinook All Ages Proportions'!Z29))</f>
        <v>0.31092733000287676</v>
      </c>
      <c r="AE29" s="43">
        <f>IF($B29="Jacks Only",'Chinook Jack Proportions'!AA29,IF('3. Select Chinook Method'!$B29="Adults Only",'Chinook Adult Proportions'!AA29,'Chinook All Ages Proportions'!AA29))</f>
        <v>0.47111853553807898</v>
      </c>
      <c r="AF29" s="42">
        <f ca="1">IF($B29="Jacks Only",'Chinook Jack Proportions'!AB29,IF('3. Select Chinook Method'!$B29="Adults Only",'Chinook Adult Proportions'!AB29,'Chinook All Ages Proportions'!AB29))</f>
        <v>0.16666666666666666</v>
      </c>
      <c r="AG29" s="44">
        <f>IF($B29="Jacks Only",'Chinook Jack Proportions'!AC29,IF('3. Select Chinook Method'!$B29="Adults Only",'Chinook Adult Proportions'!AC29,'Chinook All Ages Proportions'!AC29))</f>
        <v>0.88904531460618597</v>
      </c>
    </row>
    <row r="30" spans="1:33" x14ac:dyDescent="0.3">
      <c r="A30" s="5">
        <f>'1. Mixture Model Inputs'!A30</f>
        <v>45132</v>
      </c>
      <c r="B30" s="55" t="s">
        <v>43</v>
      </c>
      <c r="C30" s="60">
        <f t="shared" si="0"/>
        <v>8071.6001344996894</v>
      </c>
      <c r="D30" s="56">
        <f>'Chinook All Ages Proportions'!Y30</f>
        <v>8071.6001344996894</v>
      </c>
      <c r="E30" s="56">
        <f>'Chinook Adult Proportions'!Y30</f>
        <v>8071.6001344996894</v>
      </c>
      <c r="F30" s="57">
        <f>'Chinook Jack Proportions'!Y30</f>
        <v>0</v>
      </c>
      <c r="G30" s="71">
        <f>IF($B30="Jacks Only",'Chinook Jack Proportions'!C30,IF('3. Select Chinook Method'!$B30="Adults Only",'Chinook Adult Proportions'!C30,'Chinook All Ages Proportions'!C30))</f>
        <v>0</v>
      </c>
      <c r="H30" s="71">
        <f>IF($B30="Jacks Only",'Chinook Jack Proportions'!D30,IF('3. Select Chinook Method'!$B30="Adults Only",'Chinook Adult Proportions'!D30,'Chinook All Ages Proportions'!D30))</f>
        <v>0.14786729857819905</v>
      </c>
      <c r="I30" s="71">
        <f>IF($B30="Jacks Only",'Chinook Jack Proportions'!E30,IF('3. Select Chinook Method'!$B30="Adults Only",'Chinook Adult Proportions'!E30,'Chinook All Ages Proportions'!E30))</f>
        <v>0.10029940119760479</v>
      </c>
      <c r="J30" s="71">
        <f>IF($B30="Jacks Only",'Chinook Jack Proportions'!F30,IF('3. Select Chinook Method'!$B30="Adults Only",'Chinook Adult Proportions'!F30,'Chinook All Ages Proportions'!F30))</f>
        <v>0.44339622641509435</v>
      </c>
      <c r="K30" s="71">
        <f>IF($B30="Jacks Only",'Chinook Jack Proportions'!G30,IF('3. Select Chinook Method'!$B30="Adults Only",'Chinook Adult Proportions'!G30,'Chinook All Ages Proportions'!G30))</f>
        <v>0.8442954894567799</v>
      </c>
      <c r="L30" s="24">
        <f>IF($B30="Jacks Only",'Chinook Jack Proportions'!H30,IF('3. Select Chinook Method'!$B30="Adults Only",'Chinook Adult Proportions'!H30,'Chinook All Ages Proportions'!H30))</f>
        <v>0.75</v>
      </c>
      <c r="M30" s="71">
        <f>IF($B30="Jacks Only",'Chinook Jack Proportions'!I30,IF('3. Select Chinook Method'!$B30="Adults Only",'Chinook Adult Proportions'!I30,'Chinook All Ages Proportions'!I30))</f>
        <v>0.53402646502835538</v>
      </c>
      <c r="N30" s="71">
        <f>IF($B30="Jacks Only",'Chinook Jack Proportions'!J30,IF('3. Select Chinook Method'!$B30="Adults Only",'Chinook Adult Proportions'!J30,'Chinook All Ages Proportions'!J30))</f>
        <v>0.37205162438807293</v>
      </c>
      <c r="O30" s="23">
        <f>IF($B30="Jacks Only",'Chinook Jack Proportions'!K30,IF('3. Select Chinook Method'!$B30="Adults Only",'Chinook Adult Proportions'!K30,'Chinook All Ages Proportions'!K30))</f>
        <v>0.85800052205690414</v>
      </c>
      <c r="P30" s="76">
        <f>IF($B30="Jacks Only",'Chinook Jack Proportions'!L30,IF('3. Select Chinook Method'!$B30="Adults Only",'Chinook Adult Proportions'!L30,'Chinook All Ages Proportions'!L30))</f>
        <v>0</v>
      </c>
      <c r="Q30" s="76">
        <f>IF($B30="Jacks Only",'Chinook Jack Proportions'!M30,IF('3. Select Chinook Method'!$B30="Adults Only",'Chinook Adult Proportions'!M30,'Chinook All Ages Proportions'!M30))</f>
        <v>112.82274881516588</v>
      </c>
      <c r="R30" s="76">
        <f>IF($B30="Jacks Only",'Chinook Jack Proportions'!X30,IF('3. Select Chinook Method'!$B30="Adults Only",'Chinook Adult Proportions'!X30,'Chinook All Ages Proportions'!X30))</f>
        <v>80.496287425149688</v>
      </c>
      <c r="S30" s="76">
        <f>IF($B30="Jacks Only",'Chinook Jack Proportions'!N30,IF('3. Select Chinook Method'!$B30="Adults Only",'Chinook Adult Proportions'!N30,'Chinook All Ages Proportions'!N30))</f>
        <v>545.90943396226407</v>
      </c>
      <c r="T30" s="76">
        <f>IF($B30="Jacks Only",'Chinook Jack Proportions'!O30,IF('3. Select Chinook Method'!$B30="Adults Only",'Chinook Adult Proportions'!O30,'Chinook All Ages Proportions'!O30))</f>
        <v>821.66837033933814</v>
      </c>
      <c r="U30" s="76">
        <f>IF($B30="Jacks Only",'Chinook Jack Proportions'!P30,IF('3. Select Chinook Method'!$B30="Adults Only",'Chinook Adult Proportions'!P30,'Chinook All Ages Proportions'!P30))</f>
        <v>882.4576455802262</v>
      </c>
      <c r="V30" s="76">
        <f>IF($B30="Jacks Only",'Chinook Jack Proportions'!Q30,IF('3. Select Chinook Method'!$B30="Adults Only",'Chinook Adult Proportions'!Q30,'Chinook All Ages Proportions'!Q30))</f>
        <v>420.86441558441567</v>
      </c>
      <c r="W30" s="76">
        <f>IF($B30="Jacks Only",'Chinook Jack Proportions'!R30,IF('3. Select Chinook Method'!$B30="Adults Only",'Chinook Adult Proportions'!R30,'Chinook All Ages Proportions'!R30))</f>
        <v>0</v>
      </c>
      <c r="X30" s="56">
        <f>IF(B30="Jacks Only",'Chinook Jack Proportions'!S30,IF(B30="Adults Only",'Chinook Adult Proportions'!S30,'Chinook All Ages Proportions'!S30))</f>
        <v>4722.2999999999993</v>
      </c>
      <c r="Y30" s="56">
        <f>IF($B30="Jacks Only",'Chinook Jack Proportions'!T30,IF('3. Select Chinook Method'!$B30="Adults Only",'Chinook Adult Proportions'!T30,'Chinook All Ages Proportions'!T30))</f>
        <v>103.37190289741581</v>
      </c>
      <c r="Z30" s="56">
        <f>IF($B30="Jacks Only",'Chinook Jack Proportions'!U30,IF('3. Select Chinook Method'!$B30="Adults Only",'Chinook Adult Proportions'!U30,'Chinook All Ages Proportions'!U30))</f>
        <v>303.52626468285041</v>
      </c>
      <c r="AA30" s="56">
        <f>IF($B30="Jacks Only",'Chinook Jack Proportions'!V30,IF('3. Select Chinook Method'!$B30="Adults Only",'Chinook Adult Proportions'!V30,'Chinook All Ages Proportions'!V30))</f>
        <v>70.273110814419212</v>
      </c>
      <c r="AB30" s="56">
        <f>IF($B30="Jacks Only",'Chinook Jack Proportions'!W30,IF('3. Select Chinook Method'!$B30="Adults Only",'Chinook Adult Proportions'!W30,'Chinook All Ages Proportions'!W30))</f>
        <v>120.73270321361058</v>
      </c>
      <c r="AC30" s="41">
        <f>IF(B30="Jacks Only",'Chinook Jack Proportions'!Y30,IF('3. Select Chinook Method'!B30="Adults Only",'Chinook Adult Proportions'!Y30,'Chinook All Ages Proportions'!Y30))</f>
        <v>8071.6001344996894</v>
      </c>
      <c r="AD30" s="42">
        <f>IF(B30="Jacks Only",'Chinook Jack Proportions'!Z30,IF('3. Select Chinook Method'!B30="Adults Only",'Chinook Adult Proportions'!Z30,'Chinook All Ages Proportions'!Z30))</f>
        <v>0.68775009155399769</v>
      </c>
      <c r="AE30" s="43">
        <f>IF($B30="Jacks Only",'Chinook Jack Proportions'!AA30,IF('3. Select Chinook Method'!$B30="Adults Only",'Chinook Adult Proportions'!AA30,'Chinook All Ages Proportions'!AA30))</f>
        <v>0.61172112368401155</v>
      </c>
      <c r="AF30" s="42">
        <f>IF($B30="Jacks Only",'Chinook Jack Proportions'!AB30,IF('3. Select Chinook Method'!$B30="Adults Only",'Chinook Adult Proportions'!AB30,'Chinook All Ages Proportions'!AB30))</f>
        <v>0.74999999999999989</v>
      </c>
      <c r="AG30" s="44">
        <f>IF($B30="Jacks Only",'Chinook Jack Proportions'!AC30,IF('3. Select Chinook Method'!$B30="Adults Only",'Chinook Adult Proportions'!AC30,'Chinook All Ages Proportions'!AC30))</f>
        <v>0.90165276512289783</v>
      </c>
    </row>
    <row r="31" spans="1:33" x14ac:dyDescent="0.3">
      <c r="A31" s="5">
        <f>'1. Mixture Model Inputs'!A31</f>
        <v>45133</v>
      </c>
      <c r="B31" s="55" t="s">
        <v>43</v>
      </c>
      <c r="C31" s="60">
        <f t="shared" si="0"/>
        <v>6632.4145827238071</v>
      </c>
      <c r="D31" s="56">
        <f>'Chinook All Ages Proportions'!Y31</f>
        <v>6632.4145827238071</v>
      </c>
      <c r="E31" s="56">
        <f>'Chinook Adult Proportions'!Y31</f>
        <v>6632.4145827238071</v>
      </c>
      <c r="F31" s="57">
        <f>'Chinook Jack Proportions'!Y31</f>
        <v>0</v>
      </c>
      <c r="G31" s="71">
        <f>IF($B31="Jacks Only",'Chinook Jack Proportions'!C31,IF('3. Select Chinook Method'!$B31="Adults Only",'Chinook Adult Proportions'!C31,'Chinook All Ages Proportions'!C31))</f>
        <v>0.37000973709834467</v>
      </c>
      <c r="H31" s="71">
        <f>IF($B31="Jacks Only",'Chinook Jack Proportions'!D31,IF('3. Select Chinook Method'!$B31="Adults Only",'Chinook Adult Proportions'!D31,'Chinook All Ages Proportions'!D31))</f>
        <v>7.8431372549019607E-2</v>
      </c>
      <c r="I31" s="71">
        <f>IF($B31="Jacks Only",'Chinook Jack Proportions'!E31,IF('3. Select Chinook Method'!$B31="Adults Only",'Chinook Adult Proportions'!E31,'Chinook All Ages Proportions'!E31))</f>
        <v>0.13742926434923203</v>
      </c>
      <c r="J31" s="71">
        <f>IF($B31="Jacks Only",'Chinook Jack Proportions'!F31,IF('3. Select Chinook Method'!$B31="Adults Only",'Chinook Adult Proportions'!F31,'Chinook All Ages Proportions'!F31))</f>
        <v>0.4627293577981651</v>
      </c>
      <c r="K31" s="71">
        <f>IF($B31="Jacks Only",'Chinook Jack Proportions'!G31,IF('3. Select Chinook Method'!$B31="Adults Only",'Chinook Adult Proportions'!G31,'Chinook All Ages Proportions'!G31))</f>
        <v>0.77190812720848068</v>
      </c>
      <c r="L31" s="24">
        <f>IF($B31="Jacks Only",'Chinook Jack Proportions'!H31,IF('3. Select Chinook Method'!$B31="Adults Only",'Chinook Adult Proportions'!H31,'Chinook All Ages Proportions'!H31))</f>
        <v>0.42857142857142855</v>
      </c>
      <c r="M31" s="71">
        <f>IF($B31="Jacks Only",'Chinook Jack Proportions'!I31,IF('3. Select Chinook Method'!$B31="Adults Only",'Chinook Adult Proportions'!I31,'Chinook All Ages Proportions'!I31))</f>
        <v>0</v>
      </c>
      <c r="N31" s="71">
        <f>IF($B31="Jacks Only",'Chinook Jack Proportions'!J31,IF('3. Select Chinook Method'!$B31="Adults Only",'Chinook Adult Proportions'!J31,'Chinook All Ages Proportions'!J31))</f>
        <v>0.46565847511027086</v>
      </c>
      <c r="O31" s="23">
        <f>IF($B31="Jacks Only",'Chinook Jack Proportions'!K31,IF('3. Select Chinook Method'!$B31="Adults Only",'Chinook Adult Proportions'!K31,'Chinook All Ages Proportions'!K31))</f>
        <v>0.62489044697633656</v>
      </c>
      <c r="P31" s="76">
        <f>IF($B31="Jacks Only",'Chinook Jack Proportions'!L31,IF('3. Select Chinook Method'!$B31="Adults Only",'Chinook Adult Proportions'!L31,'Chinook All Ages Proportions'!L31))</f>
        <v>256.78675754625118</v>
      </c>
      <c r="Q31" s="76">
        <f>IF($B31="Jacks Only",'Chinook Jack Proportions'!M31,IF('3. Select Chinook Method'!$B31="Adults Only",'Chinook Adult Proportions'!M31,'Chinook All Ages Proportions'!M31))</f>
        <v>56.078431372549019</v>
      </c>
      <c r="R31" s="76">
        <f>IF($B31="Jacks Only",'Chinook Jack Proportions'!X31,IF('3. Select Chinook Method'!$B31="Adults Only",'Chinook Adult Proportions'!X31,'Chinook All Ages Proportions'!X31))</f>
        <v>96.871139854486671</v>
      </c>
      <c r="S31" s="76">
        <f>IF($B31="Jacks Only",'Chinook Jack Proportions'!N31,IF('3. Select Chinook Method'!$B31="Adults Only",'Chinook Adult Proportions'!N31,'Chinook All Ages Proportions'!N31))</f>
        <v>530.62100917431189</v>
      </c>
      <c r="T31" s="76">
        <f>IF($B31="Jacks Only",'Chinook Jack Proportions'!O31,IF('3. Select Chinook Method'!$B31="Adults Only",'Chinook Adult Proportions'!O31,'Chinook All Ages Proportions'!O31))</f>
        <v>976.30939929328645</v>
      </c>
      <c r="U31" s="76">
        <f>IF($B31="Jacks Only",'Chinook Jack Proportions'!P31,IF('3. Select Chinook Method'!$B31="Adults Only",'Chinook Adult Proportions'!P31,'Chinook All Ages Proportions'!P31))</f>
        <v>730.10158303886931</v>
      </c>
      <c r="V31" s="76">
        <f>IF($B31="Jacks Only",'Chinook Jack Proportions'!Q31,IF('3. Select Chinook Method'!$B31="Adults Only",'Chinook Adult Proportions'!Q31,'Chinook All Ages Proportions'!Q31))</f>
        <v>453.14094699646648</v>
      </c>
      <c r="W31" s="76">
        <f>IF($B31="Jacks Only",'Chinook Jack Proportions'!R31,IF('3. Select Chinook Method'!$B31="Adults Only",'Chinook Adult Proportions'!R31,'Chinook All Ages Proportions'!R31))</f>
        <v>0</v>
      </c>
      <c r="X31" s="56">
        <f>IF(B31="Jacks Only",'Chinook Jack Proportions'!S31,IF(B31="Adults Only",'Chinook Adult Proportions'!S31,'Chinook All Ages Proportions'!S31))</f>
        <v>3633.120000000004</v>
      </c>
      <c r="Y31" s="56">
        <f>IF($B31="Jacks Only",'Chinook Jack Proportions'!T31,IF('3. Select Chinook Method'!$B31="Adults Only",'Chinook Adult Proportions'!T31,'Chinook All Ages Proportions'!T31))</f>
        <v>139.9254688869413</v>
      </c>
      <c r="Z31" s="56">
        <f>IF($B31="Jacks Only",'Chinook Jack Proportions'!U31,IF('3. Select Chinook Method'!$B31="Adults Only",'Chinook Adult Proportions'!U31,'Chinook All Ages Proportions'!U31))</f>
        <v>25.94545135845749</v>
      </c>
      <c r="AA31" s="56">
        <f>IF($B31="Jacks Only",'Chinook Jack Proportions'!V31,IF('3. Select Chinook Method'!$B31="Adults Only",'Chinook Adult Proportions'!V31,'Chinook All Ages Proportions'!V31))</f>
        <v>46.379584120982983</v>
      </c>
      <c r="AB31" s="56">
        <f>IF($B31="Jacks Only",'Chinook Jack Proportions'!W31,IF('3. Select Chinook Method'!$B31="Adults Only",'Chinook Adult Proportions'!W31,'Chinook All Ages Proportions'!W31))</f>
        <v>0</v>
      </c>
      <c r="AC31" s="41">
        <f>IF(B31="Jacks Only",'Chinook Jack Proportions'!Y31,IF('3. Select Chinook Method'!B31="Adults Only",'Chinook Adult Proportions'!Y31,'Chinook All Ages Proportions'!Y31))</f>
        <v>6632.4145827238071</v>
      </c>
      <c r="AD31" s="42">
        <f>IF(B31="Jacks Only",'Chinook Jack Proportions'!Z31,IF('3. Select Chinook Method'!B31="Adults Only",'Chinook Adult Proportions'!Z31,'Chinook All Ages Proportions'!Z31))</f>
        <v>0.48902091205869969</v>
      </c>
      <c r="AE31" s="43">
        <f>IF($B31="Jacks Only",'Chinook Jack Proportions'!AA31,IF('3. Select Chinook Method'!$B31="Adults Only",'Chinook Adult Proportions'!AA31,'Chinook All Ages Proportions'!AA31))</f>
        <v>0.64591466365151906</v>
      </c>
      <c r="AF31" s="42">
        <f>IF($B31="Jacks Only",'Chinook Jack Proportions'!AB31,IF('3. Select Chinook Method'!$B31="Adults Only",'Chinook Adult Proportions'!AB31,'Chinook All Ages Proportions'!AB31))</f>
        <v>0.42857142857142855</v>
      </c>
      <c r="AG31" s="44">
        <f>IF($B31="Jacks Only",'Chinook Jack Proportions'!AC31,IF('3. Select Chinook Method'!$B31="Adults Only",'Chinook Adult Proportions'!AC31,'Chinook All Ages Proportions'!AC31))</f>
        <v>0.58144451119433971</v>
      </c>
    </row>
    <row r="32" spans="1:33" x14ac:dyDescent="0.3">
      <c r="A32" s="5">
        <f>'1. Mixture Model Inputs'!A32</f>
        <v>45134</v>
      </c>
      <c r="B32" s="55" t="s">
        <v>43</v>
      </c>
      <c r="C32" s="60">
        <f t="shared" si="0"/>
        <v>7407.5139158552229</v>
      </c>
      <c r="D32" s="56">
        <f>'Chinook All Ages Proportions'!Y32</f>
        <v>7407.5139158552229</v>
      </c>
      <c r="E32" s="56">
        <f>'Chinook Adult Proportions'!Y32</f>
        <v>7407.5139158552229</v>
      </c>
      <c r="F32" s="57">
        <f>'Chinook Jack Proportions'!Y32</f>
        <v>0</v>
      </c>
      <c r="G32" s="71">
        <f>IF($B32="Jacks Only",'Chinook Jack Proportions'!C32,IF('3. Select Chinook Method'!$B32="Adults Only",'Chinook Adult Proportions'!C32,'Chinook All Ages Proportions'!C32))</f>
        <v>0</v>
      </c>
      <c r="H32" s="71">
        <f>IF($B32="Jacks Only",'Chinook Jack Proportions'!D32,IF('3. Select Chinook Method'!$B32="Adults Only",'Chinook Adult Proportions'!D32,'Chinook All Ages Proportions'!D32))</f>
        <v>0</v>
      </c>
      <c r="I32" s="71">
        <f>IF($B32="Jacks Only",'Chinook Jack Proportions'!E32,IF('3. Select Chinook Method'!$B32="Adults Only",'Chinook Adult Proportions'!E32,'Chinook All Ages Proportions'!E32))</f>
        <v>0</v>
      </c>
      <c r="J32" s="71">
        <f>IF($B32="Jacks Only",'Chinook Jack Proportions'!F32,IF('3. Select Chinook Method'!$B32="Adults Only",'Chinook Adult Proportions'!F32,'Chinook All Ages Proportions'!F32))</f>
        <v>0.28587278106508879</v>
      </c>
      <c r="K32" s="71">
        <f>IF($B32="Jacks Only",'Chinook Jack Proportions'!G32,IF('3. Select Chinook Method'!$B32="Adults Only",'Chinook Adult Proportions'!G32,'Chinook All Ages Proportions'!G32))</f>
        <v>0.71840107190710134</v>
      </c>
      <c r="L32" s="24">
        <f>IF($B32="Jacks Only",'Chinook Jack Proportions'!H32,IF('3. Select Chinook Method'!$B32="Adults Only",'Chinook Adult Proportions'!H32,'Chinook All Ages Proportions'!H32))</f>
        <v>0.75</v>
      </c>
      <c r="M32" s="71">
        <f>IF($B32="Jacks Only",'Chinook Jack Proportions'!I32,IF('3. Select Chinook Method'!$B32="Adults Only",'Chinook Adult Proportions'!I32,'Chinook All Ages Proportions'!I32))</f>
        <v>0</v>
      </c>
      <c r="N32" s="71">
        <f>IF($B32="Jacks Only",'Chinook Jack Proportions'!J32,IF('3. Select Chinook Method'!$B32="Adults Only",'Chinook Adult Proportions'!J32,'Chinook All Ages Proportions'!J32))</f>
        <v>0.46565847511027086</v>
      </c>
      <c r="O32" s="23">
        <f>IF($B32="Jacks Only",'Chinook Jack Proportions'!K32,IF('3. Select Chinook Method'!$B32="Adults Only",'Chinook Adult Proportions'!K32,'Chinook All Ages Proportions'!K32))</f>
        <v>0.62489044697633656</v>
      </c>
      <c r="P32" s="76">
        <f>IF($B32="Jacks Only",'Chinook Jack Proportions'!L32,IF('3. Select Chinook Method'!$B32="Adults Only",'Chinook Adult Proportions'!L32,'Chinook All Ages Proportions'!L32))</f>
        <v>0</v>
      </c>
      <c r="Q32" s="76">
        <f>IF($B32="Jacks Only",'Chinook Jack Proportions'!M32,IF('3. Select Chinook Method'!$B32="Adults Only",'Chinook Adult Proportions'!M32,'Chinook All Ages Proportions'!M32))</f>
        <v>0</v>
      </c>
      <c r="R32" s="76">
        <f>IF($B32="Jacks Only",'Chinook Jack Proportions'!X32,IF('3. Select Chinook Method'!$B32="Adults Only",'Chinook Adult Proportions'!X32,'Chinook All Ages Proportions'!X32))</f>
        <v>0</v>
      </c>
      <c r="S32" s="76">
        <f>IF($B32="Jacks Only",'Chinook Jack Proportions'!N32,IF('3. Select Chinook Method'!$B32="Adults Only",'Chinook Adult Proportions'!N32,'Chinook All Ages Proportions'!N32))</f>
        <v>315.05467455621306</v>
      </c>
      <c r="T32" s="76">
        <f>IF($B32="Jacks Only",'Chinook Jack Proportions'!O32,IF('3. Select Chinook Method'!$B32="Adults Only",'Chinook Adult Proportions'!O32,'Chinook All Ages Proportions'!O32))</f>
        <v>550.18027690933457</v>
      </c>
      <c r="U32" s="76">
        <f>IF($B32="Jacks Only",'Chinook Jack Proportions'!P32,IF('3. Select Chinook Method'!$B32="Adults Only",'Chinook Adult Proportions'!P32,'Chinook All Ages Proportions'!P32))</f>
        <v>550.69752568110755</v>
      </c>
      <c r="V32" s="76">
        <f>IF($B32="Jacks Only",'Chinook Jack Proportions'!Q32,IF('3. Select Chinook Method'!$B32="Adults Only",'Chinook Adult Proportions'!Q32,'Chinook All Ages Proportions'!Q32))</f>
        <v>311.03892809289857</v>
      </c>
      <c r="W32" s="76">
        <f>IF($B32="Jacks Only",'Chinook Jack Proportions'!R32,IF('3. Select Chinook Method'!$B32="Adults Only",'Chinook Adult Proportions'!R32,'Chinook All Ages Proportions'!R32))</f>
        <v>0</v>
      </c>
      <c r="X32" s="56">
        <f>IF(B32="Jacks Only",'Chinook Jack Proportions'!S32,IF(B32="Adults Only",'Chinook Adult Proportions'!S32,'Chinook All Ages Proportions'!S32))</f>
        <v>5528.1600000000008</v>
      </c>
      <c r="Y32" s="56">
        <f>IF($B32="Jacks Only",'Chinook Jack Proportions'!T32,IF('3. Select Chinook Method'!$B32="Adults Only",'Chinook Adult Proportions'!T32,'Chinook All Ages Proportions'!T32))</f>
        <v>-10.348185801928132</v>
      </c>
      <c r="Z32" s="56">
        <f>IF($B32="Jacks Only",'Chinook Jack Proportions'!U32,IF('3. Select Chinook Method'!$B32="Adults Only",'Chinook Adult Proportions'!U32,'Chinook All Ages Proportions'!U32))</f>
        <v>82.935460122699382</v>
      </c>
      <c r="AA32" s="56">
        <f>IF($B32="Jacks Only",'Chinook Jack Proportions'!V32,IF('3. Select Chinook Method'!$B32="Adults Only",'Chinook Adult Proportions'!V32,'Chinook All Ages Proportions'!V32))</f>
        <v>79.795236294896014</v>
      </c>
      <c r="AB32" s="56">
        <f>IF($B32="Jacks Only",'Chinook Jack Proportions'!W32,IF('3. Select Chinook Method'!$B32="Adults Only",'Chinook Adult Proportions'!W32,'Chinook All Ages Proportions'!W32))</f>
        <v>0</v>
      </c>
      <c r="AC32" s="41">
        <f>IF(B32="Jacks Only",'Chinook Jack Proportions'!Y32,IF('3. Select Chinook Method'!B32="Adults Only",'Chinook Adult Proportions'!Y32,'Chinook All Ages Proportions'!Y32))</f>
        <v>7407.5139158552229</v>
      </c>
      <c r="AD32" s="42">
        <f>IF(B32="Jacks Only",'Chinook Jack Proportions'!Z32,IF('3. Select Chinook Method'!B32="Adults Only",'Chinook Adult Proportions'!Z32,'Chinook All Ages Proportions'!Z32))</f>
        <v>0.63899302960671245</v>
      </c>
      <c r="AE32" s="43">
        <f>IF($B32="Jacks Only",'Chinook Jack Proportions'!AA32,IF('3. Select Chinook Method'!$B32="Adults Only",'Chinook Adult Proportions'!AA32,'Chinook All Ages Proportions'!AA32))</f>
        <v>0.44632887907816288</v>
      </c>
      <c r="AF32" s="42">
        <f>IF($B32="Jacks Only",'Chinook Jack Proportions'!AB32,IF('3. Select Chinook Method'!$B32="Adults Only",'Chinook Adult Proportions'!AB32,'Chinook All Ages Proportions'!AB32))</f>
        <v>0.75</v>
      </c>
      <c r="AG32" s="44">
        <f>IF($B32="Jacks Only",'Chinook Jack Proportions'!AC32,IF('3. Select Chinook Method'!$B32="Adults Only",'Chinook Adult Proportions'!AC32,'Chinook All Ages Proportions'!AC32))</f>
        <v>0.52998925506283845</v>
      </c>
    </row>
    <row r="33" spans="1:33" x14ac:dyDescent="0.3">
      <c r="A33" s="5">
        <f>'1. Mixture Model Inputs'!A33</f>
        <v>45135</v>
      </c>
      <c r="B33" s="55" t="s">
        <v>43</v>
      </c>
      <c r="C33" s="60">
        <f t="shared" si="0"/>
        <v>3396.3418551750842</v>
      </c>
      <c r="D33" s="56">
        <f>'Chinook All Ages Proportions'!Y33</f>
        <v>3396.3418551750842</v>
      </c>
      <c r="E33" s="56">
        <f>'Chinook Adult Proportions'!Y33</f>
        <v>3396.3418551750842</v>
      </c>
      <c r="F33" s="57">
        <f>'Chinook Jack Proportions'!Y33</f>
        <v>0</v>
      </c>
      <c r="G33" s="71">
        <f>IF($B33="Jacks Only",'Chinook Jack Proportions'!C33,IF('3. Select Chinook Method'!$B33="Adults Only",'Chinook Adult Proportions'!C33,'Chinook All Ages Proportions'!C33))</f>
        <v>0.3358778625954198</v>
      </c>
      <c r="H33" s="71">
        <f>IF($B33="Jacks Only",'Chinook Jack Proportions'!D33,IF('3. Select Chinook Method'!$B33="Adults Only",'Chinook Adult Proportions'!D33,'Chinook All Ages Proportions'!D33))</f>
        <v>6.781914893617022E-2</v>
      </c>
      <c r="I33" s="71">
        <f>IF($B33="Jacks Only",'Chinook Jack Proportions'!E33,IF('3. Select Chinook Method'!$B33="Adults Only",'Chinook Adult Proportions'!E33,'Chinook All Ages Proportions'!E33))</f>
        <v>0.15749656121045391</v>
      </c>
      <c r="J33" s="71">
        <f>IF($B33="Jacks Only",'Chinook Jack Proportions'!F33,IF('3. Select Chinook Method'!$B33="Adults Only",'Chinook Adult Proportions'!F33,'Chinook All Ages Proportions'!F33))</f>
        <v>0.34544561748097224</v>
      </c>
      <c r="K33" s="71">
        <f>IF($B33="Jacks Only",'Chinook Jack Proportions'!G33,IF('3. Select Chinook Method'!$B33="Adults Only",'Chinook Adult Proportions'!G33,'Chinook All Ages Proportions'!G33))</f>
        <v>0.9219190968955786</v>
      </c>
      <c r="L33" s="24">
        <f>IF($B33="Jacks Only",'Chinook Jack Proportions'!H33,IF('3. Select Chinook Method'!$B33="Adults Only",'Chinook Adult Proportions'!H33,'Chinook All Ages Proportions'!H33))</f>
        <v>0.18181818181818182</v>
      </c>
      <c r="M33" s="71">
        <f>IF($B33="Jacks Only",'Chinook Jack Proportions'!I33,IF('3. Select Chinook Method'!$B33="Adults Only",'Chinook Adult Proportions'!I33,'Chinook All Ages Proportions'!I33))</f>
        <v>0</v>
      </c>
      <c r="N33" s="71">
        <f>IF($B33="Jacks Only",'Chinook Jack Proportions'!J33,IF('3. Select Chinook Method'!$B33="Adults Only",'Chinook Adult Proportions'!J33,'Chinook All Ages Proportions'!J33))</f>
        <v>0.10526315789473685</v>
      </c>
      <c r="O33" s="23">
        <f>IF($B33="Jacks Only",'Chinook Jack Proportions'!K33,IF('3. Select Chinook Method'!$B33="Adults Only",'Chinook Adult Proportions'!K33,'Chinook All Ages Proportions'!K33))</f>
        <v>0.47177848775292863</v>
      </c>
      <c r="P33" s="76">
        <f>IF($B33="Jacks Only",'Chinook Jack Proportions'!L33,IF('3. Select Chinook Method'!$B33="Adults Only",'Chinook Adult Proportions'!L33,'Chinook All Ages Proportions'!L33))</f>
        <v>81.618320610687007</v>
      </c>
      <c r="Q33" s="76">
        <f>IF($B33="Jacks Only",'Chinook Jack Proportions'!M33,IF('3. Select Chinook Method'!$B33="Adults Only",'Chinook Adult Proportions'!M33,'Chinook All Ages Proportions'!M33))</f>
        <v>56.561170212765965</v>
      </c>
      <c r="R33" s="76">
        <f>IF($B33="Jacks Only",'Chinook Jack Proportions'!X33,IF('3. Select Chinook Method'!$B33="Adults Only",'Chinook Adult Proportions'!X33,'Chinook All Ages Proportions'!X33))</f>
        <v>154.59862448418156</v>
      </c>
      <c r="S33" s="76">
        <f>IF($B33="Jacks Only",'Chinook Jack Proportions'!N33,IF('3. Select Chinook Method'!$B33="Adults Only",'Chinook Adult Proportions'!N33,'Chinook All Ages Proportions'!N33))</f>
        <v>429.04345691136751</v>
      </c>
      <c r="T33" s="76">
        <f>IF($B33="Jacks Only",'Chinook Jack Proportions'!O33,IF('3. Select Chinook Method'!$B33="Adults Only",'Chinook Adult Proportions'!O33,'Chinook All Ages Proportions'!O33))</f>
        <v>839.68391345249302</v>
      </c>
      <c r="U33" s="76">
        <f>IF($B33="Jacks Only",'Chinook Jack Proportions'!P33,IF('3. Select Chinook Method'!$B33="Adults Only",'Chinook Adult Proportions'!P33,'Chinook All Ages Proportions'!P33))</f>
        <v>494.51740357478843</v>
      </c>
      <c r="V33" s="76">
        <f>IF($B33="Jacks Only",'Chinook Jack Proportions'!Q33,IF('3. Select Chinook Method'!$B33="Adults Only",'Chinook Adult Proportions'!Q33,'Chinook All Ages Proportions'!Q33))</f>
        <v>353.13189087488246</v>
      </c>
      <c r="W33" s="76">
        <f>IF($B33="Jacks Only",'Chinook Jack Proportions'!R33,IF('3. Select Chinook Method'!$B33="Adults Only",'Chinook Adult Proportions'!R33,'Chinook All Ages Proportions'!R33))</f>
        <v>0</v>
      </c>
      <c r="X33" s="56">
        <f>IF(B33="Jacks Only",'Chinook Jack Proportions'!S33,IF(B33="Adults Only",'Chinook Adult Proportions'!S33,'Chinook All Ages Proportions'!S33))</f>
        <v>1014.9381818181819</v>
      </c>
      <c r="Y33" s="56">
        <f>IF($B33="Jacks Only",'Chinook Jack Proportions'!T33,IF('3. Select Chinook Method'!$B33="Adults Only",'Chinook Adult Proportions'!T33,'Chinook All Ages Proportions'!T33))</f>
        <v>15.512076677316294</v>
      </c>
      <c r="Z33" s="56">
        <f>IF($B33="Jacks Only",'Chinook Jack Proportions'!U33,IF('3. Select Chinook Method'!$B33="Adults Only",'Chinook Adult Proportions'!U33,'Chinook All Ages Proportions'!U33))</f>
        <v>58.764728434504789</v>
      </c>
      <c r="AA33" s="56">
        <f>IF($B33="Jacks Only",'Chinook Jack Proportions'!V33,IF('3. Select Chinook Method'!$B33="Adults Only",'Chinook Adult Proportions'!V33,'Chinook All Ages Proportions'!V33))</f>
        <v>36.151578947368421</v>
      </c>
      <c r="AB33" s="56">
        <f>IF($B33="Jacks Only",'Chinook Jack Proportions'!W33,IF('3. Select Chinook Method'!$B33="Adults Only",'Chinook Adult Proportions'!W33,'Chinook All Ages Proportions'!W33))</f>
        <v>0</v>
      </c>
      <c r="AC33" s="41">
        <f>IF(B33="Jacks Only",'Chinook Jack Proportions'!Y33,IF('3. Select Chinook Method'!B33="Adults Only",'Chinook Adult Proportions'!Y33,'Chinook All Ages Proportions'!Y33))</f>
        <v>3396.3418551750842</v>
      </c>
      <c r="AD33" s="42">
        <f>IF(B33="Jacks Only",'Chinook Jack Proportions'!Z33,IF('3. Select Chinook Method'!B33="Adults Only",'Chinook Adult Proportions'!Z33,'Chinook All Ages Proportions'!Z33))</f>
        <v>0.33031661445690796</v>
      </c>
      <c r="AE33" s="43">
        <f>IF($B33="Jacks Only",'Chinook Jack Proportions'!AA33,IF('3. Select Chinook Method'!$B33="Adults Only",'Chinook Adult Proportions'!AA33,'Chinook All Ages Proportions'!AA33))</f>
        <v>0.55615321661362671</v>
      </c>
      <c r="AF33" s="42">
        <f>IF($B33="Jacks Only",'Chinook Jack Proportions'!AB33,IF('3. Select Chinook Method'!$B33="Adults Only",'Chinook Adult Proportions'!AB33,'Chinook All Ages Proportions'!AB33))</f>
        <v>0.18181818181818182</v>
      </c>
      <c r="AG33" s="44">
        <f>IF($B33="Jacks Only",'Chinook Jack Proportions'!AC33,IF('3. Select Chinook Method'!$B33="Adults Only",'Chinook Adult Proportions'!AC33,'Chinook All Ages Proportions'!AC33))</f>
        <v>0.22046874313046941</v>
      </c>
    </row>
    <row r="34" spans="1:33" x14ac:dyDescent="0.3">
      <c r="A34" s="5">
        <f>'1. Mixture Model Inputs'!A34</f>
        <v>45136</v>
      </c>
      <c r="B34" s="55" t="s">
        <v>43</v>
      </c>
      <c r="C34" s="60">
        <f t="shared" si="0"/>
        <v>7407.7679075236956</v>
      </c>
      <c r="D34" s="56">
        <f>'Chinook All Ages Proportions'!Y34</f>
        <v>7407.7679075236956</v>
      </c>
      <c r="E34" s="56">
        <f>'Chinook Adult Proportions'!Y34</f>
        <v>7407.7679075236956</v>
      </c>
      <c r="F34" s="57">
        <f>'Chinook Jack Proportions'!Y34</f>
        <v>0</v>
      </c>
      <c r="G34" s="71">
        <f>IF($B34="Jacks Only",'Chinook Jack Proportions'!C34,IF('3. Select Chinook Method'!$B34="Adults Only",'Chinook Adult Proportions'!C34,'Chinook All Ages Proportions'!C34))</f>
        <v>0.37192118226600984</v>
      </c>
      <c r="H34" s="71">
        <f>IF($B34="Jacks Only",'Chinook Jack Proportions'!D34,IF('3. Select Chinook Method'!$B34="Adults Only",'Chinook Adult Proportions'!D34,'Chinook All Ages Proportions'!D34))</f>
        <v>0.3160270880361174</v>
      </c>
      <c r="I34" s="71">
        <f>IF($B34="Jacks Only",'Chinook Jack Proportions'!E34,IF('3. Select Chinook Method'!$B34="Adults Only",'Chinook Adult Proportions'!E34,'Chinook All Ages Proportions'!E34))</f>
        <v>0.35006435006434999</v>
      </c>
      <c r="J34" s="71">
        <f>IF($B34="Jacks Only",'Chinook Jack Proportions'!F34,IF('3. Select Chinook Method'!$B34="Adults Only",'Chinook Adult Proportions'!F34,'Chinook All Ages Proportions'!F34))</f>
        <v>0.54579741379310354</v>
      </c>
      <c r="K34" s="71">
        <f>IF($B34="Jacks Only",'Chinook Jack Proportions'!G34,IF('3. Select Chinook Method'!$B34="Adults Only",'Chinook Adult Proportions'!G34,'Chinook All Ages Proportions'!G34))</f>
        <v>0.70074937552039962</v>
      </c>
      <c r="L34" s="24">
        <f>IF($B34="Jacks Only",'Chinook Jack Proportions'!H34,IF('3. Select Chinook Method'!$B34="Adults Only",'Chinook Adult Proportions'!H34,'Chinook All Ages Proportions'!H34))</f>
        <v>0.66666666666666663</v>
      </c>
      <c r="M34" s="71">
        <f>IF($B34="Jacks Only",'Chinook Jack Proportions'!I34,IF('3. Select Chinook Method'!$B34="Adults Only",'Chinook Adult Proportions'!I34,'Chinook All Ages Proportions'!I34))</f>
        <v>0</v>
      </c>
      <c r="N34" s="71">
        <f>IF($B34="Jacks Only",'Chinook Jack Proportions'!J34,IF('3. Select Chinook Method'!$B34="Adults Only",'Chinook Adult Proportions'!J34,'Chinook All Ages Proportions'!J34))</f>
        <v>0.10526315789473685</v>
      </c>
      <c r="O34" s="23">
        <f>IF($B34="Jacks Only",'Chinook Jack Proportions'!K34,IF('3. Select Chinook Method'!$B34="Adults Only",'Chinook Adult Proportions'!K34,'Chinook All Ages Proportions'!K34))</f>
        <v>0.47177848775292863</v>
      </c>
      <c r="P34" s="76">
        <f>IF($B34="Jacks Only",'Chinook Jack Proportions'!L34,IF('3. Select Chinook Method'!$B34="Adults Only",'Chinook Adult Proportions'!L34,'Chinook All Ages Proportions'!L34))</f>
        <v>82.938423645320199</v>
      </c>
      <c r="Q34" s="76">
        <f>IF($B34="Jacks Only",'Chinook Jack Proportions'!M34,IF('3. Select Chinook Method'!$B34="Adults Only",'Chinook Adult Proportions'!M34,'Chinook All Ages Proportions'!M34))</f>
        <v>104.60496613995485</v>
      </c>
      <c r="R34" s="76">
        <f>IF($B34="Jacks Only",'Chinook Jack Proportions'!X34,IF('3. Select Chinook Method'!$B34="Adults Only",'Chinook Adult Proportions'!X34,'Chinook All Ages Proportions'!X34))</f>
        <v>410.33142857142849</v>
      </c>
      <c r="S34" s="76">
        <f>IF($B34="Jacks Only",'Chinook Jack Proportions'!N34,IF('3. Select Chinook Method'!$B34="Adults Only",'Chinook Adult Proportions'!N34,'Chinook All Ages Proportions'!N34))</f>
        <v>854.84974137931056</v>
      </c>
      <c r="T34" s="76">
        <f>IF($B34="Jacks Only",'Chinook Jack Proportions'!O34,IF('3. Select Chinook Method'!$B34="Adults Only",'Chinook Adult Proportions'!O34,'Chinook All Ages Proportions'!O34))</f>
        <v>841.57197002497912</v>
      </c>
      <c r="U34" s="76">
        <f>IF($B34="Jacks Only",'Chinook Jack Proportions'!P34,IF('3. Select Chinook Method'!$B34="Adults Only",'Chinook Adult Proportions'!P34,'Chinook All Ages Proportions'!P34))</f>
        <v>600.23388509575341</v>
      </c>
      <c r="V34" s="76">
        <f>IF($B34="Jacks Only",'Chinook Jack Proportions'!Q34,IF('3. Select Chinook Method'!$B34="Adults Only",'Chinook Adult Proportions'!Q34,'Chinook All Ages Proportions'!Q34))</f>
        <v>258.1560699417152</v>
      </c>
      <c r="W34" s="76">
        <f>IF($B34="Jacks Only",'Chinook Jack Proportions'!R34,IF('3. Select Chinook Method'!$B34="Adults Only",'Chinook Adult Proportions'!R34,'Chinook All Ages Proportions'!R34))</f>
        <v>0</v>
      </c>
      <c r="X34" s="56">
        <f>IF(B34="Jacks Only",'Chinook Jack Proportions'!S34,IF(B34="Adults Only",'Chinook Adult Proportions'!S34,'Chinook All Ages Proportions'!S34))</f>
        <v>4247.0400000000009</v>
      </c>
      <c r="Y34" s="56">
        <f>IF($B34="Jacks Only",'Chinook Jack Proportions'!T34,IF('3. Select Chinook Method'!$B34="Adults Only",'Chinook Adult Proportions'!T34,'Chinook All Ages Proportions'!T34))</f>
        <v>27.287667731629394</v>
      </c>
      <c r="Z34" s="56">
        <f>IF($B34="Jacks Only",'Chinook Jack Proportions'!U34,IF('3. Select Chinook Method'!$B34="Adults Only",'Chinook Adult Proportions'!U34,'Chinook All Ages Proportions'!U34))</f>
        <v>117.18977635782745</v>
      </c>
      <c r="AA34" s="56">
        <f>IF($B34="Jacks Only",'Chinook Jack Proportions'!V34,IF('3. Select Chinook Method'!$B34="Adults Only",'Chinook Adult Proportions'!V34,'Chinook All Ages Proportions'!V34))</f>
        <v>51.107368421052634</v>
      </c>
      <c r="AB34" s="56">
        <f>IF($B34="Jacks Only",'Chinook Jack Proportions'!W34,IF('3. Select Chinook Method'!$B34="Adults Only",'Chinook Adult Proportions'!W34,'Chinook All Ages Proportions'!W34))</f>
        <v>0</v>
      </c>
      <c r="AC34" s="41">
        <f>IF(B34="Jacks Only",'Chinook Jack Proportions'!Y34,IF('3. Select Chinook Method'!B34="Adults Only",'Chinook Adult Proportions'!Y34,'Chinook All Ages Proportions'!Y34))</f>
        <v>7407.7679075236956</v>
      </c>
      <c r="AD34" s="42">
        <f>IF(B34="Jacks Only",'Chinook Jack Proportions'!Z34,IF('3. Select Chinook Method'!B34="Adults Only",'Chinook Adult Proportions'!Z34,'Chinook All Ages Proportions'!Z34))</f>
        <v>0.58669998697337078</v>
      </c>
      <c r="AE34" s="43">
        <f>IF($B34="Jacks Only",'Chinook Jack Proportions'!AA34,IF('3. Select Chinook Method'!$B34="Adults Only",'Chinook Adult Proportions'!AA34,'Chinook All Ages Proportions'!AA34))</f>
        <v>0.5310195836483862</v>
      </c>
      <c r="AF34" s="42">
        <f>IF($B34="Jacks Only",'Chinook Jack Proportions'!AB34,IF('3. Select Chinook Method'!$B34="Adults Only",'Chinook Adult Proportions'!AB34,'Chinook All Ages Proportions'!AB34))</f>
        <v>0.66666666666666663</v>
      </c>
      <c r="AG34" s="44">
        <f>IF($B34="Jacks Only",'Chinook Jack Proportions'!AC34,IF('3. Select Chinook Method'!$B34="Adults Only",'Chinook Adult Proportions'!AC34,'Chinook All Ages Proportions'!AC34))</f>
        <v>0.24702537702145785</v>
      </c>
    </row>
    <row r="35" spans="1:33" x14ac:dyDescent="0.3">
      <c r="A35" s="5">
        <f>'1. Mixture Model Inputs'!A35</f>
        <v>45137</v>
      </c>
      <c r="B35" s="55" t="s">
        <v>43</v>
      </c>
      <c r="C35" s="60">
        <f t="shared" si="0"/>
        <v>5811.5331053880773</v>
      </c>
      <c r="D35" s="56">
        <f>'Chinook All Ages Proportions'!Y35</f>
        <v>5811.5331053880773</v>
      </c>
      <c r="E35" s="56">
        <f>'Chinook Adult Proportions'!Y35</f>
        <v>5811.5331053880773</v>
      </c>
      <c r="F35" s="57">
        <f>'Chinook Jack Proportions'!Y35</f>
        <v>0</v>
      </c>
      <c r="G35" s="71">
        <f>IF($B35="Jacks Only",'Chinook Jack Proportions'!C35,IF('3. Select Chinook Method'!$B35="Adults Only",'Chinook Adult Proportions'!C35,'Chinook All Ages Proportions'!C35))</f>
        <v>0</v>
      </c>
      <c r="H35" s="71">
        <f>IF($B35="Jacks Only",'Chinook Jack Proportions'!D35,IF('3. Select Chinook Method'!$B35="Adults Only",'Chinook Adult Proportions'!D35,'Chinook All Ages Proportions'!D35))</f>
        <v>0.23806451612903226</v>
      </c>
      <c r="I35" s="71">
        <f>IF($B35="Jacks Only",'Chinook Jack Proportions'!E35,IF('3. Select Chinook Method'!$B35="Adults Only",'Chinook Adult Proportions'!E35,'Chinook All Ages Proportions'!E35))</f>
        <v>0.1793103448275862</v>
      </c>
      <c r="J35" s="71">
        <f>IF($B35="Jacks Only",'Chinook Jack Proportions'!F35,IF('3. Select Chinook Method'!$B35="Adults Only",'Chinook Adult Proportions'!F35,'Chinook All Ages Proportions'!F35))</f>
        <v>0.71147821133580169</v>
      </c>
      <c r="K35" s="71">
        <f>IF($B35="Jacks Only",'Chinook Jack Proportions'!G35,IF('3. Select Chinook Method'!$B35="Adults Only",'Chinook Adult Proportions'!G35,'Chinook All Ages Proportions'!G35))</f>
        <v>0.66027193145837204</v>
      </c>
      <c r="L35" s="24">
        <f>IF($B35="Jacks Only",'Chinook Jack Proportions'!H35,IF('3. Select Chinook Method'!$B35="Adults Only",'Chinook Adult Proportions'!H35,'Chinook All Ages Proportions'!H35))</f>
        <v>0.54545454545454541</v>
      </c>
      <c r="M35" s="71">
        <f>IF($B35="Jacks Only",'Chinook Jack Proportions'!I35,IF('3. Select Chinook Method'!$B35="Adults Only",'Chinook Adult Proportions'!I35,'Chinook All Ages Proportions'!I35))</f>
        <v>0.19946091644204852</v>
      </c>
      <c r="N35" s="71">
        <f>IF($B35="Jacks Only",'Chinook Jack Proportions'!J35,IF('3. Select Chinook Method'!$B35="Adults Only",'Chinook Adult Proportions'!J35,'Chinook All Ages Proportions'!J35))</f>
        <v>0.70893371757925072</v>
      </c>
      <c r="O35" s="23">
        <f>IF($B35="Jacks Only",'Chinook Jack Proportions'!K35,IF('3. Select Chinook Method'!$B35="Adults Only",'Chinook Adult Proportions'!K35,'Chinook All Ages Proportions'!K35))</f>
        <v>0.72517047139045365</v>
      </c>
      <c r="P35" s="76">
        <f>IF($B35="Jacks Only",'Chinook Jack Proportions'!L35,IF('3. Select Chinook Method'!$B35="Adults Only",'Chinook Adult Proportions'!L35,'Chinook All Ages Proportions'!L35))</f>
        <v>0</v>
      </c>
      <c r="Q35" s="76">
        <f>IF($B35="Jacks Only",'Chinook Jack Proportions'!M35,IF('3. Select Chinook Method'!$B35="Adults Only",'Chinook Adult Proportions'!M35,'Chinook All Ages Proportions'!M35))</f>
        <v>148.07612903225805</v>
      </c>
      <c r="R35" s="76">
        <f>IF($B35="Jacks Only",'Chinook Jack Proportions'!X35,IF('3. Select Chinook Method'!$B35="Adults Only",'Chinook Adult Proportions'!X35,'Chinook All Ages Proportions'!X35))</f>
        <v>157.07586206896551</v>
      </c>
      <c r="S35" s="76">
        <f>IF($B35="Jacks Only",'Chinook Jack Proportions'!N35,IF('3. Select Chinook Method'!$B35="Adults Only",'Chinook Adult Proportions'!N35,'Chinook All Ages Proportions'!N35))</f>
        <v>838.74743377954985</v>
      </c>
      <c r="T35" s="76">
        <f>IF($B35="Jacks Only",'Chinook Jack Proportions'!O35,IF('3. Select Chinook Method'!$B35="Adults Only",'Chinook Adult Proportions'!O35,'Chinook All Ages Proportions'!O35))</f>
        <v>592.1846898863846</v>
      </c>
      <c r="U35" s="76">
        <f>IF($B35="Jacks Only",'Chinook Jack Proportions'!P35,IF('3. Select Chinook Method'!$B35="Adults Only",'Chinook Adult Proportions'!P35,'Chinook All Ages Proportions'!P35))</f>
        <v>694.07785434904054</v>
      </c>
      <c r="V35" s="76">
        <f>IF($B35="Jacks Only",'Chinook Jack Proportions'!Q35,IF('3. Select Chinook Method'!$B35="Adults Only",'Chinook Adult Proportions'!Q35,'Chinook All Ages Proportions'!Q35))</f>
        <v>428.33160737567505</v>
      </c>
      <c r="W35" s="76">
        <f>IF($B35="Jacks Only",'Chinook Jack Proportions'!R35,IF('3. Select Chinook Method'!$B35="Adults Only",'Chinook Adult Proportions'!R35,'Chinook All Ages Proportions'!R35))</f>
        <v>0</v>
      </c>
      <c r="X35" s="56">
        <f>IF(B35="Jacks Only",'Chinook Jack Proportions'!S35,IF(B35="Adults Only",'Chinook Adult Proportions'!S35,'Chinook All Ages Proportions'!S35))</f>
        <v>2366.05090909091</v>
      </c>
      <c r="Y35" s="56">
        <f>IF($B35="Jacks Only",'Chinook Jack Proportions'!T35,IF('3. Select Chinook Method'!$B35="Adults Only",'Chinook Adult Proportions'!T35,'Chinook All Ages Proportions'!T35))</f>
        <v>191.09692262081234</v>
      </c>
      <c r="Z35" s="56">
        <f>IF($B35="Jacks Only",'Chinook Jack Proportions'!U35,IF('3. Select Chinook Method'!$B35="Adults Only",'Chinook Adult Proportions'!U35,'Chinook All Ages Proportions'!U35))</f>
        <v>273.94039727245774</v>
      </c>
      <c r="AA35" s="56">
        <f>IF($B35="Jacks Only",'Chinook Jack Proportions'!V35,IF('3. Select Chinook Method'!$B35="Adults Only",'Chinook Adult Proportions'!V35,'Chinook All Ages Proportions'!V35))</f>
        <v>217.27400576368876</v>
      </c>
      <c r="AB35" s="56">
        <f>IF($B35="Jacks Only",'Chinook Jack Proportions'!W35,IF('3. Select Chinook Method'!$B35="Adults Only",'Chinook Adult Proportions'!W35,'Chinook All Ages Proportions'!W35))</f>
        <v>52.753423180592996</v>
      </c>
      <c r="AC35" s="41">
        <f>IF(B35="Jacks Only",'Chinook Jack Proportions'!Y35,IF('3. Select Chinook Method'!B35="Adults Only",'Chinook Adult Proportions'!Y35,'Chinook All Ages Proportions'!Y35))</f>
        <v>5811.5331053880773</v>
      </c>
      <c r="AD35" s="42">
        <f>IF(B35="Jacks Only",'Chinook Jack Proportions'!Z35,IF('3. Select Chinook Method'!B35="Adults Only",'Chinook Adult Proportions'!Z35,'Chinook All Ages Proportions'!Z35))</f>
        <v>0.56966432052250959</v>
      </c>
      <c r="AE35" s="43">
        <f>IF($B35="Jacks Only",'Chinook Jack Proportions'!AA35,IF('3. Select Chinook Method'!$B35="Adults Only",'Chinook Adult Proportions'!AA35,'Chinook All Ages Proportions'!AA35))</f>
        <v>0.58074023028731725</v>
      </c>
      <c r="AF35" s="42">
        <f>IF($B35="Jacks Only",'Chinook Jack Proportions'!AB35,IF('3. Select Chinook Method'!$B35="Adults Only",'Chinook Adult Proportions'!AB35,'Chinook All Ages Proportions'!AB35))</f>
        <v>0.54545454545454541</v>
      </c>
      <c r="AG35" s="44">
        <f>IF($B35="Jacks Only",'Chinook Jack Proportions'!AC35,IF('3. Select Chinook Method'!$B35="Adults Only",'Chinook Adult Proportions'!AC35,'Chinook All Ages Proportions'!AC35))</f>
        <v>0.77558110580479434</v>
      </c>
    </row>
    <row r="36" spans="1:33" x14ac:dyDescent="0.3">
      <c r="A36" s="5">
        <f>'1. Mixture Model Inputs'!A36</f>
        <v>45138</v>
      </c>
      <c r="B36" s="55" t="s">
        <v>43</v>
      </c>
      <c r="C36" s="60">
        <f t="shared" si="0"/>
        <v>5005.4947130292903</v>
      </c>
      <c r="D36" s="56">
        <f>'Chinook All Ages Proportions'!Y36</f>
        <v>5005.4947130292903</v>
      </c>
      <c r="E36" s="56">
        <f>'Chinook Adult Proportions'!Y36</f>
        <v>5005.4947130292903</v>
      </c>
      <c r="F36" s="57">
        <f>'Chinook Jack Proportions'!Y36</f>
        <v>0</v>
      </c>
      <c r="G36" s="71">
        <f>IF($B36="Jacks Only",'Chinook Jack Proportions'!C36,IF('3. Select Chinook Method'!$B36="Adults Only",'Chinook Adult Proportions'!C36,'Chinook All Ages Proportions'!C36))</f>
        <v>0.1702127659574468</v>
      </c>
      <c r="H36" s="71">
        <f>IF($B36="Jacks Only",'Chinook Jack Proportions'!D36,IF('3. Select Chinook Method'!$B36="Adults Only",'Chinook Adult Proportions'!D36,'Chinook All Ages Proportions'!D36))</f>
        <v>0</v>
      </c>
      <c r="I36" s="71">
        <f>IF($B36="Jacks Only",'Chinook Jack Proportions'!E36,IF('3. Select Chinook Method'!$B36="Adults Only",'Chinook Adult Proportions'!E36,'Chinook All Ages Proportions'!E36))</f>
        <v>3.2871972318339104E-2</v>
      </c>
      <c r="J36" s="71">
        <f>IF($B36="Jacks Only",'Chinook Jack Proportions'!F36,IF('3. Select Chinook Method'!$B36="Adults Only",'Chinook Adult Proportions'!F36,'Chinook All Ages Proportions'!F36))</f>
        <v>0.47529917152500767</v>
      </c>
      <c r="K36" s="71">
        <f>IF($B36="Jacks Only",'Chinook Jack Proportions'!G36,IF('3. Select Chinook Method'!$B36="Adults Only",'Chinook Adult Proportions'!G36,'Chinook All Ages Proportions'!G36))</f>
        <v>0.77584364025041985</v>
      </c>
      <c r="L36" s="24">
        <f>IF($B36="Jacks Only",'Chinook Jack Proportions'!H36,IF('3. Select Chinook Method'!$B36="Adults Only",'Chinook Adult Proportions'!H36,'Chinook All Ages Proportions'!H36))</f>
        <v>0.125</v>
      </c>
      <c r="M36" s="71">
        <f>IF($B36="Jacks Only",'Chinook Jack Proportions'!I36,IF('3. Select Chinook Method'!$B36="Adults Only",'Chinook Adult Proportions'!I36,'Chinook All Ages Proportions'!I36))</f>
        <v>0.19946091644204852</v>
      </c>
      <c r="N36" s="71">
        <f>IF($B36="Jacks Only",'Chinook Jack Proportions'!J36,IF('3. Select Chinook Method'!$B36="Adults Only",'Chinook Adult Proportions'!J36,'Chinook All Ages Proportions'!J36))</f>
        <v>0.70893371757925072</v>
      </c>
      <c r="O36" s="23">
        <f>IF($B36="Jacks Only",'Chinook Jack Proportions'!K36,IF('3. Select Chinook Method'!$B36="Adults Only",'Chinook Adult Proportions'!K36,'Chinook All Ages Proportions'!K36))</f>
        <v>0.72517047139045365</v>
      </c>
      <c r="P36" s="76">
        <f>IF($B36="Jacks Only",'Chinook Jack Proportions'!L36,IF('3. Select Chinook Method'!$B36="Adults Only",'Chinook Adult Proportions'!L36,'Chinook All Ages Proportions'!L36))</f>
        <v>24.170212765957448</v>
      </c>
      <c r="Q36" s="76">
        <f>IF($B36="Jacks Only",'Chinook Jack Proportions'!M36,IF('3. Select Chinook Method'!$B36="Adults Only",'Chinook Adult Proportions'!M36,'Chinook All Ages Proportions'!M36))</f>
        <v>0</v>
      </c>
      <c r="R36" s="76">
        <f>IF($B36="Jacks Only",'Chinook Jack Proportions'!X36,IF('3. Select Chinook Method'!$B36="Adults Only",'Chinook Adult Proportions'!X36,'Chinook All Ages Proportions'!X36))</f>
        <v>24.661868512110729</v>
      </c>
      <c r="S36" s="76">
        <f>IF($B36="Jacks Only",'Chinook Jack Proportions'!N36,IF('3. Select Chinook Method'!$B36="Adults Only",'Chinook Adult Proportions'!N36,'Chinook All Ages Proportions'!N36))</f>
        <v>619.86616753605392</v>
      </c>
      <c r="T36" s="76">
        <f>IF($B36="Jacks Only",'Chinook Jack Proportions'!O36,IF('3. Select Chinook Method'!$B36="Adults Only",'Chinook Adult Proportions'!O36,'Chinook All Ages Proportions'!O36))</f>
        <v>1195.2336784241868</v>
      </c>
      <c r="U36" s="76">
        <f>IF($B36="Jacks Only",'Chinook Jack Proportions'!P36,IF('3. Select Chinook Method'!$B36="Adults Only",'Chinook Adult Proportions'!P36,'Chinook All Ages Proportions'!P36))</f>
        <v>904.19921209344932</v>
      </c>
      <c r="V36" s="76">
        <f>IF($B36="Jacks Only",'Chinook Jack Proportions'!Q36,IF('3. Select Chinook Method'!$B36="Adults Only",'Chinook Adult Proportions'!Q36,'Chinook All Ages Proportions'!Q36))</f>
        <v>729.54129180027473</v>
      </c>
      <c r="W36" s="76">
        <f>IF($B36="Jacks Only",'Chinook Jack Proportions'!R36,IF('3. Select Chinook Method'!$B36="Adults Only",'Chinook Adult Proportions'!R36,'Chinook All Ages Proportions'!R36))</f>
        <v>0</v>
      </c>
      <c r="X36" s="56">
        <f>IF(B36="Jacks Only",'Chinook Jack Proportions'!S36,IF(B36="Adults Only",'Chinook Adult Proportions'!S36,'Chinook All Ages Proportions'!S36))</f>
        <v>1028.5500000000002</v>
      </c>
      <c r="Y36" s="56">
        <f>IF($B36="Jacks Only",'Chinook Jack Proportions'!T36,IF('3. Select Chinook Method'!$B36="Adults Only",'Chinook Adult Proportions'!T36,'Chinook All Ages Proportions'!T36))</f>
        <v>93.459970352801662</v>
      </c>
      <c r="Z36" s="56">
        <f>IF($B36="Jacks Only",'Chinook Jack Proportions'!U36,IF('3. Select Chinook Method'!$B36="Adults Only",'Chinook Adult Proportions'!U36,'Chinook All Ages Proportions'!U36))</f>
        <v>87.542579306255561</v>
      </c>
      <c r="AA36" s="56">
        <f>IF($B36="Jacks Only",'Chinook Jack Proportions'!V36,IF('3. Select Chinook Method'!$B36="Adults Only",'Chinook Adult Proportions'!V36,'Chinook All Ages Proportions'!V36))</f>
        <v>276.48414985590779</v>
      </c>
      <c r="AB36" s="56">
        <f>IF($B36="Jacks Only",'Chinook Jack Proportions'!W36,IF('3. Select Chinook Method'!$B36="Adults Only",'Chinook Adult Proportions'!W36,'Chinook All Ages Proportions'!W36))</f>
        <v>45.955795148247972</v>
      </c>
      <c r="AC36" s="41">
        <f>IF(B36="Jacks Only",'Chinook Jack Proportions'!Y36,IF('3. Select Chinook Method'!B36="Adults Only",'Chinook Adult Proportions'!Y36,'Chinook All Ages Proportions'!Y36))</f>
        <v>5005.4947130292903</v>
      </c>
      <c r="AD36" s="42">
        <f>IF(B36="Jacks Only",'Chinook Jack Proportions'!Z36,IF('3. Select Chinook Method'!B36="Adults Only",'Chinook Adult Proportions'!Z36,'Chinook All Ages Proportions'!Z36))</f>
        <v>0.33822921315789661</v>
      </c>
      <c r="AE36" s="43">
        <f>IF($B36="Jacks Only",'Chinook Jack Proportions'!AA36,IF('3. Select Chinook Method'!$B36="Adults Only",'Chinook Adult Proportions'!AA36,'Chinook All Ages Proportions'!AA36))</f>
        <v>0.60922314420282397</v>
      </c>
      <c r="AF36" s="42">
        <f>IF($B36="Jacks Only",'Chinook Jack Proportions'!AB36,IF('3. Select Chinook Method'!$B36="Adults Only",'Chinook Adult Proportions'!AB36,'Chinook All Ages Proportions'!AB36))</f>
        <v>0.125</v>
      </c>
      <c r="AG36" s="44">
        <f>IF($B36="Jacks Only",'Chinook Jack Proportions'!AC36,IF('3. Select Chinook Method'!$B36="Adults Only",'Chinook Adult Proportions'!AC36,'Chinook All Ages Proportions'!AC36))</f>
        <v>0.78712084844154617</v>
      </c>
    </row>
    <row r="37" spans="1:33" x14ac:dyDescent="0.3">
      <c r="A37" s="5">
        <f>'1. Mixture Model Inputs'!A37</f>
        <v>45139</v>
      </c>
      <c r="B37" s="55" t="s">
        <v>43</v>
      </c>
      <c r="C37" s="60">
        <f t="shared" si="0"/>
        <v>6011.3589770951512</v>
      </c>
      <c r="D37" s="56">
        <f>'Chinook All Ages Proportions'!Y37</f>
        <v>6011.3589770951512</v>
      </c>
      <c r="E37" s="56">
        <f>'Chinook Adult Proportions'!Y37</f>
        <v>6011.3589770951512</v>
      </c>
      <c r="F37" s="57">
        <f>'Chinook Jack Proportions'!Y37</f>
        <v>0</v>
      </c>
      <c r="G37" s="71">
        <f>IF($B37="Jacks Only",'Chinook Jack Proportions'!C37,IF('3. Select Chinook Method'!$B37="Adults Only",'Chinook Adult Proportions'!C37,'Chinook All Ages Proportions'!C37))</f>
        <v>0.16927083333333334</v>
      </c>
      <c r="H37" s="71">
        <f>IF($B37="Jacks Only",'Chinook Jack Proportions'!D37,IF('3. Select Chinook Method'!$B37="Adults Only",'Chinook Adult Proportions'!D37,'Chinook All Ages Proportions'!D37))</f>
        <v>0.10096153846153846</v>
      </c>
      <c r="I37" s="71">
        <f>IF($B37="Jacks Only",'Chinook Jack Proportions'!E37,IF('3. Select Chinook Method'!$B37="Adults Only",'Chinook Adult Proportions'!E37,'Chinook All Ages Proportions'!E37))</f>
        <v>0.11585365853658536</v>
      </c>
      <c r="J37" s="71">
        <f>IF($B37="Jacks Only",'Chinook Jack Proportions'!F37,IF('3. Select Chinook Method'!$B37="Adults Only",'Chinook Adult Proportions'!F37,'Chinook All Ages Proportions'!F37))</f>
        <v>0.44634053849070915</v>
      </c>
      <c r="K37" s="71">
        <f>IF($B37="Jacks Only",'Chinook Jack Proportions'!G37,IF('3. Select Chinook Method'!$B37="Adults Only",'Chinook Adult Proportions'!G37,'Chinook All Ages Proportions'!G37))</f>
        <v>0.77029675251959684</v>
      </c>
      <c r="L37" s="24">
        <f>IF($B37="Jacks Only",'Chinook Jack Proportions'!H37,IF('3. Select Chinook Method'!$B37="Adults Only",'Chinook Adult Proportions'!H37,'Chinook All Ages Proportions'!H37))</f>
        <v>0.3888888888888889</v>
      </c>
      <c r="M37" s="71">
        <f>IF($B37="Jacks Only",'Chinook Jack Proportions'!I37,IF('3. Select Chinook Method'!$B37="Adults Only",'Chinook Adult Proportions'!I37,'Chinook All Ages Proportions'!I37))</f>
        <v>0.56343283582089554</v>
      </c>
      <c r="N37" s="71">
        <f>IF($B37="Jacks Only",'Chinook Jack Proportions'!J37,IF('3. Select Chinook Method'!$B37="Adults Only",'Chinook Adult Proportions'!J37,'Chinook All Ages Proportions'!J37))</f>
        <v>0.67497850386930347</v>
      </c>
      <c r="O37" s="23">
        <f>IF($B37="Jacks Only",'Chinook Jack Proportions'!K37,IF('3. Select Chinook Method'!$B37="Adults Only",'Chinook Adult Proportions'!K37,'Chinook All Ages Proportions'!K37))</f>
        <v>0.51261620185922974</v>
      </c>
      <c r="P37" s="76">
        <f>IF($B37="Jacks Only",'Chinook Jack Proportions'!L37,IF('3. Select Chinook Method'!$B37="Adults Only",'Chinook Adult Proportions'!L37,'Chinook All Ages Proportions'!L37))</f>
        <v>107.82552083333334</v>
      </c>
      <c r="Q37" s="76">
        <f>IF($B37="Jacks Only",'Chinook Jack Proportions'!M37,IF('3. Select Chinook Method'!$B37="Adults Only",'Chinook Adult Proportions'!M37,'Chinook All Ages Proportions'!M37))</f>
        <v>65.019230769230774</v>
      </c>
      <c r="R37" s="76">
        <f>IF($B37="Jacks Only",'Chinook Jack Proportions'!X37,IF('3. Select Chinook Method'!$B37="Adults Only",'Chinook Adult Proportions'!X37,'Chinook All Ages Proportions'!X37))</f>
        <v>72.153658536585368</v>
      </c>
      <c r="S37" s="76">
        <f>IF($B37="Jacks Only",'Chinook Jack Proportions'!N37,IF('3. Select Chinook Method'!$B37="Adults Only",'Chinook Adult Proportions'!N37,'Chinook All Ages Proportions'!N37))</f>
        <v>403.09906712172921</v>
      </c>
      <c r="T37" s="76">
        <f>IF($B37="Jacks Only",'Chinook Jack Proportions'!O37,IF('3. Select Chinook Method'!$B37="Adults Only",'Chinook Adult Proportions'!O37,'Chinook All Ages Proportions'!O37))</f>
        <v>848.7437737961925</v>
      </c>
      <c r="U37" s="76">
        <f>IF($B37="Jacks Only",'Chinook Jack Proportions'!P37,IF('3. Select Chinook Method'!$B37="Adults Only",'Chinook Adult Proportions'!P37,'Chinook All Ages Proportions'!P37))</f>
        <v>622.64627099664051</v>
      </c>
      <c r="V37" s="76">
        <f>IF($B37="Jacks Only",'Chinook Jack Proportions'!Q37,IF('3. Select Chinook Method'!$B37="Adults Only",'Chinook Adult Proportions'!Q37,'Chinook All Ages Proportions'!Q37))</f>
        <v>748.5435722284434</v>
      </c>
      <c r="W37" s="76">
        <f>IF($B37="Jacks Only",'Chinook Jack Proportions'!R37,IF('3. Select Chinook Method'!$B37="Adults Only",'Chinook Adult Proportions'!R37,'Chinook All Ages Proportions'!R37))</f>
        <v>0</v>
      </c>
      <c r="X37" s="56">
        <f>IF(B37="Jacks Only",'Chinook Jack Proportions'!S37,IF(B37="Adults Only",'Chinook Adult Proportions'!S37,'Chinook All Ages Proportions'!S37))</f>
        <v>3375.4000000000015</v>
      </c>
      <c r="Y37" s="56">
        <f>IF($B37="Jacks Only",'Chinook Jack Proportions'!T37,IF('3. Select Chinook Method'!$B37="Adults Only",'Chinook Adult Proportions'!T37,'Chinook All Ages Proportions'!T37))</f>
        <v>-139.26756972111554</v>
      </c>
      <c r="Z37" s="56">
        <f>IF($B37="Jacks Only",'Chinook Jack Proportions'!U37,IF('3. Select Chinook Method'!$B37="Adults Only",'Chinook Adult Proportions'!U37,'Chinook All Ages Proportions'!U37))</f>
        <v>-43.059760956175296</v>
      </c>
      <c r="AA37" s="56">
        <f>IF($B37="Jacks Only",'Chinook Jack Proportions'!V37,IF('3. Select Chinook Method'!$B37="Adults Only",'Chinook Adult Proportions'!V37,'Chinook All Ages Proportions'!V37))</f>
        <v>52.648323301805668</v>
      </c>
      <c r="AB37" s="56">
        <f>IF($B37="Jacks Only",'Chinook Jack Proportions'!W37,IF('3. Select Chinook Method'!$B37="Adults Only",'Chinook Adult Proportions'!W37,'Chinook All Ages Proportions'!W37))</f>
        <v>70.451641791044779</v>
      </c>
      <c r="AC37" s="41">
        <f>IF(B37="Jacks Only",'Chinook Jack Proportions'!Y37,IF('3. Select Chinook Method'!B37="Adults Only",'Chinook Adult Proportions'!Y37,'Chinook All Ages Proportions'!Y37))</f>
        <v>6011.3589770951512</v>
      </c>
      <c r="AD37" s="42">
        <f>IF(B37="Jacks Only",'Chinook Jack Proportions'!Z37,IF('3. Select Chinook Method'!B37="Adults Only",'Chinook Adult Proportions'!Z37,'Chinook All Ages Proportions'!Z37))</f>
        <v>0.46474309437294353</v>
      </c>
      <c r="AE37" s="43">
        <f>IF($B37="Jacks Only",'Chinook Jack Proportions'!AA37,IF('3. Select Chinook Method'!$B37="Adults Only",'Chinook Adult Proportions'!AA37,'Chinook All Ages Proportions'!AA37))</f>
        <v>0.63429648892554391</v>
      </c>
      <c r="AF37" s="42">
        <f>IF($B37="Jacks Only",'Chinook Jack Proportions'!AB37,IF('3. Select Chinook Method'!$B37="Adults Only",'Chinook Adult Proportions'!AB37,'Chinook All Ages Proportions'!AB37))</f>
        <v>0.3888888888888889</v>
      </c>
      <c r="AG37" s="44">
        <f>IF($B37="Jacks Only",'Chinook Jack Proportions'!AC37,IF('3. Select Chinook Method'!$B37="Adults Only",'Chinook Adult Proportions'!AC37,'Chinook All Ages Proportions'!AC37))</f>
        <v>0.2132935954495836</v>
      </c>
    </row>
    <row r="38" spans="1:33" x14ac:dyDescent="0.3">
      <c r="A38" s="5">
        <f>'1. Mixture Model Inputs'!A38</f>
        <v>45140</v>
      </c>
      <c r="B38" s="55" t="s">
        <v>43</v>
      </c>
      <c r="C38" s="60">
        <f t="shared" si="0"/>
        <v>4906.0410132697434</v>
      </c>
      <c r="D38" s="56">
        <f>'Chinook All Ages Proportions'!Y38</f>
        <v>5662.7310132697439</v>
      </c>
      <c r="E38" s="56">
        <f>'Chinook Adult Proportions'!Y38</f>
        <v>4906.0410132697434</v>
      </c>
      <c r="F38" s="57">
        <f>'Chinook Jack Proportions'!Y38</f>
        <v>756.68999999999994</v>
      </c>
      <c r="G38" s="71">
        <f>IF($B38="Jacks Only",'Chinook Jack Proportions'!C38,IF('3. Select Chinook Method'!$B38="Adults Only",'Chinook Adult Proportions'!C38,'Chinook All Ages Proportions'!C38))</f>
        <v>0</v>
      </c>
      <c r="H38" s="71">
        <f>IF($B38="Jacks Only",'Chinook Jack Proportions'!D38,IF('3. Select Chinook Method'!$B38="Adults Only",'Chinook Adult Proportions'!D38,'Chinook All Ages Proportions'!D38))</f>
        <v>0</v>
      </c>
      <c r="I38" s="71">
        <f>IF($B38="Jacks Only",'Chinook Jack Proportions'!E38,IF('3. Select Chinook Method'!$B38="Adults Only",'Chinook Adult Proportions'!E38,'Chinook All Ages Proportions'!E38))</f>
        <v>0</v>
      </c>
      <c r="J38" s="71">
        <f>IF($B38="Jacks Only",'Chinook Jack Proportions'!F38,IF('3. Select Chinook Method'!$B38="Adults Only",'Chinook Adult Proportions'!F38,'Chinook All Ages Proportions'!F38))</f>
        <v>0.46240831295843521</v>
      </c>
      <c r="K38" s="71">
        <f>IF($B38="Jacks Only",'Chinook Jack Proportions'!G38,IF('3. Select Chinook Method'!$B38="Adults Only",'Chinook Adult Proportions'!G38,'Chinook All Ages Proportions'!G38))</f>
        <v>0.49982981620149763</v>
      </c>
      <c r="L38" s="24">
        <f>IF($B38="Jacks Only",'Chinook Jack Proportions'!H38,IF('3. Select Chinook Method'!$B38="Adults Only",'Chinook Adult Proportions'!H38,'Chinook All Ages Proportions'!H38))</f>
        <v>0.375</v>
      </c>
      <c r="M38" s="71">
        <f>IF($B38="Jacks Only",'Chinook Jack Proportions'!I38,IF('3. Select Chinook Method'!$B38="Adults Only",'Chinook Adult Proportions'!I38,'Chinook All Ages Proportions'!I38))</f>
        <v>0.56343283582089554</v>
      </c>
      <c r="N38" s="71">
        <f>IF($B38="Jacks Only",'Chinook Jack Proportions'!J38,IF('3. Select Chinook Method'!$B38="Adults Only",'Chinook Adult Proportions'!J38,'Chinook All Ages Proportions'!J38))</f>
        <v>0.67497850386930347</v>
      </c>
      <c r="O38" s="23">
        <f>IF($B38="Jacks Only",'Chinook Jack Proportions'!K38,IF('3. Select Chinook Method'!$B38="Adults Only",'Chinook Adult Proportions'!K38,'Chinook All Ages Proportions'!K38))</f>
        <v>0.51261620185922974</v>
      </c>
      <c r="P38" s="76">
        <f>IF($B38="Jacks Only",'Chinook Jack Proportions'!L38,IF('3. Select Chinook Method'!$B38="Adults Only",'Chinook Adult Proportions'!L38,'Chinook All Ages Proportions'!L38))</f>
        <v>0</v>
      </c>
      <c r="Q38" s="76">
        <f>IF($B38="Jacks Only",'Chinook Jack Proportions'!M38,IF('3. Select Chinook Method'!$B38="Adults Only",'Chinook Adult Proportions'!M38,'Chinook All Ages Proportions'!M38))</f>
        <v>0</v>
      </c>
      <c r="R38" s="76">
        <f>IF($B38="Jacks Only",'Chinook Jack Proportions'!X38,IF('3. Select Chinook Method'!$B38="Adults Only",'Chinook Adult Proportions'!X38,'Chinook All Ages Proportions'!X38))</f>
        <v>0</v>
      </c>
      <c r="S38" s="76">
        <f>IF($B38="Jacks Only",'Chinook Jack Proportions'!N38,IF('3. Select Chinook Method'!$B38="Adults Only",'Chinook Adult Proportions'!N38,'Chinook All Ages Proportions'!N38))</f>
        <v>606.60572127139358</v>
      </c>
      <c r="T38" s="76">
        <f>IF($B38="Jacks Only",'Chinook Jack Proportions'!O38,IF('3. Select Chinook Method'!$B38="Adults Only",'Chinook Adult Proportions'!O38,'Chinook All Ages Proportions'!O38))</f>
        <v>788.85140912185147</v>
      </c>
      <c r="U38" s="76">
        <f>IF($B38="Jacks Only",'Chinook Jack Proportions'!P38,IF('3. Select Chinook Method'!$B38="Adults Only",'Chinook Adult Proportions'!P38,'Chinook All Ages Proportions'!P38))</f>
        <v>543.89481279782171</v>
      </c>
      <c r="V38" s="76">
        <f>IF($B38="Jacks Only",'Chinook Jack Proportions'!Q38,IF('3. Select Chinook Method'!$B38="Adults Only",'Chinook Adult Proportions'!Q38,'Chinook All Ages Proportions'!Q38))</f>
        <v>340.68400272294076</v>
      </c>
      <c r="W38" s="76">
        <f>IF($B38="Jacks Only",'Chinook Jack Proportions'!R38,IF('3. Select Chinook Method'!$B38="Adults Only",'Chinook Adult Proportions'!R38,'Chinook All Ages Proportions'!R38))</f>
        <v>0</v>
      </c>
      <c r="X38" s="56">
        <f>IF(B38="Jacks Only",'Chinook Jack Proportions'!S38,IF(B38="Adults Only",'Chinook Adult Proportions'!S38,'Chinook All Ages Proportions'!S38))</f>
        <v>2270.0699999999997</v>
      </c>
      <c r="Y38" s="56">
        <f>IF($B38="Jacks Only",'Chinook Jack Proportions'!T38,IF('3. Select Chinook Method'!$B38="Adults Only",'Chinook Adult Proportions'!T38,'Chinook All Ages Proportions'!T38))</f>
        <v>-34.447808764940234</v>
      </c>
      <c r="Z38" s="56">
        <f>IF($B38="Jacks Only",'Chinook Jack Proportions'!U38,IF('3. Select Chinook Method'!$B38="Adults Only",'Chinook Adult Proportions'!U38,'Chinook All Ages Proportions'!U38))</f>
        <v>64.589641434262944</v>
      </c>
      <c r="AA38" s="56">
        <f>IF($B38="Jacks Only",'Chinook Jack Proportions'!V38,IF('3. Select Chinook Method'!$B38="Adults Only",'Chinook Adult Proportions'!V38,'Chinook All Ages Proportions'!V38))</f>
        <v>248.98607050730865</v>
      </c>
      <c r="AB38" s="56">
        <f>IF($B38="Jacks Only",'Chinook Jack Proportions'!W38,IF('3. Select Chinook Method'!$B38="Adults Only",'Chinook Adult Proportions'!W38,'Chinook All Ages Proportions'!W38))</f>
        <v>76.807164179104475</v>
      </c>
      <c r="AC38" s="41">
        <f>IF(B38="Jacks Only",'Chinook Jack Proportions'!Y38,IF('3. Select Chinook Method'!B38="Adults Only",'Chinook Adult Proportions'!Y38,'Chinook All Ages Proportions'!Y38))</f>
        <v>4906.0410132697434</v>
      </c>
      <c r="AD38" s="42">
        <f>IF(B38="Jacks Only",'Chinook Jack Proportions'!Z38,IF('3. Select Chinook Method'!B38="Adults Only",'Chinook Adult Proportions'!Z38,'Chinook All Ages Proportions'!Z38))</f>
        <v>0.41015745812096144</v>
      </c>
      <c r="AE38" s="43">
        <f>IF($B38="Jacks Only",'Chinook Jack Proportions'!AA38,IF('3. Select Chinook Method'!$B38="Adults Only",'Chinook Adult Proportions'!AA38,'Chinook All Ages Proportions'!AA38))</f>
        <v>0.42666620743023886</v>
      </c>
      <c r="AF38" s="42">
        <f>IF($B38="Jacks Only",'Chinook Jack Proportions'!AB38,IF('3. Select Chinook Method'!$B38="Adults Only",'Chinook Adult Proportions'!AB38,'Chinook All Ages Proportions'!AB38))</f>
        <v>0.375</v>
      </c>
      <c r="AG38" s="44">
        <f>IF($B38="Jacks Only",'Chinook Jack Proportions'!AC38,IF('3. Select Chinook Method'!$B38="Adults Only",'Chinook Adult Proportions'!AC38,'Chinook All Ages Proportions'!AC38))</f>
        <v>0.83224622932036996</v>
      </c>
    </row>
    <row r="39" spans="1:33" x14ac:dyDescent="0.3">
      <c r="A39" s="5">
        <f>'1. Mixture Model Inputs'!A39</f>
        <v>45141</v>
      </c>
      <c r="B39" s="55" t="s">
        <v>43</v>
      </c>
      <c r="C39" s="60">
        <f t="shared" si="0"/>
        <v>6678.6055166258384</v>
      </c>
      <c r="D39" s="56">
        <f>'Chinook All Ages Proportions'!Y39</f>
        <v>6678.6055166258384</v>
      </c>
      <c r="E39" s="56">
        <f>'Chinook Adult Proportions'!Y39</f>
        <v>6678.6055166258384</v>
      </c>
      <c r="F39" s="57">
        <f>'Chinook Jack Proportions'!Y39</f>
        <v>0</v>
      </c>
      <c r="G39" s="71">
        <f>IF($B39="Jacks Only",'Chinook Jack Proportions'!C39,IF('3. Select Chinook Method'!$B39="Adults Only",'Chinook Adult Proportions'!C39,'Chinook All Ages Proportions'!C39))</f>
        <v>0</v>
      </c>
      <c r="H39" s="71">
        <f>IF($B39="Jacks Only",'Chinook Jack Proportions'!D39,IF('3. Select Chinook Method'!$B39="Adults Only",'Chinook Adult Proportions'!D39,'Chinook All Ages Proportions'!D39))</f>
        <v>0</v>
      </c>
      <c r="I39" s="71">
        <f>IF($B39="Jacks Only",'Chinook Jack Proportions'!E39,IF('3. Select Chinook Method'!$B39="Adults Only",'Chinook Adult Proportions'!E39,'Chinook All Ages Proportions'!E39))</f>
        <v>0</v>
      </c>
      <c r="J39" s="71">
        <f>IF($B39="Jacks Only",'Chinook Jack Proportions'!F39,IF('3. Select Chinook Method'!$B39="Adults Only",'Chinook Adult Proportions'!F39,'Chinook All Ages Proportions'!F39))</f>
        <v>0.23662346294449982</v>
      </c>
      <c r="K39" s="71">
        <f>IF($B39="Jacks Only",'Chinook Jack Proportions'!G39,IF('3. Select Chinook Method'!$B39="Adults Only",'Chinook Adult Proportions'!G39,'Chinook All Ages Proportions'!G39))</f>
        <v>0.54178861788617882</v>
      </c>
      <c r="L39" s="24">
        <f>IF($B39="Jacks Only",'Chinook Jack Proportions'!H39,IF('3. Select Chinook Method'!$B39="Adults Only",'Chinook Adult Proportions'!H39,'Chinook All Ages Proportions'!H39))</f>
        <v>0.26666666666666666</v>
      </c>
      <c r="M39" s="71">
        <f>IF($B39="Jacks Only",'Chinook Jack Proportions'!I39,IF('3. Select Chinook Method'!$B39="Adults Only",'Chinook Adult Proportions'!I39,'Chinook All Ages Proportions'!I39))</f>
        <v>0</v>
      </c>
      <c r="N39" s="71">
        <f>IF($B39="Jacks Only",'Chinook Jack Proportions'!J39,IF('3. Select Chinook Method'!$B39="Adults Only",'Chinook Adult Proportions'!J39,'Chinook All Ages Proportions'!J39))</f>
        <v>0.31353591160220995</v>
      </c>
      <c r="O39" s="23">
        <f>IF($B39="Jacks Only",'Chinook Jack Proportions'!K39,IF('3. Select Chinook Method'!$B39="Adults Only",'Chinook Adult Proportions'!K39,'Chinook All Ages Proportions'!K39))</f>
        <v>0.78280542986425328</v>
      </c>
      <c r="P39" s="76">
        <f>IF($B39="Jacks Only",'Chinook Jack Proportions'!L39,IF('3. Select Chinook Method'!$B39="Adults Only",'Chinook Adult Proportions'!L39,'Chinook All Ages Proportions'!L39))</f>
        <v>0</v>
      </c>
      <c r="Q39" s="76">
        <f>IF($B39="Jacks Only",'Chinook Jack Proportions'!M39,IF('3. Select Chinook Method'!$B39="Adults Only",'Chinook Adult Proportions'!M39,'Chinook All Ages Proportions'!M39))</f>
        <v>0</v>
      </c>
      <c r="R39" s="76">
        <f>IF($B39="Jacks Only",'Chinook Jack Proportions'!X39,IF('3. Select Chinook Method'!$B39="Adults Only",'Chinook Adult Proportions'!X39,'Chinook All Ages Proportions'!X39))</f>
        <v>0</v>
      </c>
      <c r="S39" s="76">
        <f>IF($B39="Jacks Only",'Chinook Jack Proportions'!N39,IF('3. Select Chinook Method'!$B39="Adults Only",'Chinook Adult Proportions'!N39,'Chinook All Ages Proportions'!N39))</f>
        <v>416.83589232303092</v>
      </c>
      <c r="T39" s="76">
        <f>IF($B39="Jacks Only",'Chinook Jack Proportions'!O39,IF('3. Select Chinook Method'!$B39="Adults Only",'Chinook Adult Proportions'!O39,'Chinook All Ages Proportions'!O39))</f>
        <v>754.03972682926826</v>
      </c>
      <c r="U39" s="76">
        <f>IF($B39="Jacks Only",'Chinook Jack Proportions'!P39,IF('3. Select Chinook Method'!$B39="Adults Only",'Chinook Adult Proportions'!P39,'Chinook All Ages Proportions'!P39))</f>
        <v>897.46200975609759</v>
      </c>
      <c r="V39" s="76">
        <f>IF($B39="Jacks Only",'Chinook Jack Proportions'!Q39,IF('3. Select Chinook Method'!$B39="Adults Only",'Chinook Adult Proportions'!Q39,'Chinook All Ages Proportions'!Q39))</f>
        <v>504.51356097560966</v>
      </c>
      <c r="W39" s="76">
        <f>IF($B39="Jacks Only",'Chinook Jack Proportions'!R39,IF('3. Select Chinook Method'!$B39="Adults Only",'Chinook Adult Proportions'!R39,'Chinook All Ages Proportions'!R39))</f>
        <v>0</v>
      </c>
      <c r="X39" s="56">
        <f>IF(B39="Jacks Only",'Chinook Jack Proportions'!S39,IF(B39="Adults Only",'Chinook Adult Proportions'!S39,'Chinook All Ages Proportions'!S39))</f>
        <v>3670.4640000000013</v>
      </c>
      <c r="Y39" s="56">
        <f>IF($B39="Jacks Only",'Chinook Jack Proportions'!T39,IF('3. Select Chinook Method'!$B39="Adults Only",'Chinook Adult Proportions'!T39,'Chinook All Ages Proportions'!T39))</f>
        <v>70.45248868778279</v>
      </c>
      <c r="Z39" s="56">
        <f>IF($B39="Jacks Only",'Chinook Jack Proportions'!U39,IF('3. Select Chinook Method'!$B39="Adults Only",'Chinook Adult Proportions'!U39,'Chinook All Ages Proportions'!U39))</f>
        <v>231.64778280542984</v>
      </c>
      <c r="AA39" s="56">
        <f>IF($B39="Jacks Only",'Chinook Jack Proportions'!V39,IF('3. Select Chinook Method'!$B39="Adults Only",'Chinook Adult Proportions'!V39,'Chinook All Ages Proportions'!V39))</f>
        <v>133.19005524861876</v>
      </c>
      <c r="AB39" s="56">
        <f>IF($B39="Jacks Only",'Chinook Jack Proportions'!W39,IF('3. Select Chinook Method'!$B39="Adults Only",'Chinook Adult Proportions'!W39,'Chinook All Ages Proportions'!W39))</f>
        <v>0</v>
      </c>
      <c r="AC39" s="41">
        <f>IF(B39="Jacks Only",'Chinook Jack Proportions'!Y39,IF('3. Select Chinook Method'!B39="Adults Only",'Chinook Adult Proportions'!Y39,'Chinook All Ages Proportions'!Y39))</f>
        <v>6678.6055166258384</v>
      </c>
      <c r="AD39" s="42">
        <f>IF(B39="Jacks Only",'Chinook Jack Proportions'!Z39,IF('3. Select Chinook Method'!B39="Adults Only",'Chinook Adult Proportions'!Z39,'Chinook All Ages Proportions'!Z39))</f>
        <v>0.30382708795655622</v>
      </c>
      <c r="AE39" s="43">
        <f>IF($B39="Jacks Only",'Chinook Jack Proportions'!AA39,IF('3. Select Chinook Method'!$B39="Adults Only",'Chinook Adult Proportions'!AA39,'Chinook All Ages Proportions'!AA39))</f>
        <v>0.3742437874387628</v>
      </c>
      <c r="AF39" s="42">
        <f>IF($B39="Jacks Only",'Chinook Jack Proportions'!AB39,IF('3. Select Chinook Method'!$B39="Adults Only",'Chinook Adult Proportions'!AB39,'Chinook All Ages Proportions'!AB39))</f>
        <v>0.26666666666666666</v>
      </c>
      <c r="AG39" s="44">
        <f>IF($B39="Jacks Only",'Chinook Jack Proportions'!AC39,IF('3. Select Chinook Method'!$B39="Adults Only",'Chinook Adult Proportions'!AC39,'Chinook All Ages Proportions'!AC39))</f>
        <v>0.53691820448716121</v>
      </c>
    </row>
    <row r="40" spans="1:33" x14ac:dyDescent="0.3">
      <c r="A40" s="5">
        <f>'1. Mixture Model Inputs'!A40</f>
        <v>45142</v>
      </c>
      <c r="B40" s="55" t="s">
        <v>43</v>
      </c>
      <c r="C40" s="60">
        <f t="shared" si="0"/>
        <v>5985.7532318115545</v>
      </c>
      <c r="D40" s="56">
        <f>'Chinook All Ages Proportions'!Y40</f>
        <v>5985.7532318115545</v>
      </c>
      <c r="E40" s="56">
        <f>'Chinook Adult Proportions'!Y40</f>
        <v>5985.7532318115545</v>
      </c>
      <c r="F40" s="57">
        <f>'Chinook Jack Proportions'!Y40</f>
        <v>0</v>
      </c>
      <c r="G40" s="71">
        <f>IF($B40="Jacks Only",'Chinook Jack Proportions'!C40,IF('3. Select Chinook Method'!$B40="Adults Only",'Chinook Adult Proportions'!C40,'Chinook All Ages Proportions'!C40))</f>
        <v>8.2706766917293228E-2</v>
      </c>
      <c r="H40" s="71">
        <f>IF($B40="Jacks Only",'Chinook Jack Proportions'!D40,IF('3. Select Chinook Method'!$B40="Adults Only",'Chinook Adult Proportions'!D40,'Chinook All Ages Proportions'!D40))</f>
        <v>0</v>
      </c>
      <c r="I40" s="71">
        <f>IF($B40="Jacks Only",'Chinook Jack Proportions'!E40,IF('3. Select Chinook Method'!$B40="Adults Only",'Chinook Adult Proportions'!E40,'Chinook All Ages Proportions'!E40))</f>
        <v>1.0374493927125507E-2</v>
      </c>
      <c r="J40" s="71">
        <f>IF($B40="Jacks Only",'Chinook Jack Proportions'!F40,IF('3. Select Chinook Method'!$B40="Adults Only",'Chinook Adult Proportions'!F40,'Chinook All Ages Proportions'!F40))</f>
        <v>0.10222496909765141</v>
      </c>
      <c r="K40" s="71">
        <f>IF($B40="Jacks Only",'Chinook Jack Proportions'!G40,IF('3. Select Chinook Method'!$B40="Adults Only",'Chinook Adult Proportions'!G40,'Chinook All Ages Proportions'!G40))</f>
        <v>0.49517923362175525</v>
      </c>
      <c r="L40" s="24">
        <f>IF($B40="Jacks Only",'Chinook Jack Proportions'!H40,IF('3. Select Chinook Method'!$B40="Adults Only",'Chinook Adult Proportions'!H40,'Chinook All Ages Proportions'!H40))</f>
        <v>0.33333333333333331</v>
      </c>
      <c r="M40" s="71">
        <f>IF($B40="Jacks Only",'Chinook Jack Proportions'!I40,IF('3. Select Chinook Method'!$B40="Adults Only",'Chinook Adult Proportions'!I40,'Chinook All Ages Proportions'!I40))</f>
        <v>0</v>
      </c>
      <c r="N40" s="71">
        <f>IF($B40="Jacks Only",'Chinook Jack Proportions'!J40,IF('3. Select Chinook Method'!$B40="Adults Only",'Chinook Adult Proportions'!J40,'Chinook All Ages Proportions'!J40))</f>
        <v>0.31609529343404996</v>
      </c>
      <c r="O40" s="23">
        <f>IF($B40="Jacks Only",'Chinook Jack Proportions'!K40,IF('3. Select Chinook Method'!$B40="Adults Only",'Chinook Adult Proportions'!K40,'Chinook All Ages Proportions'!K40))</f>
        <v>0.28503638089212274</v>
      </c>
      <c r="P40" s="76">
        <f>IF($B40="Jacks Only",'Chinook Jack Proportions'!L40,IF('3. Select Chinook Method'!$B40="Adults Only",'Chinook Adult Proportions'!L40,'Chinook All Ages Proportions'!L40))</f>
        <v>9.1804511278195484</v>
      </c>
      <c r="Q40" s="76">
        <f>IF($B40="Jacks Only",'Chinook Jack Proportions'!M40,IF('3. Select Chinook Method'!$B40="Adults Only",'Chinook Adult Proportions'!M40,'Chinook All Ages Proportions'!M40))</f>
        <v>0</v>
      </c>
      <c r="R40" s="76">
        <f>IF($B40="Jacks Only",'Chinook Jack Proportions'!X40,IF('3. Select Chinook Method'!$B40="Adults Only",'Chinook Adult Proportions'!X40,'Chinook All Ages Proportions'!X40))</f>
        <v>7.2828947368421062</v>
      </c>
      <c r="S40" s="76">
        <f>IF($B40="Jacks Only",'Chinook Jack Proportions'!N40,IF('3. Select Chinook Method'!$B40="Adults Only",'Chinook Adult Proportions'!N40,'Chinook All Ages Proportions'!N40))</f>
        <v>89.352800988875146</v>
      </c>
      <c r="T40" s="76">
        <f>IF($B40="Jacks Only",'Chinook Jack Proportions'!O40,IF('3. Select Chinook Method'!$B40="Adults Only",'Chinook Adult Proportions'!O40,'Chinook All Ages Proportions'!O40))</f>
        <v>708.42321878862788</v>
      </c>
      <c r="U40" s="76">
        <f>IF($B40="Jacks Only",'Chinook Jack Proportions'!P40,IF('3. Select Chinook Method'!$B40="Adults Only",'Chinook Adult Proportions'!P40,'Chinook All Ages Proportions'!P40))</f>
        <v>651.73510012360941</v>
      </c>
      <c r="V40" s="76">
        <f>IF($B40="Jacks Only",'Chinook Jack Proportions'!Q40,IF('3. Select Chinook Method'!$B40="Adults Only",'Chinook Adult Proportions'!Q40,'Chinook All Ages Proportions'!Q40))</f>
        <v>423.19998022249689</v>
      </c>
      <c r="W40" s="76">
        <f>IF($B40="Jacks Only",'Chinook Jack Proportions'!R40,IF('3. Select Chinook Method'!$B40="Adults Only",'Chinook Adult Proportions'!R40,'Chinook All Ages Proportions'!R40))</f>
        <v>0</v>
      </c>
      <c r="X40" s="56">
        <f>IF(B40="Jacks Only",'Chinook Jack Proportions'!S40,IF(B40="Adults Only",'Chinook Adult Proportions'!S40,'Chinook All Ages Proportions'!S40))</f>
        <v>3920.4672000000014</v>
      </c>
      <c r="Y40" s="56">
        <f>IF($B40="Jacks Only",'Chinook Jack Proportions'!T40,IF('3. Select Chinook Method'!$B40="Adults Only",'Chinook Adult Proportions'!T40,'Chinook All Ages Proportions'!T40))</f>
        <v>4.7202024675735519</v>
      </c>
      <c r="Z40" s="56">
        <f>IF($B40="Jacks Only",'Chinook Jack Proportions'!U40,IF('3. Select Chinook Method'!$B40="Adults Only",'Chinook Adult Proportions'!U40,'Chinook All Ages Proportions'!U40))</f>
        <v>63.893755140778232</v>
      </c>
      <c r="AA40" s="56">
        <f>IF($B40="Jacks Only",'Chinook Jack Proportions'!V40,IF('3. Select Chinook Method'!$B40="Adults Only",'Chinook Adult Proportions'!V40,'Chinook All Ages Proportions'!V40))</f>
        <v>114.78052295177223</v>
      </c>
      <c r="AB40" s="56">
        <f>IF($B40="Jacks Only",'Chinook Jack Proportions'!W40,IF('3. Select Chinook Method'!$B40="Adults Only",'Chinook Adult Proportions'!W40,'Chinook All Ages Proportions'!W40))</f>
        <v>0</v>
      </c>
      <c r="AC40" s="41">
        <f>IF(B40="Jacks Only",'Chinook Jack Proportions'!Y40,IF('3. Select Chinook Method'!B40="Adults Only",'Chinook Adult Proportions'!Y40,'Chinook All Ages Proportions'!Y40))</f>
        <v>5985.7532318115545</v>
      </c>
      <c r="AD40" s="42">
        <f>IF(B40="Jacks Only",'Chinook Jack Proportions'!Z40,IF('3. Select Chinook Method'!B40="Adults Only",'Chinook Adult Proportions'!Z40,'Chinook All Ages Proportions'!Z40))</f>
        <v>0.33009544286558751</v>
      </c>
      <c r="AE40" s="43">
        <f>IF($B40="Jacks Only",'Chinook Jack Proportions'!AA40,IF('3. Select Chinook Method'!$B40="Adults Only",'Chinook Adult Proportions'!AA40,'Chinook All Ages Proportions'!AA40))</f>
        <v>0.36347354549116734</v>
      </c>
      <c r="AF40" s="42">
        <f>IF($B40="Jacks Only",'Chinook Jack Proportions'!AB40,IF('3. Select Chinook Method'!$B40="Adults Only",'Chinook Adult Proportions'!AB40,'Chinook All Ages Proportions'!AB40))</f>
        <v>0.33333333333333331</v>
      </c>
      <c r="AG40" s="44">
        <f>IF($B40="Jacks Only",'Chinook Jack Proportions'!AC40,IF('3. Select Chinook Method'!$B40="Adults Only",'Chinook Adult Proportions'!AC40,'Chinook All Ages Proportions'!AC40))</f>
        <v>0.30371369992071412</v>
      </c>
    </row>
    <row r="41" spans="1:33" x14ac:dyDescent="0.3">
      <c r="A41" s="5">
        <f>'1. Mixture Model Inputs'!A41</f>
        <v>45143</v>
      </c>
      <c r="B41" s="55" t="s">
        <v>43</v>
      </c>
      <c r="C41" s="60">
        <f t="shared" si="0"/>
        <v>7084.8939245136935</v>
      </c>
      <c r="D41" s="56">
        <f>'Chinook All Ages Proportions'!Y41</f>
        <v>7084.8939245136935</v>
      </c>
      <c r="E41" s="56">
        <f>'Chinook Adult Proportions'!Y41</f>
        <v>7084.8939245136935</v>
      </c>
      <c r="F41" s="57">
        <f>'Chinook Jack Proportions'!Y41</f>
        <v>0</v>
      </c>
      <c r="G41" s="71">
        <f>IF($B41="Jacks Only",'Chinook Jack Proportions'!C41,IF('3. Select Chinook Method'!$B41="Adults Only",'Chinook Adult Proportions'!C41,'Chinook All Ages Proportions'!C41))</f>
        <v>4.8646528050215763E-2</v>
      </c>
      <c r="H41" s="71">
        <f>IF($B41="Jacks Only",'Chinook Jack Proportions'!D41,IF('3. Select Chinook Method'!$B41="Adults Only",'Chinook Adult Proportions'!D41,'Chinook All Ages Proportions'!D41))</f>
        <v>3.0805687203791472E-2</v>
      </c>
      <c r="I41" s="71">
        <f>IF($B41="Jacks Only",'Chinook Jack Proportions'!E41,IF('3. Select Chinook Method'!$B41="Adults Only",'Chinook Adult Proportions'!E41,'Chinook All Ages Proportions'!E41))</f>
        <v>3.6121673003802278E-2</v>
      </c>
      <c r="J41" s="71">
        <f>IF($B41="Jacks Only",'Chinook Jack Proportions'!F41,IF('3. Select Chinook Method'!$B41="Adults Only",'Chinook Adult Proportions'!F41,'Chinook All Ages Proportions'!F41))</f>
        <v>0.25036770714168982</v>
      </c>
      <c r="K41" s="71">
        <f>IF($B41="Jacks Only",'Chinook Jack Proportions'!G41,IF('3. Select Chinook Method'!$B41="Adults Only",'Chinook Adult Proportions'!G41,'Chinook All Ages Proportions'!G41))</f>
        <v>0.60619575699132111</v>
      </c>
      <c r="L41" s="24">
        <f>IF($B41="Jacks Only",'Chinook Jack Proportions'!H41,IF('3. Select Chinook Method'!$B41="Adults Only",'Chinook Adult Proportions'!H41,'Chinook All Ages Proportions'!H41))</f>
        <v>0.2</v>
      </c>
      <c r="M41" s="71">
        <f>IF($B41="Jacks Only",'Chinook Jack Proportions'!I41,IF('3. Select Chinook Method'!$B41="Adults Only",'Chinook Adult Proportions'!I41,'Chinook All Ages Proportions'!I41))</f>
        <v>0</v>
      </c>
      <c r="N41" s="71">
        <f>IF($B41="Jacks Only",'Chinook Jack Proportions'!J41,IF('3. Select Chinook Method'!$B41="Adults Only",'Chinook Adult Proportions'!J41,'Chinook All Ages Proportions'!J41))</f>
        <v>0.29393939393939394</v>
      </c>
      <c r="O41" s="23">
        <f>IF($B41="Jacks Only",'Chinook Jack Proportions'!K41,IF('3. Select Chinook Method'!$B41="Adults Only",'Chinook Adult Proportions'!K41,'Chinook All Ages Proportions'!K41))</f>
        <v>0.33018549747048903</v>
      </c>
      <c r="P41" s="76">
        <f>IF($B41="Jacks Only",'Chinook Jack Proportions'!L41,IF('3. Select Chinook Method'!$B41="Adults Only",'Chinook Adult Proportions'!L41,'Chinook All Ages Proportions'!L41))</f>
        <v>56.721851706551583</v>
      </c>
      <c r="Q41" s="76">
        <f>IF($B41="Jacks Only",'Chinook Jack Proportions'!M41,IF('3. Select Chinook Method'!$B41="Adults Only",'Chinook Adult Proportions'!M41,'Chinook All Ages Proportions'!M41))</f>
        <v>61.303317535545027</v>
      </c>
      <c r="R41" s="76">
        <f>IF($B41="Jacks Only",'Chinook Jack Proportions'!X41,IF('3. Select Chinook Method'!$B41="Adults Only",'Chinook Adult Proportions'!X41,'Chinook All Ages Proportions'!X41))</f>
        <v>114.00866920152089</v>
      </c>
      <c r="S41" s="76">
        <f>IF($B41="Jacks Only",'Chinook Jack Proportions'!N41,IF('3. Select Chinook Method'!$B41="Adults Only",'Chinook Adult Proportions'!N41,'Chinook All Ages Proportions'!N41))</f>
        <v>971.98752737375389</v>
      </c>
      <c r="T41" s="76">
        <f>IF($B41="Jacks Only",'Chinook Jack Proportions'!O41,IF('3. Select Chinook Method'!$B41="Adults Only",'Chinook Adult Proportions'!O41,'Chinook All Ages Proportions'!O41))</f>
        <v>1388.9642140790741</v>
      </c>
      <c r="U41" s="76">
        <f>IF($B41="Jacks Only",'Chinook Jack Proportions'!P41,IF('3. Select Chinook Method'!$B41="Adults Only",'Chinook Adult Proportions'!P41,'Chinook All Ages Proportions'!P41))</f>
        <v>1188.6286403085826</v>
      </c>
      <c r="V41" s="76">
        <f>IF($B41="Jacks Only",'Chinook Jack Proportions'!Q41,IF('3. Select Chinook Method'!$B41="Adults Only",'Chinook Adult Proportions'!Q41,'Chinook All Ages Proportions'!Q41))</f>
        <v>1037.1766923818707</v>
      </c>
      <c r="W41" s="76">
        <f>IF($B41="Jacks Only",'Chinook Jack Proportions'!R41,IF('3. Select Chinook Method'!$B41="Adults Only",'Chinook Adult Proportions'!R41,'Chinook All Ages Proportions'!R41))</f>
        <v>0</v>
      </c>
      <c r="X41" s="56">
        <f>IF(B41="Jacks Only",'Chinook Jack Proportions'!S41,IF(B41="Adults Only",'Chinook Adult Proportions'!S41,'Chinook All Ages Proportions'!S41))</f>
        <v>2101.248</v>
      </c>
      <c r="Y41" s="56">
        <f>IF($B41="Jacks Only",'Chinook Jack Proportions'!T41,IF('3. Select Chinook Method'!$B41="Adults Only",'Chinook Adult Proportions'!T41,'Chinook All Ages Proportions'!T41))</f>
        <v>51.667426644182122</v>
      </c>
      <c r="Z41" s="56">
        <f>IF($B41="Jacks Only",'Chinook Jack Proportions'!U41,IF('3. Select Chinook Method'!$B41="Adults Only",'Chinook Adult Proportions'!U41,'Chinook All Ages Proportions'!U41))</f>
        <v>149.45516357504215</v>
      </c>
      <c r="AA41" s="56">
        <f>IF($B41="Jacks Only",'Chinook Jack Proportions'!V41,IF('3. Select Chinook Method'!$B41="Adults Only",'Chinook Adult Proportions'!V41,'Chinook All Ages Proportions'!V41))</f>
        <v>77.741090909090914</v>
      </c>
      <c r="AB41" s="56">
        <f>IF($B41="Jacks Only",'Chinook Jack Proportions'!W41,IF('3. Select Chinook Method'!$B41="Adults Only",'Chinook Adult Proportions'!W41,'Chinook All Ages Proportions'!W41))</f>
        <v>0</v>
      </c>
      <c r="AC41" s="41">
        <f>IF(B41="Jacks Only",'Chinook Jack Proportions'!Y41,IF('3. Select Chinook Method'!B41="Adults Only",'Chinook Adult Proportions'!Y41,'Chinook All Ages Proportions'!Y41))</f>
        <v>7084.8939245136935</v>
      </c>
      <c r="AD41" s="42">
        <f>IF(B41="Jacks Only",'Chinook Jack Proportions'!Z41,IF('3. Select Chinook Method'!B41="Adults Only",'Chinook Adult Proportions'!Z41,'Chinook All Ages Proportions'!Z41))</f>
        <v>0.28675050852994122</v>
      </c>
      <c r="AE41" s="43">
        <f>IF($B41="Jacks Only",'Chinook Jack Proportions'!AA41,IF('3. Select Chinook Method'!$B41="Adults Only",'Chinook Adult Proportions'!AA41,'Chinook All Ages Proportions'!AA41))</f>
        <v>0.3618640161600627</v>
      </c>
      <c r="AF41" s="42">
        <f>IF($B41="Jacks Only",'Chinook Jack Proportions'!AB41,IF('3. Select Chinook Method'!$B41="Adults Only",'Chinook Adult Proportions'!AB41,'Chinook All Ages Proportions'!AB41))</f>
        <v>0.2</v>
      </c>
      <c r="AG41" s="44">
        <f>IF($B41="Jacks Only",'Chinook Jack Proportions'!AC41,IF('3. Select Chinook Method'!$B41="Adults Only",'Chinook Adult Proportions'!AC41,'Chinook All Ages Proportions'!AC41))</f>
        <v>0.31921208920365751</v>
      </c>
    </row>
    <row r="42" spans="1:33" x14ac:dyDescent="0.3">
      <c r="A42" s="5">
        <f>'1. Mixture Model Inputs'!A42</f>
        <v>45144</v>
      </c>
      <c r="B42" s="55" t="s">
        <v>43</v>
      </c>
      <c r="C42" s="60">
        <f t="shared" si="0"/>
        <v>14674.38475442378</v>
      </c>
      <c r="D42" s="56">
        <f>'Chinook All Ages Proportions'!Y42</f>
        <v>14674.38475442378</v>
      </c>
      <c r="E42" s="56">
        <f>'Chinook Adult Proportions'!Y42</f>
        <v>14674.38475442378</v>
      </c>
      <c r="F42" s="57">
        <f>'Chinook Jack Proportions'!Y42</f>
        <v>0</v>
      </c>
      <c r="G42" s="71">
        <f>IF($B42="Jacks Only",'Chinook Jack Proportions'!C42,IF('3. Select Chinook Method'!$B42="Adults Only",'Chinook Adult Proportions'!C42,'Chinook All Ages Proportions'!C42))</f>
        <v>0.12694202349374764</v>
      </c>
      <c r="H42" s="71">
        <f>IF($B42="Jacks Only",'Chinook Jack Proportions'!D42,IF('3. Select Chinook Method'!$B42="Adults Only",'Chinook Adult Proportions'!D42,'Chinook All Ages Proportions'!D42))</f>
        <v>0.18129447644866148</v>
      </c>
      <c r="I42" s="71">
        <f>IF($B42="Jacks Only",'Chinook Jack Proportions'!E42,IF('3. Select Chinook Method'!$B42="Adults Only",'Chinook Adult Proportions'!E42,'Chinook All Ages Proportions'!E42))</f>
        <v>0.15660919540229887</v>
      </c>
      <c r="J42" s="71">
        <f>IF($B42="Jacks Only",'Chinook Jack Proportions'!F42,IF('3. Select Chinook Method'!$B42="Adults Only",'Chinook Adult Proportions'!F42,'Chinook All Ages Proportions'!F42))</f>
        <v>0.47094222833562582</v>
      </c>
      <c r="K42" s="71">
        <f>IF($B42="Jacks Only",'Chinook Jack Proportions'!G42,IF('3. Select Chinook Method'!$B42="Adults Only",'Chinook Adult Proportions'!G42,'Chinook All Ages Proportions'!G42))</f>
        <v>0.85733645435505723</v>
      </c>
      <c r="L42" s="24">
        <f>IF($B42="Jacks Only",'Chinook Jack Proportions'!H42,IF('3. Select Chinook Method'!$B42="Adults Only",'Chinook Adult Proportions'!H42,'Chinook All Ages Proportions'!H42))</f>
        <v>0.4</v>
      </c>
      <c r="M42" s="71">
        <f>IF($B42="Jacks Only",'Chinook Jack Proportions'!I42,IF('3. Select Chinook Method'!$B42="Adults Only",'Chinook Adult Proportions'!I42,'Chinook All Ages Proportions'!I42))</f>
        <v>0</v>
      </c>
      <c r="N42" s="71">
        <f>IF($B42="Jacks Only",'Chinook Jack Proportions'!J42,IF('3. Select Chinook Method'!$B42="Adults Only",'Chinook Adult Proportions'!J42,'Chinook All Ages Proportions'!J42))</f>
        <v>0.29393939393939394</v>
      </c>
      <c r="O42" s="23">
        <f>IF($B42="Jacks Only",'Chinook Jack Proportions'!K42,IF('3. Select Chinook Method'!$B42="Adults Only",'Chinook Adult Proportions'!K42,'Chinook All Ages Proportions'!K42))</f>
        <v>0.33018549747048903</v>
      </c>
      <c r="P42" s="76">
        <f>IF($B42="Jacks Only",'Chinook Jack Proportions'!L42,IF('3. Select Chinook Method'!$B42="Adults Only",'Chinook Adult Proportions'!L42,'Chinook All Ages Proportions'!L42))</f>
        <v>158.16976127320956</v>
      </c>
      <c r="Q42" s="76">
        <f>IF($B42="Jacks Only",'Chinook Jack Proportions'!M42,IF('3. Select Chinook Method'!$B42="Adults Only",'Chinook Adult Proportions'!M42,'Chinook All Ages Proportions'!M42))</f>
        <v>595.91494408675032</v>
      </c>
      <c r="R42" s="76">
        <f>IF($B42="Jacks Only",'Chinook Jack Proportions'!X42,IF('3. Select Chinook Method'!$B42="Adults Only",'Chinook Adult Proportions'!X42,'Chinook All Ages Proportions'!X42))</f>
        <v>709.81551724137933</v>
      </c>
      <c r="S42" s="76">
        <f>IF($B42="Jacks Only",'Chinook Jack Proportions'!N42,IF('3. Select Chinook Method'!$B42="Adults Only",'Chinook Adult Proportions'!N42,'Chinook All Ages Proportions'!N42))</f>
        <v>1253.5728610729022</v>
      </c>
      <c r="T42" s="76">
        <f>IF($B42="Jacks Only",'Chinook Jack Proportions'!O42,IF('3. Select Chinook Method'!$B42="Adults Only",'Chinook Adult Proportions'!O42,'Chinook All Ages Proportions'!O42))</f>
        <v>3485.381328076875</v>
      </c>
      <c r="U42" s="76">
        <f>IF($B42="Jacks Only",'Chinook Jack Proportions'!P42,IF('3. Select Chinook Method'!$B42="Adults Only",'Chinook Adult Proportions'!P42,'Chinook All Ages Proportions'!P42))</f>
        <v>2284.1500751509179</v>
      </c>
      <c r="V42" s="76">
        <f>IF($B42="Jacks Only",'Chinook Jack Proportions'!Q42,IF('3. Select Chinook Method'!$B42="Adults Only",'Chinook Adult Proportions'!Q42,'Chinook All Ages Proportions'!Q42))</f>
        <v>1443.6174153012196</v>
      </c>
      <c r="W42" s="76">
        <f>IF($B42="Jacks Only",'Chinook Jack Proportions'!R42,IF('3. Select Chinook Method'!$B42="Adults Only",'Chinook Adult Proportions'!R42,'Chinook All Ages Proportions'!R42))</f>
        <v>0</v>
      </c>
      <c r="X42" s="56">
        <f>IF(B42="Jacks Only",'Chinook Jack Proportions'!S42,IF(B42="Adults Only",'Chinook Adult Proportions'!S42,'Chinook All Ages Proportions'!S42))</f>
        <v>5156.3520000000026</v>
      </c>
      <c r="Y42" s="56">
        <f>IF($B42="Jacks Only",'Chinook Jack Proportions'!T42,IF('3. Select Chinook Method'!$B42="Adults Only",'Chinook Adult Proportions'!T42,'Chinook All Ages Proportions'!T42))</f>
        <v>73.380424957841484</v>
      </c>
      <c r="Z42" s="56">
        <f>IF($B42="Jacks Only",'Chinook Jack Proportions'!U42,IF('3. Select Chinook Method'!$B42="Adults Only",'Chinook Adult Proportions'!U42,'Chinook All Ages Proportions'!U42))</f>
        <v>154.92303541315346</v>
      </c>
      <c r="AA42" s="56">
        <f>IF($B42="Jacks Only",'Chinook Jack Proportions'!V42,IF('3. Select Chinook Method'!$B42="Adults Only",'Chinook Adult Proportions'!V42,'Chinook All Ages Proportions'!V42))</f>
        <v>68.922909090909087</v>
      </c>
      <c r="AB42" s="56">
        <f>IF($B42="Jacks Only",'Chinook Jack Proportions'!W42,IF('3. Select Chinook Method'!$B42="Adults Only",'Chinook Adult Proportions'!W42,'Chinook All Ages Proportions'!W42))</f>
        <v>0</v>
      </c>
      <c r="AC42" s="41">
        <f>IF(B42="Jacks Only",'Chinook Jack Proportions'!Y42,IF('3. Select Chinook Method'!B42="Adults Only",'Chinook Adult Proportions'!Y42,'Chinook All Ages Proportions'!Y42))</f>
        <v>14674.38475442378</v>
      </c>
      <c r="AD42" s="42">
        <f>IF(B42="Jacks Only",'Chinook Jack Proportions'!Z42,IF('3. Select Chinook Method'!B42="Adults Only",'Chinook Adult Proportions'!Z42,'Chinook All Ages Proportions'!Z42))</f>
        <v>0.49227704045810627</v>
      </c>
      <c r="AE42" s="43">
        <f>IF($B42="Jacks Only",'Chinook Jack Proportions'!AA42,IF('3. Select Chinook Method'!$B42="Adults Only",'Chinook Adult Proportions'!AA42,'Chinook All Ages Proportions'!AA42))</f>
        <v>0.59078648363894404</v>
      </c>
      <c r="AF42" s="42">
        <f>IF($B42="Jacks Only",'Chinook Jack Proportions'!AB42,IF('3. Select Chinook Method'!$B42="Adults Only",'Chinook Adult Proportions'!AB42,'Chinook All Ages Proportions'!AB42))</f>
        <v>0.40000000000000008</v>
      </c>
      <c r="AG42" s="44">
        <f>IF($B42="Jacks Only",'Chinook Jack Proportions'!AC42,IF('3. Select Chinook Method'!$B42="Adults Only",'Chinook Adult Proportions'!AC42,'Chinook All Ages Proportions'!AC42))</f>
        <v>0.32100653346067048</v>
      </c>
    </row>
    <row r="43" spans="1:33" x14ac:dyDescent="0.3">
      <c r="A43" s="5">
        <f>'1. Mixture Model Inputs'!A43</f>
        <v>45145</v>
      </c>
      <c r="B43" s="55" t="s">
        <v>43</v>
      </c>
      <c r="C43" s="60">
        <f t="shared" si="0"/>
        <v>15828.974647749448</v>
      </c>
      <c r="D43" s="56">
        <f>'Chinook All Ages Proportions'!Y43</f>
        <v>17016.669193203998</v>
      </c>
      <c r="E43" s="56">
        <f>'Chinook Adult Proportions'!Y43</f>
        <v>15828.974647749448</v>
      </c>
      <c r="F43" s="57">
        <f>'Chinook Jack Proportions'!Y43</f>
        <v>1187.6945454545453</v>
      </c>
      <c r="G43" s="71">
        <f>IF($B43="Jacks Only",'Chinook Jack Proportions'!C43,IF('3. Select Chinook Method'!$B43="Adults Only",'Chinook Adult Proportions'!C43,'Chinook All Ages Proportions'!C43))</f>
        <v>0.20795942255169725</v>
      </c>
      <c r="H43" s="71">
        <f>IF($B43="Jacks Only",'Chinook Jack Proportions'!D43,IF('3. Select Chinook Method'!$B43="Adults Only",'Chinook Adult Proportions'!D43,'Chinook All Ages Proportions'!D43))</f>
        <v>0.11102514506769826</v>
      </c>
      <c r="I43" s="71">
        <f>IF($B43="Jacks Only",'Chinook Jack Proportions'!E43,IF('3. Select Chinook Method'!$B43="Adults Only",'Chinook Adult Proportions'!E43,'Chinook All Ages Proportions'!E43))</f>
        <v>0.16079039132119335</v>
      </c>
      <c r="J43" s="71">
        <f>IF($B43="Jacks Only",'Chinook Jack Proportions'!F43,IF('3. Select Chinook Method'!$B43="Adults Only",'Chinook Adult Proportions'!F43,'Chinook All Ages Proportions'!F43))</f>
        <v>0.58362337424436705</v>
      </c>
      <c r="K43" s="71">
        <f>IF($B43="Jacks Only",'Chinook Jack Proportions'!G43,IF('3. Select Chinook Method'!$B43="Adults Only",'Chinook Adult Proportions'!G43,'Chinook All Ages Proportions'!G43))</f>
        <v>0.7857142857142857</v>
      </c>
      <c r="L43" s="24">
        <f>IF($B43="Jacks Only",'Chinook Jack Proportions'!H43,IF('3. Select Chinook Method'!$B43="Adults Only",'Chinook Adult Proportions'!H43,'Chinook All Ages Proportions'!H43))</f>
        <v>0.40909090909090912</v>
      </c>
      <c r="M43" s="71">
        <f>IF($B43="Jacks Only",'Chinook Jack Proportions'!I43,IF('3. Select Chinook Method'!$B43="Adults Only",'Chinook Adult Proportions'!I43,'Chinook All Ages Proportions'!I43))</f>
        <v>0.1402284263959391</v>
      </c>
      <c r="N43" s="71">
        <f>IF($B43="Jacks Only",'Chinook Jack Proportions'!J43,IF('3. Select Chinook Method'!$B43="Adults Only",'Chinook Adult Proportions'!J43,'Chinook All Ages Proportions'!J43))</f>
        <v>0.40315495207667729</v>
      </c>
      <c r="O43" s="23">
        <f>IF($B43="Jacks Only",'Chinook Jack Proportions'!K43,IF('3. Select Chinook Method'!$B43="Adults Only",'Chinook Adult Proportions'!K43,'Chinook All Ages Proportions'!K43))</f>
        <v>0.56939862978939348</v>
      </c>
      <c r="P43" s="76">
        <f>IF($B43="Jacks Only",'Chinook Jack Proportions'!L43,IF('3. Select Chinook Method'!$B43="Adults Only",'Chinook Adult Proportions'!L43,'Chinook All Ages Proportions'!L43))</f>
        <v>353.73897776043702</v>
      </c>
      <c r="Q43" s="76">
        <f>IF($B43="Jacks Only",'Chinook Jack Proportions'!M43,IF('3. Select Chinook Method'!$B43="Adults Only",'Chinook Adult Proportions'!M43,'Chinook All Ages Proportions'!M43))</f>
        <v>263.90676982591873</v>
      </c>
      <c r="R43" s="76">
        <f>IF($B43="Jacks Only",'Chinook Jack Proportions'!X43,IF('3. Select Chinook Method'!$B43="Adults Only",'Chinook Adult Proportions'!X43,'Chinook All Ages Proportions'!X43))</f>
        <v>655.71607903913218</v>
      </c>
      <c r="S43" s="76">
        <f>IF($B43="Jacks Only",'Chinook Jack Proportions'!N43,IF('3. Select Chinook Method'!$B43="Adults Only",'Chinook Adult Proportions'!N43,'Chinook All Ages Proportions'!N43))</f>
        <v>2358.3520205165778</v>
      </c>
      <c r="T43" s="76">
        <f>IF($B43="Jacks Only",'Chinook Jack Proportions'!O43,IF('3. Select Chinook Method'!$B43="Adults Only",'Chinook Adult Proportions'!O43,'Chinook All Ages Proportions'!O43))</f>
        <v>2999.4171428571431</v>
      </c>
      <c r="U43" s="76">
        <f>IF($B43="Jacks Only",'Chinook Jack Proportions'!P43,IF('3. Select Chinook Method'!$B43="Adults Only",'Chinook Adult Proportions'!P43,'Chinook All Ages Proportions'!P43))</f>
        <v>2251.92</v>
      </c>
      <c r="V43" s="76">
        <f>IF($B43="Jacks Only",'Chinook Jack Proportions'!Q43,IF('3. Select Chinook Method'!$B43="Adults Only",'Chinook Adult Proportions'!Q43,'Chinook All Ages Proportions'!Q43))</f>
        <v>1548.9257142857143</v>
      </c>
      <c r="W43" s="76">
        <f>IF($B43="Jacks Only",'Chinook Jack Proportions'!R43,IF('3. Select Chinook Method'!$B43="Adults Only",'Chinook Adult Proportions'!R43,'Chinook All Ages Proportions'!R43))</f>
        <v>0</v>
      </c>
      <c r="X43" s="56">
        <f>IF(B43="Jacks Only",'Chinook Jack Proportions'!S43,IF(B43="Adults Only",'Chinook Adult Proportions'!S43,'Chinook All Ages Proportions'!S43))</f>
        <v>5344.625454545454</v>
      </c>
      <c r="Y43" s="56">
        <f>IF($B43="Jacks Only",'Chinook Jack Proportions'!T43,IF('3. Select Chinook Method'!$B43="Adults Only",'Chinook Adult Proportions'!T43,'Chinook All Ages Proportions'!T43))</f>
        <v>117.66053285968026</v>
      </c>
      <c r="Z43" s="56">
        <f>IF($B43="Jacks Only",'Chinook Jack Proportions'!U43,IF('3. Select Chinook Method'!$B43="Adults Only",'Chinook Adult Proportions'!U43,'Chinook All Ages Proportions'!U43))</f>
        <v>240.92394823648817</v>
      </c>
      <c r="AA43" s="56">
        <f>IF($B43="Jacks Only",'Chinook Jack Proportions'!V43,IF('3. Select Chinook Method'!$B43="Adults Only",'Chinook Adult Proportions'!V43,'Chinook All Ages Proportions'!V43))</f>
        <v>282.53099041533545</v>
      </c>
      <c r="AB43" s="56">
        <f>IF($B43="Jacks Only",'Chinook Jack Proportions'!W43,IF('3. Select Chinook Method'!$B43="Adults Only",'Chinook Adult Proportions'!W43,'Chinook All Ages Proportions'!W43))</f>
        <v>66.973096446700509</v>
      </c>
      <c r="AC43" s="41">
        <f>IF(B43="Jacks Only",'Chinook Jack Proportions'!Y43,IF('3. Select Chinook Method'!B43="Adults Only",'Chinook Adult Proportions'!Y43,'Chinook All Ages Proportions'!Y43))</f>
        <v>15828.974647749448</v>
      </c>
      <c r="AD43" s="42">
        <f>IF(B43="Jacks Only",'Chinook Jack Proportions'!Z43,IF('3. Select Chinook Method'!B43="Adults Only",'Chinook Adult Proportions'!Z43,'Chinook All Ages Proportions'!Z43))</f>
        <v>0.50017868082518235</v>
      </c>
      <c r="AE43" s="43">
        <f>IF($B43="Jacks Only",'Chinook Jack Proportions'!AA43,IF('3. Select Chinook Method'!$B43="Adults Only",'Chinook Adult Proportions'!AA43,'Chinook All Ages Proportions'!AA43))</f>
        <v>0.58282782149142898</v>
      </c>
      <c r="AF43" s="42">
        <f>IF($B43="Jacks Only",'Chinook Jack Proportions'!AB43,IF('3. Select Chinook Method'!$B43="Adults Only",'Chinook Adult Proportions'!AB43,'Chinook All Ages Proportions'!AB43))</f>
        <v>0.40909090909090912</v>
      </c>
      <c r="AG43" s="44">
        <f>IF($B43="Jacks Only",'Chinook Jack Proportions'!AC43,IF('3. Select Chinook Method'!$B43="Adults Only",'Chinook Adult Proportions'!AC43,'Chinook All Ages Proportions'!AC43))</f>
        <v>0.5321733465294346</v>
      </c>
    </row>
    <row r="44" spans="1:33" x14ac:dyDescent="0.3">
      <c r="A44" s="5">
        <f>'1. Mixture Model Inputs'!A44</f>
        <v>45146</v>
      </c>
      <c r="B44" s="55" t="s">
        <v>43</v>
      </c>
      <c r="C44" s="60">
        <f t="shared" si="0"/>
        <v>17247.039994862476</v>
      </c>
      <c r="D44" s="56">
        <f>'Chinook All Ages Proportions'!Y44</f>
        <v>17247.039994862476</v>
      </c>
      <c r="E44" s="56">
        <f>'Chinook Adult Proportions'!Y44</f>
        <v>17247.039994862476</v>
      </c>
      <c r="F44" s="57">
        <f>'Chinook Jack Proportions'!Y44</f>
        <v>0</v>
      </c>
      <c r="G44" s="71">
        <f>IF($B44="Jacks Only",'Chinook Jack Proportions'!C44,IF('3. Select Chinook Method'!$B44="Adults Only",'Chinook Adult Proportions'!C44,'Chinook All Ages Proportions'!C44))</f>
        <v>3.8378611470461406E-2</v>
      </c>
      <c r="H44" s="71">
        <f>IF($B44="Jacks Only",'Chinook Jack Proportions'!D44,IF('3. Select Chinook Method'!$B44="Adults Only",'Chinook Adult Proportions'!D44,'Chinook All Ages Proportions'!D44))</f>
        <v>5.126658624849216E-2</v>
      </c>
      <c r="I44" s="71">
        <f>IF($B44="Jacks Only",'Chinook Jack Proportions'!E44,IF('3. Select Chinook Method'!$B44="Adults Only",'Chinook Adult Proportions'!E44,'Chinook All Ages Proportions'!E44))</f>
        <v>4.529370134465676E-2</v>
      </c>
      <c r="J44" s="71">
        <f>IF($B44="Jacks Only",'Chinook Jack Proportions'!F44,IF('3. Select Chinook Method'!$B44="Adults Only",'Chinook Adult Proportions'!F44,'Chinook All Ages Proportions'!F44))</f>
        <v>0.54784810126582273</v>
      </c>
      <c r="K44" s="71">
        <f>IF($B44="Jacks Only",'Chinook Jack Proportions'!G44,IF('3. Select Chinook Method'!$B44="Adults Only",'Chinook Adult Proportions'!G44,'Chinook All Ages Proportions'!G44))</f>
        <v>0.73348745046235142</v>
      </c>
      <c r="L44" s="24">
        <f>IF($B44="Jacks Only",'Chinook Jack Proportions'!H44,IF('3. Select Chinook Method'!$B44="Adults Only",'Chinook Adult Proportions'!H44,'Chinook All Ages Proportions'!H44))</f>
        <v>0.47826086956521741</v>
      </c>
      <c r="M44" s="71">
        <f>IF($B44="Jacks Only",'Chinook Jack Proportions'!I44,IF('3. Select Chinook Method'!$B44="Adults Only",'Chinook Adult Proportions'!I44,'Chinook All Ages Proportions'!I44))</f>
        <v>0.1402284263959391</v>
      </c>
      <c r="N44" s="71">
        <f>IF($B44="Jacks Only",'Chinook Jack Proportions'!J44,IF('3. Select Chinook Method'!$B44="Adults Only",'Chinook Adult Proportions'!J44,'Chinook All Ages Proportions'!J44))</f>
        <v>0.40315495207667729</v>
      </c>
      <c r="O44" s="23">
        <f>IF($B44="Jacks Only",'Chinook Jack Proportions'!K44,IF('3. Select Chinook Method'!$B44="Adults Only",'Chinook Adult Proportions'!K44,'Chinook All Ages Proportions'!K44))</f>
        <v>0.56939862978939348</v>
      </c>
      <c r="P44" s="76">
        <f>IF($B44="Jacks Only",'Chinook Jack Proportions'!L44,IF('3. Select Chinook Method'!$B44="Adults Only",'Chinook Adult Proportions'!L44,'Chinook All Ages Proportions'!L44))</f>
        <v>46.438119879258302</v>
      </c>
      <c r="Q44" s="76">
        <f>IF($B44="Jacks Only",'Chinook Jack Proportions'!M44,IF('3. Select Chinook Method'!$B44="Adults Only",'Chinook Adult Proportions'!M44,'Chinook All Ages Proportions'!M44))</f>
        <v>215.21712907117009</v>
      </c>
      <c r="R44" s="76">
        <f>IF($B44="Jacks Only",'Chinook Jack Proportions'!X44,IF('3. Select Chinook Method'!$B44="Adults Only",'Chinook Adult Proportions'!X44,'Chinook All Ages Proportions'!X44))</f>
        <v>244.95558386411889</v>
      </c>
      <c r="S44" s="76">
        <f>IF($B44="Jacks Only",'Chinook Jack Proportions'!N44,IF('3. Select Chinook Method'!$B44="Adults Only",'Chinook Adult Proportions'!N44,'Chinook All Ages Proportions'!N44))</f>
        <v>2248.1056405063287</v>
      </c>
      <c r="T44" s="76">
        <f>IF($B44="Jacks Only",'Chinook Jack Proportions'!O44,IF('3. Select Chinook Method'!$B44="Adults Only",'Chinook Adult Proportions'!O44,'Chinook All Ages Proportions'!O44))</f>
        <v>2954.7808454425362</v>
      </c>
      <c r="U44" s="76">
        <f>IF($B44="Jacks Only",'Chinook Jack Proportions'!P44,IF('3. Select Chinook Method'!$B44="Adults Only",'Chinook Adult Proportions'!P44,'Chinook All Ages Proportions'!P44))</f>
        <v>1633.2711756935273</v>
      </c>
      <c r="V44" s="76">
        <f>IF($B44="Jacks Only",'Chinook Jack Proportions'!Q44,IF('3. Select Chinook Method'!$B44="Adults Only",'Chinook Adult Proportions'!Q44,'Chinook All Ages Proportions'!Q44))</f>
        <v>1308.4829326287982</v>
      </c>
      <c r="W44" s="76">
        <f>IF($B44="Jacks Only",'Chinook Jack Proportions'!R44,IF('3. Select Chinook Method'!$B44="Adults Only",'Chinook Adult Proportions'!R44,'Chinook All Ages Proportions'!R44))</f>
        <v>0</v>
      </c>
      <c r="X44" s="56">
        <f>IF(B44="Jacks Only",'Chinook Jack Proportions'!S44,IF(B44="Adults Only",'Chinook Adult Proportions'!S44,'Chinook All Ages Proportions'!S44))</f>
        <v>7989.7878260869475</v>
      </c>
      <c r="Y44" s="56">
        <f>IF($B44="Jacks Only",'Chinook Jack Proportions'!T44,IF('3. Select Chinook Method'!$B44="Adults Only",'Chinook Adult Proportions'!T44,'Chinook All Ages Proportions'!T44))</f>
        <v>72.837472722659214</v>
      </c>
      <c r="Z44" s="56">
        <f>IF($B44="Jacks Only",'Chinook Jack Proportions'!U44,IF('3. Select Chinook Method'!$B44="Adults Only",'Chinook Adult Proportions'!U44,'Chinook All Ages Proportions'!U44))</f>
        <v>330.57006851053029</v>
      </c>
      <c r="AA44" s="56">
        <f>IF($B44="Jacks Only",'Chinook Jack Proportions'!V44,IF('3. Select Chinook Method'!$B44="Adults Only",'Chinook Adult Proportions'!V44,'Chinook All Ages Proportions'!V44))</f>
        <v>331.10309904153348</v>
      </c>
      <c r="AB44" s="56">
        <f>IF($B44="Jacks Only",'Chinook Jack Proportions'!W44,IF('3. Select Chinook Method'!$B44="Adults Only",'Chinook Adult Proportions'!W44,'Chinook All Ages Proportions'!W44))</f>
        <v>116.44568527918784</v>
      </c>
      <c r="AC44" s="41">
        <f>IF(B44="Jacks Only",'Chinook Jack Proportions'!Y44,IF('3. Select Chinook Method'!B44="Adults Only",'Chinook Adult Proportions'!Y44,'Chinook All Ages Proportions'!Y44))</f>
        <v>17247.039994862476</v>
      </c>
      <c r="AD44" s="42">
        <f>IF(B44="Jacks Only",'Chinook Jack Proportions'!Z44,IF('3. Select Chinook Method'!B44="Adults Only",'Chinook Adult Proportions'!Z44,'Chinook All Ages Proportions'!Z44))</f>
        <v>0.47101439762247072</v>
      </c>
      <c r="AE44" s="43">
        <f>IF($B44="Jacks Only",'Chinook Jack Proportions'!AA44,IF('3. Select Chinook Method'!$B44="Adults Only",'Chinook Adult Proportions'!AA44,'Chinook All Ages Proportions'!AA44))</f>
        <v>0.47897156602245478</v>
      </c>
      <c r="AF44" s="42">
        <f>IF($B44="Jacks Only",'Chinook Jack Proportions'!AB44,IF('3. Select Chinook Method'!$B44="Adults Only",'Chinook Adult Proportions'!AB44,'Chinook All Ages Proportions'!AB44))</f>
        <v>0.47826086956521741</v>
      </c>
      <c r="AG44" s="44">
        <f>IF($B44="Jacks Only",'Chinook Jack Proportions'!AC44,IF('3. Select Chinook Method'!$B44="Adults Only",'Chinook Adult Proportions'!AC44,'Chinook All Ages Proportions'!AC44))</f>
        <v>0.55626786264114036</v>
      </c>
    </row>
    <row r="45" spans="1:33" x14ac:dyDescent="0.3">
      <c r="A45" s="5">
        <f>'1. Mixture Model Inputs'!A45</f>
        <v>45147</v>
      </c>
      <c r="B45" s="55" t="s">
        <v>43</v>
      </c>
      <c r="C45" s="60">
        <f t="shared" si="0"/>
        <v>7634.9510307377477</v>
      </c>
      <c r="D45" s="56">
        <f>'Chinook All Ages Proportions'!Y45</f>
        <v>7634.9510307377477</v>
      </c>
      <c r="E45" s="56">
        <f>'Chinook Adult Proportions'!Y45</f>
        <v>7634.9510307377477</v>
      </c>
      <c r="F45" s="57">
        <f>'Chinook Jack Proportions'!Y45</f>
        <v>0</v>
      </c>
      <c r="G45" s="71">
        <f>IF($B45="Jacks Only",'Chinook Jack Proportions'!C45,IF('3. Select Chinook Method'!$B45="Adults Only",'Chinook Adult Proportions'!C45,'Chinook All Ages Proportions'!C45))</f>
        <v>5.4536440257808627E-2</v>
      </c>
      <c r="H45" s="71">
        <f>IF($B45="Jacks Only",'Chinook Jack Proportions'!D45,IF('3. Select Chinook Method'!$B45="Adults Only",'Chinook Adult Proportions'!D45,'Chinook All Ages Proportions'!D45))</f>
        <v>0.11035653650254668</v>
      </c>
      <c r="I45" s="71">
        <f>IF($B45="Jacks Only",'Chinook Jack Proportions'!E45,IF('3. Select Chinook Method'!$B45="Adults Only",'Chinook Adult Proportions'!E45,'Chinook All Ages Proportions'!E45))</f>
        <v>9.3492208982584785E-2</v>
      </c>
      <c r="J45" s="71">
        <f>IF($B45="Jacks Only",'Chinook Jack Proportions'!F45,IF('3. Select Chinook Method'!$B45="Adults Only",'Chinook Adult Proportions'!F45,'Chinook All Ages Proportions'!F45))</f>
        <v>0.27708731676226894</v>
      </c>
      <c r="K45" s="71">
        <f>IF($B45="Jacks Only",'Chinook Jack Proportions'!G45,IF('3. Select Chinook Method'!$B45="Adults Only",'Chinook Adult Proportions'!G45,'Chinook All Ages Proportions'!G45))</f>
        <v>0.53851444291609352</v>
      </c>
      <c r="L45" s="24">
        <f>IF($B45="Jacks Only",'Chinook Jack Proportions'!H45,IF('3. Select Chinook Method'!$B45="Adults Only",'Chinook Adult Proportions'!H45,'Chinook All Ages Proportions'!H45))</f>
        <v>0.25</v>
      </c>
      <c r="M45" s="71">
        <f>IF($B45="Jacks Only",'Chinook Jack Proportions'!I45,IF('3. Select Chinook Method'!$B45="Adults Only",'Chinook Adult Proportions'!I45,'Chinook All Ages Proportions'!I45))</f>
        <v>0.14168039538714994</v>
      </c>
      <c r="N45" s="71">
        <f>IF($B45="Jacks Only",'Chinook Jack Proportions'!J45,IF('3. Select Chinook Method'!$B45="Adults Only",'Chinook Adult Proportions'!J45,'Chinook All Ages Proportions'!J45))</f>
        <v>0.24088707621718075</v>
      </c>
      <c r="O45" s="23">
        <f>IF($B45="Jacks Only",'Chinook Jack Proportions'!K45,IF('3. Select Chinook Method'!$B45="Adults Only",'Chinook Adult Proportions'!K45,'Chinook All Ages Proportions'!K45))</f>
        <v>0.3922466011576255</v>
      </c>
      <c r="P45" s="76">
        <f>IF($B45="Jacks Only",'Chinook Jack Proportions'!L45,IF('3. Select Chinook Method'!$B45="Adults Only",'Chinook Adult Proportions'!L45,'Chinook All Ages Proportions'!L45))</f>
        <v>53.17302925136341</v>
      </c>
      <c r="Q45" s="76">
        <f>IF($B45="Jacks Only",'Chinook Jack Proportions'!M45,IF('3. Select Chinook Method'!$B45="Adults Only",'Chinook Adult Proportions'!M45,'Chinook All Ages Proportions'!M45))</f>
        <v>180.21222410865872</v>
      </c>
      <c r="R45" s="76">
        <f>IF($B45="Jacks Only",'Chinook Jack Proportions'!X45,IF('3. Select Chinook Method'!$B45="Adults Only",'Chinook Adult Proportions'!X45,'Chinook All Ages Proportions'!X45))</f>
        <v>243.76784601283228</v>
      </c>
      <c r="S45" s="76">
        <f>IF($B45="Jacks Only",'Chinook Jack Proportions'!N45,IF('3. Select Chinook Method'!$B45="Adults Only",'Chinook Adult Proportions'!N45,'Chinook All Ages Proportions'!N45))</f>
        <v>745.07671128107074</v>
      </c>
      <c r="T45" s="76">
        <f>IF($B45="Jacks Only",'Chinook Jack Proportions'!O45,IF('3. Select Chinook Method'!$B45="Adults Only",'Chinook Adult Proportions'!O45,'Chinook All Ages Proportions'!O45))</f>
        <v>1610.1151031636864</v>
      </c>
      <c r="U45" s="76">
        <f>IF($B45="Jacks Only",'Chinook Jack Proportions'!P45,IF('3. Select Chinook Method'!$B45="Adults Only",'Chinook Adult Proportions'!P45,'Chinook All Ages Proportions'!P45))</f>
        <v>1130.7510866574964</v>
      </c>
      <c r="V45" s="76">
        <f>IF($B45="Jacks Only",'Chinook Jack Proportions'!Q45,IF('3. Select Chinook Method'!$B45="Adults Only",'Chinook Adult Proportions'!Q45,'Chinook All Ages Proportions'!Q45))</f>
        <v>681.37155433287478</v>
      </c>
      <c r="W45" s="76">
        <f>IF($B45="Jacks Only",'Chinook Jack Proportions'!R45,IF('3. Select Chinook Method'!$B45="Adults Only",'Chinook Adult Proportions'!R45,'Chinook All Ages Proportions'!R45))</f>
        <v>0</v>
      </c>
      <c r="X45" s="56">
        <f>IF(B45="Jacks Only",'Chinook Jack Proportions'!S45,IF(B45="Adults Only",'Chinook Adult Proportions'!S45,'Chinook All Ages Proportions'!S45))</f>
        <v>2984.4600000000009</v>
      </c>
      <c r="Y45" s="56">
        <f>IF($B45="Jacks Only",'Chinook Jack Proportions'!T45,IF('3. Select Chinook Method'!$B45="Adults Only",'Chinook Adult Proportions'!T45,'Chinook All Ages Proportions'!T45))</f>
        <v>-125.01683672095838</v>
      </c>
      <c r="Z45" s="56">
        <f>IF($B45="Jacks Only",'Chinook Jack Proportions'!U45,IF('3. Select Chinook Method'!$B45="Adults Only",'Chinook Adult Proportions'!U45,'Chinook All Ages Proportions'!U45))</f>
        <v>214.82561852200837</v>
      </c>
      <c r="AA45" s="56">
        <f>IF($B45="Jacks Only",'Chinook Jack Proportions'!V45,IF('3. Select Chinook Method'!$B45="Adults Only",'Chinook Adult Proportions'!V45,'Chinook All Ages Proportions'!V45))</f>
        <v>84.291205709915886</v>
      </c>
      <c r="AB45" s="56">
        <f>IF($B45="Jacks Only",'Chinook Jack Proportions'!W45,IF('3. Select Chinook Method'!$B45="Adults Only",'Chinook Adult Proportions'!W45,'Chinook All Ages Proportions'!W45))</f>
        <v>75.691334431630978</v>
      </c>
      <c r="AC45" s="41">
        <f>IF(B45="Jacks Only",'Chinook Jack Proportions'!Y45,IF('3. Select Chinook Method'!B45="Adults Only",'Chinook Adult Proportions'!Y45,'Chinook All Ages Proportions'!Y45))</f>
        <v>7634.9510307377477</v>
      </c>
      <c r="AD45" s="42">
        <f>IF(B45="Jacks Only",'Chinook Jack Proportions'!Z45,IF('3. Select Chinook Method'!B45="Adults Only",'Chinook Adult Proportions'!Z45,'Chinook All Ages Proportions'!Z45))</f>
        <v>0.30907929931608413</v>
      </c>
      <c r="AE45" s="43">
        <f>IF($B45="Jacks Only",'Chinook Jack Proportions'!AA45,IF('3. Select Chinook Method'!$B45="Adults Only",'Chinook Adult Proportions'!AA45,'Chinook All Ages Proportions'!AA45))</f>
        <v>0.37770096579904955</v>
      </c>
      <c r="AF45" s="42">
        <f>IF($B45="Jacks Only",'Chinook Jack Proportions'!AB45,IF('3. Select Chinook Method'!$B45="Adults Only",'Chinook Adult Proportions'!AB45,'Chinook All Ages Proportions'!AB45))</f>
        <v>0.25</v>
      </c>
      <c r="AG45" s="44">
        <f>IF($B45="Jacks Only",'Chinook Jack Proportions'!AC45,IF('3. Select Chinook Method'!$B45="Adults Only",'Chinook Adult Proportions'!AC45,'Chinook All Ages Proportions'!AC45))</f>
        <v>0.43150794973500006</v>
      </c>
    </row>
    <row r="46" spans="1:33" x14ac:dyDescent="0.3">
      <c r="A46" s="5">
        <f>'1. Mixture Model Inputs'!A46</f>
        <v>45148</v>
      </c>
      <c r="B46" s="55" t="s">
        <v>43</v>
      </c>
      <c r="C46" s="60">
        <f t="shared" si="0"/>
        <v>11228.016083691347</v>
      </c>
      <c r="D46" s="56">
        <f>'Chinook All Ages Proportions'!Y46</f>
        <v>11228.016083691347</v>
      </c>
      <c r="E46" s="56">
        <f>'Chinook Adult Proportions'!Y46</f>
        <v>11228.016083691347</v>
      </c>
      <c r="F46" s="57">
        <f>'Chinook Jack Proportions'!Y46</f>
        <v>0</v>
      </c>
      <c r="G46" s="71">
        <f>IF($B46="Jacks Only",'Chinook Jack Proportions'!C46,IF('3. Select Chinook Method'!$B46="Adults Only",'Chinook Adult Proportions'!C46,'Chinook All Ages Proportions'!C46))</f>
        <v>2.0382165605095544E-2</v>
      </c>
      <c r="H46" s="71">
        <f>IF($B46="Jacks Only",'Chinook Jack Proportions'!D46,IF('3. Select Chinook Method'!$B46="Adults Only",'Chinook Adult Proportions'!D46,'Chinook All Ages Proportions'!D46))</f>
        <v>5.0789044077634684E-3</v>
      </c>
      <c r="I46" s="71">
        <f>IF($B46="Jacks Only",'Chinook Jack Proportions'!E46,IF('3. Select Chinook Method'!$B46="Adults Only",'Chinook Adult Proportions'!E46,'Chinook All Ages Proportions'!E46))</f>
        <v>1.0375835831219737E-2</v>
      </c>
      <c r="J46" s="71">
        <f>IF($B46="Jacks Only",'Chinook Jack Proportions'!F46,IF('3. Select Chinook Method'!$B46="Adults Only",'Chinook Adult Proportions'!F46,'Chinook All Ages Proportions'!F46))</f>
        <v>0.25356022206130824</v>
      </c>
      <c r="K46" s="71">
        <f>IF($B46="Jacks Only",'Chinook Jack Proportions'!G46,IF('3. Select Chinook Method'!$B46="Adults Only",'Chinook Adult Proportions'!G46,'Chinook All Ages Proportions'!G46))</f>
        <v>0.43728100911002105</v>
      </c>
      <c r="L46" s="24">
        <f>IF($B46="Jacks Only",'Chinook Jack Proportions'!H46,IF('3. Select Chinook Method'!$B46="Adults Only",'Chinook Adult Proportions'!H46,'Chinook All Ages Proportions'!H46))</f>
        <v>0.33333333333333331</v>
      </c>
      <c r="M46" s="71">
        <f>IF($B46="Jacks Only",'Chinook Jack Proportions'!I46,IF('3. Select Chinook Method'!$B46="Adults Only",'Chinook Adult Proportions'!I46,'Chinook All Ages Proportions'!I46))</f>
        <v>0.14168039538714994</v>
      </c>
      <c r="N46" s="71">
        <f>IF($B46="Jacks Only",'Chinook Jack Proportions'!J46,IF('3. Select Chinook Method'!$B46="Adults Only",'Chinook Adult Proportions'!J46,'Chinook All Ages Proportions'!J46))</f>
        <v>0.24088707621718075</v>
      </c>
      <c r="O46" s="23">
        <f>IF($B46="Jacks Only",'Chinook Jack Proportions'!K46,IF('3. Select Chinook Method'!$B46="Adults Only",'Chinook Adult Proportions'!K46,'Chinook All Ages Proportions'!K46))</f>
        <v>0.3922466011576255</v>
      </c>
      <c r="P46" s="76">
        <f>IF($B46="Jacks Only",'Chinook Jack Proportions'!L46,IF('3. Select Chinook Method'!$B46="Adults Only",'Chinook Adult Proportions'!L46,'Chinook All Ages Proportions'!L46))</f>
        <v>35.91337579617835</v>
      </c>
      <c r="Q46" s="76">
        <f>IF($B46="Jacks Only",'Chinook Jack Proportions'!M46,IF('3. Select Chinook Method'!$B46="Adults Only",'Chinook Adult Proportions'!M46,'Chinook All Ages Proportions'!M46))</f>
        <v>23.139488481770361</v>
      </c>
      <c r="R46" s="76">
        <f>IF($B46="Jacks Only",'Chinook Jack Proportions'!X46,IF('3. Select Chinook Method'!$B46="Adults Only",'Chinook Adult Proportions'!X46,'Chinook All Ages Proportions'!X46))</f>
        <v>65.557020982245788</v>
      </c>
      <c r="S46" s="76">
        <f>IF($B46="Jacks Only",'Chinook Jack Proportions'!N46,IF('3. Select Chinook Method'!$B46="Adults Only",'Chinook Adult Proportions'!N46,'Chinook All Ages Proportions'!N46))</f>
        <v>1956.348964518465</v>
      </c>
      <c r="T46" s="76">
        <f>IF($B46="Jacks Only",'Chinook Jack Proportions'!O46,IF('3. Select Chinook Method'!$B46="Adults Only",'Chinook Adult Proportions'!O46,'Chinook All Ages Proportions'!O46))</f>
        <v>2360.3729222144361</v>
      </c>
      <c r="U46" s="76">
        <f>IF($B46="Jacks Only",'Chinook Jack Proportions'!P46,IF('3. Select Chinook Method'!$B46="Adults Only",'Chinook Adult Proportions'!P46,'Chinook All Ages Proportions'!P46))</f>
        <v>1130.3888997897689</v>
      </c>
      <c r="V46" s="76">
        <f>IF($B46="Jacks Only",'Chinook Jack Proportions'!Q46,IF('3. Select Chinook Method'!$B46="Adults Only",'Chinook Adult Proportions'!Q46,'Chinook All Ages Proportions'!Q46))</f>
        <v>847.03080588647526</v>
      </c>
      <c r="W46" s="76">
        <f>IF($B46="Jacks Only",'Chinook Jack Proportions'!R46,IF('3. Select Chinook Method'!$B46="Adults Only",'Chinook Adult Proportions'!R46,'Chinook All Ages Proportions'!R46))</f>
        <v>0</v>
      </c>
      <c r="X46" s="56">
        <f>IF(B46="Jacks Only",'Chinook Jack Proportions'!S46,IF(B46="Adults Only",'Chinook Adult Proportions'!S46,'Chinook All Ages Proportions'!S46))</f>
        <v>4760.8799999999956</v>
      </c>
      <c r="Y46" s="56">
        <f>IF($B46="Jacks Only",'Chinook Jack Proportions'!T46,IF('3. Select Chinook Method'!$B46="Adults Only",'Chinook Adult Proportions'!T46,'Chinook All Ages Proportions'!T46))</f>
        <v>-38.314648001076861</v>
      </c>
      <c r="Z46" s="56">
        <f>IF($B46="Jacks Only",'Chinook Jack Proportions'!U46,IF('3. Select Chinook Method'!$B46="Adults Only",'Chinook Adult Proportions'!U46,'Chinook All Ages Proportions'!U46))</f>
        <v>76.723435186431558</v>
      </c>
      <c r="AA46" s="56">
        <f>IF($B46="Jacks Only",'Chinook Jack Proportions'!V46,IF('3. Select Chinook Method'!$B46="Adults Only",'Chinook Adult Proportions'!V46,'Chinook All Ages Proportions'!V46))</f>
        <v>64.345755799133329</v>
      </c>
      <c r="AB46" s="56">
        <f>IF($B46="Jacks Only",'Chinook Jack Proportions'!W46,IF('3. Select Chinook Method'!$B46="Adults Only",'Chinook Adult Proportions'!W46,'Chinook All Ages Proportions'!W46))</f>
        <v>11.18708401976936</v>
      </c>
      <c r="AC46" s="41">
        <f>IF(B46="Jacks Only",'Chinook Jack Proportions'!Y46,IF('3. Select Chinook Method'!B46="Adults Only",'Chinook Adult Proportions'!Y46,'Chinook All Ages Proportions'!Y46))</f>
        <v>11228.016083691347</v>
      </c>
      <c r="AD46" s="42">
        <f>IF(B46="Jacks Only",'Chinook Jack Proportions'!Z46,IF('3. Select Chinook Method'!B46="Adults Only",'Chinook Adult Proportions'!Z46,'Chinook All Ages Proportions'!Z46))</f>
        <v>0.29027722841205422</v>
      </c>
      <c r="AE46" s="43">
        <f>IF($B46="Jacks Only",'Chinook Jack Proportions'!AA46,IF('3. Select Chinook Method'!$B46="Adults Only",'Chinook Adult Proportions'!AA46,'Chinook All Ages Proportions'!AA46))</f>
        <v>0.26522832636518034</v>
      </c>
      <c r="AF46" s="42">
        <f>IF($B46="Jacks Only",'Chinook Jack Proportions'!AB46,IF('3. Select Chinook Method'!$B46="Adults Only",'Chinook Adult Proportions'!AB46,'Chinook All Ages Proportions'!AB46))</f>
        <v>0.33333333333333331</v>
      </c>
      <c r="AG46" s="44">
        <f>IF($B46="Jacks Only",'Chinook Jack Proportions'!AC46,IF('3. Select Chinook Method'!$B46="Adults Only",'Chinook Adult Proportions'!AC46,'Chinook All Ages Proportions'!AC46))</f>
        <v>0.31213463457225887</v>
      </c>
    </row>
    <row r="47" spans="1:33" x14ac:dyDescent="0.3">
      <c r="A47" s="5">
        <f>'1. Mixture Model Inputs'!A47</f>
        <v>45149</v>
      </c>
      <c r="B47" s="55" t="s">
        <v>43</v>
      </c>
      <c r="C47" s="60">
        <f t="shared" si="0"/>
        <v>14940.334427735261</v>
      </c>
      <c r="D47" s="56">
        <f>'Chinook All Ages Proportions'!Y47</f>
        <v>14940.334427735261</v>
      </c>
      <c r="E47" s="56">
        <f>'Chinook Adult Proportions'!Y47</f>
        <v>14940.334427735261</v>
      </c>
      <c r="F47" s="57">
        <f>'Chinook Jack Proportions'!Y47</f>
        <v>0</v>
      </c>
      <c r="G47" s="71">
        <f>IF($B47="Jacks Only",'Chinook Jack Proportions'!C47,IF('3. Select Chinook Method'!$B47="Adults Only",'Chinook Adult Proportions'!C47,'Chinook All Ages Proportions'!C47))</f>
        <v>5.5618615209988648E-2</v>
      </c>
      <c r="H47" s="71">
        <f>IF($B47="Jacks Only",'Chinook Jack Proportions'!D47,IF('3. Select Chinook Method'!$B47="Adults Only",'Chinook Adult Proportions'!D47,'Chinook All Ages Proportions'!D47))</f>
        <v>0.11463213006337833</v>
      </c>
      <c r="I47" s="71">
        <f>IF($B47="Jacks Only",'Chinook Jack Proportions'!E47,IF('3. Select Chinook Method'!$B47="Adults Only",'Chinook Adult Proportions'!E47,'Chinook All Ages Proportions'!E47))</f>
        <v>0.10281038776236213</v>
      </c>
      <c r="J47" s="71">
        <f>IF($B47="Jacks Only",'Chinook Jack Proportions'!F47,IF('3. Select Chinook Method'!$B47="Adults Only",'Chinook Adult Proportions'!F47,'Chinook All Ages Proportions'!F47))</f>
        <v>0.48492142149228373</v>
      </c>
      <c r="K47" s="71">
        <f>IF($B47="Jacks Only",'Chinook Jack Proportions'!G47,IF('3. Select Chinook Method'!$B47="Adults Only",'Chinook Adult Proportions'!G47,'Chinook All Ages Proportions'!G47))</f>
        <v>0.60407167850705112</v>
      </c>
      <c r="L47" s="24">
        <f>IF($B47="Jacks Only",'Chinook Jack Proportions'!H47,IF('3. Select Chinook Method'!$B47="Adults Only",'Chinook Adult Proportions'!H47,'Chinook All Ages Proportions'!H47))</f>
        <v>0.13157894736842105</v>
      </c>
      <c r="M47" s="71">
        <f>IF($B47="Jacks Only",'Chinook Jack Proportions'!I47,IF('3. Select Chinook Method'!$B47="Adults Only",'Chinook Adult Proportions'!I47,'Chinook All Ages Proportions'!I47))</f>
        <v>0.29914529914529914</v>
      </c>
      <c r="N47" s="71">
        <f>IF($B47="Jacks Only",'Chinook Jack Proportions'!J47,IF('3. Select Chinook Method'!$B47="Adults Only",'Chinook Adult Proportions'!J47,'Chinook All Ages Proportions'!J47))</f>
        <v>0.34555148283905368</v>
      </c>
      <c r="O47" s="23">
        <f>IF($B47="Jacks Only",'Chinook Jack Proportions'!K47,IF('3. Select Chinook Method'!$B47="Adults Only",'Chinook Adult Proportions'!K47,'Chinook All Ages Proportions'!K47))</f>
        <v>0.14995099640640316</v>
      </c>
      <c r="P47" s="76">
        <f>IF($B47="Jacks Only",'Chinook Jack Proportions'!L47,IF('3. Select Chinook Method'!$B47="Adults Only",'Chinook Adult Proportions'!L47,'Chinook All Ages Proportions'!L47))</f>
        <v>63.349602724177068</v>
      </c>
      <c r="Q47" s="76">
        <f>IF($B47="Jacks Only",'Chinook Jack Proportions'!M47,IF('3. Select Chinook Method'!$B47="Adults Only",'Chinook Adult Proportions'!M47,'Chinook All Ages Proportions'!M47))</f>
        <v>416.80242491044362</v>
      </c>
      <c r="R47" s="76">
        <f>IF($B47="Jacks Only",'Chinook Jack Proportions'!X47,IF('3. Select Chinook Method'!$B47="Adults Only",'Chinook Adult Proportions'!X47,'Chinook All Ages Proportions'!X47))</f>
        <v>490.89903948772667</v>
      </c>
      <c r="S47" s="76">
        <f>IF($B47="Jacks Only",'Chinook Jack Proportions'!N47,IF('3. Select Chinook Method'!$B47="Adults Only",'Chinook Adult Proportions'!N47,'Chinook All Ages Proportions'!N47))</f>
        <v>2977.7278776723774</v>
      </c>
      <c r="T47" s="76">
        <f>IF($B47="Jacks Only",'Chinook Jack Proportions'!O47,IF('3. Select Chinook Method'!$B47="Adults Only",'Chinook Adult Proportions'!O47,'Chinook All Ages Proportions'!O47))</f>
        <v>3526.715436327006</v>
      </c>
      <c r="U47" s="76">
        <f>IF($B47="Jacks Only",'Chinook Jack Proportions'!P47,IF('3. Select Chinook Method'!$B47="Adults Only",'Chinook Adult Proportions'!P47,'Chinook All Ages Proportions'!P47))</f>
        <v>3559.0453525607036</v>
      </c>
      <c r="V47" s="76">
        <f>IF($B47="Jacks Only",'Chinook Jack Proportions'!Q47,IF('3. Select Chinook Method'!$B47="Adults Only",'Chinook Adult Proportions'!Q47,'Chinook All Ages Proportions'!Q47))</f>
        <v>1805.5460841904355</v>
      </c>
      <c r="W47" s="76">
        <f>IF($B47="Jacks Only",'Chinook Jack Proportions'!R47,IF('3. Select Chinook Method'!$B47="Adults Only",'Chinook Adult Proportions'!R47,'Chinook All Ages Proportions'!R47))</f>
        <v>0</v>
      </c>
      <c r="X47" s="56">
        <f>IF(B47="Jacks Only",'Chinook Jack Proportions'!S47,IF(B47="Adults Only",'Chinook Adult Proportions'!S47,'Chinook All Ages Proportions'!S47))</f>
        <v>2201.0526315789489</v>
      </c>
      <c r="Y47" s="56">
        <f>IF($B47="Jacks Only",'Chinook Jack Proportions'!T47,IF('3. Select Chinook Method'!$B47="Adults Only",'Chinook Adult Proportions'!T47,'Chinook All Ages Proportions'!T47))</f>
        <v>-12.991754328650771</v>
      </c>
      <c r="Z47" s="56">
        <f>IF($B47="Jacks Only",'Chinook Jack Proportions'!U47,IF('3. Select Chinook Method'!$B47="Adults Only",'Chinook Adult Proportions'!U47,'Chinook All Ages Proportions'!U47))</f>
        <v>92.165880431231642</v>
      </c>
      <c r="AA47" s="56">
        <f>IF($B47="Jacks Only",'Chinook Jack Proportions'!V47,IF('3. Select Chinook Method'!$B47="Adults Only",'Chinook Adult Proportions'!V47,'Chinook All Ages Proportions'!V47))</f>
        <v>143.63884038653782</v>
      </c>
      <c r="AB47" s="56">
        <f>IF($B47="Jacks Only",'Chinook Jack Proportions'!W47,IF('3. Select Chinook Method'!$B47="Adults Only",'Chinook Adult Proportions'!W47,'Chinook All Ages Proportions'!W47))</f>
        <v>167.2820512820513</v>
      </c>
      <c r="AC47" s="41">
        <f>IF(B47="Jacks Only",'Chinook Jack Proportions'!Y47,IF('3. Select Chinook Method'!B47="Adults Only",'Chinook Adult Proportions'!Y47,'Chinook All Ages Proportions'!Y47))</f>
        <v>14940.334427735261</v>
      </c>
      <c r="AD47" s="42">
        <f>IF(B47="Jacks Only",'Chinook Jack Proportions'!Z47,IF('3. Select Chinook Method'!B47="Adults Only",'Chinook Adult Proportions'!Z47,'Chinook All Ages Proportions'!Z47))</f>
        <v>0.34059589788860939</v>
      </c>
      <c r="AE47" s="43">
        <f>IF($B47="Jacks Only",'Chinook Jack Proportions'!AA47,IF('3. Select Chinook Method'!$B47="Adults Only",'Chinook Adult Proportions'!AA47,'Chinook All Ages Proportions'!AA47))</f>
        <v>0.48174276668793264</v>
      </c>
      <c r="AF47" s="42">
        <f>IF($B47="Jacks Only",'Chinook Jack Proportions'!AB47,IF('3. Select Chinook Method'!$B47="Adults Only",'Chinook Adult Proportions'!AB47,'Chinook All Ages Proportions'!AB47))</f>
        <v>0.13157894736842105</v>
      </c>
      <c r="AG47" s="44">
        <f>IF($B47="Jacks Only",'Chinook Jack Proportions'!AC47,IF('3. Select Chinook Method'!$B47="Adults Only",'Chinook Adult Proportions'!AC47,'Chinook All Ages Proportions'!AC47))</f>
        <v>0.41337637522377285</v>
      </c>
    </row>
    <row r="48" spans="1:33" x14ac:dyDescent="0.3">
      <c r="A48" s="5">
        <f>'1. Mixture Model Inputs'!A48</f>
        <v>45150</v>
      </c>
      <c r="B48" s="55" t="s">
        <v>43</v>
      </c>
      <c r="C48" s="60">
        <f t="shared" si="0"/>
        <v>13161.801368939245</v>
      </c>
      <c r="D48" s="56">
        <f>'Chinook All Ages Proportions'!Y48</f>
        <v>13161.801368939245</v>
      </c>
      <c r="E48" s="56">
        <f>'Chinook Adult Proportions'!Y48</f>
        <v>13161.801368939245</v>
      </c>
      <c r="F48" s="57">
        <f>'Chinook Jack Proportions'!Y48</f>
        <v>0</v>
      </c>
      <c r="G48" s="71">
        <f>IF($B48="Jacks Only",'Chinook Jack Proportions'!C48,IF('3. Select Chinook Method'!$B48="Adults Only",'Chinook Adult Proportions'!C48,'Chinook All Ages Proportions'!C48))</f>
        <v>5.6936936936936938E-2</v>
      </c>
      <c r="H48" s="71">
        <f>IF($B48="Jacks Only",'Chinook Jack Proportions'!D48,IF('3. Select Chinook Method'!$B48="Adults Only",'Chinook Adult Proportions'!D48,'Chinook All Ages Proportions'!D48))</f>
        <v>6.9304071614207333E-2</v>
      </c>
      <c r="I48" s="71">
        <f>IF($B48="Jacks Only",'Chinook Jack Proportions'!E48,IF('3. Select Chinook Method'!$B48="Adults Only",'Chinook Adult Proportions'!E48,'Chinook All Ages Proportions'!E48))</f>
        <v>6.3747585318737934E-2</v>
      </c>
      <c r="J48" s="71">
        <f>IF($B48="Jacks Only",'Chinook Jack Proportions'!F48,IF('3. Select Chinook Method'!$B48="Adults Only",'Chinook Adult Proportions'!F48,'Chinook All Ages Proportions'!F48))</f>
        <v>0.51823015571591335</v>
      </c>
      <c r="K48" s="71">
        <f>IF($B48="Jacks Only",'Chinook Jack Proportions'!G48,IF('3. Select Chinook Method'!$B48="Adults Only",'Chinook Adult Proportions'!G48,'Chinook All Ages Proportions'!G48))</f>
        <v>0.55192700204106138</v>
      </c>
      <c r="L48" s="24">
        <f>IF($B48="Jacks Only",'Chinook Jack Proportions'!H48,IF('3. Select Chinook Method'!$B48="Adults Only",'Chinook Adult Proportions'!H48,'Chinook All Ages Proportions'!H48))</f>
        <v>0.25974025974025972</v>
      </c>
      <c r="M48" s="71">
        <f>IF($B48="Jacks Only",'Chinook Jack Proportions'!I48,IF('3. Select Chinook Method'!$B48="Adults Only",'Chinook Adult Proportions'!I48,'Chinook All Ages Proportions'!I48))</f>
        <v>0.29914529914529914</v>
      </c>
      <c r="N48" s="71">
        <f>IF($B48="Jacks Only",'Chinook Jack Proportions'!J48,IF('3. Select Chinook Method'!$B48="Adults Only",'Chinook Adult Proportions'!J48,'Chinook All Ages Proportions'!J48))</f>
        <v>0.34555148283905368</v>
      </c>
      <c r="O48" s="23">
        <f>IF($B48="Jacks Only",'Chinook Jack Proportions'!K48,IF('3. Select Chinook Method'!$B48="Adults Only",'Chinook Adult Proportions'!K48,'Chinook All Ages Proportions'!K48))</f>
        <v>0.14995099640640316</v>
      </c>
      <c r="P48" s="76">
        <f>IF($B48="Jacks Only",'Chinook Jack Proportions'!L48,IF('3. Select Chinook Method'!$B48="Adults Only",'Chinook Adult Proportions'!L48,'Chinook All Ages Proportions'!L48))</f>
        <v>118.94126126126126</v>
      </c>
      <c r="Q48" s="76">
        <f>IF($B48="Jacks Only",'Chinook Jack Proportions'!M48,IF('3. Select Chinook Method'!$B48="Adults Only",'Chinook Adult Proportions'!M48,'Chinook All Ages Proportions'!M48))</f>
        <v>195.36817788045047</v>
      </c>
      <c r="R48" s="76">
        <f>IF($B48="Jacks Only",'Chinook Jack Proportions'!X48,IF('3. Select Chinook Method'!$B48="Adults Only",'Chinook Adult Proportions'!X48,'Chinook All Ages Proportions'!X48))</f>
        <v>312.88844816484226</v>
      </c>
      <c r="S48" s="76">
        <f>IF($B48="Jacks Only",'Chinook Jack Proportions'!N48,IF('3. Select Chinook Method'!$B48="Adults Only",'Chinook Adult Proportions'!N48,'Chinook All Ages Proportions'!N48))</f>
        <v>1761.7752373718192</v>
      </c>
      <c r="T48" s="76">
        <f>IF($B48="Jacks Only",'Chinook Jack Proportions'!O48,IF('3. Select Chinook Method'!$B48="Adults Only",'Chinook Adult Proportions'!O48,'Chinook All Ages Proportions'!O48))</f>
        <v>1203.4216352503299</v>
      </c>
      <c r="U48" s="76">
        <f>IF($B48="Jacks Only",'Chinook Jack Proportions'!P48,IF('3. Select Chinook Method'!$B48="Adults Only",'Chinook Adult Proportions'!P48,'Chinook All Ages Proportions'!P48))</f>
        <v>1203.4216352503299</v>
      </c>
      <c r="V48" s="76">
        <f>IF($B48="Jacks Only",'Chinook Jack Proportions'!Q48,IF('3. Select Chinook Method'!$B48="Adults Only",'Chinook Adult Proportions'!Q48,'Chinook All Ages Proportions'!Q48))</f>
        <v>1131.3620458638493</v>
      </c>
      <c r="W48" s="76">
        <f>IF($B48="Jacks Only",'Chinook Jack Proportions'!R48,IF('3. Select Chinook Method'!$B48="Adults Only",'Chinook Adult Proportions'!R48,'Chinook All Ages Proportions'!R48))</f>
        <v>0</v>
      </c>
      <c r="X48" s="56">
        <f>IF(B48="Jacks Only",'Chinook Jack Proportions'!S48,IF(B48="Adults Only",'Chinook Adult Proportions'!S48,'Chinook All Ages Proportions'!S48))</f>
        <v>6677.9985038961004</v>
      </c>
      <c r="Y48" s="56">
        <f>IF($B48="Jacks Only",'Chinook Jack Proportions'!T48,IF('3. Select Chinook Method'!$B48="Adults Only",'Chinook Adult Proportions'!T48,'Chinook All Ages Proportions'!T48))</f>
        <v>43.869663508657311</v>
      </c>
      <c r="Z48" s="56">
        <f>IF($B48="Jacks Only",'Chinook Jack Proportions'!U48,IF('3. Select Chinook Method'!$B48="Adults Only",'Chinook Adult Proportions'!U48,'Chinook All Ages Proportions'!U48))</f>
        <v>84.50038549493631</v>
      </c>
      <c r="AA48" s="56">
        <f>IF($B48="Jacks Only",'Chinook Jack Proportions'!V48,IF('3. Select Chinook Method'!$B48="Adults Only",'Chinook Adult Proportions'!V48,'Chinook All Ages Proportions'!V48))</f>
        <v>346.98897700766418</v>
      </c>
      <c r="AB48" s="56">
        <f>IF($B48="Jacks Only",'Chinook Jack Proportions'!W48,IF('3. Select Chinook Method'!$B48="Adults Only",'Chinook Adult Proportions'!W48,'Chinook All Ages Proportions'!W48))</f>
        <v>394.15384615384613</v>
      </c>
      <c r="AC48" s="41">
        <f>IF(B48="Jacks Only",'Chinook Jack Proportions'!Y48,IF('3. Select Chinook Method'!B48="Adults Only",'Chinook Adult Proportions'!Y48,'Chinook All Ages Proportions'!Y48))</f>
        <v>13161.801368939245</v>
      </c>
      <c r="AD48" s="42">
        <f>IF(B48="Jacks Only",'Chinook Jack Proportions'!Z48,IF('3. Select Chinook Method'!B48="Adults Only",'Chinook Adult Proportions'!Z48,'Chinook All Ages Proportions'!Z48))</f>
        <v>0.30183038968583881</v>
      </c>
      <c r="AE48" s="43">
        <f>IF($B48="Jacks Only",'Chinook Jack Proportions'!AA48,IF('3. Select Chinook Method'!$B48="Adults Only",'Chinook Adult Proportions'!AA48,'Chinook All Ages Proportions'!AA48))</f>
        <v>0.38144495850645183</v>
      </c>
      <c r="AF48" s="42">
        <f>IF($B48="Jacks Only",'Chinook Jack Proportions'!AB48,IF('3. Select Chinook Method'!$B48="Adults Only",'Chinook Adult Proportions'!AB48,'Chinook All Ages Proportions'!AB48))</f>
        <v>0.25974025974025972</v>
      </c>
      <c r="AG48" s="44">
        <f>IF($B48="Jacks Only",'Chinook Jack Proportions'!AC48,IF('3. Select Chinook Method'!$B48="Adults Only",'Chinook Adult Proportions'!AC48,'Chinook All Ages Proportions'!AC48))</f>
        <v>0.46741972657565906</v>
      </c>
    </row>
    <row r="49" spans="1:33" x14ac:dyDescent="0.3">
      <c r="A49" s="5">
        <f>'1. Mixture Model Inputs'!A49</f>
        <v>45151</v>
      </c>
      <c r="B49" s="55" t="s">
        <v>43</v>
      </c>
      <c r="C49" s="60">
        <f t="shared" si="0"/>
        <v>16984.809286335007</v>
      </c>
      <c r="D49" s="56">
        <f>'Chinook All Ages Proportions'!Y49</f>
        <v>16984.809286335007</v>
      </c>
      <c r="E49" s="56">
        <f>'Chinook Adult Proportions'!Y49</f>
        <v>16984.809286335007</v>
      </c>
      <c r="F49" s="57">
        <f>'Chinook Jack Proportions'!Y49</f>
        <v>0</v>
      </c>
      <c r="G49" s="71">
        <f>IF($B49="Jacks Only",'Chinook Jack Proportions'!C49,IF('3. Select Chinook Method'!$B49="Adults Only",'Chinook Adult Proportions'!C49,'Chinook All Ages Proportions'!C49))</f>
        <v>0.17034358047016274</v>
      </c>
      <c r="H49" s="71">
        <f>IF($B49="Jacks Only",'Chinook Jack Proportions'!D49,IF('3. Select Chinook Method'!$B49="Adults Only",'Chinook Adult Proportions'!D49,'Chinook All Ages Proportions'!D49))</f>
        <v>0.15842167255594816</v>
      </c>
      <c r="I49" s="71">
        <f>IF($B49="Jacks Only",'Chinook Jack Proportions'!E49,IF('3. Select Chinook Method'!$B49="Adults Only",'Chinook Adult Proportions'!E49,'Chinook All Ages Proportions'!E49))</f>
        <v>0.16507098052162431</v>
      </c>
      <c r="J49" s="71">
        <f>IF($B49="Jacks Only",'Chinook Jack Proportions'!F49,IF('3. Select Chinook Method'!$B49="Adults Only",'Chinook Adult Proportions'!F49,'Chinook All Ages Proportions'!F49))</f>
        <v>0.43024286474029422</v>
      </c>
      <c r="K49" s="71">
        <f>IF($B49="Jacks Only",'Chinook Jack Proportions'!G49,IF('3. Select Chinook Method'!$B49="Adults Only",'Chinook Adult Proportions'!G49,'Chinook All Ages Proportions'!G49))</f>
        <v>0.75215629221656444</v>
      </c>
      <c r="L49" s="24">
        <f>IF($B49="Jacks Only",'Chinook Jack Proportions'!H49,IF('3. Select Chinook Method'!$B49="Adults Only",'Chinook Adult Proportions'!H49,'Chinook All Ages Proportions'!H49))</f>
        <v>0.17307692307692307</v>
      </c>
      <c r="M49" s="71">
        <f>IF($B49="Jacks Only",'Chinook Jack Proportions'!I49,IF('3. Select Chinook Method'!$B49="Adults Only",'Chinook Adult Proportions'!I49,'Chinook All Ages Proportions'!I49))</f>
        <v>0.2550267243573428</v>
      </c>
      <c r="N49" s="71">
        <f>IF($B49="Jacks Only",'Chinook Jack Proportions'!J49,IF('3. Select Chinook Method'!$B49="Adults Only",'Chinook Adult Proportions'!J49,'Chinook All Ages Proportions'!J49))</f>
        <v>0.66382616105666803</v>
      </c>
      <c r="O49" s="23">
        <f>IF($B49="Jacks Only",'Chinook Jack Proportions'!K49,IF('3. Select Chinook Method'!$B49="Adults Only",'Chinook Adult Proportions'!K49,'Chinook All Ages Proportions'!K49))</f>
        <v>0.5967494994700272</v>
      </c>
      <c r="P49" s="76">
        <f>IF($B49="Jacks Only",'Chinook Jack Proportions'!L49,IF('3. Select Chinook Method'!$B49="Adults Only",'Chinook Adult Proportions'!L49,'Chinook All Ages Proportions'!L49))</f>
        <v>249.55334538878841</v>
      </c>
      <c r="Q49" s="76">
        <f>IF($B49="Jacks Only",'Chinook Jack Proportions'!M49,IF('3. Select Chinook Method'!$B49="Adults Only",'Chinook Adult Proportions'!M49,'Chinook All Ages Proportions'!M49))</f>
        <v>490.7903415783274</v>
      </c>
      <c r="R49" s="76">
        <f>IF($B49="Jacks Only",'Chinook Jack Proportions'!X49,IF('3. Select Chinook Method'!$B49="Adults Only",'Chinook Adult Proportions'!X49,'Chinook All Ages Proportions'!X49))</f>
        <v>753.19907560250908</v>
      </c>
      <c r="S49" s="76">
        <f>IF($B49="Jacks Only",'Chinook Jack Proportions'!N49,IF('3. Select Chinook Method'!$B49="Adults Only",'Chinook Adult Proportions'!N49,'Chinook All Ages Proportions'!N49))</f>
        <v>2239.9820315546885</v>
      </c>
      <c r="T49" s="76">
        <f>IF($B49="Jacks Only",'Chinook Jack Proportions'!O49,IF('3. Select Chinook Method'!$B49="Adults Only",'Chinook Adult Proportions'!O49,'Chinook All Ages Proportions'!O49))</f>
        <v>3564.6792725761193</v>
      </c>
      <c r="U49" s="76">
        <f>IF($B49="Jacks Only",'Chinook Jack Proportions'!P49,IF('3. Select Chinook Method'!$B49="Adults Only",'Chinook Adult Proportions'!P49,'Chinook All Ages Proportions'!P49))</f>
        <v>2963.1949288163773</v>
      </c>
      <c r="V49" s="76">
        <f>IF($B49="Jacks Only",'Chinook Jack Proportions'!Q49,IF('3. Select Chinook Method'!$B49="Adults Only",'Chinook Adult Proportions'!Q49,'Chinook All Ages Proportions'!Q49))</f>
        <v>2877.6296290138212</v>
      </c>
      <c r="W49" s="76">
        <f>IF($B49="Jacks Only",'Chinook Jack Proportions'!R49,IF('3. Select Chinook Method'!$B49="Adults Only",'Chinook Adult Proportions'!R49,'Chinook All Ages Proportions'!R49))</f>
        <v>0</v>
      </c>
      <c r="X49" s="56">
        <f>IF(B49="Jacks Only",'Chinook Jack Proportions'!S49,IF(B49="Adults Only",'Chinook Adult Proportions'!S49,'Chinook All Ages Proportions'!S49))</f>
        <v>2651.940000000001</v>
      </c>
      <c r="Y49" s="56">
        <f>IF($B49="Jacks Only",'Chinook Jack Proportions'!T49,IF('3. Select Chinook Method'!$B49="Adults Only",'Chinook Adult Proportions'!T49,'Chinook All Ages Proportions'!T49))</f>
        <v>376.6682840654812</v>
      </c>
      <c r="Z49" s="56">
        <f>IF($B49="Jacks Only",'Chinook Jack Proportions'!U49,IF('3. Select Chinook Method'!$B49="Adults Only",'Chinook Adult Proportions'!U49,'Chinook All Ages Proportions'!U49))</f>
        <v>675.42495348015552</v>
      </c>
      <c r="AA49" s="56">
        <f>IF($B49="Jacks Only",'Chinook Jack Proportions'!V49,IF('3. Select Chinook Method'!$B49="Adults Only",'Chinook Adult Proportions'!V49,'Chinook All Ages Proportions'!V49))</f>
        <v>524.95372816361316</v>
      </c>
      <c r="AB49" s="56">
        <f>IF($B49="Jacks Only",'Chinook Jack Proportions'!W49,IF('3. Select Chinook Method'!$B49="Adults Only",'Chinook Adult Proportions'!W49,'Chinook All Ages Proportions'!W49))</f>
        <v>369.99277169763297</v>
      </c>
      <c r="AC49" s="41">
        <f>IF(B49="Jacks Only",'Chinook Jack Proportions'!Y49,IF('3. Select Chinook Method'!B49="Adults Only",'Chinook Adult Proportions'!Y49,'Chinook All Ages Proportions'!Y49))</f>
        <v>16984.809286335007</v>
      </c>
      <c r="AD49" s="42">
        <f>IF(B49="Jacks Only",'Chinook Jack Proportions'!Z49,IF('3. Select Chinook Method'!B49="Adults Only",'Chinook Adult Proportions'!Z49,'Chinook All Ages Proportions'!Z49))</f>
        <v>0.40828004807434376</v>
      </c>
      <c r="AE49" s="43">
        <f>IF($B49="Jacks Only",'Chinook Jack Proportions'!AA49,IF('3. Select Chinook Method'!$B49="Adults Only",'Chinook Adult Proportions'!AA49,'Chinook All Ages Proportions'!AA49))</f>
        <v>0.55606869149786486</v>
      </c>
      <c r="AF49" s="42">
        <f>IF($B49="Jacks Only",'Chinook Jack Proportions'!AB49,IF('3. Select Chinook Method'!$B49="Adults Only",'Chinook Adult Proportions'!AB49,'Chinook All Ages Proportions'!AB49))</f>
        <v>0.17307692307692307</v>
      </c>
      <c r="AG49" s="44">
        <f>IF($B49="Jacks Only",'Chinook Jack Proportions'!AC49,IF('3. Select Chinook Method'!$B49="Adults Only",'Chinook Adult Proportions'!AC49,'Chinook All Ages Proportions'!AC49))</f>
        <v>0.76239691500128548</v>
      </c>
    </row>
    <row r="50" spans="1:33" x14ac:dyDescent="0.3">
      <c r="A50" s="5">
        <f>'1. Mixture Model Inputs'!A50</f>
        <v>45152</v>
      </c>
      <c r="B50" s="55" t="s">
        <v>43</v>
      </c>
      <c r="C50" s="60">
        <f>INDEX($D$6:$F$128, MATCH(A50, $A$6:$A$128, 0), MATCH(B50, $D$5:$F$5,0 ))</f>
        <v>10600.862689715908</v>
      </c>
      <c r="D50" s="56">
        <f>'Chinook All Ages Proportions'!Y50</f>
        <v>10600.862689715908</v>
      </c>
      <c r="E50" s="56">
        <f>'Chinook Adult Proportions'!Y50</f>
        <v>10600.862689715908</v>
      </c>
      <c r="F50" s="57">
        <f>'Chinook Jack Proportions'!Y50</f>
        <v>0</v>
      </c>
      <c r="G50" s="71">
        <f>IF($B50="Jacks Only",'Chinook Jack Proportions'!C50,IF('3. Select Chinook Method'!$B50="Adults Only",'Chinook Adult Proportions'!C50,'Chinook All Ages Proportions'!C50))</f>
        <v>2.2663682148852823E-2</v>
      </c>
      <c r="H50" s="71">
        <f>IF($B50="Jacks Only",'Chinook Jack Proportions'!D50,IF('3. Select Chinook Method'!$B50="Adults Only",'Chinook Adult Proportions'!D50,'Chinook All Ages Proportions'!D50))</f>
        <v>0.21079622132253711</v>
      </c>
      <c r="I50" s="71">
        <f>IF($B50="Jacks Only",'Chinook Jack Proportions'!E50,IF('3. Select Chinook Method'!$B50="Adults Only",'Chinook Adult Proportions'!E50,'Chinook All Ages Proportions'!E50))</f>
        <v>0.12093663911845731</v>
      </c>
      <c r="J50" s="71">
        <f>IF($B50="Jacks Only",'Chinook Jack Proportions'!F50,IF('3. Select Chinook Method'!$B50="Adults Only",'Chinook Adult Proportions'!F50,'Chinook All Ages Proportions'!F50))</f>
        <v>0.40477068732325094</v>
      </c>
      <c r="K50" s="71">
        <f>IF($B50="Jacks Only",'Chinook Jack Proportions'!G50,IF('3. Select Chinook Method'!$B50="Adults Only",'Chinook Adult Proportions'!G50,'Chinook All Ages Proportions'!G50))</f>
        <v>0.67846638655462188</v>
      </c>
      <c r="L50" s="24">
        <f>IF($B50="Jacks Only",'Chinook Jack Proportions'!H50,IF('3. Select Chinook Method'!$B50="Adults Only",'Chinook Adult Proportions'!H50,'Chinook All Ages Proportions'!H50))</f>
        <v>7.0422535211267609E-2</v>
      </c>
      <c r="M50" s="71">
        <f>IF($B50="Jacks Only",'Chinook Jack Proportions'!I50,IF('3. Select Chinook Method'!$B50="Adults Only",'Chinook Adult Proportions'!I50,'Chinook All Ages Proportions'!I50))</f>
        <v>0.2550267243573428</v>
      </c>
      <c r="N50" s="71">
        <f>IF($B50="Jacks Only",'Chinook Jack Proportions'!J50,IF('3. Select Chinook Method'!$B50="Adults Only",'Chinook Adult Proportions'!J50,'Chinook All Ages Proportions'!J50))</f>
        <v>0.66382616105666803</v>
      </c>
      <c r="O50" s="23">
        <f>IF($B50="Jacks Only",'Chinook Jack Proportions'!K50,IF('3. Select Chinook Method'!$B50="Adults Only",'Chinook Adult Proportions'!K50,'Chinook All Ages Proportions'!K50))</f>
        <v>0.5967494994700272</v>
      </c>
      <c r="P50" s="76">
        <f>IF($B50="Jacks Only",'Chinook Jack Proportions'!L50,IF('3. Select Chinook Method'!$B50="Adults Only",'Chinook Adult Proportions'!L50,'Chinook All Ages Proportions'!L50))</f>
        <v>62.529099048684941</v>
      </c>
      <c r="Q50" s="76">
        <f>IF($B50="Jacks Only",'Chinook Jack Proportions'!M50,IF('3. Select Chinook Method'!$B50="Adults Only",'Chinook Adult Proportions'!M50,'Chinook All Ages Proportions'!M50))</f>
        <v>1214.6078272604589</v>
      </c>
      <c r="R50" s="76">
        <f>IF($B50="Jacks Only",'Chinook Jack Proportions'!X50,IF('3. Select Chinook Method'!$B50="Adults Only",'Chinook Adult Proportions'!X50,'Chinook All Ages Proportions'!X50))</f>
        <v>1030.4962644628101</v>
      </c>
      <c r="S50" s="76">
        <f>IF($B50="Jacks Only",'Chinook Jack Proportions'!N50,IF('3. Select Chinook Method'!$B50="Adults Only",'Chinook Adult Proportions'!N50,'Chinook All Ages Proportions'!N50))</f>
        <v>2509.4487347842123</v>
      </c>
      <c r="T50" s="76">
        <f>IF($B50="Jacks Only",'Chinook Jack Proportions'!O50,IF('3. Select Chinook Method'!$B50="Adults Only",'Chinook Adult Proportions'!O50,'Chinook All Ages Proportions'!O50))</f>
        <v>2396.0718907563028</v>
      </c>
      <c r="U50" s="76">
        <f>IF($B50="Jacks Only",'Chinook Jack Proportions'!P50,IF('3. Select Chinook Method'!$B50="Adults Only",'Chinook Adult Proportions'!P50,'Chinook All Ages Proportions'!P50))</f>
        <v>1581.423731092437</v>
      </c>
      <c r="V50" s="76">
        <f>IF($B50="Jacks Only",'Chinook Jack Proportions'!Q50,IF('3. Select Chinook Method'!$B50="Adults Only",'Chinook Adult Proportions'!Q50,'Chinook All Ages Proportions'!Q50))</f>
        <v>1334.8961848739496</v>
      </c>
      <c r="W50" s="76">
        <f>IF($B50="Jacks Only",'Chinook Jack Proportions'!R50,IF('3. Select Chinook Method'!$B50="Adults Only",'Chinook Adult Proportions'!R50,'Chinook All Ages Proportions'!R50))</f>
        <v>0</v>
      </c>
      <c r="X50" s="56">
        <f>IF(B50="Jacks Only",'Chinook Jack Proportions'!S50,IF(B50="Adults Only",'Chinook Adult Proportions'!S50,'Chinook All Ages Proportions'!S50))</f>
        <v>617.07042253521195</v>
      </c>
      <c r="Y50" s="56">
        <f>IF($B50="Jacks Only",'Chinook Jack Proportions'!T50,IF('3. Select Chinook Method'!$B50="Adults Only",'Chinook Adult Proportions'!T50,'Chinook All Ages Proportions'!T50))</f>
        <v>-84.499729124955863</v>
      </c>
      <c r="Z50" s="56">
        <f>IF($B50="Jacks Only",'Chinook Jack Proportions'!U50,IF('3. Select Chinook Method'!$B50="Adults Only",'Chinook Adult Proportions'!U50,'Chinook All Ages Proportions'!U50))</f>
        <v>318.23457307737607</v>
      </c>
      <c r="AA50" s="56">
        <f>IF($B50="Jacks Only",'Chinook Jack Proportions'!V50,IF('3. Select Chinook Method'!$B50="Adults Only",'Chinook Adult Proportions'!V50,'Chinook All Ages Proportions'!V50))</f>
        <v>485.76143161482742</v>
      </c>
      <c r="AB50" s="56">
        <f>IF($B50="Jacks Only",'Chinook Jack Proportions'!W50,IF('3. Select Chinook Method'!$B50="Adults Only",'Chinook Adult Proportions'!W50,'Chinook All Ages Proportions'!W50))</f>
        <v>165.31852379740391</v>
      </c>
      <c r="AC50" s="41">
        <f>IF(B50="Jacks Only",'Chinook Jack Proportions'!Y50,IF('3. Select Chinook Method'!B50="Adults Only",'Chinook Adult Proportions'!Y50,'Chinook All Ages Proportions'!Y50))</f>
        <v>10600.862689715908</v>
      </c>
      <c r="AD50" s="42">
        <f>IF(B50="Jacks Only",'Chinook Jack Proportions'!Z50,IF('3. Select Chinook Method'!B50="Adults Only",'Chinook Adult Proportions'!Z50,'Chinook All Ages Proportions'!Z50))</f>
        <v>0.32041566891652418</v>
      </c>
      <c r="AE50" s="43">
        <f>IF($B50="Jacks Only",'Chinook Jack Proportions'!AA50,IF('3. Select Chinook Method'!$B50="Adults Only",'Chinook Adult Proportions'!AA50,'Chinook All Ages Proportions'!AA50))</f>
        <v>0.40349087510669523</v>
      </c>
      <c r="AF50" s="42">
        <f>IF($B50="Jacks Only",'Chinook Jack Proportions'!AB50,IF('3. Select Chinook Method'!$B50="Adults Only",'Chinook Adult Proportions'!AB50,'Chinook All Ages Proportions'!AB50))</f>
        <v>7.0422535211267609E-2</v>
      </c>
      <c r="AG50" s="44">
        <f>IF($B50="Jacks Only",'Chinook Jack Proportions'!AC50,IF('3. Select Chinook Method'!$B50="Adults Only",'Chinook Adult Proportions'!AC50,'Chinook All Ages Proportions'!AC50))</f>
        <v>0.78759417446828628</v>
      </c>
    </row>
    <row r="51" spans="1:33" x14ac:dyDescent="0.3">
      <c r="A51" s="5">
        <f>'1. Mixture Model Inputs'!A51</f>
        <v>45153</v>
      </c>
      <c r="B51" s="55" t="s">
        <v>43</v>
      </c>
      <c r="C51" s="60">
        <f t="shared" si="0"/>
        <v>11107.804451887494</v>
      </c>
      <c r="D51" s="56">
        <f>'Chinook All Ages Proportions'!Y51</f>
        <v>11320.900045107834</v>
      </c>
      <c r="E51" s="56">
        <f>'Chinook Adult Proportions'!Y51</f>
        <v>11107.804451887494</v>
      </c>
      <c r="F51" s="57">
        <f>'Chinook Jack Proportions'!Y51</f>
        <v>213.09559322033886</v>
      </c>
      <c r="G51" s="71">
        <f>IF($B51="Jacks Only",'Chinook Jack Proportions'!C51,IF('3. Select Chinook Method'!$B51="Adults Only",'Chinook Adult Proportions'!C51,'Chinook All Ages Proportions'!C51))</f>
        <v>0.19222115075538412</v>
      </c>
      <c r="H51" s="71">
        <f>IF($B51="Jacks Only",'Chinook Jack Proportions'!D51,IF('3. Select Chinook Method'!$B51="Adults Only",'Chinook Adult Proportions'!D51,'Chinook All Ages Proportions'!D51))</f>
        <v>8.9533417402269846E-2</v>
      </c>
      <c r="I51" s="71">
        <f>IF($B51="Jacks Only",'Chinook Jack Proportions'!E51,IF('3. Select Chinook Method'!$B51="Adults Only",'Chinook Adult Proportions'!E51,'Chinook All Ages Proportions'!E51))</f>
        <v>0.14769230769230771</v>
      </c>
      <c r="J51" s="71">
        <f>IF($B51="Jacks Only",'Chinook Jack Proportions'!F51,IF('3. Select Chinook Method'!$B51="Adults Only",'Chinook Adult Proportions'!F51,'Chinook All Ages Proportions'!F51))</f>
        <v>0.3247911652272405</v>
      </c>
      <c r="K51" s="71">
        <f>IF($B51="Jacks Only",'Chinook Jack Proportions'!G51,IF('3. Select Chinook Method'!$B51="Adults Only",'Chinook Adult Proportions'!G51,'Chinook All Ages Proportions'!G51))</f>
        <v>0.62754449226474351</v>
      </c>
      <c r="L51" s="24">
        <f>IF($B51="Jacks Only",'Chinook Jack Proportions'!H51,IF('3. Select Chinook Method'!$B51="Adults Only",'Chinook Adult Proportions'!H51,'Chinook All Ages Proportions'!H51))</f>
        <v>0.1440677966101695</v>
      </c>
      <c r="M51" s="71">
        <f>IF($B51="Jacks Only",'Chinook Jack Proportions'!I51,IF('3. Select Chinook Method'!$B51="Adults Only",'Chinook Adult Proportions'!I51,'Chinook All Ages Proportions'!I51))</f>
        <v>0.28564429201371877</v>
      </c>
      <c r="N51" s="71">
        <f>IF($B51="Jacks Only",'Chinook Jack Proportions'!J51,IF('3. Select Chinook Method'!$B51="Adults Only",'Chinook Adult Proportions'!J51,'Chinook All Ages Proportions'!J51))</f>
        <v>0.40848270638727591</v>
      </c>
      <c r="O51" s="23">
        <f>IF($B51="Jacks Only",'Chinook Jack Proportions'!K51,IF('3. Select Chinook Method'!$B51="Adults Only",'Chinook Adult Proportions'!K51,'Chinook All Ages Proportions'!K51))</f>
        <v>0.56326970443349755</v>
      </c>
      <c r="P51" s="76">
        <f>IF($B51="Jacks Only",'Chinook Jack Proportions'!L51,IF('3. Select Chinook Method'!$B51="Adults Only",'Chinook Adult Proportions'!L51,'Chinook All Ages Proportions'!L51))</f>
        <v>430.38315654130503</v>
      </c>
      <c r="Q51" s="76">
        <f>IF($B51="Jacks Only",'Chinook Jack Proportions'!M51,IF('3. Select Chinook Method'!$B51="Adults Only",'Chinook Adult Proportions'!M51,'Chinook All Ages Proportions'!M51))</f>
        <v>713.22320302648154</v>
      </c>
      <c r="R51" s="76">
        <f>IF($B51="Jacks Only",'Chinook Jack Proportions'!X51,IF('3. Select Chinook Method'!$B51="Adults Only",'Chinook Adult Proportions'!X51,'Chinook All Ages Proportions'!X51))</f>
        <v>1507.1704615384615</v>
      </c>
      <c r="S51" s="76">
        <f>IF($B51="Jacks Only",'Chinook Jack Proportions'!N51,IF('3. Select Chinook Method'!$B51="Adults Only",'Chinook Adult Proportions'!N51,'Chinook All Ages Proportions'!N51))</f>
        <v>2066.2174600028316</v>
      </c>
      <c r="T51" s="76">
        <f>IF($B51="Jacks Only",'Chinook Jack Proportions'!O51,IF('3. Select Chinook Method'!$B51="Adults Only",'Chinook Adult Proportions'!O51,'Chinook All Ages Proportions'!O51))</f>
        <v>2262.3229963940908</v>
      </c>
      <c r="U51" s="76">
        <f>IF($B51="Jacks Only",'Chinook Jack Proportions'!P51,IF('3. Select Chinook Method'!$B51="Adults Only",'Chinook Adult Proportions'!P51,'Chinook All Ages Proportions'!P51))</f>
        <v>1724.0404327090844</v>
      </c>
      <c r="V51" s="76">
        <f>IF($B51="Jacks Only",'Chinook Jack Proportions'!Q51,IF('3. Select Chinook Method'!$B51="Adults Only",'Chinook Adult Proportions'!Q51,'Chinook All Ages Proportions'!Q51))</f>
        <v>1327.1812958008609</v>
      </c>
      <c r="W51" s="76">
        <f>IF($B51="Jacks Only",'Chinook Jack Proportions'!R51,IF('3. Select Chinook Method'!$B51="Adults Only",'Chinook Adult Proportions'!R51,'Chinook All Ages Proportions'!R51))</f>
        <v>0</v>
      </c>
      <c r="X51" s="56">
        <f>IF(B51="Jacks Only",'Chinook Jack Proportions'!S51,IF(B51="Adults Only",'Chinook Adult Proportions'!S51,'Chinook All Ages Proportions'!S51))</f>
        <v>1811.3125423728802</v>
      </c>
      <c r="Y51" s="56">
        <f>IF($B51="Jacks Only",'Chinook Jack Proportions'!T51,IF('3. Select Chinook Method'!$B51="Adults Only",'Chinook Adult Proportions'!T51,'Chinook All Ages Proportions'!T51))</f>
        <v>287.53791871921186</v>
      </c>
      <c r="Z51" s="56">
        <f>IF($B51="Jacks Only",'Chinook Jack Proportions'!U51,IF('3. Select Chinook Method'!$B51="Adults Only",'Chinook Adult Proportions'!U51,'Chinook All Ages Proportions'!U51))</f>
        <v>140.86248768472905</v>
      </c>
      <c r="AA51" s="56">
        <f>IF($B51="Jacks Only",'Chinook Jack Proportions'!V51,IF('3. Select Chinook Method'!$B51="Adults Only",'Chinook Adult Proportions'!V51,'Chinook All Ages Proportions'!V51))</f>
        <v>201.16956324160566</v>
      </c>
      <c r="AB51" s="56">
        <f>IF($B51="Jacks Only",'Chinook Jack Proportions'!W51,IF('3. Select Chinook Method'!$B51="Adults Only",'Chinook Adult Proportions'!W51,'Chinook All Ages Proportions'!W51))</f>
        <v>143.55339539441451</v>
      </c>
      <c r="AC51" s="41">
        <f>IF(B51="Jacks Only",'Chinook Jack Proportions'!Y51,IF('3. Select Chinook Method'!B51="Adults Only",'Chinook Adult Proportions'!Y51,'Chinook All Ages Proportions'!Y51))</f>
        <v>11107.804451887494</v>
      </c>
      <c r="AD51" s="42">
        <f>IF(B51="Jacks Only",'Chinook Jack Proportions'!Z51,IF('3. Select Chinook Method'!B51="Adults Only",'Chinook Adult Proportions'!Z51,'Chinook All Ages Proportions'!Z51))</f>
        <v>0.28219671326722617</v>
      </c>
      <c r="AE51" s="43">
        <f>IF($B51="Jacks Only",'Chinook Jack Proportions'!AA51,IF('3. Select Chinook Method'!$B51="Adults Only",'Chinook Adult Proportions'!AA51,'Chinook All Ages Proportions'!AA51))</f>
        <v>0.34047605244113743</v>
      </c>
      <c r="AF51" s="42">
        <f>IF($B51="Jacks Only",'Chinook Jack Proportions'!AB51,IF('3. Select Chinook Method'!$B51="Adults Only",'Chinook Adult Proportions'!AB51,'Chinook All Ages Proportions'!AB51))</f>
        <v>0.1440677966101695</v>
      </c>
      <c r="AG51" s="44">
        <f>IF($B51="Jacks Only",'Chinook Jack Proportions'!AC51,IF('3. Select Chinook Method'!$B51="Adults Only",'Chinook Adult Proportions'!AC51,'Chinook All Ages Proportions'!AC51))</f>
        <v>0.61699815252502799</v>
      </c>
    </row>
    <row r="52" spans="1:33" x14ac:dyDescent="0.3">
      <c r="A52" s="5">
        <f>'1. Mixture Model Inputs'!A52</f>
        <v>45154</v>
      </c>
      <c r="B52" s="55" t="s">
        <v>43</v>
      </c>
      <c r="C52" s="60">
        <f t="shared" si="0"/>
        <v>11850.818159376819</v>
      </c>
      <c r="D52" s="56">
        <f>'Chinook All Ages Proportions'!Y52</f>
        <v>11993.530417441334</v>
      </c>
      <c r="E52" s="56">
        <f>'Chinook Adult Proportions'!Y52</f>
        <v>11850.818159376819</v>
      </c>
      <c r="F52" s="57">
        <f>'Chinook Jack Proportions'!Y52</f>
        <v>142.71225806451596</v>
      </c>
      <c r="G52" s="71">
        <f>IF($B52="Jacks Only",'Chinook Jack Proportions'!C52,IF('3. Select Chinook Method'!$B52="Adults Only",'Chinook Adult Proportions'!C52,'Chinook All Ages Proportions'!C52))</f>
        <v>0.19176262178919398</v>
      </c>
      <c r="H52" s="71">
        <f>IF($B52="Jacks Only",'Chinook Jack Proportions'!D52,IF('3. Select Chinook Method'!$B52="Adults Only",'Chinook Adult Proportions'!D52,'Chinook All Ages Proportions'!D52))</f>
        <v>0.10871113220982673</v>
      </c>
      <c r="I52" s="71">
        <f>IF($B52="Jacks Only",'Chinook Jack Proportions'!E52,IF('3. Select Chinook Method'!$B52="Adults Only",'Chinook Adult Proportions'!E52,'Chinook All Ages Proportions'!E52))</f>
        <v>0.14683782091421413</v>
      </c>
      <c r="J52" s="71">
        <f>IF($B52="Jacks Only",'Chinook Jack Proportions'!F52,IF('3. Select Chinook Method'!$B52="Adults Only",'Chinook Adult Proportions'!F52,'Chinook All Ages Proportions'!F52))</f>
        <v>0.32994855131329542</v>
      </c>
      <c r="K52" s="71">
        <f>IF($B52="Jacks Only",'Chinook Jack Proportions'!G52,IF('3. Select Chinook Method'!$B52="Adults Only",'Chinook Adult Proportions'!G52,'Chinook All Ages Proportions'!G52))</f>
        <v>0.50720853672380517</v>
      </c>
      <c r="L52" s="24">
        <f>IF($B52="Jacks Only",'Chinook Jack Proportions'!H52,IF('3. Select Chinook Method'!$B52="Adults Only",'Chinook Adult Proportions'!H52,'Chinook All Ages Proportions'!H52))</f>
        <v>4.3010752688172046E-2</v>
      </c>
      <c r="M52" s="71">
        <f>IF($B52="Jacks Only",'Chinook Jack Proportions'!I52,IF('3. Select Chinook Method'!$B52="Adults Only",'Chinook Adult Proportions'!I52,'Chinook All Ages Proportions'!I52))</f>
        <v>0.28564429201371877</v>
      </c>
      <c r="N52" s="71">
        <f>IF($B52="Jacks Only",'Chinook Jack Proportions'!J52,IF('3. Select Chinook Method'!$B52="Adults Only",'Chinook Adult Proportions'!J52,'Chinook All Ages Proportions'!J52))</f>
        <v>0.40848270638727591</v>
      </c>
      <c r="O52" s="23">
        <f>IF($B52="Jacks Only",'Chinook Jack Proportions'!K52,IF('3. Select Chinook Method'!$B52="Adults Only",'Chinook Adult Proportions'!K52,'Chinook All Ages Proportions'!K52))</f>
        <v>0.56326970443349755</v>
      </c>
      <c r="P52" s="76">
        <f>IF($B52="Jacks Only",'Chinook Jack Proportions'!L52,IF('3. Select Chinook Method'!$B52="Adults Only",'Chinook Adult Proportions'!L52,'Chinook All Ages Proportions'!L52))</f>
        <v>413.24844995571306</v>
      </c>
      <c r="Q52" s="76">
        <f>IF($B52="Jacks Only",'Chinook Jack Proportions'!M52,IF('3. Select Chinook Method'!$B52="Adults Only",'Chinook Adult Proportions'!M52,'Chinook All Ages Proportions'!M52))</f>
        <v>974.92143365772608</v>
      </c>
      <c r="R52" s="76">
        <f>IF($B52="Jacks Only",'Chinook Jack Proportions'!X52,IF('3. Select Chinook Method'!$B52="Adults Only",'Chinook Adult Proportions'!X52,'Chinook All Ages Proportions'!X52))</f>
        <v>1633.177232310582</v>
      </c>
      <c r="S52" s="76">
        <f>IF($B52="Jacks Only",'Chinook Jack Proportions'!N52,IF('3. Select Chinook Method'!$B52="Adults Only",'Chinook Adult Proportions'!N52,'Chinook All Ages Proportions'!N52))</f>
        <v>2737.9130787977256</v>
      </c>
      <c r="T52" s="76">
        <f>IF($B52="Jacks Only",'Chinook Jack Proportions'!O52,IF('3. Select Chinook Method'!$B52="Adults Only",'Chinook Adult Proportions'!O52,'Chinook All Ages Proportions'!O52))</f>
        <v>2769.48034056079</v>
      </c>
      <c r="U52" s="76">
        <f>IF($B52="Jacks Only",'Chinook Jack Proportions'!P52,IF('3. Select Chinook Method'!$B52="Adults Only",'Chinook Adult Proportions'!P52,'Chinook All Ages Proportions'!P52))</f>
        <v>1856.1397843114992</v>
      </c>
      <c r="V52" s="76">
        <f>IF($B52="Jacks Only",'Chinook Jack Proportions'!Q52,IF('3. Select Chinook Method'!$B52="Adults Only",'Chinook Adult Proportions'!Q52,'Chinook All Ages Proportions'!Q52))</f>
        <v>1779.0846634124191</v>
      </c>
      <c r="W52" s="76">
        <f>IF($B52="Jacks Only",'Chinook Jack Proportions'!R52,IF('3. Select Chinook Method'!$B52="Adults Only",'Chinook Adult Proportions'!R52,'Chinook All Ages Proportions'!R52))</f>
        <v>0</v>
      </c>
      <c r="X52" s="56">
        <f>IF(B52="Jacks Only",'Chinook Jack Proportions'!S52,IF(B52="Adults Only",'Chinook Adult Proportions'!S52,'Chinook All Ages Proportions'!S52))</f>
        <v>570.84903225806386</v>
      </c>
      <c r="Y52" s="56">
        <f>IF($B52="Jacks Only",'Chinook Jack Proportions'!T52,IF('3. Select Chinook Method'!$B52="Adults Only",'Chinook Adult Proportions'!T52,'Chinook All Ages Proportions'!T52))</f>
        <v>191.69194581280789</v>
      </c>
      <c r="Z52" s="56">
        <f>IF($B52="Jacks Only",'Chinook Jack Proportions'!U52,IF('3. Select Chinook Method'!$B52="Adults Only",'Chinook Adult Proportions'!U52,'Chinook All Ages Proportions'!U52))</f>
        <v>157.89576354679804</v>
      </c>
      <c r="AA52" s="56">
        <f>IF($B52="Jacks Only",'Chinook Jack Proportions'!V52,IF('3. Select Chinook Method'!$B52="Adults Only",'Chinook Adult Proportions'!V52,'Chinook All Ages Proportions'!V52))</f>
        <v>284.69610704367585</v>
      </c>
      <c r="AB52" s="56">
        <f>IF($B52="Jacks Only",'Chinook Jack Proportions'!W52,IF('3. Select Chinook Method'!$B52="Adults Only",'Chinook Adult Proportions'!W52,'Chinook All Ages Proportions'!W52))</f>
        <v>114.89756001959825</v>
      </c>
      <c r="AC52" s="41">
        <f>IF(B52="Jacks Only",'Chinook Jack Proportions'!Y52,IF('3. Select Chinook Method'!B52="Adults Only",'Chinook Adult Proportions'!Y52,'Chinook All Ages Proportions'!Y52))</f>
        <v>11850.818159376819</v>
      </c>
      <c r="AD52" s="42">
        <f>IF(B52="Jacks Only",'Chinook Jack Proportions'!Z52,IF('3. Select Chinook Method'!B52="Adults Only",'Chinook Adult Proportions'!Z52,'Chinook All Ages Proportions'!Z52))</f>
        <v>0.25193194351707621</v>
      </c>
      <c r="AE52" s="43">
        <f>IF($B52="Jacks Only",'Chinook Jack Proportions'!AA52,IF('3. Select Chinook Method'!$B52="Adults Only",'Chinook Adult Proportions'!AA52,'Chinook All Ages Proportions'!AA52))</f>
        <v>0.32859750692392942</v>
      </c>
      <c r="AF52" s="42">
        <f>IF($B52="Jacks Only",'Chinook Jack Proportions'!AB52,IF('3. Select Chinook Method'!$B52="Adults Only",'Chinook Adult Proportions'!AB52,'Chinook All Ages Proportions'!AB52))</f>
        <v>4.3010752688172046E-2</v>
      </c>
      <c r="AG52" s="44">
        <f>IF($B52="Jacks Only",'Chinook Jack Proportions'!AC52,IF('3. Select Chinook Method'!$B52="Adults Only",'Chinook Adult Proportions'!AC52,'Chinook All Ages Proportions'!AC52))</f>
        <v>0.56859545873017614</v>
      </c>
    </row>
    <row r="53" spans="1:33" x14ac:dyDescent="0.3">
      <c r="A53" s="5">
        <f>'1. Mixture Model Inputs'!A53</f>
        <v>45155</v>
      </c>
      <c r="B53" s="55" t="s">
        <v>43</v>
      </c>
      <c r="C53" s="60">
        <f t="shared" si="0"/>
        <v>10912.456153999132</v>
      </c>
      <c r="D53" s="56">
        <f>'Chinook All Ages Proportions'!Y53</f>
        <v>10912.456153999132</v>
      </c>
      <c r="E53" s="56">
        <f>'Chinook All Ages Proportions'!Y53</f>
        <v>10912.456153999132</v>
      </c>
      <c r="F53" s="57">
        <f>'Chinook Jack Proportions'!Y53</f>
        <v>452.42571428571421</v>
      </c>
      <c r="G53" s="71">
        <f>IF($B53="Jacks Only",'Chinook Jack Proportions'!C53,IF('3. Select Chinook Method'!$B53="Adults Only",'Chinook Adult Proportions'!C53,'Chinook All Ages Proportions'!C53))</f>
        <v>7.1131047741108622E-2</v>
      </c>
      <c r="H53" s="71">
        <f>IF($B53="Jacks Only",'Chinook Jack Proportions'!D53,IF('3. Select Chinook Method'!$B53="Adults Only",'Chinook Adult Proportions'!D53,'Chinook All Ages Proportions'!D53))</f>
        <v>8.0992815153494449E-2</v>
      </c>
      <c r="I53" s="71">
        <f>IF($B53="Jacks Only",'Chinook Jack Proportions'!E53,IF('3. Select Chinook Method'!$B53="Adults Only",'Chinook Adult Proportions'!E53,'Chinook All Ages Proportions'!E53))</f>
        <v>7.6999999999999999E-2</v>
      </c>
      <c r="J53" s="71">
        <f>IF($B53="Jacks Only",'Chinook Jack Proportions'!F53,IF('3. Select Chinook Method'!$B53="Adults Only",'Chinook Adult Proportions'!F53,'Chinook All Ages Proportions'!F53))</f>
        <v>0.26709041380204956</v>
      </c>
      <c r="K53" s="71">
        <f>IF($B53="Jacks Only",'Chinook Jack Proportions'!G53,IF('3. Select Chinook Method'!$B53="Adults Only",'Chinook Adult Proportions'!G53,'Chinook All Ages Proportions'!G53))</f>
        <v>0.41889203057911828</v>
      </c>
      <c r="L53" s="24">
        <f>IF($B53="Jacks Only",'Chinook Jack Proportions'!H53,IF('3. Select Chinook Method'!$B53="Adults Only",'Chinook Adult Proportions'!H53,'Chinook All Ages Proportions'!H53))</f>
        <v>1.7857142857142856E-2</v>
      </c>
      <c r="M53" s="71">
        <f>IF($B53="Jacks Only",'Chinook Jack Proportions'!I53,IF('3. Select Chinook Method'!$B53="Adults Only",'Chinook Adult Proportions'!I53,'Chinook All Ages Proportions'!I53))</f>
        <v>0.12783553875236295</v>
      </c>
      <c r="N53" s="71">
        <f>IF($B53="Jacks Only",'Chinook Jack Proportions'!J53,IF('3. Select Chinook Method'!$B53="Adults Only",'Chinook Adult Proportions'!J53,'Chinook All Ages Proportions'!J53))</f>
        <v>0.18098390251241164</v>
      </c>
      <c r="O53" s="23">
        <f>IF($B53="Jacks Only",'Chinook Jack Proportions'!K53,IF('3. Select Chinook Method'!$B53="Adults Only",'Chinook Adult Proportions'!K53,'Chinook All Ages Proportions'!K53))</f>
        <v>0.35243519702429388</v>
      </c>
      <c r="P53" s="76">
        <f>IF($B53="Jacks Only",'Chinook Jack Proportions'!L53,IF('3. Select Chinook Method'!$B53="Adults Only",'Chinook Adult Proportions'!L53,'Chinook All Ages Proportions'!L53))</f>
        <v>206.280038449215</v>
      </c>
      <c r="Q53" s="76">
        <f>IF($B53="Jacks Only",'Chinook Jack Proportions'!M53,IF('3. Select Chinook Method'!$B53="Adults Only",'Chinook Adult Proportions'!M53,'Chinook All Ages Proportions'!M53))</f>
        <v>875.28935336381448</v>
      </c>
      <c r="R53" s="76">
        <f>IF($B53="Jacks Only",'Chinook Jack Proportions'!X53,IF('3. Select Chinook Method'!$B53="Adults Only",'Chinook Adult Proportions'!X53,'Chinook All Ages Proportions'!X53))</f>
        <v>1055.41128</v>
      </c>
      <c r="S53" s="76">
        <f>IF($B53="Jacks Only",'Chinook Jack Proportions'!N53,IF('3. Select Chinook Method'!$B53="Adults Only",'Chinook Adult Proportions'!N53,'Chinook All Ages Proportions'!N53))</f>
        <v>2179.2013698274741</v>
      </c>
      <c r="T53" s="76">
        <f>IF($B53="Jacks Only",'Chinook Jack Proportions'!O53,IF('3. Select Chinook Method'!$B53="Adults Only",'Chinook Adult Proportions'!O53,'Chinook All Ages Proportions'!O53))</f>
        <v>2517.1724787935914</v>
      </c>
      <c r="U53" s="76">
        <f>IF($B53="Jacks Only",'Chinook Jack Proportions'!P53,IF('3. Select Chinook Method'!$B53="Adults Only",'Chinook Adult Proportions'!P53,'Chinook All Ages Proportions'!P53))</f>
        <v>1656.8017593465288</v>
      </c>
      <c r="V53" s="76">
        <f>IF($B53="Jacks Only",'Chinook Jack Proportions'!Q53,IF('3. Select Chinook Method'!$B53="Adults Only",'Chinook Adult Proportions'!Q53,'Chinook All Ages Proportions'!Q53))</f>
        <v>1667.3578385171227</v>
      </c>
      <c r="W53" s="76">
        <f>IF($B53="Jacks Only",'Chinook Jack Proportions'!R53,IF('3. Select Chinook Method'!$B53="Adults Only",'Chinook Adult Proportions'!R53,'Chinook All Ages Proportions'!R53))</f>
        <v>0</v>
      </c>
      <c r="X53" s="56">
        <f>IF(B53="Jacks Only",'Chinook Jack Proportions'!S53,IF(B53="Adults Only",'Chinook Adult Proportions'!S53,'Chinook All Ages Proportions'!S53))</f>
        <v>452.42571428571421</v>
      </c>
      <c r="Y53" s="56">
        <f>IF($B53="Jacks Only",'Chinook Jack Proportions'!T53,IF('3. Select Chinook Method'!$B53="Adults Only",'Chinook Adult Proportions'!T53,'Chinook All Ages Proportions'!T53))</f>
        <v>184.81701731953973</v>
      </c>
      <c r="Z53" s="56">
        <f>IF($B53="Jacks Only",'Chinook Jack Proportions'!U53,IF('3. Select Chinook Method'!$B53="Adults Only",'Chinook Adult Proportions'!U53,'Chinook All Ages Proportions'!U53))</f>
        <v>346.11955829361852</v>
      </c>
      <c r="AA53" s="56">
        <f>IF($B53="Jacks Only",'Chinook Jack Proportions'!V53,IF('3. Select Chinook Method'!$B53="Adults Only",'Chinook Adult Proportions'!V53,'Chinook All Ages Proportions'!V53))</f>
        <v>259.05311870016556</v>
      </c>
      <c r="AB53" s="56">
        <f>IF($B53="Jacks Only",'Chinook Jack Proportions'!W53,IF('3. Select Chinook Method'!$B53="Adults Only",'Chinook Adult Proportions'!W53,'Chinook All Ages Proportions'!W53))</f>
        <v>115.51219281663515</v>
      </c>
      <c r="AC53" s="41">
        <f>IF(B53="Jacks Only",'Chinook Jack Proportions'!Y53,IF('3. Select Chinook Method'!B53="Adults Only",'Chinook Adult Proportions'!Y53,'Chinook All Ages Proportions'!Y53))</f>
        <v>10460.030439713419</v>
      </c>
      <c r="AD53" s="42">
        <f>IF(B53="Jacks Only",'Chinook Jack Proportions'!Z53,IF('3. Select Chinook Method'!B53="Adults Only",'Chinook Adult Proportions'!Z53,'Chinook All Ages Proportions'!Z53))</f>
        <v>0.16095405220979453</v>
      </c>
      <c r="AE53" s="43">
        <f>IF($B53="Jacks Only",'Chinook Jack Proportions'!AA53,IF('3. Select Chinook Method'!$B53="Adults Only",'Chinook Adult Proportions'!AA53,'Chinook All Ages Proportions'!AA53))</f>
        <v>0.25417484413180935</v>
      </c>
      <c r="AF53" s="42">
        <f>IF($B53="Jacks Only",'Chinook Jack Proportions'!AB53,IF('3. Select Chinook Method'!$B53="Adults Only",'Chinook Adult Proportions'!AB53,'Chinook All Ages Proportions'!AB53))</f>
        <v>1.7857142857142856E-2</v>
      </c>
      <c r="AG53" s="44">
        <f>IF($B53="Jacks Only",'Chinook Jack Proportions'!AC53,IF('3. Select Chinook Method'!$B53="Adults Only",'Chinook Adult Proportions'!AC53,'Chinook All Ages Proportions'!AC53))</f>
        <v>0.30822028671743829</v>
      </c>
    </row>
    <row r="54" spans="1:33" x14ac:dyDescent="0.3">
      <c r="A54" s="5">
        <f>'1. Mixture Model Inputs'!A54</f>
        <v>45156</v>
      </c>
      <c r="B54" s="55" t="s">
        <v>43</v>
      </c>
      <c r="C54" s="60">
        <f t="shared" si="0"/>
        <v>23088.392840034368</v>
      </c>
      <c r="D54" s="56">
        <f>'Chinook All Ages Proportions'!Y54</f>
        <v>23287.144337437348</v>
      </c>
      <c r="E54" s="56">
        <f>'Chinook Adult Proportions'!Y54</f>
        <v>23088.392840034368</v>
      </c>
      <c r="F54" s="57">
        <f>'Chinook Jack Proportions'!Y54</f>
        <v>484.31000000000063</v>
      </c>
      <c r="G54" s="71">
        <f>IF($B54="Jacks Only",'Chinook Jack Proportions'!C54,IF('3. Select Chinook Method'!$B54="Adults Only",'Chinook Adult Proportions'!C54,'Chinook All Ages Proportions'!C54))</f>
        <v>0.14422110552763817</v>
      </c>
      <c r="H54" s="71">
        <f>IF($B54="Jacks Only",'Chinook Jack Proportions'!D54,IF('3. Select Chinook Method'!$B54="Adults Only",'Chinook Adult Proportions'!D54,'Chinook All Ages Proportions'!D54))</f>
        <v>8.4273709483793521E-2</v>
      </c>
      <c r="I54" s="71">
        <f>IF($B54="Jacks Only",'Chinook Jack Proportions'!E54,IF('3. Select Chinook Method'!$B54="Adults Only",'Chinook Adult Proportions'!E54,'Chinook All Ages Proportions'!E54))</f>
        <v>0.10499265785609398</v>
      </c>
      <c r="J54" s="71">
        <f>IF($B54="Jacks Only",'Chinook Jack Proportions'!F54,IF('3. Select Chinook Method'!$B54="Adults Only",'Chinook Adult Proportions'!F54,'Chinook All Ages Proportions'!F54))</f>
        <v>0.34207481681450058</v>
      </c>
      <c r="K54" s="71">
        <f>IF($B54="Jacks Only",'Chinook Jack Proportions'!G54,IF('3. Select Chinook Method'!$B54="Adults Only",'Chinook Adult Proportions'!G54,'Chinook All Ages Proportions'!G54))</f>
        <v>0.60202424090965889</v>
      </c>
      <c r="L54" s="24">
        <f>IF($B54="Jacks Only",'Chinook Jack Proportions'!H54,IF('3. Select Chinook Method'!$B54="Adults Only",'Chinook Adult Proportions'!H54,'Chinook All Ages Proportions'!H54))</f>
        <v>2.0833333333333332E-2</v>
      </c>
      <c r="M54" s="71">
        <f>IF($B54="Jacks Only",'Chinook Jack Proportions'!I54,IF('3. Select Chinook Method'!$B54="Adults Only",'Chinook Adult Proportions'!I54,'Chinook All Ages Proportions'!I54))</f>
        <v>0.12783553875236295</v>
      </c>
      <c r="N54" s="71">
        <f>IF($B54="Jacks Only",'Chinook Jack Proportions'!J54,IF('3. Select Chinook Method'!$B54="Adults Only",'Chinook Adult Proportions'!J54,'Chinook All Ages Proportions'!J54))</f>
        <v>0.18098390251241164</v>
      </c>
      <c r="O54" s="23">
        <f>IF($B54="Jacks Only",'Chinook Jack Proportions'!K54,IF('3. Select Chinook Method'!$B54="Adults Only",'Chinook Adult Proportions'!K54,'Chinook All Ages Proportions'!K54))</f>
        <v>0.35243519702429388</v>
      </c>
      <c r="P54" s="76">
        <f>IF($B54="Jacks Only",'Chinook Jack Proportions'!L54,IF('3. Select Chinook Method'!$B54="Adults Only",'Chinook Adult Proportions'!L54,'Chinook All Ages Proportions'!L54))</f>
        <v>514.43668341708531</v>
      </c>
      <c r="Q54" s="76">
        <f>IF($B54="Jacks Only",'Chinook Jack Proportions'!M54,IF('3. Select Chinook Method'!$B54="Adults Only",'Chinook Adult Proportions'!M54,'Chinook All Ages Proportions'!M54))</f>
        <v>1100.1090036014407</v>
      </c>
      <c r="R54" s="76">
        <f>IF($B54="Jacks Only",'Chinook Jack Proportions'!X54,IF('3. Select Chinook Method'!$B54="Adults Only",'Chinook Adult Proportions'!X54,'Chinook All Ages Proportions'!X54))</f>
        <v>1745.0283700440527</v>
      </c>
      <c r="S54" s="76">
        <f>IF($B54="Jacks Only",'Chinook Jack Proportions'!N54,IF('3. Select Chinook Method'!$B54="Adults Only",'Chinook Adult Proportions'!N54,'Chinook All Ages Proportions'!N54))</f>
        <v>6021.474585422292</v>
      </c>
      <c r="T54" s="76">
        <f>IF($B54="Jacks Only",'Chinook Jack Proportions'!O54,IF('3. Select Chinook Method'!$B54="Adults Only",'Chinook Adult Proportions'!O54,'Chinook All Ages Proportions'!O54))</f>
        <v>6090.0772210421092</v>
      </c>
      <c r="U54" s="76">
        <f>IF($B54="Jacks Only",'Chinook Jack Proportions'!P54,IF('3. Select Chinook Method'!$B54="Adults Only",'Chinook Adult Proportions'!P54,'Chinook All Ages Proportions'!P54))</f>
        <v>4673.8272347869552</v>
      </c>
      <c r="V54" s="76">
        <f>IF($B54="Jacks Only",'Chinook Jack Proportions'!Q54,IF('3. Select Chinook Method'!$B54="Adults Only",'Chinook Adult Proportions'!Q54,'Chinook All Ages Proportions'!Q54))</f>
        <v>3149.9353142571535</v>
      </c>
      <c r="W54" s="76">
        <f>IF($B54="Jacks Only",'Chinook Jack Proportions'!R54,IF('3. Select Chinook Method'!$B54="Adults Only",'Chinook Adult Proportions'!R54,'Chinook All Ages Proportions'!R54))</f>
        <v>0</v>
      </c>
      <c r="X54" s="56">
        <f>IF(B54="Jacks Only",'Chinook Jack Proportions'!S54,IF(B54="Adults Only",'Chinook Adult Proportions'!S54,'Chinook All Ages Proportions'!S54))</f>
        <v>484.31000000000063</v>
      </c>
      <c r="Y54" s="56">
        <f>IF($B54="Jacks Only",'Chinook Jack Proportions'!T54,IF('3. Select Chinook Method'!$B54="Adults Only",'Chinook Adult Proportions'!T54,'Chinook All Ages Proportions'!T54))</f>
        <v>349.16459839590846</v>
      </c>
      <c r="Z54" s="56">
        <f>IF($B54="Jacks Only",'Chinook Jack Proportions'!U54,IF('3. Select Chinook Method'!$B54="Adults Only",'Chinook Adult Proportions'!U54,'Chinook All Ages Proportions'!U54))</f>
        <v>307.8028036731373</v>
      </c>
      <c r="AA54" s="56">
        <f>IF($B54="Jacks Only",'Chinook Jack Proportions'!V54,IF('3. Select Chinook Method'!$B54="Adults Only",'Chinook Adult Proportions'!V54,'Chinook All Ages Proportions'!V54))</f>
        <v>236.33601925680762</v>
      </c>
      <c r="AB54" s="56">
        <f>IF($B54="Jacks Only",'Chinook Jack Proportions'!W54,IF('3. Select Chinook Method'!$B54="Adults Only",'Chinook Adult Proportions'!W54,'Chinook All Ages Proportions'!W54))</f>
        <v>160.91937618147449</v>
      </c>
      <c r="AC54" s="41">
        <f>IF(B54="Jacks Only",'Chinook Jack Proportions'!Y54,IF('3. Select Chinook Method'!B54="Adults Only",'Chinook Adult Proportions'!Y54,'Chinook All Ages Proportions'!Y54))</f>
        <v>23088.392840034368</v>
      </c>
      <c r="AD54" s="42">
        <f>IF(B54="Jacks Only",'Chinook Jack Proportions'!Z54,IF('3. Select Chinook Method'!B54="Adults Only",'Chinook Adult Proportions'!Z54,'Chinook All Ages Proportions'!Z54))</f>
        <v>0.27159415386161495</v>
      </c>
      <c r="AE54" s="43">
        <f>IF($B54="Jacks Only",'Chinook Jack Proportions'!AA54,IF('3. Select Chinook Method'!$B54="Adults Only",'Chinook Adult Proportions'!AA54,'Chinook All Ages Proportions'!AA54))</f>
        <v>0.37585846355957958</v>
      </c>
      <c r="AF54" s="42">
        <f>IF($B54="Jacks Only",'Chinook Jack Proportions'!AB54,IF('3. Select Chinook Method'!$B54="Adults Only",'Chinook Adult Proportions'!AB54,'Chinook All Ages Proportions'!AB54))</f>
        <v>2.0833333333333332E-2</v>
      </c>
      <c r="AG54" s="44">
        <f>IF($B54="Jacks Only",'Chinook Jack Proportions'!AC54,IF('3. Select Chinook Method'!$B54="Adults Only",'Chinook Adult Proportions'!AC54,'Chinook All Ages Proportions'!AC54))</f>
        <v>0.33257078964369063</v>
      </c>
    </row>
    <row r="55" spans="1:33" x14ac:dyDescent="0.3">
      <c r="A55" s="5">
        <f>'1. Mixture Model Inputs'!A55</f>
        <v>45157</v>
      </c>
      <c r="B55" s="55" t="s">
        <v>43</v>
      </c>
      <c r="C55" s="60">
        <f t="shared" si="0"/>
        <v>23518.317115636844</v>
      </c>
      <c r="D55" s="56">
        <f>'Chinook All Ages Proportions'!Y55</f>
        <v>23959.433835636843</v>
      </c>
      <c r="E55" s="56">
        <f>'Chinook Adult Proportions'!Y55</f>
        <v>23518.317115636844</v>
      </c>
      <c r="F55" s="57">
        <f>'Chinook Jack Proportions'!Y55</f>
        <v>441.11671999999913</v>
      </c>
      <c r="G55" s="71">
        <f>IF($B55="Jacks Only",'Chinook Jack Proportions'!C55,IF('3. Select Chinook Method'!$B55="Adults Only",'Chinook Adult Proportions'!C55,'Chinook All Ages Proportions'!C55))</f>
        <v>1.7126878713736454E-2</v>
      </c>
      <c r="H55" s="71">
        <f>IF($B55="Jacks Only",'Chinook Jack Proportions'!D55,IF('3. Select Chinook Method'!$B55="Adults Only",'Chinook Adult Proportions'!D55,'Chinook All Ages Proportions'!D55))</f>
        <v>0.1313052522100884</v>
      </c>
      <c r="I55" s="71">
        <f>IF($B55="Jacks Only",'Chinook Jack Proportions'!E55,IF('3. Select Chinook Method'!$B55="Adults Only",'Chinook Adult Proportions'!E55,'Chinook All Ages Proportions'!E55))</f>
        <v>8.5431654676258989E-2</v>
      </c>
      <c r="J55" s="71">
        <f>IF($B55="Jacks Only",'Chinook Jack Proportions'!F55,IF('3. Select Chinook Method'!$B55="Adults Only",'Chinook Adult Proportions'!F55,'Chinook All Ages Proportions'!F55))</f>
        <v>0.19323554370226692</v>
      </c>
      <c r="K55" s="71">
        <f>IF($B55="Jacks Only",'Chinook Jack Proportions'!G55,IF('3. Select Chinook Method'!$B55="Adults Only",'Chinook Adult Proportions'!G55,'Chinook All Ages Proportions'!G55))</f>
        <v>0.63951756998213227</v>
      </c>
      <c r="L55" s="24">
        <f>IF($B55="Jacks Only",'Chinook Jack Proportions'!H55,IF('3. Select Chinook Method'!$B55="Adults Only",'Chinook Adult Proportions'!H55,'Chinook All Ages Proportions'!H55))</f>
        <v>5.8333333333333334E-2</v>
      </c>
      <c r="M55" s="71">
        <f>IF($B55="Jacks Only",'Chinook Jack Proportions'!I55,IF('3. Select Chinook Method'!$B55="Adults Only",'Chinook Adult Proportions'!I55,'Chinook All Ages Proportions'!I55))</f>
        <v>0.1656291265798906</v>
      </c>
      <c r="N55" s="71">
        <f>IF($B55="Jacks Only",'Chinook Jack Proportions'!J55,IF('3. Select Chinook Method'!$B55="Adults Only",'Chinook Adult Proportions'!J55,'Chinook All Ages Proportions'!J55))</f>
        <v>0.39072137302225796</v>
      </c>
      <c r="O55" s="23">
        <f>IF($B55="Jacks Only",'Chinook Jack Proportions'!K55,IF('3. Select Chinook Method'!$B55="Adults Only",'Chinook Adult Proportions'!K55,'Chinook All Ages Proportions'!K55))</f>
        <v>0.55599110075219838</v>
      </c>
      <c r="P55" s="76">
        <f>IF($B55="Jacks Only",'Chinook Jack Proportions'!L55,IF('3. Select Chinook Method'!$B55="Adults Only",'Chinook Adult Proportions'!L55,'Chinook All Ages Proportions'!L55))</f>
        <v>46.413841314225792</v>
      </c>
      <c r="Q55" s="76">
        <f>IF($B55="Jacks Only",'Chinook Jack Proportions'!M55,IF('3. Select Chinook Method'!$B55="Adults Only",'Chinook Adult Proportions'!M55,'Chinook All Ages Proportions'!M55))</f>
        <v>1106.6406656266252</v>
      </c>
      <c r="R55" s="76">
        <f>IF($B55="Jacks Only",'Chinook Jack Proportions'!X55,IF('3. Select Chinook Method'!$B55="Adults Only",'Chinook Adult Proportions'!X55,'Chinook All Ages Proportions'!X55))</f>
        <v>951.5309352517985</v>
      </c>
      <c r="S55" s="76">
        <f>IF($B55="Jacks Only",'Chinook Jack Proportions'!N55,IF('3. Select Chinook Method'!$B55="Adults Only",'Chinook Adult Proportions'!N55,'Chinook All Ages Proportions'!N55))</f>
        <v>3257.9976433507086</v>
      </c>
      <c r="T55" s="76">
        <f>IF($B55="Jacks Only",'Chinook Jack Proportions'!O55,IF('3. Select Chinook Method'!$B55="Adults Only",'Chinook Adult Proportions'!O55,'Chinook All Ages Proportions'!O55))</f>
        <v>6649.7036926742112</v>
      </c>
      <c r="U55" s="76">
        <f>IF($B55="Jacks Only",'Chinook Jack Proportions'!P55,IF('3. Select Chinook Method'!$B55="Adults Only",'Chinook Adult Proportions'!P55,'Chinook All Ages Proportions'!P55))</f>
        <v>3865.193031566409</v>
      </c>
      <c r="V55" s="76">
        <f>IF($B55="Jacks Only",'Chinook Jack Proportions'!Q55,IF('3. Select Chinook Method'!$B55="Adults Only",'Chinook Adult Proportions'!Q55,'Chinook All Ages Proportions'!Q55))</f>
        <v>1686.6380583680764</v>
      </c>
      <c r="W55" s="76">
        <f>IF($B55="Jacks Only",'Chinook Jack Proportions'!R55,IF('3. Select Chinook Method'!$B55="Adults Only",'Chinook Adult Proportions'!R55,'Chinook All Ages Proportions'!R55))</f>
        <v>0</v>
      </c>
      <c r="X55" s="56">
        <f>IF(B55="Jacks Only",'Chinook Jack Proportions'!S55,IF(B55="Adults Only",'Chinook Adult Proportions'!S55,'Chinook All Ages Proportions'!S55))</f>
        <v>1543.908519999997</v>
      </c>
      <c r="Y55" s="56">
        <f>IF($B55="Jacks Only",'Chinook Jack Proportions'!T55,IF('3. Select Chinook Method'!$B55="Adults Only",'Chinook Adult Proportions'!T55,'Chinook All Ages Proportions'!T55))</f>
        <v>988.24082212098756</v>
      </c>
      <c r="Z55" s="56">
        <f>IF($B55="Jacks Only",'Chinook Jack Proportions'!U55,IF('3. Select Chinook Method'!$B55="Adults Only",'Chinook Adult Proportions'!U55,'Chinook All Ages Proportions'!U55))</f>
        <v>2201.1910075219835</v>
      </c>
      <c r="AA55" s="56">
        <f>IF($B55="Jacks Only",'Chinook Jack Proportions'!V55,IF('3. Select Chinook Method'!$B55="Adults Only",'Chinook Adult Proportions'!V55,'Chinook All Ages Proportions'!V55))</f>
        <v>1605.3022043443279</v>
      </c>
      <c r="AB55" s="56">
        <f>IF($B55="Jacks Only",'Chinook Jack Proportions'!W55,IF('3. Select Chinook Method'!$B55="Adults Only",'Chinook Adult Proportions'!W55,'Chinook All Ages Proportions'!W55))</f>
        <v>567.08762874929266</v>
      </c>
      <c r="AC55" s="41">
        <f>IF(B55="Jacks Only",'Chinook Jack Proportions'!Y55,IF('3. Select Chinook Method'!B55="Adults Only",'Chinook Adult Proportions'!Y55,'Chinook All Ages Proportions'!Y55))</f>
        <v>23518.317115636844</v>
      </c>
      <c r="AD55" s="42">
        <f>IF(B55="Jacks Only",'Chinook Jack Proportions'!Z55,IF('3. Select Chinook Method'!B55="Adults Only",'Chinook Adult Proportions'!Z55,'Chinook All Ages Proportions'!Z55))</f>
        <v>0.27090677154997866</v>
      </c>
      <c r="AE55" s="43">
        <f>IF($B55="Jacks Only",'Chinook Jack Proportions'!AA55,IF('3. Select Chinook Method'!$B55="Adults Only",'Chinook Adult Proportions'!AA55,'Chinook All Ages Proportions'!AA55))</f>
        <v>0.35287787383724045</v>
      </c>
      <c r="AF55" s="42">
        <f>IF($B55="Jacks Only",'Chinook Jack Proportions'!AB55,IF('3. Select Chinook Method'!$B55="Adults Only",'Chinook Adult Proportions'!AB55,'Chinook All Ages Proportions'!AB55))</f>
        <v>5.8333333333333334E-2</v>
      </c>
      <c r="AG55" s="44">
        <f>IF($B55="Jacks Only",'Chinook Jack Proportions'!AC55,IF('3. Select Chinook Method'!$B55="Adults Only",'Chinook Adult Proportions'!AC55,'Chinook All Ages Proportions'!AC55))</f>
        <v>0.5446216229427806</v>
      </c>
    </row>
    <row r="56" spans="1:33" x14ac:dyDescent="0.3">
      <c r="A56" s="5">
        <f>'1. Mixture Model Inputs'!A56</f>
        <v>45158</v>
      </c>
      <c r="B56" s="55" t="s">
        <v>43</v>
      </c>
      <c r="C56" s="60">
        <f t="shared" si="0"/>
        <v>43756.176231803518</v>
      </c>
      <c r="D56" s="56">
        <f>'Chinook All Ages Proportions'!Y56</f>
        <v>44179.074795339431</v>
      </c>
      <c r="E56" s="56">
        <f>'Chinook Adult Proportions'!Y56</f>
        <v>43756.176231803518</v>
      </c>
      <c r="F56" s="57">
        <f>'Chinook Jack Proportions'!Y56</f>
        <v>422.89856353591244</v>
      </c>
      <c r="G56" s="71">
        <f>IF($B56="Jacks Only",'Chinook Jack Proportions'!C56,IF('3. Select Chinook Method'!$B56="Adults Only",'Chinook Adult Proportions'!C56,'Chinook All Ages Proportions'!C56))</f>
        <v>0.23089941972920697</v>
      </c>
      <c r="H56" s="71">
        <f>IF($B56="Jacks Only",'Chinook Jack Proportions'!D56,IF('3. Select Chinook Method'!$B56="Adults Only",'Chinook Adult Proportions'!D56,'Chinook All Ages Proportions'!D56))</f>
        <v>0.12587264649883648</v>
      </c>
      <c r="I56" s="71">
        <f>IF($B56="Jacks Only",'Chinook Jack Proportions'!E56,IF('3. Select Chinook Method'!$B56="Adults Only",'Chinook Adult Proportions'!E56,'Chinook All Ages Proportions'!E56))</f>
        <v>0.16861510791366907</v>
      </c>
      <c r="J56" s="71">
        <f>IF($B56="Jacks Only",'Chinook Jack Proportions'!F56,IF('3. Select Chinook Method'!$B56="Adults Only",'Chinook Adult Proportions'!F56,'Chinook All Ages Proportions'!F56))</f>
        <v>0.33170243522739912</v>
      </c>
      <c r="K56" s="71">
        <f>IF($B56="Jacks Only",'Chinook Jack Proportions'!G56,IF('3. Select Chinook Method'!$B56="Adults Only",'Chinook Adult Proportions'!G56,'Chinook All Ages Proportions'!G56))</f>
        <v>0.71259105098855358</v>
      </c>
      <c r="L56" s="24">
        <f>IF($B56="Jacks Only",'Chinook Jack Proportions'!H56,IF('3. Select Chinook Method'!$B56="Adults Only",'Chinook Adult Proportions'!H56,'Chinook All Ages Proportions'!H56))</f>
        <v>0.17679558011049723</v>
      </c>
      <c r="M56" s="71">
        <f>IF($B56="Jacks Only",'Chinook Jack Proportions'!I56,IF('3. Select Chinook Method'!$B56="Adults Only",'Chinook Adult Proportions'!I56,'Chinook All Ages Proportions'!I56))</f>
        <v>0.1378906902891526</v>
      </c>
      <c r="N56" s="71">
        <f>IF($B56="Jacks Only",'Chinook Jack Proportions'!J56,IF('3. Select Chinook Method'!$B56="Adults Only",'Chinook Adult Proportions'!J56,'Chinook All Ages Proportions'!J56))</f>
        <v>0.63662075750122971</v>
      </c>
      <c r="O56" s="23">
        <f>IF($B56="Jacks Only",'Chinook Jack Proportions'!K56,IF('3. Select Chinook Method'!$B56="Adults Only",'Chinook Adult Proportions'!K56,'Chinook All Ages Proportions'!K56))</f>
        <v>0.72091007583965327</v>
      </c>
      <c r="P56" s="76">
        <f>IF($B56="Jacks Only",'Chinook Jack Proportions'!L56,IF('3. Select Chinook Method'!$B56="Adults Only",'Chinook Adult Proportions'!L56,'Chinook All Ages Proportions'!L56))</f>
        <v>1155.4206963249517</v>
      </c>
      <c r="Q56" s="76">
        <f>IF($B56="Jacks Only",'Chinook Jack Proportions'!M56,IF('3. Select Chinook Method'!$B56="Adults Only",'Chinook Adult Proportions'!M56,'Chinook All Ages Proportions'!M56))</f>
        <v>1453.9549397080602</v>
      </c>
      <c r="R56" s="76">
        <f>IF($B56="Jacks Only",'Chinook Jack Proportions'!X56,IF('3. Select Chinook Method'!$B56="Adults Only",'Chinook Adult Proportions'!X56,'Chinook All Ages Proportions'!X56))</f>
        <v>2791.4568345323737</v>
      </c>
      <c r="S56" s="76">
        <f>IF($B56="Jacks Only",'Chinook Jack Proportions'!N56,IF('3. Select Chinook Method'!$B56="Adults Only",'Chinook Adult Proportions'!N56,'Chinook All Ages Proportions'!N56))</f>
        <v>8249.1211297675982</v>
      </c>
      <c r="T56" s="76">
        <f>IF($B56="Jacks Only",'Chinook Jack Proportions'!O56,IF('3. Select Chinook Method'!$B56="Adults Only",'Chinook Adult Proportions'!O56,'Chinook All Ages Proportions'!O56))</f>
        <v>10571.202730489074</v>
      </c>
      <c r="U56" s="76">
        <f>IF($B56="Jacks Only",'Chinook Jack Proportions'!P56,IF('3. Select Chinook Method'!$B56="Adults Only",'Chinook Adult Proportions'!P56,'Chinook All Ages Proportions'!P56))</f>
        <v>6433.1579937565039</v>
      </c>
      <c r="V56" s="76">
        <f>IF($B56="Jacks Only",'Chinook Jack Proportions'!Q56,IF('3. Select Chinook Method'!$B56="Adults Only",'Chinook Adult Proportions'!Q56,'Chinook All Ages Proportions'!Q56))</f>
        <v>4283.9263766909471</v>
      </c>
      <c r="W56" s="76">
        <f>IF($B56="Jacks Only",'Chinook Jack Proportions'!R56,IF('3. Select Chinook Method'!$B56="Adults Only",'Chinook Adult Proportions'!R56,'Chinook All Ages Proportions'!R56))</f>
        <v>0</v>
      </c>
      <c r="X56" s="56">
        <f>IF(B56="Jacks Only",'Chinook Jack Proportions'!S56,IF(B56="Adults Only",'Chinook Adult Proportions'!S56,'Chinook All Ages Proportions'!S56))</f>
        <v>4510.9180110497327</v>
      </c>
      <c r="Y56" s="56">
        <f>IF($B56="Jacks Only",'Chinook Jack Proportions'!T56,IF('3. Select Chinook Method'!$B56="Adults Only",'Chinook Adult Proportions'!T56,'Chinook All Ages Proportions'!T56))</f>
        <v>1624.4699284940411</v>
      </c>
      <c r="Z56" s="56">
        <f>IF($B56="Jacks Only",'Chinook Jack Proportions'!U56,IF('3. Select Chinook Method'!$B56="Adults Only",'Chinook Adult Proportions'!U56,'Chinook All Ages Proportions'!U56))</f>
        <v>2032.7933954496204</v>
      </c>
      <c r="AA56" s="56">
        <f>IF($B56="Jacks Only",'Chinook Jack Proportions'!V56,IF('3. Select Chinook Method'!$B56="Adults Only",'Chinook Adult Proportions'!V56,'Chinook All Ages Proportions'!V56))</f>
        <v>2914.7554058042306</v>
      </c>
      <c r="AB56" s="56">
        <f>IF($B56="Jacks Only",'Chinook Jack Proportions'!W56,IF('3. Select Chinook Method'!$B56="Adults Only",'Chinook Adult Proportions'!W56,'Chinook All Ages Proportions'!W56))</f>
        <v>526.45562426876154</v>
      </c>
      <c r="AC56" s="41">
        <f>IF(B56="Jacks Only",'Chinook Jack Proportions'!Y56,IF('3. Select Chinook Method'!B56="Adults Only",'Chinook Adult Proportions'!Y56,'Chinook All Ages Proportions'!Y56))</f>
        <v>43756.176231803518</v>
      </c>
      <c r="AD56" s="42">
        <f>IF(B56="Jacks Only",'Chinook Jack Proportions'!Z56,IF('3. Select Chinook Method'!B56="Adults Only",'Chinook Adult Proportions'!Z56,'Chinook All Ages Proportions'!Z56))</f>
        <v>0.39676222645680947</v>
      </c>
      <c r="AE56" s="43">
        <f>IF($B56="Jacks Only",'Chinook Jack Proportions'!AA56,IF('3. Select Chinook Method'!$B56="Adults Only",'Chinook Adult Proportions'!AA56,'Chinook All Ages Proportions'!AA56))</f>
        <v>0.4508746281383052</v>
      </c>
      <c r="AF56" s="42">
        <f>IF($B56="Jacks Only",'Chinook Jack Proportions'!AB56,IF('3. Select Chinook Method'!$B56="Adults Only",'Chinook Adult Proportions'!AB56,'Chinook All Ages Proportions'!AB56))</f>
        <v>0.17679558011049723</v>
      </c>
      <c r="AG56" s="44">
        <f>IF($B56="Jacks Only",'Chinook Jack Proportions'!AC56,IF('3. Select Chinook Method'!$B56="Adults Only",'Chinook Adult Proportions'!AC56,'Chinook All Ages Proportions'!AC56))</f>
        <v>0.73547125388709167</v>
      </c>
    </row>
    <row r="57" spans="1:33" x14ac:dyDescent="0.3">
      <c r="A57" s="5">
        <f>'1. Mixture Model Inputs'!A57</f>
        <v>45159</v>
      </c>
      <c r="B57" s="55" t="s">
        <v>43</v>
      </c>
      <c r="C57" s="60">
        <f t="shared" si="0"/>
        <v>61383.462020740459</v>
      </c>
      <c r="D57" s="56">
        <f>'Chinook All Ages Proportions'!Y57</f>
        <v>61890.262020740462</v>
      </c>
      <c r="E57" s="56">
        <f>'Chinook Adult Proportions'!Y57</f>
        <v>61383.462020740459</v>
      </c>
      <c r="F57" s="57">
        <f>'Chinook Jack Proportions'!Y57</f>
        <v>506.80000000000047</v>
      </c>
      <c r="G57" s="71">
        <f>IF($B57="Jacks Only",'Chinook Jack Proportions'!C57,IF('3. Select Chinook Method'!$B57="Adults Only",'Chinook Adult Proportions'!C57,'Chinook All Ages Proportions'!C57))</f>
        <v>0.25135913015669975</v>
      </c>
      <c r="H57" s="71">
        <f>IF($B57="Jacks Only",'Chinook Jack Proportions'!D57,IF('3. Select Chinook Method'!$B57="Adults Only",'Chinook Adult Proportions'!D57,'Chinook All Ages Proportions'!D57))</f>
        <v>0.16579723293263779</v>
      </c>
      <c r="I57" s="71">
        <f>IF($B57="Jacks Only",'Chinook Jack Proportions'!E57,IF('3. Select Chinook Method'!$B57="Adults Only",'Chinook Adult Proportions'!E57,'Chinook All Ages Proportions'!E57))</f>
        <v>0.20042474117334749</v>
      </c>
      <c r="J57" s="71">
        <f>IF($B57="Jacks Only",'Chinook Jack Proportions'!F57,IF('3. Select Chinook Method'!$B57="Adults Only",'Chinook Adult Proportions'!F57,'Chinook All Ages Proportions'!F57))</f>
        <v>0.34164093515659461</v>
      </c>
      <c r="K57" s="71">
        <f>IF($B57="Jacks Only",'Chinook Jack Proportions'!G57,IF('3. Select Chinook Method'!$B57="Adults Only",'Chinook Adult Proportions'!G57,'Chinook All Ages Proportions'!G57))</f>
        <v>0.65990876837303603</v>
      </c>
      <c r="L57" s="24">
        <f>IF($B57="Jacks Only",'Chinook Jack Proportions'!H57,IF('3. Select Chinook Method'!$B57="Adults Only",'Chinook Adult Proportions'!H57,'Chinook All Ages Proportions'!H57))</f>
        <v>0.33333333333333331</v>
      </c>
      <c r="M57" s="71">
        <f>IF($B57="Jacks Only",'Chinook Jack Proportions'!I57,IF('3. Select Chinook Method'!$B57="Adults Only",'Chinook Adult Proportions'!I57,'Chinook All Ages Proportions'!I57))</f>
        <v>0.25135913015669975</v>
      </c>
      <c r="N57" s="71">
        <f>IF($B57="Jacks Only",'Chinook Jack Proportions'!J57,IF('3. Select Chinook Method'!$B57="Adults Only",'Chinook Adult Proportions'!J57,'Chinook All Ages Proportions'!J57))</f>
        <v>0.56208999884911959</v>
      </c>
      <c r="O57" s="23">
        <f>IF($B57="Jacks Only",'Chinook Jack Proportions'!K57,IF('3. Select Chinook Method'!$B57="Adults Only",'Chinook Adult Proportions'!K57,'Chinook All Ages Proportions'!K57))</f>
        <v>0.76672884122172991</v>
      </c>
      <c r="P57" s="76">
        <f>IF($B57="Jacks Only",'Chinook Jack Proportions'!L57,IF('3. Select Chinook Method'!$B57="Adults Only",'Chinook Adult Proportions'!L57,'Chinook All Ages Proportions'!L57))</f>
        <v>1095.1717300927407</v>
      </c>
      <c r="Q57" s="76">
        <f>IF($B57="Jacks Only",'Chinook Jack Proportions'!M57,IF('3. Select Chinook Method'!$B57="Adults Only",'Chinook Adult Proportions'!M57,'Chinook All Ages Proportions'!M57))</f>
        <v>2019.4102971195282</v>
      </c>
      <c r="R57" s="76">
        <f>IF($B57="Jacks Only",'Chinook Jack Proportions'!X57,IF('3. Select Chinook Method'!$B57="Adults Only",'Chinook Adult Proportions'!X57,'Chinook All Ages Proportions'!X57))</f>
        <v>3314.4640297318815</v>
      </c>
      <c r="S57" s="76">
        <f>IF($B57="Jacks Only",'Chinook Jack Proportions'!N57,IF('3. Select Chinook Method'!$B57="Adults Only",'Chinook Adult Proportions'!N57,'Chinook All Ages Proportions'!N57))</f>
        <v>12580.394477282753</v>
      </c>
      <c r="T57" s="76">
        <f>IF($B57="Jacks Only",'Chinook Jack Proportions'!O57,IF('3. Select Chinook Method'!$B57="Adults Only",'Chinook Adult Proportions'!O57,'Chinook All Ages Proportions'!O57))</f>
        <v>11963.406872782565</v>
      </c>
      <c r="U57" s="76">
        <f>IF($B57="Jacks Only",'Chinook Jack Proportions'!P57,IF('3. Select Chinook Method'!$B57="Adults Only",'Chinook Adult Proportions'!P57,'Chinook All Ages Proportions'!P57))</f>
        <v>8796.1615408008111</v>
      </c>
      <c r="V57" s="76">
        <f>IF($B57="Jacks Only",'Chinook Jack Proportions'!Q57,IF('3. Select Chinook Method'!$B57="Adults Only",'Chinook Adult Proportions'!Q57,'Chinook All Ages Proportions'!Q57))</f>
        <v>4252.4521033958445</v>
      </c>
      <c r="W57" s="76">
        <f>IF($B57="Jacks Only",'Chinook Jack Proportions'!R57,IF('3. Select Chinook Method'!$B57="Adults Only",'Chinook Adult Proportions'!R57,'Chinook All Ages Proportions'!R57))</f>
        <v>0</v>
      </c>
      <c r="X57" s="56">
        <f>IF(B57="Jacks Only",'Chinook Jack Proportions'!S57,IF(B57="Adults Only",'Chinook Adult Proportions'!S57,'Chinook All Ages Proportions'!S57))</f>
        <v>12163.200000000012</v>
      </c>
      <c r="Y57" s="56">
        <f>IF($B57="Jacks Only",'Chinook Jack Proportions'!T57,IF('3. Select Chinook Method'!$B57="Adults Only",'Chinook Adult Proportions'!T57,'Chinook All Ages Proportions'!T57))</f>
        <v>1644.9093868034506</v>
      </c>
      <c r="Z57" s="56">
        <f>IF($B57="Jacks Only",'Chinook Jack Proportions'!U57,IF('3. Select Chinook Method'!$B57="Adults Only",'Chinook Adult Proportions'!U57,'Chinook All Ages Proportions'!U57))</f>
        <v>2738.6940825367215</v>
      </c>
      <c r="AA57" s="56">
        <f>IF($B57="Jacks Only",'Chinook Jack Proportions'!V57,IF('3. Select Chinook Method'!$B57="Adults Only",'Chinook Adult Proportions'!V57,'Chinook All Ages Proportions'!V57))</f>
        <v>3336.2514627690189</v>
      </c>
      <c r="AB57" s="56">
        <f>IF($B57="Jacks Only",'Chinook Jack Proportions'!W57,IF('3. Select Chinook Method'!$B57="Adults Only",'Chinook Adult Proportions'!W57,'Chinook All Ages Proportions'!W57))</f>
        <v>793.41006715701974</v>
      </c>
      <c r="AC57" s="41">
        <f>IF(B57="Jacks Only",'Chinook Jack Proportions'!Y57,IF('3. Select Chinook Method'!B57="Adults Only",'Chinook Adult Proportions'!Y57,'Chinook All Ages Proportions'!Y57))</f>
        <v>61383.462020740459</v>
      </c>
      <c r="AD57" s="42">
        <f>IF(B57="Jacks Only",'Chinook Jack Proportions'!Z57,IF('3. Select Chinook Method'!B57="Adults Only",'Chinook Adult Proportions'!Z57,'Chinook All Ages Proportions'!Z57))</f>
        <v>0.43057476609942064</v>
      </c>
      <c r="AE57" s="43">
        <f>IF($B57="Jacks Only",'Chinook Jack Proportions'!AA57,IF('3. Select Chinook Method'!$B57="Adults Only",'Chinook Adult Proportions'!AA57,'Chinook All Ages Proportions'!AA57))</f>
        <v>0.44604111793835827</v>
      </c>
      <c r="AF57" s="42">
        <f>IF($B57="Jacks Only",'Chinook Jack Proportions'!AB57,IF('3. Select Chinook Method'!$B57="Adults Only",'Chinook Adult Proportions'!AB57,'Chinook All Ages Proportions'!AB57))</f>
        <v>0.33333333333333331</v>
      </c>
      <c r="AG57" s="44">
        <f>IF($B57="Jacks Only",'Chinook Jack Proportions'!AC57,IF('3. Select Chinook Method'!$B57="Adults Only",'Chinook Adult Proportions'!AC57,'Chinook All Ages Proportions'!AC57))</f>
        <v>0.73058178685029851</v>
      </c>
    </row>
    <row r="58" spans="1:33" x14ac:dyDescent="0.3">
      <c r="A58" s="5">
        <f>'1. Mixture Model Inputs'!A58</f>
        <v>45160</v>
      </c>
      <c r="B58" s="55" t="s">
        <v>43</v>
      </c>
      <c r="C58" s="60">
        <f t="shared" si="0"/>
        <v>106911.83630925151</v>
      </c>
      <c r="D58" s="56">
        <f>'Chinook All Ages Proportions'!Y58</f>
        <v>108665.05100312906</v>
      </c>
      <c r="E58" s="56">
        <f>'Chinook Adult Proportions'!Y58</f>
        <v>106911.83630925151</v>
      </c>
      <c r="F58" s="57">
        <f>'Chinook Jack Proportions'!Y58</f>
        <v>1753.2146938775534</v>
      </c>
      <c r="G58" s="71">
        <f>IF($B58="Jacks Only",'Chinook Jack Proportions'!C58,IF('3. Select Chinook Method'!$B58="Adults Only",'Chinook Adult Proportions'!C58,'Chinook All Ages Proportions'!C58))</f>
        <v>8.9299661546472273E-2</v>
      </c>
      <c r="H58" s="71">
        <f>IF($B58="Jacks Only",'Chinook Jack Proportions'!D58,IF('3. Select Chinook Method'!$B58="Adults Only",'Chinook Adult Proportions'!D58,'Chinook All Ages Proportions'!D58))</f>
        <v>0.10203703703703704</v>
      </c>
      <c r="I58" s="71">
        <f>IF($B58="Jacks Only",'Chinook Jack Proportions'!E58,IF('3. Select Chinook Method'!$B58="Adults Only",'Chinook Adult Proportions'!E58,'Chinook All Ages Proportions'!E58))</f>
        <v>0.11374080882352942</v>
      </c>
      <c r="J58" s="71">
        <f>IF($B58="Jacks Only",'Chinook Jack Proportions'!F58,IF('3. Select Chinook Method'!$B58="Adults Only",'Chinook Adult Proportions'!F58,'Chinook All Ages Proportions'!F58))</f>
        <v>0.4173778920308483</v>
      </c>
      <c r="K58" s="71">
        <f>IF($B58="Jacks Only",'Chinook Jack Proportions'!G58,IF('3. Select Chinook Method'!$B58="Adults Only",'Chinook Adult Proportions'!G58,'Chinook All Ages Proportions'!G58))</f>
        <v>0.75835010060362174</v>
      </c>
      <c r="L58" s="24">
        <f>IF($B58="Jacks Only",'Chinook Jack Proportions'!H58,IF('3. Select Chinook Method'!$B58="Adults Only",'Chinook Adult Proportions'!H58,'Chinook All Ages Proportions'!H58))</f>
        <v>0.51020408163265307</v>
      </c>
      <c r="M58" s="71">
        <f>IF($B58="Jacks Only",'Chinook Jack Proportions'!I58,IF('3. Select Chinook Method'!$B58="Adults Only",'Chinook Adult Proportions'!I58,'Chinook All Ages Proportions'!I58))</f>
        <v>0.16038968753712726</v>
      </c>
      <c r="N58" s="71">
        <f>IF($B58="Jacks Only",'Chinook Jack Proportions'!J58,IF('3. Select Chinook Method'!$B58="Adults Only",'Chinook Adult Proportions'!J58,'Chinook All Ages Proportions'!J58))</f>
        <v>0.52499712676703825</v>
      </c>
      <c r="O58" s="23">
        <f>IF($B58="Jacks Only",'Chinook Jack Proportions'!K58,IF('3. Select Chinook Method'!$B58="Adults Only",'Chinook Adult Proportions'!K58,'Chinook All Ages Proportions'!K58))</f>
        <v>0.76706200582605066</v>
      </c>
      <c r="P58" s="76">
        <f>IF($B58="Jacks Only",'Chinook Jack Proportions'!L58,IF('3. Select Chinook Method'!$B58="Adults Only",'Chinook Adult Proportions'!L58,'Chinook All Ages Proportions'!L58))</f>
        <v>672.87294975266855</v>
      </c>
      <c r="Q58" s="76">
        <f>IF($B58="Jacks Only",'Chinook Jack Proportions'!M58,IF('3. Select Chinook Method'!$B58="Adults Only",'Chinook Adult Proportions'!M58,'Chinook All Ages Proportions'!M58))</f>
        <v>2221.9585185185183</v>
      </c>
      <c r="R58" s="76">
        <f>IF($B58="Jacks Only",'Chinook Jack Proportions'!X58,IF('3. Select Chinook Method'!$B58="Adults Only",'Chinook Adult Proportions'!X58,'Chinook All Ages Proportions'!X58))</f>
        <v>3333.8250000000003</v>
      </c>
      <c r="S58" s="76">
        <f>IF($B58="Jacks Only",'Chinook Jack Proportions'!N58,IF('3. Select Chinook Method'!$B58="Adults Only",'Chinook Adult Proportions'!N58,'Chinook All Ages Proportions'!N58))</f>
        <v>20856.640386632389</v>
      </c>
      <c r="T58" s="76">
        <f>IF($B58="Jacks Only",'Chinook Jack Proportions'!O58,IF('3. Select Chinook Method'!$B58="Adults Only",'Chinook Adult Proportions'!O58,'Chinook All Ages Proportions'!O58))</f>
        <v>25407.397762575456</v>
      </c>
      <c r="U58" s="76">
        <f>IF($B58="Jacks Only",'Chinook Jack Proportions'!P58,IF('3. Select Chinook Method'!$B58="Adults Only",'Chinook Adult Proportions'!P58,'Chinook All Ages Proportions'!P58))</f>
        <v>15302.352338028169</v>
      </c>
      <c r="V58" s="76">
        <f>IF($B58="Jacks Only",'Chinook Jack Proportions'!Q58,IF('3. Select Chinook Method'!$B58="Adults Only",'Chinook Adult Proportions'!Q58,'Chinook All Ages Proportions'!Q58))</f>
        <v>9782.5342937625755</v>
      </c>
      <c r="W58" s="76">
        <f>IF($B58="Jacks Only",'Chinook Jack Proportions'!R58,IF('3. Select Chinook Method'!$B58="Adults Only",'Chinook Adult Proportions'!R58,'Chinook All Ages Proportions'!R58))</f>
        <v>0</v>
      </c>
      <c r="X58" s="56">
        <f>IF(B58="Jacks Only",'Chinook Jack Proportions'!S58,IF(B58="Adults Only",'Chinook Adult Proportions'!S58,'Chinook All Ages Proportions'!S58))</f>
        <v>21915.183673469419</v>
      </c>
      <c r="Y58" s="56">
        <f>IF($B58="Jacks Only",'Chinook Jack Proportions'!T58,IF('3. Select Chinook Method'!$B58="Adults Only",'Chinook Adult Proportions'!T58,'Chinook All Ages Proportions'!T58))</f>
        <v>2076.7743570536827</v>
      </c>
      <c r="Z58" s="56">
        <f>IF($B58="Jacks Only",'Chinook Jack Proportions'!U58,IF('3. Select Chinook Method'!$B58="Adults Only",'Chinook Adult Proportions'!U58,'Chinook All Ages Proportions'!U58))</f>
        <v>4366.1783021223464</v>
      </c>
      <c r="AA58" s="56">
        <f>IF($B58="Jacks Only",'Chinook Jack Proportions'!V58,IF('3. Select Chinook Method'!$B58="Adults Only",'Chinook Adult Proportions'!V58,'Chinook All Ages Proportions'!V58))</f>
        <v>3325.6257993334093</v>
      </c>
      <c r="AB58" s="56">
        <f>IF($B58="Jacks Only",'Chinook Jack Proportions'!W58,IF('3. Select Chinook Method'!$B58="Adults Only",'Chinook Adult Proportions'!W58,'Chinook All Ages Proportions'!W58))</f>
        <v>984.31792800285154</v>
      </c>
      <c r="AC58" s="41">
        <f>IF(B58="Jacks Only",'Chinook Jack Proportions'!Y58,IF('3. Select Chinook Method'!B58="Adults Only",'Chinook Adult Proportions'!Y58,'Chinook All Ages Proportions'!Y58))</f>
        <v>106911.83630925151</v>
      </c>
      <c r="AD58" s="42">
        <f>IF(B58="Jacks Only",'Chinook Jack Proportions'!Z58,IF('3. Select Chinook Method'!B58="Adults Only",'Chinook Adult Proportions'!Z58,'Chinook All Ages Proportions'!Z58))</f>
        <v>0.50986149092581101</v>
      </c>
      <c r="AE58" s="43">
        <f>IF($B58="Jacks Only",'Chinook Jack Proportions'!AA58,IF('3. Select Chinook Method'!$B58="Adults Only",'Chinook Adult Proportions'!AA58,'Chinook All Ages Proportions'!AA58))</f>
        <v>0.50899607967572447</v>
      </c>
      <c r="AF58" s="42">
        <f>IF($B58="Jacks Only",'Chinook Jack Proportions'!AB58,IF('3. Select Chinook Method'!$B58="Adults Only",'Chinook Adult Proportions'!AB58,'Chinook All Ages Proportions'!AB58))</f>
        <v>0.51020408163265307</v>
      </c>
      <c r="AG58" s="44">
        <f>IF($B58="Jacks Only",'Chinook Jack Proportions'!AC58,IF('3. Select Chinook Method'!$B58="Adults Only",'Chinook Adult Proportions'!AC58,'Chinook All Ages Proportions'!AC58))</f>
        <v>0.7297976111513097</v>
      </c>
    </row>
    <row r="59" spans="1:33" x14ac:dyDescent="0.3">
      <c r="A59" s="5">
        <f>'1. Mixture Model Inputs'!A59</f>
        <v>45161</v>
      </c>
      <c r="B59" s="55" t="s">
        <v>43</v>
      </c>
      <c r="C59" s="60">
        <f t="shared" si="0"/>
        <v>82554.857219108962</v>
      </c>
      <c r="D59" s="56">
        <f>'Chinook All Ages Proportions'!Y59</f>
        <v>84906.653383492536</v>
      </c>
      <c r="E59" s="56">
        <f>'Chinook Adult Proportions'!Y59</f>
        <v>82554.857219108962</v>
      </c>
      <c r="F59" s="57">
        <f>'Chinook Jack Proportions'!Y59</f>
        <v>2351.7961643835615</v>
      </c>
      <c r="G59" s="71">
        <f>IF($B59="Jacks Only",'Chinook Jack Proportions'!C59,IF('3. Select Chinook Method'!$B59="Adults Only",'Chinook Adult Proportions'!C59,'Chinook All Ages Proportions'!C59))</f>
        <v>0.17197452229299365</v>
      </c>
      <c r="H59" s="71">
        <f>IF($B59="Jacks Only",'Chinook Jack Proportions'!D59,IF('3. Select Chinook Method'!$B59="Adults Only",'Chinook Adult Proportions'!D59,'Chinook All Ages Proportions'!D59))</f>
        <v>8.4766397808552732E-2</v>
      </c>
      <c r="I59" s="71">
        <f>IF($B59="Jacks Only",'Chinook Jack Proportions'!E59,IF('3. Select Chinook Method'!$B59="Adults Only",'Chinook Adult Proportions'!E59,'Chinook All Ages Proportions'!E59))</f>
        <v>0.12208258527827648</v>
      </c>
      <c r="J59" s="71">
        <f>IF($B59="Jacks Only",'Chinook Jack Proportions'!F59,IF('3. Select Chinook Method'!$B59="Adults Only",'Chinook Adult Proportions'!F59,'Chinook All Ages Proportions'!F59))</f>
        <v>0.32600808541515497</v>
      </c>
      <c r="K59" s="71">
        <f>IF($B59="Jacks Only",'Chinook Jack Proportions'!G59,IF('3. Select Chinook Method'!$B59="Adults Only",'Chinook Adult Proportions'!G59,'Chinook All Ages Proportions'!G59))</f>
        <v>0.69190495368505844</v>
      </c>
      <c r="L59" s="24">
        <f>IF($B59="Jacks Only",'Chinook Jack Proportions'!H59,IF('3. Select Chinook Method'!$B59="Adults Only",'Chinook Adult Proportions'!H59,'Chinook All Ages Proportions'!H59))</f>
        <v>0.30136986301369861</v>
      </c>
      <c r="M59" s="71">
        <f>IF($B59="Jacks Only",'Chinook Jack Proportions'!I59,IF('3. Select Chinook Method'!$B59="Adults Only",'Chinook Adult Proportions'!I59,'Chinook All Ages Proportions'!I59))</f>
        <v>0.11066027296200663</v>
      </c>
      <c r="N59" s="71">
        <f>IF($B59="Jacks Only",'Chinook Jack Proportions'!J59,IF('3. Select Chinook Method'!$B59="Adults Only",'Chinook Adult Proportions'!J59,'Chinook All Ages Proportions'!J59))</f>
        <v>0.43674286316233013</v>
      </c>
      <c r="O59" s="23">
        <f>IF($B59="Jacks Only",'Chinook Jack Proportions'!K59,IF('3. Select Chinook Method'!$B59="Adults Only",'Chinook Adult Proportions'!K59,'Chinook All Ages Proportions'!K59))</f>
        <v>0.62376640553464235</v>
      </c>
      <c r="P59" s="76">
        <f>IF($B59="Jacks Only",'Chinook Jack Proportions'!L59,IF('3. Select Chinook Method'!$B59="Adults Only",'Chinook Adult Proportions'!L59,'Chinook All Ages Proportions'!L59))</f>
        <v>1356.8789808917199</v>
      </c>
      <c r="Q59" s="76">
        <f>IF($B59="Jacks Only",'Chinook Jack Proportions'!M59,IF('3. Select Chinook Method'!$B59="Adults Only",'Chinook Adult Proportions'!M59,'Chinook All Ages Proportions'!M59))</f>
        <v>2529.0054786181709</v>
      </c>
      <c r="R59" s="76">
        <f>IF($B59="Jacks Only",'Chinook Jack Proportions'!X59,IF('3. Select Chinook Method'!$B59="Adults Only",'Chinook Adult Proportions'!X59,'Chinook All Ages Proportions'!X59))</f>
        <v>4605.6094793536804</v>
      </c>
      <c r="S59" s="76">
        <f>IF($B59="Jacks Only",'Chinook Jack Proportions'!N59,IF('3. Select Chinook Method'!$B59="Adults Only",'Chinook Adult Proportions'!N59,'Chinook All Ages Proportions'!N59))</f>
        <v>14817.302207940293</v>
      </c>
      <c r="T59" s="76">
        <f>IF($B59="Jacks Only",'Chinook Jack Proportions'!O59,IF('3. Select Chinook Method'!$B59="Adults Only",'Chinook Adult Proportions'!O59,'Chinook All Ages Proportions'!O59))</f>
        <v>15792.038662907775</v>
      </c>
      <c r="U59" s="76">
        <f>IF($B59="Jacks Only",'Chinook Jack Proportions'!P59,IF('3. Select Chinook Method'!$B59="Adults Only",'Chinook Adult Proportions'!P59,'Chinook All Ages Proportions'!P59))</f>
        <v>9282.5968586387444</v>
      </c>
      <c r="V59" s="76">
        <f>IF($B59="Jacks Only",'Chinook Jack Proportions'!Q59,IF('3. Select Chinook Method'!$B59="Adults Only",'Chinook Adult Proportions'!Q59,'Chinook All Ages Proportions'!Q59))</f>
        <v>4464.1154087797022</v>
      </c>
      <c r="W59" s="76">
        <f>IF($B59="Jacks Only",'Chinook Jack Proportions'!R59,IF('3. Select Chinook Method'!$B59="Adults Only",'Chinook Adult Proportions'!R59,'Chinook All Ages Proportions'!R59))</f>
        <v>0</v>
      </c>
      <c r="X59" s="56">
        <f>IF(B59="Jacks Only",'Chinook Jack Proportions'!S59,IF(B59="Adults Only",'Chinook Adult Proportions'!S59,'Chinook All Ages Proportions'!S59))</f>
        <v>17246.505205479451</v>
      </c>
      <c r="Y59" s="56">
        <f>IF($B59="Jacks Only",'Chinook Jack Proportions'!T59,IF('3. Select Chinook Method'!$B59="Adults Only",'Chinook Adult Proportions'!T59,'Chinook All Ages Proportions'!T59))</f>
        <v>2822.6677383253641</v>
      </c>
      <c r="Z59" s="56">
        <f>IF($B59="Jacks Only",'Chinook Jack Proportions'!U59,IF('3. Select Chinook Method'!$B59="Adults Only",'Chinook Adult Proportions'!U59,'Chinook All Ages Proportions'!U59))</f>
        <v>6598.6501495574312</v>
      </c>
      <c r="AA59" s="56">
        <f>IF($B59="Jacks Only",'Chinook Jack Proportions'!V59,IF('3. Select Chinook Method'!$B59="Adults Only",'Chinook Adult Proportions'!V59,'Chinook All Ages Proportions'!V59))</f>
        <v>5887.6431897187404</v>
      </c>
      <c r="AB59" s="56">
        <f>IF($B59="Jacks Only",'Chinook Jack Proportions'!W59,IF('3. Select Chinook Method'!$B59="Adults Only",'Chinook Adult Proportions'!W59,'Chinook All Ages Proportions'!W59))</f>
        <v>1757.4533382515676</v>
      </c>
      <c r="AC59" s="41">
        <f>IF(B59="Jacks Only",'Chinook Jack Proportions'!Y59,IF('3. Select Chinook Method'!B59="Adults Only",'Chinook Adult Proportions'!Y59,'Chinook All Ages Proportions'!Y59))</f>
        <v>82554.857219108962</v>
      </c>
      <c r="AD59" s="42">
        <f>IF(B59="Jacks Only",'Chinook Jack Proportions'!Z59,IF('3. Select Chinook Method'!B59="Adults Only",'Chinook Adult Proportions'!Z59,'Chinook All Ages Proportions'!Z59))</f>
        <v>0.36278077368482448</v>
      </c>
      <c r="AE59" s="43">
        <f>IF($B59="Jacks Only",'Chinook Jack Proportions'!AA59,IF('3. Select Chinook Method'!$B59="Adults Only",'Chinook Adult Proportions'!AA59,'Chinook All Ages Proportions'!AA59))</f>
        <v>0.38327404580811969</v>
      </c>
      <c r="AF59" s="42">
        <f>IF($B59="Jacks Only",'Chinook Jack Proportions'!AB59,IF('3. Select Chinook Method'!$B59="Adults Only",'Chinook Adult Proportions'!AB59,'Chinook All Ages Proportions'!AB59))</f>
        <v>0.30136986301369861</v>
      </c>
      <c r="AG59" s="44">
        <f>IF($B59="Jacks Only",'Chinook Jack Proportions'!AC59,IF('3. Select Chinook Method'!$B59="Adults Only",'Chinook Adult Proportions'!AC59,'Chinook All Ages Proportions'!AC59))</f>
        <v>0.59704675840284971</v>
      </c>
    </row>
    <row r="60" spans="1:33" x14ac:dyDescent="0.3">
      <c r="A60" s="5">
        <f>'1. Mixture Model Inputs'!A60</f>
        <v>45162</v>
      </c>
      <c r="B60" s="55" t="s">
        <v>43</v>
      </c>
      <c r="C60" s="60">
        <f t="shared" si="0"/>
        <v>62025.325908766223</v>
      </c>
      <c r="D60" s="56">
        <f>'Chinook All Ages Proportions'!Y60</f>
        <v>62025.325908766223</v>
      </c>
      <c r="E60" s="56">
        <f>'Chinook Adult Proportions'!Y60</f>
        <v>62025.325908766223</v>
      </c>
      <c r="F60" s="57">
        <f>'Chinook Jack Proportions'!Y60</f>
        <v>0</v>
      </c>
      <c r="G60" s="71">
        <f>IF($B60="Jacks Only",'Chinook Jack Proportions'!C60,IF('3. Select Chinook Method'!$B60="Adults Only",'Chinook Adult Proportions'!C60,'Chinook All Ages Proportions'!C60))</f>
        <v>0.20666666666666667</v>
      </c>
      <c r="H60" s="71">
        <f>IF($B60="Jacks Only",'Chinook Jack Proportions'!D60,IF('3. Select Chinook Method'!$B60="Adults Only",'Chinook Adult Proportions'!D60,'Chinook All Ages Proportions'!D60))</f>
        <v>8.1098442267544563E-2</v>
      </c>
      <c r="I60" s="71">
        <f>IF($B60="Jacks Only",'Chinook Jack Proportions'!E60,IF('3. Select Chinook Method'!$B60="Adults Only",'Chinook Adult Proportions'!E60,'Chinook All Ages Proportions'!E60))</f>
        <v>0.11821161048689138</v>
      </c>
      <c r="J60" s="71">
        <f>IF($B60="Jacks Only",'Chinook Jack Proportions'!F60,IF('3. Select Chinook Method'!$B60="Adults Only",'Chinook Adult Proportions'!F60,'Chinook All Ages Proportions'!F60))</f>
        <v>0.3027923211169285</v>
      </c>
      <c r="K60" s="71">
        <f>IF($B60="Jacks Only",'Chinook Jack Proportions'!G60,IF('3. Select Chinook Method'!$B60="Adults Only",'Chinook Adult Proportions'!G60,'Chinook All Ages Proportions'!G60))</f>
        <v>0.65665625314924925</v>
      </c>
      <c r="L60" s="24">
        <f>IF($B60="Jacks Only",'Chinook Jack Proportions'!H60,IF('3. Select Chinook Method'!$B60="Adults Only",'Chinook Adult Proportions'!H60,'Chinook All Ages Proportions'!H60))</f>
        <v>0.11363636363636363</v>
      </c>
      <c r="M60" s="71">
        <f>IF($B60="Jacks Only",'Chinook Jack Proportions'!I60,IF('3. Select Chinook Method'!$B60="Adults Only",'Chinook Adult Proportions'!I60,'Chinook All Ages Proportions'!I60))</f>
        <v>0.11066027296200663</v>
      </c>
      <c r="N60" s="71">
        <f>IF($B60="Jacks Only",'Chinook Jack Proportions'!J60,IF('3. Select Chinook Method'!$B60="Adults Only",'Chinook Adult Proportions'!J60,'Chinook All Ages Proportions'!J60))</f>
        <v>0.43674286316233013</v>
      </c>
      <c r="O60" s="23">
        <f>IF($B60="Jacks Only",'Chinook Jack Proportions'!K60,IF('3. Select Chinook Method'!$B60="Adults Only",'Chinook Adult Proportions'!K60,'Chinook All Ages Proportions'!K60))</f>
        <v>0.62376640553464235</v>
      </c>
      <c r="P60" s="76">
        <f>IF($B60="Jacks Only",'Chinook Jack Proportions'!L60,IF('3. Select Chinook Method'!$B60="Adults Only",'Chinook Adult Proportions'!L60,'Chinook All Ages Proportions'!L60))</f>
        <v>878.74666666666667</v>
      </c>
      <c r="Q60" s="76">
        <f>IF($B60="Jacks Only",'Chinook Jack Proportions'!M60,IF('3. Select Chinook Method'!$B60="Adults Only",'Chinook Adult Proportions'!M60,'Chinook All Ages Proportions'!M60))</f>
        <v>1944.8217440179862</v>
      </c>
      <c r="R60" s="76">
        <f>IF($B60="Jacks Only",'Chinook Jack Proportions'!X60,IF('3. Select Chinook Method'!$B60="Adults Only",'Chinook Adult Proportions'!X60,'Chinook All Ages Proportions'!X60))</f>
        <v>3337.5109550561797</v>
      </c>
      <c r="S60" s="76">
        <f>IF($B60="Jacks Only",'Chinook Jack Proportions'!N60,IF('3. Select Chinook Method'!$B60="Adults Only",'Chinook Adult Proportions'!N60,'Chinook All Ages Proportions'!N60))</f>
        <v>10235.736963350786</v>
      </c>
      <c r="T60" s="76">
        <f>IF($B60="Jacks Only",'Chinook Jack Proportions'!O60,IF('3. Select Chinook Method'!$B60="Adults Only",'Chinook Adult Proportions'!O60,'Chinook All Ages Proportions'!O60))</f>
        <v>14404.411569081931</v>
      </c>
      <c r="U60" s="76">
        <f>IF($B60="Jacks Only",'Chinook Jack Proportions'!P60,IF('3. Select Chinook Method'!$B60="Adults Only",'Chinook Adult Proportions'!P60,'Chinook All Ages Proportions'!P60))</f>
        <v>9944.4022976922297</v>
      </c>
      <c r="V60" s="76">
        <f>IF($B60="Jacks Only",'Chinook Jack Proportions'!Q60,IF('3. Select Chinook Method'!$B60="Adults Only",'Chinook Adult Proportions'!Q60,'Chinook All Ages Proportions'!Q60))</f>
        <v>6944.8490658067103</v>
      </c>
      <c r="W60" s="76">
        <f>IF($B60="Jacks Only",'Chinook Jack Proportions'!R60,IF('3. Select Chinook Method'!$B60="Adults Only",'Chinook Adult Proportions'!R60,'Chinook All Ages Proportions'!R60))</f>
        <v>0</v>
      </c>
      <c r="X60" s="56">
        <f>IF(B60="Jacks Only",'Chinook Jack Proportions'!S60,IF(B60="Adults Only",'Chinook Adult Proportions'!S60,'Chinook All Ages Proportions'!S60))</f>
        <v>6119.2363636363671</v>
      </c>
      <c r="Y60" s="56">
        <f>IF($B60="Jacks Only",'Chinook Jack Proportions'!T60,IF('3. Select Chinook Method'!$B60="Adults Only",'Chinook Adult Proportions'!T60,'Chinook All Ages Proportions'!T60))</f>
        <v>2554.5479865703528</v>
      </c>
      <c r="Z60" s="56">
        <f>IF($B60="Jacks Only",'Chinook Jack Proportions'!U60,IF('3. Select Chinook Method'!$B60="Adults Only",'Chinook Adult Proportions'!U60,'Chinook All Ages Proportions'!U60))</f>
        <v>4394.109968460677</v>
      </c>
      <c r="AA60" s="56">
        <f>IF($B60="Jacks Only",'Chinook Jack Proportions'!V60,IF('3. Select Chinook Method'!$B60="Adults Only",'Chinook Adult Proportions'!V60,'Chinook All Ages Proportions'!V60))</f>
        <v>3787.9232613504682</v>
      </c>
      <c r="AB60" s="56">
        <f>IF($B60="Jacks Only",'Chinook Jack Proportions'!W60,IF('3. Select Chinook Method'!$B60="Adults Only",'Chinook Adult Proportions'!W60,'Chinook All Ages Proportions'!W60))</f>
        <v>816.54002213205445</v>
      </c>
      <c r="AC60" s="41">
        <f>IF(B60="Jacks Only",'Chinook Jack Proportions'!Y60,IF('3. Select Chinook Method'!B60="Adults Only",'Chinook Adult Proportions'!Y60,'Chinook All Ages Proportions'!Y60))</f>
        <v>62025.325908766223</v>
      </c>
      <c r="AD60" s="42">
        <f>IF(B60="Jacks Only",'Chinook Jack Proportions'!Z60,IF('3. Select Chinook Method'!B60="Adults Only",'Chinook Adult Proportions'!Z60,'Chinook All Ages Proportions'!Z60))</f>
        <v>0.32519117580104989</v>
      </c>
      <c r="AE60" s="43">
        <f>IF($B60="Jacks Only",'Chinook Jack Proportions'!AA60,IF('3. Select Chinook Method'!$B60="Adults Only",'Chinook Adult Proportions'!AA60,'Chinook All Ages Proportions'!AA60))</f>
        <v>0.40433388018785643</v>
      </c>
      <c r="AF60" s="42">
        <f>IF($B60="Jacks Only",'Chinook Jack Proportions'!AB60,IF('3. Select Chinook Method'!$B60="Adults Only",'Chinook Adult Proportions'!AB60,'Chinook All Ages Proportions'!AB60))</f>
        <v>0.11363636363636365</v>
      </c>
      <c r="AG60" s="44">
        <f>IF($B60="Jacks Only",'Chinook Jack Proportions'!AC60,IF('3. Select Chinook Method'!$B60="Adults Only",'Chinook Adult Proportions'!AC60,'Chinook All Ages Proportions'!AC60))</f>
        <v>0.58310930010021489</v>
      </c>
    </row>
    <row r="61" spans="1:33" x14ac:dyDescent="0.3">
      <c r="A61" s="5">
        <f>'1. Mixture Model Inputs'!A61</f>
        <v>45163</v>
      </c>
      <c r="B61" s="55" t="s">
        <v>43</v>
      </c>
      <c r="C61" s="60">
        <f t="shared" si="0"/>
        <v>37251.607075039647</v>
      </c>
      <c r="D61" s="56">
        <f>'Chinook All Ages Proportions'!Y61</f>
        <v>37251.607075039647</v>
      </c>
      <c r="E61" s="56">
        <f>'Chinook Adult Proportions'!Y61</f>
        <v>37251.607075039647</v>
      </c>
      <c r="F61" s="57">
        <f>'Chinook Jack Proportions'!Y61</f>
        <v>0</v>
      </c>
      <c r="G61" s="71">
        <f>IF($B61="Jacks Only",'Chinook Jack Proportions'!C61,IF('3. Select Chinook Method'!$B61="Adults Only",'Chinook Adult Proportions'!C61,'Chinook All Ages Proportions'!C61))</f>
        <v>0</v>
      </c>
      <c r="H61" s="71">
        <f>IF($B61="Jacks Only",'Chinook Jack Proportions'!D61,IF('3. Select Chinook Method'!$B61="Adults Only",'Chinook Adult Proportions'!D61,'Chinook All Ages Proportions'!D61))</f>
        <v>1.7610343290236294E-2</v>
      </c>
      <c r="I61" s="71">
        <f>IF($B61="Jacks Only",'Chinook Jack Proportions'!E61,IF('3. Select Chinook Method'!$B61="Adults Only",'Chinook Adult Proportions'!E61,'Chinook All Ages Proportions'!E61))</f>
        <v>1.2048192771084338E-2</v>
      </c>
      <c r="J61" s="71">
        <f>IF($B61="Jacks Only",'Chinook Jack Proportions'!F61,IF('3. Select Chinook Method'!$B61="Adults Only",'Chinook Adult Proportions'!F61,'Chinook All Ages Proportions'!F61))</f>
        <v>0.26959587740710605</v>
      </c>
      <c r="K61" s="71">
        <f>IF($B61="Jacks Only",'Chinook Jack Proportions'!G61,IF('3. Select Chinook Method'!$B61="Adults Only",'Chinook Adult Proportions'!G61,'Chinook All Ages Proportions'!G61))</f>
        <v>0.53753753753753752</v>
      </c>
      <c r="L61" s="24">
        <f>IF($B61="Jacks Only",'Chinook Jack Proportions'!H61,IF('3. Select Chinook Method'!$B61="Adults Only",'Chinook Adult Proportions'!H61,'Chinook All Ages Proportions'!H61))</f>
        <v>0.17543859649122806</v>
      </c>
      <c r="M61" s="71">
        <f>IF($B61="Jacks Only",'Chinook Jack Proportions'!I61,IF('3. Select Chinook Method'!$B61="Adults Only",'Chinook Adult Proportions'!I61,'Chinook All Ages Proportions'!I61))</f>
        <v>0.2002245508982036</v>
      </c>
      <c r="N61" s="71">
        <f>IF($B61="Jacks Only",'Chinook Jack Proportions'!J61,IF('3. Select Chinook Method'!$B61="Adults Only",'Chinook Adult Proportions'!J61,'Chinook All Ages Proportions'!J61))</f>
        <v>0.34408221119773208</v>
      </c>
      <c r="O61" s="23">
        <f>IF($B61="Jacks Only",'Chinook Jack Proportions'!K61,IF('3. Select Chinook Method'!$B61="Adults Only",'Chinook Adult Proportions'!K61,'Chinook All Ages Proportions'!K61))</f>
        <v>0.6426504031424437</v>
      </c>
      <c r="P61" s="76">
        <f>IF($B61="Jacks Only",'Chinook Jack Proportions'!L61,IF('3. Select Chinook Method'!$B61="Adults Only",'Chinook Adult Proportions'!L61,'Chinook All Ages Proportions'!L61))</f>
        <v>0</v>
      </c>
      <c r="Q61" s="76">
        <f>IF($B61="Jacks Only",'Chinook Jack Proportions'!M61,IF('3. Select Chinook Method'!$B61="Adults Only",'Chinook Adult Proportions'!M61,'Chinook All Ages Proportions'!M61))</f>
        <v>140.86513597860011</v>
      </c>
      <c r="R61" s="76">
        <f>IF($B61="Jacks Only",'Chinook Jack Proportions'!X61,IF('3. Select Chinook Method'!$B61="Adults Only",'Chinook Adult Proportions'!X61,'Chinook All Ages Proportions'!X61))</f>
        <v>119.72240963855424</v>
      </c>
      <c r="S61" s="76">
        <f>IF($B61="Jacks Only",'Chinook Jack Proportions'!N61,IF('3. Select Chinook Method'!$B61="Adults Only",'Chinook Adult Proportions'!N61,'Chinook All Ages Proportions'!N61))</f>
        <v>5243.2731651749391</v>
      </c>
      <c r="T61" s="76">
        <f>IF($B61="Jacks Only",'Chinook Jack Proportions'!O61,IF('3. Select Chinook Method'!$B61="Adults Only",'Chinook Adult Proportions'!O61,'Chinook All Ages Proportions'!O61))</f>
        <v>6676.2162162162158</v>
      </c>
      <c r="U61" s="76">
        <f>IF($B61="Jacks Only",'Chinook Jack Proportions'!P61,IF('3. Select Chinook Method'!$B61="Adults Only",'Chinook Adult Proportions'!P61,'Chinook All Ages Proportions'!P61))</f>
        <v>4225.0450450450453</v>
      </c>
      <c r="V61" s="76">
        <f>IF($B61="Jacks Only",'Chinook Jack Proportions'!Q61,IF('3. Select Chinook Method'!$B61="Adults Only",'Chinook Adult Proportions'!Q61,'Chinook All Ages Proportions'!Q61))</f>
        <v>3724.4900900900898</v>
      </c>
      <c r="W61" s="76">
        <f>IF($B61="Jacks Only",'Chinook Jack Proportions'!R61,IF('3. Select Chinook Method'!$B61="Adults Only",'Chinook Adult Proportions'!R61,'Chinook All Ages Proportions'!R61))</f>
        <v>0</v>
      </c>
      <c r="X61" s="56">
        <f>IF(B61="Jacks Only",'Chinook Jack Proportions'!S61,IF(B61="Adults Only",'Chinook Adult Proportions'!S61,'Chinook All Ages Proportions'!S61))</f>
        <v>8400.1684210526237</v>
      </c>
      <c r="Y61" s="56">
        <f>IF($B61="Jacks Only",'Chinook Jack Proportions'!T61,IF('3. Select Chinook Method'!$B61="Adults Only",'Chinook Adult Proportions'!T61,'Chinook All Ages Proportions'!T61))</f>
        <v>2230.716667355799</v>
      </c>
      <c r="Z61" s="56">
        <f>IF($B61="Jacks Only",'Chinook Jack Proportions'!U61,IF('3. Select Chinook Method'!$B61="Adults Only",'Chinook Adult Proportions'!U61,'Chinook All Ages Proportions'!U61))</f>
        <v>3763.8234690924132</v>
      </c>
      <c r="AA61" s="56">
        <f>IF($B61="Jacks Only",'Chinook Jack Proportions'!V61,IF('3. Select Chinook Method'!$B61="Adults Only",'Chinook Adult Proportions'!V61,'Chinook All Ages Proportions'!V61))</f>
        <v>2016.3492841956058</v>
      </c>
      <c r="AB61" s="56">
        <f>IF($B61="Jacks Only",'Chinook Jack Proportions'!W61,IF('3. Select Chinook Method'!$B61="Adults Only",'Chinook Adult Proportions'!W61,'Chinook All Ages Proportions'!W61))</f>
        <v>830.65958083832345</v>
      </c>
      <c r="AC61" s="41">
        <f>IF(B61="Jacks Only",'Chinook Jack Proportions'!Y61,IF('3. Select Chinook Method'!B61="Adults Only",'Chinook Adult Proportions'!Y61,'Chinook All Ages Proportions'!Y61))</f>
        <v>37251.607075039647</v>
      </c>
      <c r="AD61" s="42">
        <f>IF(B61="Jacks Only",'Chinook Jack Proportions'!Z61,IF('3. Select Chinook Method'!B61="Adults Only",'Chinook Adult Proportions'!Z61,'Chinook All Ages Proportions'!Z61))</f>
        <v>0.300872541795973</v>
      </c>
      <c r="AE61" s="43">
        <f>IF($B61="Jacks Only",'Chinook Jack Proportions'!AA61,IF('3. Select Chinook Method'!$B61="Adults Only",'Chinook Adult Proportions'!AA61,'Chinook All Ages Proportions'!AA61))</f>
        <v>0.35356660115673799</v>
      </c>
      <c r="AF61" s="42">
        <f>IF($B61="Jacks Only",'Chinook Jack Proportions'!AB61,IF('3. Select Chinook Method'!$B61="Adults Only",'Chinook Adult Proportions'!AB61,'Chinook All Ages Proportions'!AB61))</f>
        <v>0.17543859649122806</v>
      </c>
      <c r="AG61" s="44">
        <f>IF($B61="Jacks Only",'Chinook Jack Proportions'!AC61,IF('3. Select Chinook Method'!$B61="Adults Only",'Chinook Adult Proportions'!AC61,'Chinook All Ages Proportions'!AC61))</f>
        <v>0.58214350625247835</v>
      </c>
    </row>
    <row r="62" spans="1:33" x14ac:dyDescent="0.3">
      <c r="A62" s="5">
        <f>'1. Mixture Model Inputs'!A62</f>
        <v>45164</v>
      </c>
      <c r="B62" s="55" t="s">
        <v>43</v>
      </c>
      <c r="C62" s="60">
        <f t="shared" si="0"/>
        <v>45665.020783617525</v>
      </c>
      <c r="D62" s="56">
        <f>'Chinook All Ages Proportions'!Y62</f>
        <v>46806.614185679384</v>
      </c>
      <c r="E62" s="56">
        <f>'Chinook Adult Proportions'!Y62</f>
        <v>45665.020783617525</v>
      </c>
      <c r="F62" s="57">
        <f>'Chinook Jack Proportions'!Y62</f>
        <v>1141.5934020618558</v>
      </c>
      <c r="G62" s="71">
        <f>IF($B62="Jacks Only",'Chinook Jack Proportions'!C62,IF('3. Select Chinook Method'!$B62="Adults Only",'Chinook Adult Proportions'!C62,'Chinook All Ages Proportions'!C62))</f>
        <v>9.9581589958159009E-2</v>
      </c>
      <c r="H62" s="71">
        <f>IF($B62="Jacks Only",'Chinook Jack Proportions'!D62,IF('3. Select Chinook Method'!$B62="Adults Only",'Chinook Adult Proportions'!D62,'Chinook All Ages Proportions'!D62))</f>
        <v>9.9656357388316144E-3</v>
      </c>
      <c r="I62" s="71">
        <f>IF($B62="Jacks Only",'Chinook Jack Proportions'!E62,IF('3. Select Chinook Method'!$B62="Adults Only",'Chinook Adult Proportions'!E62,'Chinook All Ages Proportions'!E62))</f>
        <v>4.913728432108027E-2</v>
      </c>
      <c r="J62" s="71">
        <f>IF($B62="Jacks Only",'Chinook Jack Proportions'!F62,IF('3. Select Chinook Method'!$B62="Adults Only",'Chinook Adult Proportions'!F62,'Chinook All Ages Proportions'!F62))</f>
        <v>0.49845869297163997</v>
      </c>
      <c r="K62" s="71">
        <f>IF($B62="Jacks Only",'Chinook Jack Proportions'!G62,IF('3. Select Chinook Method'!$B62="Adults Only",'Chinook Adult Proportions'!G62,'Chinook All Ages Proportions'!G62))</f>
        <v>0.64471158702899278</v>
      </c>
      <c r="L62" s="24">
        <f>IF($B62="Jacks Only",'Chinook Jack Proportions'!H62,IF('3. Select Chinook Method'!$B62="Adults Only",'Chinook Adult Proportions'!H62,'Chinook All Ages Proportions'!H62))</f>
        <v>0.31958762886597936</v>
      </c>
      <c r="M62" s="71">
        <f>IF($B62="Jacks Only",'Chinook Jack Proportions'!I62,IF('3. Select Chinook Method'!$B62="Adults Only",'Chinook Adult Proportions'!I62,'Chinook All Ages Proportions'!I62))</f>
        <v>0.2002245508982036</v>
      </c>
      <c r="N62" s="71">
        <f>IF($B62="Jacks Only",'Chinook Jack Proportions'!J62,IF('3. Select Chinook Method'!$B62="Adults Only",'Chinook Adult Proportions'!J62,'Chinook All Ages Proportions'!J62))</f>
        <v>0.34408221119773208</v>
      </c>
      <c r="O62" s="23">
        <f>IF($B62="Jacks Only",'Chinook Jack Proportions'!K62,IF('3. Select Chinook Method'!$B62="Adults Only",'Chinook Adult Proportions'!K62,'Chinook All Ages Proportions'!K62))</f>
        <v>0.6426504031424437</v>
      </c>
      <c r="P62" s="76">
        <f>IF($B62="Jacks Only",'Chinook Jack Proportions'!L62,IF('3. Select Chinook Method'!$B62="Adults Only",'Chinook Adult Proportions'!L62,'Chinook All Ages Proportions'!L62))</f>
        <v>163.7121338912134</v>
      </c>
      <c r="Q62" s="76">
        <f>IF($B62="Jacks Only",'Chinook Jack Proportions'!M62,IF('3. Select Chinook Method'!$B62="Adults Only",'Chinook Adult Proportions'!M62,'Chinook All Ages Proportions'!M62))</f>
        <v>76.994501718213058</v>
      </c>
      <c r="R62" s="76">
        <f>IF($B62="Jacks Only",'Chinook Jack Proportions'!X62,IF('3. Select Chinook Method'!$B62="Adults Only",'Chinook Adult Proportions'!X62,'Chinook All Ages Proportions'!X62))</f>
        <v>460.43207801950484</v>
      </c>
      <c r="S62" s="76">
        <f>IF($B62="Jacks Only",'Chinook Jack Proportions'!N62,IF('3. Select Chinook Method'!$B62="Adults Only",'Chinook Adult Proportions'!N62,'Chinook All Ages Proportions'!N62))</f>
        <v>6738.5235018495687</v>
      </c>
      <c r="T62" s="76">
        <f>IF($B62="Jacks Only",'Chinook Jack Proportions'!O62,IF('3. Select Chinook Method'!$B62="Adults Only",'Chinook Adult Proportions'!O62,'Chinook All Ages Proportions'!O62))</f>
        <v>6297.5427820992018</v>
      </c>
      <c r="U62" s="76">
        <f>IF($B62="Jacks Only",'Chinook Jack Proportions'!P62,IF('3. Select Chinook Method'!$B62="Adults Only",'Chinook Adult Proportions'!P62,'Chinook All Ages Proportions'!P62))</f>
        <v>4386.6176381452669</v>
      </c>
      <c r="V62" s="76">
        <f>IF($B62="Jacks Only",'Chinook Jack Proportions'!Q62,IF('3. Select Chinook Method'!$B62="Adults Only",'Chinook Adult Proportions'!Q62,'Chinook All Ages Proportions'!Q62))</f>
        <v>4153.7478129103956</v>
      </c>
      <c r="W62" s="76">
        <f>IF($B62="Jacks Only",'Chinook Jack Proportions'!R62,IF('3. Select Chinook Method'!$B62="Adults Only",'Chinook Adult Proportions'!R62,'Chinook All Ages Proportions'!R62))</f>
        <v>0</v>
      </c>
      <c r="X62" s="56">
        <f>IF(B62="Jacks Only",'Chinook Jack Proportions'!S62,IF(B62="Adults Only",'Chinook Adult Proportions'!S62,'Chinook All Ages Proportions'!S62))</f>
        <v>17694.697731958764</v>
      </c>
      <c r="Y62" s="56">
        <f>IF($B62="Jacks Only",'Chinook Jack Proportions'!T62,IF('3. Select Chinook Method'!$B62="Adults Only",'Chinook Adult Proportions'!T62,'Chinook All Ages Proportions'!T62))</f>
        <v>1526.9373578664463</v>
      </c>
      <c r="Z62" s="56">
        <f>IF($B62="Jacks Only",'Chinook Jack Proportions'!U62,IF('3. Select Chinook Method'!$B62="Adults Only",'Chinook Adult Proportions'!U62,'Chinook All Ages Proportions'!U62))</f>
        <v>2633.889824271243</v>
      </c>
      <c r="AA62" s="56">
        <f>IF($B62="Jacks Only",'Chinook Jack Proportions'!V62,IF('3. Select Chinook Method'!$B62="Adults Only",'Chinook Adult Proportions'!V62,'Chinook All Ages Proportions'!V62))</f>
        <v>1406.580552799433</v>
      </c>
      <c r="AB62" s="56">
        <f>IF($B62="Jacks Only",'Chinook Jack Proportions'!W62,IF('3. Select Chinook Method'!$B62="Adults Only",'Chinook Adult Proportions'!W62,'Chinook All Ages Proportions'!W62))</f>
        <v>585.77694610778451</v>
      </c>
      <c r="AC62" s="41">
        <f>IF(B62="Jacks Only",'Chinook Jack Proportions'!Y62,IF('3. Select Chinook Method'!B62="Adults Only",'Chinook Adult Proportions'!Y62,'Chinook All Ages Proportions'!Y62))</f>
        <v>45665.020783617525</v>
      </c>
      <c r="AD62" s="42">
        <f>IF(B62="Jacks Only",'Chinook Jack Proportions'!Z62,IF('3. Select Chinook Method'!B62="Adults Only",'Chinook Adult Proportions'!Z62,'Chinook All Ages Proportions'!Z62))</f>
        <v>0.3979206252506774</v>
      </c>
      <c r="AE62" s="43">
        <f>IF($B62="Jacks Only",'Chinook Jack Proportions'!AA62,IF('3. Select Chinook Method'!$B62="Adults Only",'Chinook Adult Proportions'!AA62,'Chinook All Ages Proportions'!AA62))</f>
        <v>0.47527915683336858</v>
      </c>
      <c r="AF62" s="42">
        <f>IF($B62="Jacks Only",'Chinook Jack Proportions'!AB62,IF('3. Select Chinook Method'!$B62="Adults Only",'Chinook Adult Proportions'!AB62,'Chinook All Ages Proportions'!AB62))</f>
        <v>0.3195876288659793</v>
      </c>
      <c r="AG62" s="44">
        <f>IF($B62="Jacks Only",'Chinook Jack Proportions'!AC62,IF('3. Select Chinook Method'!$B62="Adults Only",'Chinook Adult Proportions'!AC62,'Chinook All Ages Proportions'!AC62))</f>
        <v>0.58255554429342815</v>
      </c>
    </row>
    <row r="63" spans="1:33" x14ac:dyDescent="0.3">
      <c r="A63" s="5">
        <f>'1. Mixture Model Inputs'!A63</f>
        <v>45165</v>
      </c>
      <c r="B63" s="55" t="s">
        <v>43</v>
      </c>
      <c r="C63" s="60">
        <f t="shared" si="0"/>
        <v>33334.824121907928</v>
      </c>
      <c r="D63" s="56">
        <f>'Chinook All Ages Proportions'!Y63</f>
        <v>33818.961940089743</v>
      </c>
      <c r="E63" s="56">
        <f>'Chinook Adult Proportions'!Y63</f>
        <v>33334.824121907928</v>
      </c>
      <c r="F63" s="57">
        <f>'Chinook Jack Proportions'!Y63</f>
        <v>484.13781818181724</v>
      </c>
      <c r="G63" s="71">
        <f>IF($B63="Jacks Only",'Chinook Jack Proportions'!C63,IF('3. Select Chinook Method'!$B63="Adults Only",'Chinook Adult Proportions'!C63,'Chinook All Ages Proportions'!C63))</f>
        <v>0.16555109326193665</v>
      </c>
      <c r="H63" s="71">
        <f>IF($B63="Jacks Only",'Chinook Jack Proportions'!D63,IF('3. Select Chinook Method'!$B63="Adults Only",'Chinook Adult Proportions'!D63,'Chinook All Ages Proportions'!D63))</f>
        <v>4.9528301886792456E-2</v>
      </c>
      <c r="I63" s="71">
        <f>IF($B63="Jacks Only",'Chinook Jack Proportions'!E63,IF('3. Select Chinook Method'!$B63="Adults Only",'Chinook Adult Proportions'!E63,'Chinook All Ages Proportions'!E63))</f>
        <v>8.6928934010152295E-2</v>
      </c>
      <c r="J63" s="71">
        <f>IF($B63="Jacks Only",'Chinook Jack Proportions'!F63,IF('3. Select Chinook Method'!$B63="Adults Only",'Chinook Adult Proportions'!F63,'Chinook All Ages Proportions'!F63))</f>
        <v>0.27356005954425744</v>
      </c>
      <c r="K63" s="71">
        <f>IF($B63="Jacks Only",'Chinook Jack Proportions'!G63,IF('3. Select Chinook Method'!$B63="Adults Only",'Chinook Adult Proportions'!G63,'Chinook All Ages Proportions'!G63))</f>
        <v>0.55067772607728094</v>
      </c>
      <c r="L63" s="24">
        <f>IF($B63="Jacks Only",'Chinook Jack Proportions'!H63,IF('3. Select Chinook Method'!$B63="Adults Only",'Chinook Adult Proportions'!H63,'Chinook All Ages Proportions'!H63))</f>
        <v>0.11363636363636363</v>
      </c>
      <c r="M63" s="71">
        <f>IF($B63="Jacks Only",'Chinook Jack Proportions'!I63,IF('3. Select Chinook Method'!$B63="Adults Only",'Chinook Adult Proportions'!I63,'Chinook All Ages Proportions'!I63))</f>
        <v>0.10577622581114506</v>
      </c>
      <c r="N63" s="71">
        <f>IF($B63="Jacks Only",'Chinook Jack Proportions'!J63,IF('3. Select Chinook Method'!$B63="Adults Only",'Chinook Adult Proportions'!J63,'Chinook All Ages Proportions'!J63))</f>
        <v>0.32911670883291166</v>
      </c>
      <c r="O63" s="23">
        <f>IF($B63="Jacks Only",'Chinook Jack Proportions'!K63,IF('3. Select Chinook Method'!$B63="Adults Only",'Chinook Adult Proportions'!K63,'Chinook All Ages Proportions'!K63))</f>
        <v>0.71085505061382726</v>
      </c>
      <c r="P63" s="76">
        <f>IF($B63="Jacks Only",'Chinook Jack Proportions'!L63,IF('3. Select Chinook Method'!$B63="Adults Only",'Chinook Adult Proportions'!L63,'Chinook All Ages Proportions'!L63))</f>
        <v>428.93482102322344</v>
      </c>
      <c r="Q63" s="76">
        <f>IF($B63="Jacks Only",'Chinook Jack Proportions'!M63,IF('3. Select Chinook Method'!$B63="Adults Only",'Chinook Adult Proportions'!M63,'Chinook All Ages Proportions'!M63))</f>
        <v>299.42597621000823</v>
      </c>
      <c r="R63" s="76">
        <f>IF($B63="Jacks Only",'Chinook Jack Proportions'!X63,IF('3. Select Chinook Method'!$B63="Adults Only",'Chinook Adult Proportions'!X63,'Chinook All Ages Proportions'!X63))</f>
        <v>750.76211653056748</v>
      </c>
      <c r="S63" s="76">
        <f>IF($B63="Jacks Only",'Chinook Jack Proportions'!N63,IF('3. Select Chinook Method'!$B63="Adults Only",'Chinook Adult Proportions'!N63,'Chinook All Ages Proportions'!N63))</f>
        <v>6440.7551327050323</v>
      </c>
      <c r="T63" s="76">
        <f>IF($B63="Jacks Only",'Chinook Jack Proportions'!O63,IF('3. Select Chinook Method'!$B63="Adults Only",'Chinook Adult Proportions'!O63,'Chinook All Ages Proportions'!O63))</f>
        <v>8601.0765847179573</v>
      </c>
      <c r="U63" s="76">
        <f>IF($B63="Jacks Only",'Chinook Jack Proportions'!P63,IF('3. Select Chinook Method'!$B63="Adults Only",'Chinook Adult Proportions'!P63,'Chinook All Ages Proportions'!P63))</f>
        <v>6042.5311416231989</v>
      </c>
      <c r="V63" s="76">
        <f>IF($B63="Jacks Only",'Chinook Jack Proportions'!Q63,IF('3. Select Chinook Method'!$B63="Adults Only",'Chinook Adult Proportions'!Q63,'Chinook All Ages Proportions'!Q63))</f>
        <v>3605.6155638628188</v>
      </c>
      <c r="W63" s="76">
        <f>IF($B63="Jacks Only",'Chinook Jack Proportions'!R63,IF('3. Select Chinook Method'!$B63="Adults Only",'Chinook Adult Proportions'!R63,'Chinook All Ages Proportions'!R63))</f>
        <v>0</v>
      </c>
      <c r="X63" s="56">
        <f>IF(B63="Jacks Only",'Chinook Jack Proportions'!S63,IF(B63="Adults Only",'Chinook Adult Proportions'!S63,'Chinook All Ages Proportions'!S63))</f>
        <v>2420.6890909090862</v>
      </c>
      <c r="Y63" s="56">
        <f>IF($B63="Jacks Only",'Chinook Jack Proportions'!T63,IF('3. Select Chinook Method'!$B63="Adults Only",'Chinook Adult Proportions'!T63,'Chinook All Ages Proportions'!T63))</f>
        <v>1407.6636054275255</v>
      </c>
      <c r="Z63" s="56">
        <f>IF($B63="Jacks Only",'Chinook Jack Proportions'!U63,IF('3. Select Chinook Method'!$B63="Adults Only",'Chinook Adult Proportions'!U63,'Chinook All Ages Proportions'!U63))</f>
        <v>2428.3945897049321</v>
      </c>
      <c r="AA63" s="56">
        <f>IF($B63="Jacks Only",'Chinook Jack Proportions'!V63,IF('3. Select Chinook Method'!$B63="Adults Only",'Chinook Adult Proportions'!V63,'Chinook All Ages Proportions'!V63))</f>
        <v>1361.7532944670554</v>
      </c>
      <c r="AB63" s="56">
        <f>IF($B63="Jacks Only",'Chinook Jack Proportions'!W63,IF('3. Select Chinook Method'!$B63="Adults Only",'Chinook Adult Proportions'!W63,'Chinook All Ages Proportions'!W63))</f>
        <v>297.98432125709297</v>
      </c>
      <c r="AC63" s="41">
        <f>IF(B63="Jacks Only",'Chinook Jack Proportions'!Y63,IF('3. Select Chinook Method'!B63="Adults Only",'Chinook Adult Proportions'!Y63,'Chinook All Ages Proportions'!Y63))</f>
        <v>33334.824121907928</v>
      </c>
      <c r="AD63" s="42">
        <f>IF(B63="Jacks Only",'Chinook Jack Proportions'!Z63,IF('3. Select Chinook Method'!B63="Adults Only",'Chinook Adult Proportions'!Z63,'Chinook All Ages Proportions'!Z63))</f>
        <v>0.31262445422691881</v>
      </c>
      <c r="AE63" s="43">
        <f>IF($B63="Jacks Only",'Chinook Jack Proportions'!AA63,IF('3. Select Chinook Method'!$B63="Adults Only",'Chinook Adult Proportions'!AA63,'Chinook All Ages Proportions'!AA63))</f>
        <v>0.38913393920896977</v>
      </c>
      <c r="AF63" s="42">
        <f>IF($B63="Jacks Only",'Chinook Jack Proportions'!AB63,IF('3. Select Chinook Method'!$B63="Adults Only",'Chinook Adult Proportions'!AB63,'Chinook All Ages Proportions'!AB63))</f>
        <v>0.11363636363636363</v>
      </c>
      <c r="AG63" s="44">
        <f>IF($B63="Jacks Only",'Chinook Jack Proportions'!AC63,IF('3. Select Chinook Method'!$B63="Adults Only",'Chinook Adult Proportions'!AC63,'Chinook All Ages Proportions'!AC63))</f>
        <v>0.57644176744877351</v>
      </c>
    </row>
    <row r="64" spans="1:33" x14ac:dyDescent="0.3">
      <c r="A64" s="5">
        <f>'1. Mixture Model Inputs'!A64</f>
        <v>45166</v>
      </c>
      <c r="B64" s="55" t="s">
        <v>43</v>
      </c>
      <c r="C64" s="60">
        <f t="shared" si="0"/>
        <v>40011.803927312954</v>
      </c>
      <c r="D64" s="56">
        <f>'Chinook All Ages Proportions'!Y64</f>
        <v>40011.803927312954</v>
      </c>
      <c r="E64" s="56">
        <f>'Chinook Adult Proportions'!Y64</f>
        <v>40011.803927312954</v>
      </c>
      <c r="F64" s="57">
        <f>'Chinook Jack Proportions'!Y64</f>
        <v>0</v>
      </c>
      <c r="G64" s="71">
        <f>IF($B64="Jacks Only",'Chinook Jack Proportions'!C64,IF('3. Select Chinook Method'!$B64="Adults Only",'Chinook Adult Proportions'!C64,'Chinook All Ages Proportions'!C64))</f>
        <v>4.3070510593956238E-2</v>
      </c>
      <c r="H64" s="71">
        <f>IF($B64="Jacks Only",'Chinook Jack Proportions'!D64,IF('3. Select Chinook Method'!$B64="Adults Only",'Chinook Adult Proportions'!D64,'Chinook All Ages Proportions'!D64))</f>
        <v>7.9147640791476393E-3</v>
      </c>
      <c r="I64" s="71">
        <f>IF($B64="Jacks Only",'Chinook Jack Proportions'!E64,IF('3. Select Chinook Method'!$B64="Adults Only",'Chinook Adult Proportions'!E64,'Chinook All Ages Proportions'!E64))</f>
        <v>1.3510568751361952E-2</v>
      </c>
      <c r="J64" s="71">
        <f>IF($B64="Jacks Only",'Chinook Jack Proportions'!F64,IF('3. Select Chinook Method'!$B64="Adults Only",'Chinook Adult Proportions'!F64,'Chinook All Ages Proportions'!F64))</f>
        <v>0.11652498444951274</v>
      </c>
      <c r="K64" s="71">
        <f>IF($B64="Jacks Only",'Chinook Jack Proportions'!G64,IF('3. Select Chinook Method'!$B64="Adults Only",'Chinook Adult Proportions'!G64,'Chinook All Ages Proportions'!G64))</f>
        <v>0.56862546778598166</v>
      </c>
      <c r="L64" s="24">
        <f>IF($B64="Jacks Only",'Chinook Jack Proportions'!H64,IF('3. Select Chinook Method'!$B64="Adults Only",'Chinook Adult Proportions'!H64,'Chinook All Ages Proportions'!H64))</f>
        <v>0.31481481481481483</v>
      </c>
      <c r="M64" s="71">
        <f>IF($B64="Jacks Only",'Chinook Jack Proportions'!I64,IF('3. Select Chinook Method'!$B64="Adults Only",'Chinook Adult Proportions'!I64,'Chinook All Ages Proportions'!I64))</f>
        <v>0.10577622581114506</v>
      </c>
      <c r="N64" s="71">
        <f>IF($B64="Jacks Only",'Chinook Jack Proportions'!J64,IF('3. Select Chinook Method'!$B64="Adults Only",'Chinook Adult Proportions'!J64,'Chinook All Ages Proportions'!J64))</f>
        <v>0.32911670883291166</v>
      </c>
      <c r="O64" s="23">
        <f>IF($B64="Jacks Only",'Chinook Jack Proportions'!K64,IF('3. Select Chinook Method'!$B64="Adults Only",'Chinook Adult Proportions'!K64,'Chinook All Ages Proportions'!K64))</f>
        <v>0.71085505061382726</v>
      </c>
      <c r="P64" s="76">
        <f>IF($B64="Jacks Only",'Chinook Jack Proportions'!L64,IF('3. Select Chinook Method'!$B64="Adults Only",'Chinook Adult Proportions'!L64,'Chinook All Ages Proportions'!L64))</f>
        <v>267.72629385203197</v>
      </c>
      <c r="Q64" s="76">
        <f>IF($B64="Jacks Only",'Chinook Jack Proportions'!M64,IF('3. Select Chinook Method'!$B64="Adults Only",'Chinook Adult Proportions'!M64,'Chinook All Ages Proportions'!M64))</f>
        <v>279.6286149162861</v>
      </c>
      <c r="R64" s="76">
        <f>IF($B64="Jacks Only",'Chinook Jack Proportions'!X64,IF('3. Select Chinook Method'!$B64="Adults Only",'Chinook Adult Proportions'!X64,'Chinook All Ages Proportions'!X64))</f>
        <v>561.30900849858358</v>
      </c>
      <c r="S64" s="76">
        <f>IF($B64="Jacks Only",'Chinook Jack Proportions'!N64,IF('3. Select Chinook Method'!$B64="Adults Only",'Chinook Adult Proportions'!N64,'Chinook All Ages Proportions'!N64))</f>
        <v>10245.874086668047</v>
      </c>
      <c r="T64" s="76">
        <f>IF($B64="Jacks Only",'Chinook Jack Proportions'!O64,IF('3. Select Chinook Method'!$B64="Adults Only",'Chinook Adult Proportions'!O64,'Chinook All Ages Proportions'!O64))</f>
        <v>14332.364130676648</v>
      </c>
      <c r="U64" s="76">
        <f>IF($B64="Jacks Only",'Chinook Jack Proportions'!P64,IF('3. Select Chinook Method'!$B64="Adults Only",'Chinook Adult Proportions'!P64,'Chinook All Ages Proportions'!P64))</f>
        <v>4766.0822008698296</v>
      </c>
      <c r="V64" s="76">
        <f>IF($B64="Jacks Only",'Chinook Jack Proportions'!Q64,IF('3. Select Chinook Method'!$B64="Adults Only",'Chinook Adult Proportions'!Q64,'Chinook All Ages Proportions'!Q64))</f>
        <v>2449.7749853342775</v>
      </c>
      <c r="W64" s="76">
        <f>IF($B64="Jacks Only",'Chinook Jack Proportions'!R64,IF('3. Select Chinook Method'!$B64="Adults Only",'Chinook Adult Proportions'!R64,'Chinook All Ages Proportions'!R64))</f>
        <v>0</v>
      </c>
      <c r="X64" s="56">
        <f>IF(B64="Jacks Only",'Chinook Jack Proportions'!S64,IF(B64="Adults Only",'Chinook Adult Proportions'!S64,'Chinook All Ages Proportions'!S64))</f>
        <v>3840.1111111111045</v>
      </c>
      <c r="Y64" s="56">
        <f>IF($B64="Jacks Only",'Chinook Jack Proportions'!T64,IF('3. Select Chinook Method'!$B64="Adults Only",'Chinook Adult Proportions'!T64,'Chinook All Ages Proportions'!T64))</f>
        <v>576.1338014214947</v>
      </c>
      <c r="Z64" s="56">
        <f>IF($B64="Jacks Only",'Chinook Jack Proportions'!U64,IF('3. Select Chinook Method'!$B64="Adults Only",'Chinook Adult Proportions'!U64,'Chinook All Ages Proportions'!U64))</f>
        <v>1448.779461555029</v>
      </c>
      <c r="AA64" s="56">
        <f>IF($B64="Jacks Only",'Chinook Jack Proportions'!V64,IF('3. Select Chinook Method'!$B64="Adults Only",'Chinook Adult Proportions'!V64,'Chinook All Ages Proportions'!V64))</f>
        <v>1267.5205983940159</v>
      </c>
      <c r="AB64" s="56">
        <f>IF($B64="Jacks Only",'Chinook Jack Proportions'!W64,IF('3. Select Chinook Method'!$B64="Adults Only",'Chinook Adult Proportions'!W64,'Chinook All Ages Proportions'!W64))</f>
        <v>537.80864251418586</v>
      </c>
      <c r="AC64" s="41">
        <f>IF(B64="Jacks Only",'Chinook Jack Proportions'!Y64,IF('3. Select Chinook Method'!B64="Adults Only",'Chinook Adult Proportions'!Y64,'Chinook All Ages Proportions'!Y64))</f>
        <v>40011.803927312954</v>
      </c>
      <c r="AD64" s="42">
        <f>IF(B64="Jacks Only",'Chinook Jack Proportions'!Z64,IF('3. Select Chinook Method'!B64="Adults Only",'Chinook Adult Proportions'!Z64,'Chinook All Ages Proportions'!Z64))</f>
        <v>0.20910052639801494</v>
      </c>
      <c r="AE64" s="43">
        <f>IF($B64="Jacks Only",'Chinook Jack Proportions'!AA64,IF('3. Select Chinook Method'!$B64="Adults Only",'Chinook Adult Proportions'!AA64,'Chinook All Ages Proportions'!AA64))</f>
        <v>0.19323353461412099</v>
      </c>
      <c r="AF64" s="42">
        <f>IF($B64="Jacks Only",'Chinook Jack Proportions'!AB64,IF('3. Select Chinook Method'!$B64="Adults Only",'Chinook Adult Proportions'!AB64,'Chinook All Ages Proportions'!AB64))</f>
        <v>0.31481481481481483</v>
      </c>
      <c r="AG64" s="44">
        <f>IF($B64="Jacks Only",'Chinook Jack Proportions'!AC64,IF('3. Select Chinook Method'!$B64="Adults Only",'Chinook Adult Proportions'!AC64,'Chinook All Ages Proportions'!AC64))</f>
        <v>0.57169163799206035</v>
      </c>
    </row>
    <row r="65" spans="1:33" x14ac:dyDescent="0.3">
      <c r="A65" s="5">
        <f>'1. Mixture Model Inputs'!A65</f>
        <v>45167</v>
      </c>
      <c r="B65" s="55" t="s">
        <v>43</v>
      </c>
      <c r="C65" s="60">
        <f t="shared" si="0"/>
        <v>33209.769139879987</v>
      </c>
      <c r="D65" s="56">
        <f>'Chinook All Ages Proportions'!Y65</f>
        <v>33209.769139879987</v>
      </c>
      <c r="E65" s="56">
        <f>'Chinook Adult Proportions'!Y65</f>
        <v>33209.769139879987</v>
      </c>
      <c r="F65" s="57">
        <f>'Chinook Jack Proportions'!Y65</f>
        <v>0</v>
      </c>
      <c r="G65" s="71">
        <f>IF($B65="Jacks Only",'Chinook Jack Proportions'!C65,IF('3. Select Chinook Method'!$B65="Adults Only",'Chinook Adult Proportions'!C65,'Chinook All Ages Proportions'!C65))</f>
        <v>7.9513564078578125E-2</v>
      </c>
      <c r="H65" s="71">
        <f>IF($B65="Jacks Only",'Chinook Jack Proportions'!D65,IF('3. Select Chinook Method'!$B65="Adults Only",'Chinook Adult Proportions'!D65,'Chinook All Ages Proportions'!D65))</f>
        <v>3.0050979339951704E-2</v>
      </c>
      <c r="I65" s="71">
        <f>IF($B65="Jacks Only",'Chinook Jack Proportions'!E65,IF('3. Select Chinook Method'!$B65="Adults Only",'Chinook Adult Proportions'!E65,'Chinook All Ages Proportions'!E65))</f>
        <v>2.7255029201817004E-2</v>
      </c>
      <c r="J65" s="71">
        <f>IF($B65="Jacks Only",'Chinook Jack Proportions'!F65,IF('3. Select Chinook Method'!$B65="Adults Only",'Chinook Adult Proportions'!F65,'Chinook All Ages Proportions'!F65))</f>
        <v>0.10395180230777086</v>
      </c>
      <c r="K65" s="71">
        <f>IF($B65="Jacks Only",'Chinook Jack Proportions'!G65,IF('3. Select Chinook Method'!$B65="Adults Only",'Chinook Adult Proportions'!G65,'Chinook All Ages Proportions'!G65))</f>
        <v>0.52442133170184557</v>
      </c>
      <c r="L65" s="24">
        <f>IF($B65="Jacks Only",'Chinook Jack Proportions'!H65,IF('3. Select Chinook Method'!$B65="Adults Only",'Chinook Adult Proportions'!H65,'Chinook All Ages Proportions'!H65))</f>
        <v>0.16666666666666666</v>
      </c>
      <c r="M65" s="71">
        <f>IF($B65="Jacks Only",'Chinook Jack Proportions'!I65,IF('3. Select Chinook Method'!$B65="Adults Only",'Chinook Adult Proportions'!I65,'Chinook All Ages Proportions'!I65))</f>
        <v>1.9509835536923575E-2</v>
      </c>
      <c r="N65" s="71">
        <f>IF($B65="Jacks Only",'Chinook Jack Proportions'!J65,IF('3. Select Chinook Method'!$B65="Adults Only",'Chinook Adult Proportions'!J65,'Chinook All Ages Proportions'!J65))</f>
        <v>0.33517928838432781</v>
      </c>
      <c r="O65" s="23">
        <f>IF($B65="Jacks Only",'Chinook Jack Proportions'!K65,IF('3. Select Chinook Method'!$B65="Adults Only",'Chinook Adult Proportions'!K65,'Chinook All Ages Proportions'!K65))</f>
        <v>0.67551876142350276</v>
      </c>
      <c r="P65" s="76">
        <f>IF($B65="Jacks Only",'Chinook Jack Proportions'!L65,IF('3. Select Chinook Method'!$B65="Adults Only",'Chinook Adult Proportions'!L65,'Chinook All Ages Proportions'!L65))</f>
        <v>1083.4518241347055</v>
      </c>
      <c r="Q65" s="76">
        <f>IF($B65="Jacks Only",'Chinook Jack Proportions'!M65,IF('3. Select Chinook Method'!$B65="Adults Only",'Chinook Adult Proportions'!M65,'Chinook All Ages Proportions'!M65))</f>
        <v>3955.6104105178429</v>
      </c>
      <c r="R65" s="76">
        <f>IF($B65="Jacks Only",'Chinook Jack Proportions'!X65,IF('3. Select Chinook Method'!$B65="Adults Only",'Chinook Adult Proportions'!X65,'Chinook All Ages Proportions'!X65))</f>
        <v>3958.9608825438031</v>
      </c>
      <c r="S65" s="76">
        <f>IF($B65="Jacks Only",'Chinook Jack Proportions'!N65,IF('3. Select Chinook Method'!$B65="Adults Only",'Chinook Adult Proportions'!N65,'Chinook All Ages Proportions'!N65))</f>
        <v>6639.9255304809558</v>
      </c>
      <c r="T65" s="76">
        <f>IF($B65="Jacks Only",'Chinook Jack Proportions'!O65,IF('3. Select Chinook Method'!$B65="Adults Only",'Chinook Adult Proportions'!O65,'Chinook All Ages Proportions'!O65))</f>
        <v>10454.150455796878</v>
      </c>
      <c r="U65" s="76">
        <f>IF($B65="Jacks Only",'Chinook Jack Proportions'!P65,IF('3. Select Chinook Method'!$B65="Adults Only",'Chinook Adult Proportions'!P65,'Chinook All Ages Proportions'!P65))</f>
        <v>4478.5162190272249</v>
      </c>
      <c r="V65" s="76">
        <f>IF($B65="Jacks Only",'Chinook Jack Proportions'!Q65,IF('3. Select Chinook Method'!$B65="Adults Only",'Chinook Adult Proportions'!Q65,'Chinook All Ages Proportions'!Q65))</f>
        <v>1957.0145487916793</v>
      </c>
      <c r="W65" s="76">
        <f>IF($B65="Jacks Only",'Chinook Jack Proportions'!R65,IF('3. Select Chinook Method'!$B65="Adults Only",'Chinook Adult Proportions'!R65,'Chinook All Ages Proportions'!R65))</f>
        <v>0</v>
      </c>
      <c r="X65" s="56">
        <f>IF(B65="Jacks Only",'Chinook Jack Proportions'!S65,IF(B65="Adults Only",'Chinook Adult Proportions'!S65,'Chinook All Ages Proportions'!S65))</f>
        <v>1469.0799999999872</v>
      </c>
      <c r="Y65" s="56">
        <f>IF($B65="Jacks Only",'Chinook Jack Proportions'!T65,IF('3. Select Chinook Method'!$B65="Adults Only",'Chinook Adult Proportions'!T65,'Chinook All Ages Proportions'!T65))</f>
        <v>724.6965272551339</v>
      </c>
      <c r="Z65" s="56">
        <f>IF($B65="Jacks Only",'Chinook Jack Proportions'!U65,IF('3. Select Chinook Method'!$B65="Adults Only",'Chinook Adult Proportions'!U65,'Chinook All Ages Proportions'!U65))</f>
        <v>1256.6270207504569</v>
      </c>
      <c r="AA65" s="56">
        <f>IF($B65="Jacks Only",'Chinook Jack Proportions'!V65,IF('3. Select Chinook Method'!$B65="Adults Only",'Chinook Adult Proportions'!V65,'Chinook All Ages Proportions'!V65))</f>
        <v>1043.0243167658866</v>
      </c>
      <c r="AB65" s="56">
        <f>IF($B65="Jacks Only",'Chinook Jack Proportions'!W65,IF('3. Select Chinook Method'!$B65="Adults Only",'Chinook Adult Proportions'!W65,'Chinook All Ages Proportions'!W65))</f>
        <v>147.67228635923897</v>
      </c>
      <c r="AC65" s="41">
        <f>IF(B65="Jacks Only",'Chinook Jack Proportions'!Y65,IF('3. Select Chinook Method'!B65="Adults Only",'Chinook Adult Proportions'!Y65,'Chinook All Ages Proportions'!Y65))</f>
        <v>33209.769139879987</v>
      </c>
      <c r="AD65" s="42">
        <f>IF(B65="Jacks Only",'Chinook Jack Proportions'!Z65,IF('3. Select Chinook Method'!B65="Adults Only",'Chinook Adult Proportions'!Z65,'Chinook All Ages Proportions'!Z65))</f>
        <v>0.12590617873372612</v>
      </c>
      <c r="AE65" s="43">
        <f>IF($B65="Jacks Only",'Chinook Jack Proportions'!AA65,IF('3. Select Chinook Method'!$B65="Adults Only",'Chinook Adult Proportions'!AA65,'Chinook All Ages Proportions'!AA65))</f>
        <v>0.11837640905877081</v>
      </c>
      <c r="AF65" s="42">
        <f>IF($B65="Jacks Only",'Chinook Jack Proportions'!AB65,IF('3. Select Chinook Method'!$B65="Adults Only",'Chinook Adult Proportions'!AB65,'Chinook All Ages Proportions'!AB65))</f>
        <v>0.16666666666666666</v>
      </c>
      <c r="AG65" s="44">
        <f>IF($B65="Jacks Only",'Chinook Jack Proportions'!AC65,IF('3. Select Chinook Method'!$B65="Adults Only",'Chinook Adult Proportions'!AC65,'Chinook All Ages Proportions'!AC65))</f>
        <v>0.52474493308894732</v>
      </c>
    </row>
    <row r="66" spans="1:33" x14ac:dyDescent="0.3">
      <c r="A66" s="5">
        <f>'1. Mixture Model Inputs'!A66</f>
        <v>45168</v>
      </c>
      <c r="B66" s="55" t="s">
        <v>43</v>
      </c>
      <c r="C66" s="60">
        <f t="shared" si="0"/>
        <v>28222.747983993897</v>
      </c>
      <c r="D66" s="56">
        <f>'Chinook All Ages Proportions'!Y66</f>
        <v>28222.747983993897</v>
      </c>
      <c r="E66" s="56">
        <f>'Chinook Adult Proportions'!Y66</f>
        <v>28222.747983993897</v>
      </c>
      <c r="F66" s="57">
        <f>'Chinook Jack Proportions'!Y66</f>
        <v>0</v>
      </c>
      <c r="G66" s="71">
        <f>IF($B66="Jacks Only",'Chinook Jack Proportions'!C66,IF('3. Select Chinook Method'!$B66="Adults Only",'Chinook Adult Proportions'!C66,'Chinook All Ages Proportions'!C66))</f>
        <v>3.5403366221706326E-2</v>
      </c>
      <c r="H66" s="71">
        <f>IF($B66="Jacks Only",'Chinook Jack Proportions'!D66,IF('3. Select Chinook Method'!$B66="Adults Only",'Chinook Adult Proportions'!D66,'Chinook All Ages Proportions'!D66))</f>
        <v>1.0752688172043012E-2</v>
      </c>
      <c r="I66" s="71">
        <f>IF($B66="Jacks Only",'Chinook Jack Proportions'!E66,IF('3. Select Chinook Method'!$B66="Adults Only",'Chinook Adult Proportions'!E66,'Chinook All Ages Proportions'!E66))</f>
        <v>1.2566137566137567E-2</v>
      </c>
      <c r="J66" s="71">
        <f>IF($B66="Jacks Only",'Chinook Jack Proportions'!F66,IF('3. Select Chinook Method'!$B66="Adults Only",'Chinook Adult Proportions'!F66,'Chinook All Ages Proportions'!F66))</f>
        <v>7.615859399518779E-2</v>
      </c>
      <c r="K66" s="71">
        <f>IF($B66="Jacks Only",'Chinook Jack Proportions'!G66,IF('3. Select Chinook Method'!$B66="Adults Only",'Chinook Adult Proportions'!G66,'Chinook All Ages Proportions'!G66))</f>
        <v>0.27549140049140047</v>
      </c>
      <c r="L66" s="24">
        <f>IF($B66="Jacks Only",'Chinook Jack Proportions'!H66,IF('3. Select Chinook Method'!$B66="Adults Only",'Chinook Adult Proportions'!H66,'Chinook All Ages Proportions'!H66))</f>
        <v>0.14925373134328357</v>
      </c>
      <c r="M66" s="71">
        <f>IF($B66="Jacks Only",'Chinook Jack Proportions'!I66,IF('3. Select Chinook Method'!$B66="Adults Only",'Chinook Adult Proportions'!I66,'Chinook All Ages Proportions'!I66))</f>
        <v>1.9509835536923575E-2</v>
      </c>
      <c r="N66" s="71">
        <f>IF($B66="Jacks Only",'Chinook Jack Proportions'!J66,IF('3. Select Chinook Method'!$B66="Adults Only",'Chinook Adult Proportions'!J66,'Chinook All Ages Proportions'!J66))</f>
        <v>0.33517928838432781</v>
      </c>
      <c r="O66" s="23">
        <f>IF($B66="Jacks Only",'Chinook Jack Proportions'!K66,IF('3. Select Chinook Method'!$B66="Adults Only",'Chinook Adult Proportions'!K66,'Chinook All Ages Proportions'!K66))</f>
        <v>0.67551876142350276</v>
      </c>
      <c r="P66" s="76">
        <f>IF($B66="Jacks Only",'Chinook Jack Proportions'!L66,IF('3. Select Chinook Method'!$B66="Adults Only",'Chinook Adult Proportions'!L66,'Chinook All Ages Proportions'!L66))</f>
        <v>156.27045850261172</v>
      </c>
      <c r="Q66" s="76">
        <f>IF($B66="Jacks Only",'Chinook Jack Proportions'!M66,IF('3. Select Chinook Method'!$B66="Adults Only",'Chinook Adult Proportions'!M66,'Chinook All Ages Proportions'!M66))</f>
        <v>1368.9569892473119</v>
      </c>
      <c r="R66" s="76">
        <f>IF($B66="Jacks Only",'Chinook Jack Proportions'!X66,IF('3. Select Chinook Method'!$B66="Adults Only",'Chinook Adult Proportions'!X66,'Chinook All Ages Proportions'!X66))</f>
        <v>1655.3011111111111</v>
      </c>
      <c r="S66" s="76">
        <f>IF($B66="Jacks Only",'Chinook Jack Proportions'!N66,IF('3. Select Chinook Method'!$B66="Adults Only",'Chinook Adult Proportions'!N66,'Chinook All Ages Proportions'!N66))</f>
        <v>9561.8028664086214</v>
      </c>
      <c r="T66" s="76">
        <f>IF($B66="Jacks Only",'Chinook Jack Proportions'!O66,IF('3. Select Chinook Method'!$B66="Adults Only",'Chinook Adult Proportions'!O66,'Chinook All Ages Proportions'!O66))</f>
        <v>6279.2865110565108</v>
      </c>
      <c r="U66" s="76">
        <f>IF($B66="Jacks Only",'Chinook Jack Proportions'!P66,IF('3. Select Chinook Method'!$B66="Adults Only",'Chinook Adult Proportions'!P66,'Chinook All Ages Proportions'!P66))</f>
        <v>2330.9217199017198</v>
      </c>
      <c r="V66" s="76">
        <f>IF($B66="Jacks Only",'Chinook Jack Proportions'!Q66,IF('3. Select Chinook Method'!$B66="Adults Only",'Chinook Adult Proportions'!Q66,'Chinook All Ages Proportions'!Q66))</f>
        <v>1974.2154545454546</v>
      </c>
      <c r="W66" s="76">
        <f>IF($B66="Jacks Only",'Chinook Jack Proportions'!R66,IF('3. Select Chinook Method'!$B66="Adults Only",'Chinook Adult Proportions'!R66,'Chinook All Ages Proportions'!R66))</f>
        <v>0</v>
      </c>
      <c r="X66" s="56">
        <f>IF(B66="Jacks Only",'Chinook Jack Proportions'!S66,IF(B66="Adults Only",'Chinook Adult Proportions'!S66,'Chinook All Ages Proportions'!S66))</f>
        <v>3060.2543283582095</v>
      </c>
      <c r="Y66" s="56">
        <f>IF($B66="Jacks Only",'Chinook Jack Proportions'!T66,IF('3. Select Chinook Method'!$B66="Adults Only",'Chinook Adult Proportions'!T66,'Chinook All Ages Proportions'!T66))</f>
        <v>362.34826362756695</v>
      </c>
      <c r="Z66" s="56">
        <f>IF($B66="Jacks Only",'Chinook Jack Proportions'!U66,IF('3. Select Chinook Method'!$B66="Adults Only",'Chinook Adult Proportions'!U66,'Chinook All Ages Proportions'!U66))</f>
        <v>1526.4021933125471</v>
      </c>
      <c r="AA66" s="56">
        <f>IF($B66="Jacks Only",'Chinook Jack Proportions'!V66,IF('3. Select Chinook Method'!$B66="Adults Only",'Chinook Adult Proportions'!V66,'Chinook All Ages Proportions'!V66))</f>
        <v>1437.5169320227049</v>
      </c>
      <c r="AB66" s="56">
        <f>IF($B66="Jacks Only",'Chinook Jack Proportions'!W66,IF('3. Select Chinook Method'!$B66="Adults Only",'Chinook Adult Proportions'!W66,'Chinook All Ages Proportions'!W66))</f>
        <v>164.77226701064171</v>
      </c>
      <c r="AC66" s="41">
        <f>IF(B66="Jacks Only",'Chinook Jack Proportions'!Y66,IF('3. Select Chinook Method'!B66="Adults Only",'Chinook Adult Proportions'!Y66,'Chinook All Ages Proportions'!Y66))</f>
        <v>28222.747983993897</v>
      </c>
      <c r="AD66" s="42">
        <f>IF(B66="Jacks Only",'Chinook Jack Proportions'!Z66,IF('3. Select Chinook Method'!B66="Adults Only",'Chinook Adult Proportions'!Z66,'Chinook All Ages Proportions'!Z66))</f>
        <v>8.5076803863180034E-2</v>
      </c>
      <c r="AE66" s="43">
        <f>IF($B66="Jacks Only",'Chinook Jack Proportions'!AA66,IF('3. Select Chinook Method'!$B66="Adults Only",'Chinook Adult Proportions'!AA66,'Chinook All Ages Proportions'!AA66))</f>
        <v>7.3289027389191283E-2</v>
      </c>
      <c r="AF66" s="42">
        <f>IF($B66="Jacks Only",'Chinook Jack Proportions'!AB66,IF('3. Select Chinook Method'!$B66="Adults Only",'Chinook Adult Proportions'!AB66,'Chinook All Ages Proportions'!AB66))</f>
        <v>0.14925373134328357</v>
      </c>
      <c r="AG66" s="44">
        <f>IF($B66="Jacks Only",'Chinook Jack Proportions'!AC66,IF('3. Select Chinook Method'!$B66="Adults Only",'Chinook Adult Proportions'!AC66,'Chinook All Ages Proportions'!AC66))</f>
        <v>0.4927506289483769</v>
      </c>
    </row>
    <row r="67" spans="1:33" x14ac:dyDescent="0.3">
      <c r="A67" s="5">
        <f>'1. Mixture Model Inputs'!A67</f>
        <v>45169</v>
      </c>
      <c r="B67" s="55" t="s">
        <v>43</v>
      </c>
      <c r="C67" s="60">
        <f t="shared" si="0"/>
        <v>43907.373099709846</v>
      </c>
      <c r="D67" s="56">
        <f>'Chinook All Ages Proportions'!Y67</f>
        <v>44092.608889183532</v>
      </c>
      <c r="E67" s="56">
        <f>'Chinook Adult Proportions'!Y67</f>
        <v>43907.373099709846</v>
      </c>
      <c r="F67" s="57">
        <f>'Chinook Jack Proportions'!Y67</f>
        <v>185.23578947368304</v>
      </c>
      <c r="G67" s="71">
        <f>IF($B67="Jacks Only",'Chinook Jack Proportions'!C67,IF('3. Select Chinook Method'!$B67="Adults Only",'Chinook Adult Proportions'!C67,'Chinook All Ages Proportions'!C67))</f>
        <v>0</v>
      </c>
      <c r="H67" s="71">
        <f>IF($B67="Jacks Only",'Chinook Jack Proportions'!D67,IF('3. Select Chinook Method'!$B67="Adults Only",'Chinook Adult Proportions'!D67,'Chinook All Ages Proportions'!D67))</f>
        <v>4.193548387096774E-3</v>
      </c>
      <c r="I67" s="71">
        <f>IF($B67="Jacks Only",'Chinook Jack Proportions'!E67,IF('3. Select Chinook Method'!$B67="Adults Only",'Chinook Adult Proportions'!E67,'Chinook All Ages Proportions'!E67))</f>
        <v>2.0232458028411535E-2</v>
      </c>
      <c r="J67" s="71">
        <f>IF($B67="Jacks Only",'Chinook Jack Proportions'!F67,IF('3. Select Chinook Method'!$B67="Adults Only",'Chinook Adult Proportions'!F67,'Chinook All Ages Proportions'!F67))</f>
        <v>0.1077623323902079</v>
      </c>
      <c r="K67" s="71">
        <f>IF($B67="Jacks Only",'Chinook Jack Proportions'!G67,IF('3. Select Chinook Method'!$B67="Adults Only",'Chinook Adult Proportions'!G67,'Chinook All Ages Proportions'!G67))</f>
        <v>0.40904874780995565</v>
      </c>
      <c r="L67" s="24">
        <f>IF($B67="Jacks Only",'Chinook Jack Proportions'!H67,IF('3. Select Chinook Method'!$B67="Adults Only",'Chinook Adult Proportions'!H67,'Chinook All Ages Proportions'!H67))</f>
        <v>0.36842105263157893</v>
      </c>
      <c r="M67" s="71">
        <f>IF($B67="Jacks Only",'Chinook Jack Proportions'!I67,IF('3. Select Chinook Method'!$B67="Adults Only",'Chinook Adult Proportions'!I67,'Chinook All Ages Proportions'!I67))</f>
        <v>2.7816846382247226E-2</v>
      </c>
      <c r="N67" s="71">
        <f>IF($B67="Jacks Only",'Chinook Jack Proportions'!J67,IF('3. Select Chinook Method'!$B67="Adults Only",'Chinook Adult Proportions'!J67,'Chinook All Ages Proportions'!J67))</f>
        <v>0.22535211267605634</v>
      </c>
      <c r="O67" s="23">
        <f>IF($B67="Jacks Only",'Chinook Jack Proportions'!K67,IF('3. Select Chinook Method'!$B67="Adults Only",'Chinook Adult Proportions'!K67,'Chinook All Ages Proportions'!K67))</f>
        <v>0.48964985685972251</v>
      </c>
      <c r="P67" s="76">
        <f>IF($B67="Jacks Only",'Chinook Jack Proportions'!L67,IF('3. Select Chinook Method'!$B67="Adults Only",'Chinook Adult Proportions'!L67,'Chinook All Ages Proportions'!L67))</f>
        <v>0</v>
      </c>
      <c r="Q67" s="76">
        <f>IF($B67="Jacks Only",'Chinook Jack Proportions'!M67,IF('3. Select Chinook Method'!$B67="Adults Only",'Chinook Adult Proportions'!M67,'Chinook All Ages Proportions'!M67))</f>
        <v>294.49193548387098</v>
      </c>
      <c r="R67" s="76">
        <f>IF($B67="Jacks Only",'Chinook Jack Proportions'!X67,IF('3. Select Chinook Method'!$B67="Adults Only",'Chinook Adult Proportions'!X67,'Chinook All Ages Proportions'!X67))</f>
        <v>1481.2732845458459</v>
      </c>
      <c r="S67" s="76">
        <f>IF($B67="Jacks Only",'Chinook Jack Proportions'!N67,IF('3. Select Chinook Method'!$B67="Adults Only",'Chinook Adult Proportions'!N67,'Chinook All Ages Proportions'!N67))</f>
        <v>10897.228785828514</v>
      </c>
      <c r="T67" s="76">
        <f>IF($B67="Jacks Only",'Chinook Jack Proportions'!O67,IF('3. Select Chinook Method'!$B67="Adults Only",'Chinook Adult Proportions'!O67,'Chinook All Ages Proportions'!O67))</f>
        <v>11879.462838297433</v>
      </c>
      <c r="U67" s="76">
        <f>IF($B67="Jacks Only",'Chinook Jack Proportions'!P67,IF('3. Select Chinook Method'!$B67="Adults Only",'Chinook Adult Proportions'!P67,'Chinook All Ages Proportions'!P67))</f>
        <v>5442.7371905596201</v>
      </c>
      <c r="V67" s="76">
        <f>IF($B67="Jacks Only",'Chinook Jack Proportions'!Q67,IF('3. Select Chinook Method'!$B67="Adults Only",'Chinook Adult Proportions'!Q67,'Chinook All Ages Proportions'!Q67))</f>
        <v>4654.6147871792218</v>
      </c>
      <c r="W67" s="76">
        <f>IF($B67="Jacks Only",'Chinook Jack Proportions'!R67,IF('3. Select Chinook Method'!$B67="Adults Only",'Chinook Adult Proportions'!R67,'Chinook All Ages Proportions'!R67))</f>
        <v>0</v>
      </c>
      <c r="X67" s="56">
        <f>IF(B67="Jacks Only",'Chinook Jack Proportions'!S67,IF(B67="Adults Only",'Chinook Adult Proportions'!S67,'Chinook All Ages Proportions'!S67))</f>
        <v>5186.6021052631249</v>
      </c>
      <c r="Y67" s="56">
        <f>IF($B67="Jacks Only",'Chinook Jack Proportions'!T67,IF('3. Select Chinook Method'!$B67="Adults Only",'Chinook Adult Proportions'!T67,'Chinook All Ages Proportions'!T67))</f>
        <v>1306.189958158996</v>
      </c>
      <c r="Z67" s="56">
        <f>IF($B67="Jacks Only",'Chinook Jack Proportions'!U67,IF('3. Select Chinook Method'!$B67="Adults Only",'Chinook Adult Proportions'!U67,'Chinook All Ages Proportions'!U67))</f>
        <v>2618.1381986346619</v>
      </c>
      <c r="AA67" s="56">
        <f>IF($B67="Jacks Only",'Chinook Jack Proportions'!V67,IF('3. Select Chinook Method'!$B67="Adults Only",'Chinook Adult Proportions'!V67,'Chinook All Ages Proportions'!V67))</f>
        <v>1402.3571830985918</v>
      </c>
      <c r="AB67" s="56">
        <f>IF($B67="Jacks Only",'Chinook Jack Proportions'!W67,IF('3. Select Chinook Method'!$B67="Adults Only",'Chinook Adult Proportions'!W67,'Chinook All Ages Proportions'!W67))</f>
        <v>225.55011720581342</v>
      </c>
      <c r="AC67" s="41">
        <f>IF(B67="Jacks Only",'Chinook Jack Proportions'!Y67,IF('3. Select Chinook Method'!B67="Adults Only",'Chinook Adult Proportions'!Y67,'Chinook All Ages Proportions'!Y67))</f>
        <v>43907.373099709846</v>
      </c>
      <c r="AD67" s="42">
        <f>IF(B67="Jacks Only",'Chinook Jack Proportions'!Z67,IF('3. Select Chinook Method'!B67="Adults Only",'Chinook Adult Proportions'!Z67,'Chinook All Ages Proportions'!Z67))</f>
        <v>0.16601019751408341</v>
      </c>
      <c r="AE67" s="43">
        <f>IF($B67="Jacks Only",'Chinook Jack Proportions'!AA67,IF('3. Select Chinook Method'!$B67="Adults Only",'Chinook Adult Proportions'!AA67,'Chinook All Ages Proportions'!AA67))</f>
        <v>0.14543638250794724</v>
      </c>
      <c r="AF67" s="42">
        <f>IF($B67="Jacks Only",'Chinook Jack Proportions'!AB67,IF('3. Select Chinook Method'!$B67="Adults Only",'Chinook Adult Proportions'!AB67,'Chinook All Ages Proportions'!AB67))</f>
        <v>0.36842105263157893</v>
      </c>
      <c r="AG67" s="44">
        <f>IF($B67="Jacks Only",'Chinook Jack Proportions'!AC67,IF('3. Select Chinook Method'!$B67="Adults Only",'Chinook Adult Proportions'!AC67,'Chinook All Ages Proportions'!AC67))</f>
        <v>0.38997209184591575</v>
      </c>
    </row>
    <row r="68" spans="1:33" x14ac:dyDescent="0.3">
      <c r="A68" s="5">
        <f>'1. Mixture Model Inputs'!A68</f>
        <v>45170</v>
      </c>
      <c r="B68" s="55" t="s">
        <v>43</v>
      </c>
      <c r="C68" s="60">
        <f t="shared" si="0"/>
        <v>47280.910587000224</v>
      </c>
      <c r="D68" s="56">
        <f>'Chinook All Ages Proportions'!Y68</f>
        <v>47489.904364777998</v>
      </c>
      <c r="E68" s="56">
        <f>'Chinook Adult Proportions'!Y68</f>
        <v>47280.910587000224</v>
      </c>
      <c r="F68" s="57">
        <f>'Chinook Jack Proportions'!Y68</f>
        <v>208.99377777777653</v>
      </c>
      <c r="G68" s="71">
        <f>IF($B68="Jacks Only",'Chinook Jack Proportions'!C68,IF('3. Select Chinook Method'!$B68="Adults Only",'Chinook Adult Proportions'!C68,'Chinook All Ages Proportions'!C68))</f>
        <v>2.3837902264600714E-3</v>
      </c>
      <c r="H68" s="71">
        <f>IF($B68="Jacks Only",'Chinook Jack Proportions'!D68,IF('3. Select Chinook Method'!$B68="Adults Only",'Chinook Adult Proportions'!D68,'Chinook All Ages Proportions'!D68))</f>
        <v>0</v>
      </c>
      <c r="I68" s="71">
        <f>IF($B68="Jacks Only",'Chinook Jack Proportions'!E68,IF('3. Select Chinook Method'!$B68="Adults Only",'Chinook Adult Proportions'!E68,'Chinook All Ages Proportions'!E68))</f>
        <v>0</v>
      </c>
      <c r="J68" s="71">
        <f>IF($B68="Jacks Only",'Chinook Jack Proportions'!F68,IF('3. Select Chinook Method'!$B68="Adults Only",'Chinook Adult Proportions'!F68,'Chinook All Ages Proportions'!F68))</f>
        <v>9.0027700831024918E-2</v>
      </c>
      <c r="K68" s="71">
        <f>IF($B68="Jacks Only",'Chinook Jack Proportions'!G68,IF('3. Select Chinook Method'!$B68="Adults Only",'Chinook Adult Proportions'!G68,'Chinook All Ages Proportions'!G68))</f>
        <v>0.40083769633507854</v>
      </c>
      <c r="L68" s="24">
        <f>IF($B68="Jacks Only",'Chinook Jack Proportions'!H68,IF('3. Select Chinook Method'!$B68="Adults Only",'Chinook Adult Proportions'!H68,'Chinook All Ages Proportions'!H68))</f>
        <v>0.26666666666666666</v>
      </c>
      <c r="M68" s="71">
        <f>IF($B68="Jacks Only",'Chinook Jack Proportions'!I68,IF('3. Select Chinook Method'!$B68="Adults Only",'Chinook Adult Proportions'!I68,'Chinook All Ages Proportions'!I68))</f>
        <v>2.3837902264600714E-3</v>
      </c>
      <c r="N68" s="71">
        <f>IF($B68="Jacks Only",'Chinook Jack Proportions'!J68,IF('3. Select Chinook Method'!$B68="Adults Only",'Chinook Adult Proportions'!J68,'Chinook All Ages Proportions'!J68))</f>
        <v>0.28973988439306358</v>
      </c>
      <c r="O68" s="23">
        <f>IF($B68="Jacks Only",'Chinook Jack Proportions'!K68,IF('3. Select Chinook Method'!$B68="Adults Only",'Chinook Adult Proportions'!K68,'Chinook All Ages Proportions'!K68))</f>
        <v>0.44563147873915804</v>
      </c>
      <c r="P68" s="76">
        <f>IF($B68="Jacks Only",'Chinook Jack Proportions'!L68,IF('3. Select Chinook Method'!$B68="Adults Only",'Chinook Adult Proportions'!L68,'Chinook All Ages Proportions'!L68))</f>
        <v>4.6436233611442193</v>
      </c>
      <c r="Q68" s="76">
        <f>IF($B68="Jacks Only",'Chinook Jack Proportions'!M68,IF('3. Select Chinook Method'!$B68="Adults Only",'Chinook Adult Proportions'!M68,'Chinook All Ages Proportions'!M68))</f>
        <v>0</v>
      </c>
      <c r="R68" s="76">
        <f>IF($B68="Jacks Only",'Chinook Jack Proportions'!X68,IF('3. Select Chinook Method'!$B68="Adults Only",'Chinook Adult Proportions'!X68,'Chinook All Ages Proportions'!X68))</f>
        <v>0</v>
      </c>
      <c r="S68" s="76">
        <f>IF($B68="Jacks Only",'Chinook Jack Proportions'!N68,IF('3. Select Chinook Method'!$B68="Adults Only",'Chinook Adult Proportions'!N68,'Chinook All Ages Proportions'!N68))</f>
        <v>7572.3091412742378</v>
      </c>
      <c r="T68" s="76">
        <f>IF($B68="Jacks Only",'Chinook Jack Proportions'!O68,IF('3. Select Chinook Method'!$B68="Adults Only",'Chinook Adult Proportions'!O68,'Chinook All Ages Proportions'!O68))</f>
        <v>16614.594245026179</v>
      </c>
      <c r="U68" s="76">
        <f>IF($B68="Jacks Only",'Chinook Jack Proportions'!P68,IF('3. Select Chinook Method'!$B68="Adults Only",'Chinook Adult Proportions'!P68,'Chinook All Ages Proportions'!P68))</f>
        <v>6661.1529047120412</v>
      </c>
      <c r="V68" s="76">
        <f>IF($B68="Jacks Only",'Chinook Jack Proportions'!Q68,IF('3. Select Chinook Method'!$B68="Adults Only",'Chinook Adult Proportions'!Q68,'Chinook All Ages Proportions'!Q68))</f>
        <v>6296.069930890053</v>
      </c>
      <c r="W68" s="76">
        <f>IF($B68="Jacks Only",'Chinook Jack Proportions'!R68,IF('3. Select Chinook Method'!$B68="Adults Only",'Chinook Adult Proportions'!R68,'Chinook All Ages Proportions'!R68))</f>
        <v>0</v>
      </c>
      <c r="X68" s="56">
        <f>IF(B68="Jacks Only",'Chinook Jack Proportions'!S68,IF(B68="Adults Only",'Chinook Adult Proportions'!S68,'Chinook All Ages Proportions'!S68))</f>
        <v>7523.7759999999544</v>
      </c>
      <c r="Y68" s="56">
        <f>IF($B68="Jacks Only",'Chinook Jack Proportions'!T68,IF('3. Select Chinook Method'!$B68="Adults Only",'Chinook Adult Proportions'!T68,'Chinook All Ages Proportions'!T68))</f>
        <v>281.81734715464358</v>
      </c>
      <c r="Z68" s="56">
        <f>IF($B68="Jacks Only",'Chinook Jack Proportions'!U68,IF('3. Select Chinook Method'!$B68="Adults Only",'Chinook Adult Proportions'!U68,'Chinook All Ages Proportions'!U68))</f>
        <v>892.51072561878584</v>
      </c>
      <c r="AA68" s="56">
        <f>IF($B68="Jacks Only",'Chinook Jack Proportions'!V68,IF('3. Select Chinook Method'!$B68="Adults Only",'Chinook Adult Proportions'!V68,'Chinook All Ages Proportions'!V68))</f>
        <v>1429.3447976878615</v>
      </c>
      <c r="AB68" s="56">
        <f>IF($B68="Jacks Only",'Chinook Jack Proportions'!W68,IF('3. Select Chinook Method'!$B68="Adults Only",'Chinook Adult Proportions'!W68,'Chinook All Ages Proportions'!W68))</f>
        <v>4.6918712753277712</v>
      </c>
      <c r="AC68" s="41">
        <f>IF(B68="Jacks Only",'Chinook Jack Proportions'!Y68,IF('3. Select Chinook Method'!B68="Adults Only",'Chinook Adult Proportions'!Y68,'Chinook All Ages Proportions'!Y68))</f>
        <v>47280.910587000224</v>
      </c>
      <c r="AD68" s="42">
        <f>IF(B68="Jacks Only",'Chinook Jack Proportions'!Z68,IF('3. Select Chinook Method'!B68="Adults Only",'Chinook Adult Proportions'!Z68,'Chinook All Ages Proportions'!Z68))</f>
        <v>0.19746784354483143</v>
      </c>
      <c r="AE68" s="43">
        <f>IF($B68="Jacks Only",'Chinook Jack Proportions'!AA68,IF('3. Select Chinook Method'!$B68="Adults Only",'Chinook Adult Proportions'!AA68,'Chinook All Ages Proportions'!AA68))</f>
        <v>0.18419184870909544</v>
      </c>
      <c r="AF68" s="42">
        <f>IF($B68="Jacks Only",'Chinook Jack Proportions'!AB68,IF('3. Select Chinook Method'!$B68="Adults Only",'Chinook Adult Proportions'!AB68,'Chinook All Ages Proportions'!AB68))</f>
        <v>0.26666666666666666</v>
      </c>
      <c r="AG68" s="44">
        <f>IF($B68="Jacks Only",'Chinook Jack Proportions'!AC68,IF('3. Select Chinook Method'!$B68="Adults Only",'Chinook Adult Proportions'!AC68,'Chinook All Ages Proportions'!AC68))</f>
        <v>0.34463885916925879</v>
      </c>
    </row>
    <row r="69" spans="1:33" x14ac:dyDescent="0.3">
      <c r="A69" s="5">
        <f>'1. Mixture Model Inputs'!A69</f>
        <v>45171</v>
      </c>
      <c r="B69" s="55" t="s">
        <v>43</v>
      </c>
      <c r="C69" s="60">
        <f t="shared" si="0"/>
        <v>92134.025066605434</v>
      </c>
      <c r="D69" s="56">
        <f>'Chinook All Ages Proportions'!Y69</f>
        <v>92768.548417956772</v>
      </c>
      <c r="E69" s="56">
        <f>'Chinook Adult Proportions'!Y69</f>
        <v>92134.025066605434</v>
      </c>
      <c r="F69" s="57">
        <f>'Chinook Jack Proportions'!Y69</f>
        <v>634.52335135134717</v>
      </c>
      <c r="G69" s="71">
        <f>IF($B69="Jacks Only",'Chinook Jack Proportions'!C69,IF('3. Select Chinook Method'!$B69="Adults Only",'Chinook Adult Proportions'!C69,'Chinook All Ages Proportions'!C69))</f>
        <v>2.0817270624518117E-2</v>
      </c>
      <c r="H69" s="71">
        <f>IF($B69="Jacks Only",'Chinook Jack Proportions'!D69,IF('3. Select Chinook Method'!$B69="Adults Only",'Chinook Adult Proportions'!D69,'Chinook All Ages Proportions'!D69))</f>
        <v>0</v>
      </c>
      <c r="I69" s="71">
        <f>IF($B69="Jacks Only",'Chinook Jack Proportions'!E69,IF('3. Select Chinook Method'!$B69="Adults Only",'Chinook Adult Proportions'!E69,'Chinook All Ages Proportions'!E69))</f>
        <v>1.8899622007559848E-3</v>
      </c>
      <c r="J69" s="71">
        <f>IF($B69="Jacks Only",'Chinook Jack Proportions'!F69,IF('3. Select Chinook Method'!$B69="Adults Only",'Chinook Adult Proportions'!F69,'Chinook All Ages Proportions'!F69))</f>
        <v>0.13838487094301047</v>
      </c>
      <c r="K69" s="71">
        <f>IF($B69="Jacks Only",'Chinook Jack Proportions'!G69,IF('3. Select Chinook Method'!$B69="Adults Only",'Chinook Adult Proportions'!G69,'Chinook All Ages Proportions'!G69))</f>
        <v>0.23110086224182877</v>
      </c>
      <c r="L69" s="24">
        <f>IF($B69="Jacks Only",'Chinook Jack Proportions'!H69,IF('3. Select Chinook Method'!$B69="Adults Only",'Chinook Adult Proportions'!H69,'Chinook All Ages Proportions'!H69))</f>
        <v>0.17567567567567569</v>
      </c>
      <c r="M69" s="71">
        <f>IF($B69="Jacks Only",'Chinook Jack Proportions'!I69,IF('3. Select Chinook Method'!$B69="Adults Only",'Chinook Adult Proportions'!I69,'Chinook All Ages Proportions'!I69))</f>
        <v>2.3837902264600714E-3</v>
      </c>
      <c r="N69" s="71">
        <f>IF($B69="Jacks Only",'Chinook Jack Proportions'!J69,IF('3. Select Chinook Method'!$B69="Adults Only",'Chinook Adult Proportions'!J69,'Chinook All Ages Proportions'!J69))</f>
        <v>0.28973988439306358</v>
      </c>
      <c r="O69" s="23">
        <f>IF($B69="Jacks Only",'Chinook Jack Proportions'!K69,IF('3. Select Chinook Method'!$B69="Adults Only",'Chinook Adult Proportions'!K69,'Chinook All Ages Proportions'!K69))</f>
        <v>0.44563147873915804</v>
      </c>
      <c r="P69" s="76">
        <f>IF($B69="Jacks Only",'Chinook Jack Proportions'!L69,IF('3. Select Chinook Method'!$B69="Adults Only",'Chinook Adult Proportions'!L69,'Chinook All Ages Proportions'!L69))</f>
        <v>433.74865073245945</v>
      </c>
      <c r="Q69" s="76">
        <f>IF($B69="Jacks Only",'Chinook Jack Proportions'!M69,IF('3. Select Chinook Method'!$B69="Adults Only",'Chinook Adult Proportions'!M69,'Chinook All Ages Proportions'!M69))</f>
        <v>0</v>
      </c>
      <c r="R69" s="76">
        <f>IF($B69="Jacks Only",'Chinook Jack Proportions'!X69,IF('3. Select Chinook Method'!$B69="Adults Only",'Chinook Adult Proportions'!X69,'Chinook All Ages Proportions'!X69))</f>
        <v>218.17406131877362</v>
      </c>
      <c r="S69" s="76">
        <f>IF($B69="Jacks Only",'Chinook Jack Proportions'!N69,IF('3. Select Chinook Method'!$B69="Adults Only",'Chinook Adult Proportions'!N69,'Chinook All Ages Proportions'!N69))</f>
        <v>26156.168740097113</v>
      </c>
      <c r="T69" s="76">
        <f>IF($B69="Jacks Only",'Chinook Jack Proportions'!O69,IF('3. Select Chinook Method'!$B69="Adults Only",'Chinook Adult Proportions'!O69,'Chinook All Ages Proportions'!O69))</f>
        <v>32904.750872267898</v>
      </c>
      <c r="U69" s="76">
        <f>IF($B69="Jacks Only",'Chinook Jack Proportions'!P69,IF('3. Select Chinook Method'!$B69="Adults Only",'Chinook Adult Proportions'!P69,'Chinook All Ages Proportions'!P69))</f>
        <v>16204.644555845198</v>
      </c>
      <c r="V69" s="76">
        <f>IF($B69="Jacks Only",'Chinook Jack Proportions'!Q69,IF('3. Select Chinook Method'!$B69="Adults Only",'Chinook Adult Proportions'!Q69,'Chinook All Ages Proportions'!Q69))</f>
        <v>4793.1058351714464</v>
      </c>
      <c r="W69" s="76">
        <f>IF($B69="Jacks Only",'Chinook Jack Proportions'!R69,IF('3. Select Chinook Method'!$B69="Adults Only",'Chinook Adult Proportions'!R69,'Chinook All Ages Proportions'!R69))</f>
        <v>0</v>
      </c>
      <c r="X69" s="56">
        <f>IF(B69="Jacks Only",'Chinook Jack Proportions'!S69,IF(B69="Adults Only",'Chinook Adult Proportions'!S69,'Chinook All Ages Proportions'!S69))</f>
        <v>6599.0428540540106</v>
      </c>
      <c r="Y69" s="56">
        <f>IF($B69="Jacks Only",'Chinook Jack Proportions'!T69,IF('3. Select Chinook Method'!$B69="Adults Only",'Chinook Adult Proportions'!T69,'Chinook All Ages Proportions'!T69))</f>
        <v>657.64511106409986</v>
      </c>
      <c r="Z69" s="56">
        <f>IF($B69="Jacks Only",'Chinook Jack Proportions'!U69,IF('3. Select Chinook Method'!$B69="Adults Only",'Chinook Adult Proportions'!U69,'Chinook All Ages Proportions'!U69))</f>
        <v>2092.9349777871798</v>
      </c>
      <c r="AA69" s="56">
        <f>IF($B69="Jacks Only",'Chinook Jack Proportions'!V69,IF('3. Select Chinook Method'!$B69="Adults Only",'Chinook Adult Proportions'!V69,'Chinook All Ages Proportions'!V69))</f>
        <v>2282.6403468208091</v>
      </c>
      <c r="AB69" s="56">
        <f>IF($B69="Jacks Only",'Chinook Jack Proportions'!W69,IF('3. Select Chinook Method'!$B69="Adults Only",'Chinook Adult Proportions'!W69,'Chinook All Ages Proportions'!W69))</f>
        <v>9.3431227651966626</v>
      </c>
      <c r="AC69" s="41">
        <f>IF(B69="Jacks Only",'Chinook Jack Proportions'!Y69,IF('3. Select Chinook Method'!B69="Adults Only",'Chinook Adult Proportions'!Y69,'Chinook All Ages Proportions'!Y69))</f>
        <v>92134.025066605434</v>
      </c>
      <c r="AD69" s="42">
        <f>IF(B69="Jacks Only",'Chinook Jack Proportions'!Z69,IF('3. Select Chinook Method'!B69="Adults Only",'Chinook Adult Proportions'!Z69,'Chinook All Ages Proportions'!Z69))</f>
        <v>0.15531048940045938</v>
      </c>
      <c r="AE69" s="43">
        <f>IF($B69="Jacks Only",'Chinook Jack Proportions'!AA69,IF('3. Select Chinook Method'!$B69="Adults Only",'Chinook Adult Proportions'!AA69,'Chinook All Ages Proportions'!AA69))</f>
        <v>0.14970015239630236</v>
      </c>
      <c r="AF69" s="42">
        <f>IF($B69="Jacks Only",'Chinook Jack Proportions'!AB69,IF('3. Select Chinook Method'!$B69="Adults Only",'Chinook Adult Proportions'!AB69,'Chinook All Ages Proportions'!AB69))</f>
        <v>0.17567567567567569</v>
      </c>
      <c r="AG69" s="44">
        <f>IF($B69="Jacks Only",'Chinook Jack Proportions'!AC69,IF('3. Select Chinook Method'!$B69="Adults Only",'Chinook Adult Proportions'!AC69,'Chinook All Ages Proportions'!AC69))</f>
        <v>0.35888701649167615</v>
      </c>
    </row>
    <row r="70" spans="1:33" x14ac:dyDescent="0.3">
      <c r="A70" s="5">
        <f>'1. Mixture Model Inputs'!A70</f>
        <v>45172</v>
      </c>
      <c r="B70" s="55" t="s">
        <v>43</v>
      </c>
      <c r="C70" s="60">
        <f t="shared" si="0"/>
        <v>172208.33724558019</v>
      </c>
      <c r="D70" s="56">
        <f>'Chinook All Ages Proportions'!Y70</f>
        <v>172208.33724558019</v>
      </c>
      <c r="E70" s="56">
        <f>'Chinook Adult Proportions'!Y70</f>
        <v>172208.33724558019</v>
      </c>
      <c r="F70" s="57">
        <f>'Chinook Jack Proportions'!Y70</f>
        <v>0</v>
      </c>
      <c r="G70" s="71">
        <f>IF($B70="Jacks Only",'Chinook Jack Proportions'!C70,IF('3. Select Chinook Method'!$B70="Adults Only",'Chinook Adult Proportions'!C70,'Chinook All Ages Proportions'!C70))</f>
        <v>0</v>
      </c>
      <c r="H70" s="71">
        <f>IF($B70="Jacks Only",'Chinook Jack Proportions'!D70,IF('3. Select Chinook Method'!$B70="Adults Only",'Chinook Adult Proportions'!D70,'Chinook All Ages Proportions'!D70))</f>
        <v>0</v>
      </c>
      <c r="I70" s="71">
        <f>IF($B70="Jacks Only",'Chinook Jack Proportions'!E70,IF('3. Select Chinook Method'!$B70="Adults Only",'Chinook Adult Proportions'!E70,'Chinook All Ages Proportions'!E70))</f>
        <v>0</v>
      </c>
      <c r="J70" s="71">
        <f>IF($B70="Jacks Only",'Chinook Jack Proportions'!F70,IF('3. Select Chinook Method'!$B70="Adults Only",'Chinook Adult Proportions'!F70,'Chinook All Ages Proportions'!F70))</f>
        <v>0.24464119291705497</v>
      </c>
      <c r="K70" s="71">
        <f>IF($B70="Jacks Only",'Chinook Jack Proportions'!G70,IF('3. Select Chinook Method'!$B70="Adults Only",'Chinook Adult Proportions'!G70,'Chinook All Ages Proportions'!G70))</f>
        <v>0.43796758104738154</v>
      </c>
      <c r="L70" s="24">
        <f>IF($B70="Jacks Only",'Chinook Jack Proportions'!H70,IF('3. Select Chinook Method'!$B70="Adults Only",'Chinook Adult Proportions'!H70,'Chinook All Ages Proportions'!H70))</f>
        <v>0.3380281690140845</v>
      </c>
      <c r="M70" s="71">
        <f>IF($B70="Jacks Only",'Chinook Jack Proportions'!I70,IF('3. Select Chinook Method'!$B70="Adults Only",'Chinook Adult Proportions'!I70,'Chinook All Ages Proportions'!I70))</f>
        <v>2.0925808497146481E-2</v>
      </c>
      <c r="N70" s="71">
        <f>IF($B70="Jacks Only",'Chinook Jack Proportions'!J70,IF('3. Select Chinook Method'!$B70="Adults Only",'Chinook Adult Proportions'!J70,'Chinook All Ages Proportions'!J70))</f>
        <v>0.38675799086757989</v>
      </c>
      <c r="O70" s="23">
        <f>IF($B70="Jacks Only",'Chinook Jack Proportions'!K70,IF('3. Select Chinook Method'!$B70="Adults Only",'Chinook Adult Proportions'!K70,'Chinook All Ages Proportions'!K70))</f>
        <v>0.56905792620078344</v>
      </c>
      <c r="P70" s="76">
        <f>IF($B70="Jacks Only",'Chinook Jack Proportions'!L70,IF('3. Select Chinook Method'!$B70="Adults Only",'Chinook Adult Proportions'!L70,'Chinook All Ages Proportions'!L70))</f>
        <v>0</v>
      </c>
      <c r="Q70" s="76">
        <f>IF($B70="Jacks Only",'Chinook Jack Proportions'!M70,IF('3. Select Chinook Method'!$B70="Adults Only",'Chinook Adult Proportions'!M70,'Chinook All Ages Proportions'!M70))</f>
        <v>0</v>
      </c>
      <c r="R70" s="76">
        <f>IF($B70="Jacks Only",'Chinook Jack Proportions'!X70,IF('3. Select Chinook Method'!$B70="Adults Only",'Chinook Adult Proportions'!X70,'Chinook All Ages Proportions'!X70))</f>
        <v>0</v>
      </c>
      <c r="S70" s="76">
        <f>IF($B70="Jacks Only",'Chinook Jack Proportions'!N70,IF('3. Select Chinook Method'!$B70="Adults Only",'Chinook Adult Proportions'!N70,'Chinook All Ages Proportions'!N70))</f>
        <v>64697.418452935693</v>
      </c>
      <c r="T70" s="76">
        <f>IF($B70="Jacks Only",'Chinook Jack Proportions'!O70,IF('3. Select Chinook Method'!$B70="Adults Only",'Chinook Adult Proportions'!O70,'Chinook All Ages Proportions'!O70))</f>
        <v>53366.630049875304</v>
      </c>
      <c r="U70" s="76">
        <f>IF($B70="Jacks Only",'Chinook Jack Proportions'!P70,IF('3. Select Chinook Method'!$B70="Adults Only",'Chinook Adult Proportions'!P70,'Chinook All Ages Proportions'!P70))</f>
        <v>18525.187780548629</v>
      </c>
      <c r="V70" s="76">
        <f>IF($B70="Jacks Only",'Chinook Jack Proportions'!Q70,IF('3. Select Chinook Method'!$B70="Adults Only",'Chinook Adult Proportions'!Q70,'Chinook All Ages Proportions'!Q70))</f>
        <v>10485.784788029925</v>
      </c>
      <c r="W70" s="76">
        <f>IF($B70="Jacks Only",'Chinook Jack Proportions'!R70,IF('3. Select Chinook Method'!$B70="Adults Only",'Chinook Adult Proportions'!R70,'Chinook All Ages Proportions'!R70))</f>
        <v>0</v>
      </c>
      <c r="X70" s="56">
        <f>IF(B70="Jacks Only",'Chinook Jack Proportions'!S70,IF(B70="Adults Only",'Chinook Adult Proportions'!S70,'Chinook All Ages Proportions'!S70))</f>
        <v>7936.031459154894</v>
      </c>
      <c r="Y70" s="56">
        <f>IF($B70="Jacks Only",'Chinook Jack Proportions'!T70,IF('3. Select Chinook Method'!$B70="Adults Only",'Chinook Adult Proportions'!T70,'Chinook All Ages Proportions'!T70))</f>
        <v>1654.4562523191098</v>
      </c>
      <c r="Z70" s="56">
        <f>IF($B70="Jacks Only",'Chinook Jack Proportions'!U70,IF('3. Select Chinook Method'!$B70="Adults Only",'Chinook Adult Proportions'!U70,'Chinook All Ages Proportions'!U70))</f>
        <v>4704.424638218924</v>
      </c>
      <c r="AA70" s="56">
        <f>IF($B70="Jacks Only",'Chinook Jack Proportions'!V70,IF('3. Select Chinook Method'!$B70="Adults Only",'Chinook Adult Proportions'!V70,'Chinook All Ages Proportions'!V70))</f>
        <v>9605.6761643835598</v>
      </c>
      <c r="AB70" s="56">
        <f>IF($B70="Jacks Only",'Chinook Jack Proportions'!W70,IF('3. Select Chinook Method'!$B70="Adults Only",'Chinook Adult Proportions'!W70,'Chinook All Ages Proportions'!W70))</f>
        <v>1232.7276601141409</v>
      </c>
      <c r="AC70" s="41">
        <f>IF(B70="Jacks Only",'Chinook Jack Proportions'!Y70,IF('3. Select Chinook Method'!B70="Adults Only",'Chinook Adult Proportions'!Y70,'Chinook All Ages Proportions'!Y70))</f>
        <v>172208.33724558019</v>
      </c>
      <c r="AD70" s="42">
        <f>IF(B70="Jacks Only",'Chinook Jack Proportions'!Z70,IF('3. Select Chinook Method'!B70="Adults Only",'Chinook Adult Proportions'!Z70,'Chinook All Ages Proportions'!Z70))</f>
        <v>0.22139255634632934</v>
      </c>
      <c r="AE70" s="43">
        <f>IF($B70="Jacks Only",'Chinook Jack Proportions'!AA70,IF('3. Select Chinook Method'!$B70="Adults Only",'Chinook Adult Proportions'!AA70,'Chinook All Ages Proportions'!AA70))</f>
        <v>0.22302885296355385</v>
      </c>
      <c r="AF70" s="42">
        <f>IF($B70="Jacks Only",'Chinook Jack Proportions'!AB70,IF('3. Select Chinook Method'!$B70="Adults Only",'Chinook Adult Proportions'!AB70,'Chinook All Ages Proportions'!AB70))</f>
        <v>0.3380281690140845</v>
      </c>
      <c r="AG70" s="44">
        <f>IF($B70="Jacks Only",'Chinook Jack Proportions'!AC70,IF('3. Select Chinook Method'!$B70="Adults Only",'Chinook Adult Proportions'!AC70,'Chinook All Ages Proportions'!AC70))</f>
        <v>0.4775590854697962</v>
      </c>
    </row>
    <row r="71" spans="1:33" x14ac:dyDescent="0.3">
      <c r="A71" s="5">
        <f>'1. Mixture Model Inputs'!A71</f>
        <v>45173</v>
      </c>
      <c r="B71" s="55" t="s">
        <v>43</v>
      </c>
      <c r="C71" s="60">
        <f t="shared" ref="C71:C128" si="1">INDEX($D$6:$F$128, MATCH(A71, $A$6:$A$128, 0), MATCH(B71, $D$5:$F$5,0 ))</f>
        <v>153901.093908326</v>
      </c>
      <c r="D71" s="56">
        <f>'Chinook All Ages Proportions'!Y71</f>
        <v>153901.093908326</v>
      </c>
      <c r="E71" s="56">
        <f>'Chinook Adult Proportions'!Y71</f>
        <v>153901.093908326</v>
      </c>
      <c r="F71" s="57">
        <f>'Chinook Jack Proportions'!Y71</f>
        <v>0</v>
      </c>
      <c r="G71" s="71">
        <f>IF($B71="Jacks Only",'Chinook Jack Proportions'!C71,IF('3. Select Chinook Method'!$B71="Adults Only",'Chinook Adult Proportions'!C71,'Chinook All Ages Proportions'!C71))</f>
        <v>1.8416206261510127E-2</v>
      </c>
      <c r="H71" s="71">
        <f>IF($B71="Jacks Only",'Chinook Jack Proportions'!D71,IF('3. Select Chinook Method'!$B71="Adults Only",'Chinook Adult Proportions'!D71,'Chinook All Ages Proportions'!D71))</f>
        <v>2.0418452230904965E-2</v>
      </c>
      <c r="I71" s="71">
        <f>IF($B71="Jacks Only",'Chinook Jack Proportions'!E71,IF('3. Select Chinook Method'!$B71="Adults Only",'Chinook Adult Proportions'!E71,'Chinook All Ages Proportions'!E71))</f>
        <v>1.8721755971594575E-2</v>
      </c>
      <c r="J71" s="71">
        <f>IF($B71="Jacks Only",'Chinook Jack Proportions'!F71,IF('3. Select Chinook Method'!$B71="Adults Only",'Chinook Adult Proportions'!F71,'Chinook All Ages Proportions'!F71))</f>
        <v>0.22314814814814815</v>
      </c>
      <c r="K71" s="71">
        <f>IF($B71="Jacks Only",'Chinook Jack Proportions'!G71,IF('3. Select Chinook Method'!$B71="Adults Only",'Chinook Adult Proportions'!G71,'Chinook All Ages Proportions'!G71))</f>
        <v>0.42832781623031396</v>
      </c>
      <c r="L71" s="24">
        <f>IF($B71="Jacks Only",'Chinook Jack Proportions'!H71,IF('3. Select Chinook Method'!$B71="Adults Only",'Chinook Adult Proportions'!H71,'Chinook All Ages Proportions'!H71))</f>
        <v>0.1116751269035533</v>
      </c>
      <c r="M71" s="71">
        <f>IF($B71="Jacks Only",'Chinook Jack Proportions'!I71,IF('3. Select Chinook Method'!$B71="Adults Only",'Chinook Adult Proportions'!I71,'Chinook All Ages Proportions'!I71))</f>
        <v>2.0925808497146481E-2</v>
      </c>
      <c r="N71" s="71">
        <f>IF($B71="Jacks Only",'Chinook Jack Proportions'!J71,IF('3. Select Chinook Method'!$B71="Adults Only",'Chinook Adult Proportions'!J71,'Chinook All Ages Proportions'!J71))</f>
        <v>0.38675799086757989</v>
      </c>
      <c r="O71" s="23">
        <f>IF($B71="Jacks Only",'Chinook Jack Proportions'!K71,IF('3. Select Chinook Method'!$B71="Adults Only",'Chinook Adult Proportions'!K71,'Chinook All Ages Proportions'!K71))</f>
        <v>0.56905792620078344</v>
      </c>
      <c r="P71" s="76">
        <f>IF($B71="Jacks Only",'Chinook Jack Proportions'!L71,IF('3. Select Chinook Method'!$B71="Adults Only",'Chinook Adult Proportions'!L71,'Chinook All Ages Proportions'!L71))</f>
        <v>228.39779005524861</v>
      </c>
      <c r="Q71" s="76">
        <f>IF($B71="Jacks Only",'Chinook Jack Proportions'!M71,IF('3. Select Chinook Method'!$B71="Adults Only",'Chinook Adult Proportions'!M71,'Chinook All Ages Proportions'!M71))</f>
        <v>1264.6372573733299</v>
      </c>
      <c r="R71" s="76">
        <f>IF($B71="Jacks Only",'Chinook Jack Proportions'!X71,IF('3. Select Chinook Method'!$B71="Adults Only",'Chinook Adult Proportions'!X71,'Chinook All Ages Proportions'!X71))</f>
        <v>1391.7483795997416</v>
      </c>
      <c r="S71" s="76">
        <f>IF($B71="Jacks Only",'Chinook Jack Proportions'!N71,IF('3. Select Chinook Method'!$B71="Adults Only",'Chinook Adult Proportions'!N71,'Chinook All Ages Proportions'!N71))</f>
        <v>38700.529777777781</v>
      </c>
      <c r="T71" s="76">
        <f>IF($B71="Jacks Only",'Chinook Jack Proportions'!O71,IF('3. Select Chinook Method'!$B71="Adults Only",'Chinook Adult Proportions'!O71,'Chinook All Ages Proportions'!O71))</f>
        <v>58518.146253385494</v>
      </c>
      <c r="U71" s="76">
        <f>IF($B71="Jacks Only",'Chinook Jack Proportions'!P71,IF('3. Select Chinook Method'!$B71="Adults Only",'Chinook Adult Proportions'!P71,'Chinook All Ages Proportions'!P71))</f>
        <v>23628.275654529039</v>
      </c>
      <c r="V71" s="76">
        <f>IF($B71="Jacks Only",'Chinook Jack Proportions'!Q71,IF('3. Select Chinook Method'!$B71="Adults Only",'Chinook Adult Proportions'!Q71,'Chinook All Ages Proportions'!Q71))</f>
        <v>14928.320914835991</v>
      </c>
      <c r="W71" s="76">
        <f>IF($B71="Jacks Only",'Chinook Jack Proportions'!R71,IF('3. Select Chinook Method'!$B71="Adults Only",'Chinook Adult Proportions'!R71,'Chinook All Ages Proportions'!R71))</f>
        <v>0</v>
      </c>
      <c r="X71" s="56">
        <f>IF(B71="Jacks Only",'Chinook Jack Proportions'!S71,IF(B71="Adults Only",'Chinook Adult Proportions'!S71,'Chinook All Ages Proportions'!S71))</f>
        <v>4029.3636548223672</v>
      </c>
      <c r="Y71" s="56">
        <f>IF($B71="Jacks Only",'Chinook Jack Proportions'!T71,IF('3. Select Chinook Method'!$B71="Adults Only",'Chinook Adult Proportions'!T71,'Chinook All Ages Proportions'!T71))</f>
        <v>2301.1336796536802</v>
      </c>
      <c r="Z71" s="56">
        <f>IF($B71="Jacks Only",'Chinook Jack Proportions'!U71,IF('3. Select Chinook Method'!$B71="Adults Only",'Chinook Adult Proportions'!U71,'Chinook All Ages Proportions'!U71))</f>
        <v>3526.6113048855914</v>
      </c>
      <c r="AA71" s="56">
        <f>IF($B71="Jacks Only",'Chinook Jack Proportions'!V71,IF('3. Select Chinook Method'!$B71="Adults Only",'Chinook Adult Proportions'!V71,'Chinook All Ages Proportions'!V71))</f>
        <v>5583.6096438356162</v>
      </c>
      <c r="AB71" s="56">
        <f>IF($B71="Jacks Only",'Chinook Jack Proportions'!W71,IF('3. Select Chinook Method'!$B71="Adults Only",'Chinook Adult Proportions'!W71,'Chinook All Ages Proportions'!W71))</f>
        <v>1192.0679771718451</v>
      </c>
      <c r="AC71" s="41">
        <f>IF(B71="Jacks Only",'Chinook Jack Proportions'!Y71,IF('3. Select Chinook Method'!B71="Adults Only",'Chinook Adult Proportions'!Y71,'Chinook All Ages Proportions'!Y71))</f>
        <v>153901.093908326</v>
      </c>
      <c r="AD71" s="42">
        <f>IF(B71="Jacks Only",'Chinook Jack Proportions'!Z71,IF('3. Select Chinook Method'!B71="Adults Only",'Chinook Adult Proportions'!Z71,'Chinook All Ages Proportions'!Z71))</f>
        <v>0.25991081340921851</v>
      </c>
      <c r="AE71" s="43">
        <f>IF($B71="Jacks Only",'Chinook Jack Proportions'!AA71,IF('3. Select Chinook Method'!$B71="Adults Only",'Chinook Adult Proportions'!AA71,'Chinook All Ages Proportions'!AA71))</f>
        <v>0.28934843091824197</v>
      </c>
      <c r="AF71" s="42">
        <f>IF($B71="Jacks Only",'Chinook Jack Proportions'!AB71,IF('3. Select Chinook Method'!$B71="Adults Only",'Chinook Adult Proportions'!AB71,'Chinook All Ages Proportions'!AB71))</f>
        <v>0.1116751269035533</v>
      </c>
      <c r="AG71" s="44">
        <f>IF($B71="Jacks Only",'Chinook Jack Proportions'!AC71,IF('3. Select Chinook Method'!$B71="Adults Only",'Chinook Adult Proportions'!AC71,'Chinook All Ages Proportions'!AC71))</f>
        <v>0.51071491229219279</v>
      </c>
    </row>
    <row r="72" spans="1:33" x14ac:dyDescent="0.3">
      <c r="A72" s="5">
        <f>'1. Mixture Model Inputs'!A72</f>
        <v>45174</v>
      </c>
      <c r="B72" s="55" t="s">
        <v>43</v>
      </c>
      <c r="C72" s="60">
        <f t="shared" si="1"/>
        <v>61802.364263068142</v>
      </c>
      <c r="D72" s="56">
        <f>'Chinook All Ages Proportions'!Y72</f>
        <v>61802.364263068142</v>
      </c>
      <c r="E72" s="56">
        <f>'Chinook Adult Proportions'!Y72</f>
        <v>61802.364263068142</v>
      </c>
      <c r="F72" s="57">
        <f>'Chinook Jack Proportions'!Y72</f>
        <v>0</v>
      </c>
      <c r="G72" s="71">
        <f>IF($B72="Jacks Only",'Chinook Jack Proportions'!C72,IF('3. Select Chinook Method'!$B72="Adults Only",'Chinook Adult Proportions'!C72,'Chinook All Ages Proportions'!C72))</f>
        <v>6.1524334251606978E-2</v>
      </c>
      <c r="H72" s="71">
        <f>IF($B72="Jacks Only",'Chinook Jack Proportions'!D72,IF('3. Select Chinook Method'!$B72="Adults Only",'Chinook Adult Proportions'!D72,'Chinook All Ages Proportions'!D72))</f>
        <v>1.9309161124222269E-3</v>
      </c>
      <c r="I72" s="71">
        <f>IF($B72="Jacks Only",'Chinook Jack Proportions'!E72,IF('3. Select Chinook Method'!$B72="Adults Only",'Chinook Adult Proportions'!E72,'Chinook All Ages Proportions'!E72))</f>
        <v>2.0989893754858768E-2</v>
      </c>
      <c r="J72" s="71">
        <f>IF($B72="Jacks Only",'Chinook Jack Proportions'!F72,IF('3. Select Chinook Method'!$B72="Adults Only",'Chinook Adult Proportions'!F72,'Chinook All Ages Proportions'!F72))</f>
        <v>8.7089561021537004E-2</v>
      </c>
      <c r="K72" s="71">
        <f>IF($B72="Jacks Only",'Chinook Jack Proportions'!G72,IF('3. Select Chinook Method'!$B72="Adults Only",'Chinook Adult Proportions'!G72,'Chinook All Ages Proportions'!G72))</f>
        <v>0.32173561242034993</v>
      </c>
      <c r="L72" s="24">
        <f>IF($B72="Jacks Only",'Chinook Jack Proportions'!H72,IF('3. Select Chinook Method'!$B72="Adults Only",'Chinook Adult Proportions'!H72,'Chinook All Ages Proportions'!H72))</f>
        <v>0.16666666666666666</v>
      </c>
      <c r="M72" s="71">
        <f>IF($B72="Jacks Only",'Chinook Jack Proportions'!I72,IF('3. Select Chinook Method'!$B72="Adults Only",'Chinook Adult Proportions'!I72,'Chinook All Ages Proportions'!I72))</f>
        <v>3.4248936903804164E-2</v>
      </c>
      <c r="N72" s="71">
        <f>IF($B72="Jacks Only",'Chinook Jack Proportions'!J72,IF('3. Select Chinook Method'!$B72="Adults Only",'Chinook Adult Proportions'!J72,'Chinook All Ages Proportions'!J72))</f>
        <v>0.2423172024019781</v>
      </c>
      <c r="O72" s="23">
        <f>IF($B72="Jacks Only",'Chinook Jack Proportions'!K72,IF('3. Select Chinook Method'!$B72="Adults Only",'Chinook Adult Proportions'!K72,'Chinook All Ages Proportions'!K72))</f>
        <v>0.49138958085129425</v>
      </c>
      <c r="P72" s="76">
        <f>IF($B72="Jacks Only",'Chinook Jack Proportions'!L72,IF('3. Select Chinook Method'!$B72="Adults Only",'Chinook Adult Proportions'!L72,'Chinook All Ages Proportions'!L72))</f>
        <v>773.2993572084481</v>
      </c>
      <c r="Q72" s="76">
        <f>IF($B72="Jacks Only",'Chinook Jack Proportions'!M72,IF('3. Select Chinook Method'!$B72="Adults Only",'Chinook Adult Proportions'!M72,'Chinook All Ages Proportions'!M72))</f>
        <v>67.87556318386612</v>
      </c>
      <c r="R72" s="76">
        <f>IF($B72="Jacks Only",'Chinook Jack Proportions'!X72,IF('3. Select Chinook Method'!$B72="Adults Only",'Chinook Adult Proportions'!X72,'Chinook All Ages Proportions'!X72))</f>
        <v>1001.6562010883647</v>
      </c>
      <c r="S72" s="76">
        <f>IF($B72="Jacks Only",'Chinook Jack Proportions'!N72,IF('3. Select Chinook Method'!$B72="Adults Only",'Chinook Adult Proportions'!N72,'Chinook All Ages Proportions'!N72))</f>
        <v>7869.015605507826</v>
      </c>
      <c r="T72" s="76">
        <f>IF($B72="Jacks Only",'Chinook Jack Proportions'!O72,IF('3. Select Chinook Method'!$B72="Adults Only",'Chinook Adult Proportions'!O72,'Chinook All Ages Proportions'!O72))</f>
        <v>21494.692966521692</v>
      </c>
      <c r="U72" s="76">
        <f>IF($B72="Jacks Only",'Chinook Jack Proportions'!P72,IF('3. Select Chinook Method'!$B72="Adults Only",'Chinook Adult Proportions'!P72,'Chinook All Ages Proportions'!P72))</f>
        <v>10020.700167897239</v>
      </c>
      <c r="V72" s="76">
        <f>IF($B72="Jacks Only",'Chinook Jack Proportions'!Q72,IF('3. Select Chinook Method'!$B72="Adults Only",'Chinook Adult Proportions'!Q72,'Chinook All Ages Proportions'!Q72))</f>
        <v>5752.1694507939719</v>
      </c>
      <c r="W72" s="76">
        <f>IF($B72="Jacks Only",'Chinook Jack Proportions'!R72,IF('3. Select Chinook Method'!$B72="Adults Only",'Chinook Adult Proportions'!R72,'Chinook All Ages Proportions'!R72))</f>
        <v>0</v>
      </c>
      <c r="X72" s="56">
        <f>IF(B72="Jacks Only",'Chinook Jack Proportions'!S72,IF(B72="Adults Only",'Chinook Adult Proportions'!S72,'Chinook All Ages Proportions'!S72))</f>
        <v>8836.9600000000137</v>
      </c>
      <c r="Y72" s="56">
        <f>IF($B72="Jacks Only",'Chinook Jack Proportions'!T72,IF('3. Select Chinook Method'!$B72="Adults Only",'Chinook Adult Proportions'!T72,'Chinook All Ages Proportions'!T72))</f>
        <v>671.51334560814462</v>
      </c>
      <c r="Z72" s="56">
        <f>IF($B72="Jacks Only",'Chinook Jack Proportions'!U72,IF('3. Select Chinook Method'!$B72="Adults Only",'Chinook Adult Proportions'!U72,'Chinook All Ages Proportions'!U72))</f>
        <v>2747.6146691216286</v>
      </c>
      <c r="AA72" s="56">
        <f>IF($B72="Jacks Only",'Chinook Jack Proportions'!V72,IF('3. Select Chinook Method'!$B72="Adults Only",'Chinook Adult Proportions'!V72,'Chinook All Ages Proportions'!V72))</f>
        <v>2509.9021971034972</v>
      </c>
      <c r="AB72" s="56">
        <f>IF($B72="Jacks Only",'Chinook Jack Proportions'!W72,IF('3. Select Chinook Method'!$B72="Adults Only",'Chinook Adult Proportions'!W72,'Chinook All Ages Proportions'!W72))</f>
        <v>1058.6209401218252</v>
      </c>
      <c r="AC72" s="41">
        <f>IF(B72="Jacks Only",'Chinook Jack Proportions'!Y72,IF('3. Select Chinook Method'!B72="Adults Only",'Chinook Adult Proportions'!Y72,'Chinook All Ages Proportions'!Y72))</f>
        <v>61802.364263068142</v>
      </c>
      <c r="AD72" s="42">
        <f>IF(B72="Jacks Only",'Chinook Jack Proportions'!Z72,IF('3. Select Chinook Method'!B72="Adults Only",'Chinook Adult Proportions'!Z72,'Chinook All Ages Proportions'!Z72))</f>
        <v>0.17401442412627299</v>
      </c>
      <c r="AE72" s="43">
        <f>IF($B72="Jacks Only",'Chinook Jack Proportions'!AA72,IF('3. Select Chinook Method'!$B72="Adults Only",'Chinook Adult Proportions'!AA72,'Chinook All Ages Proportions'!AA72))</f>
        <v>0.18107950838769543</v>
      </c>
      <c r="AF72" s="42">
        <f>IF($B72="Jacks Only",'Chinook Jack Proportions'!AB72,IF('3. Select Chinook Method'!$B72="Adults Only",'Chinook Adult Proportions'!AB72,'Chinook All Ages Proportions'!AB72))</f>
        <v>0.16666666666666666</v>
      </c>
      <c r="AG72" s="44">
        <f>IF($B72="Jacks Only",'Chinook Jack Proportions'!AC72,IF('3. Select Chinook Method'!$B72="Adults Only",'Chinook Adult Proportions'!AC72,'Chinook All Ages Proportions'!AC72))</f>
        <v>0.40353725756266429</v>
      </c>
    </row>
    <row r="73" spans="1:33" x14ac:dyDescent="0.3">
      <c r="A73" s="5">
        <f>'1. Mixture Model Inputs'!A73</f>
        <v>45175</v>
      </c>
      <c r="B73" s="55" t="s">
        <v>43</v>
      </c>
      <c r="C73" s="60">
        <f t="shared" si="1"/>
        <v>48110.843232676671</v>
      </c>
      <c r="D73" s="56">
        <f>'Chinook All Ages Proportions'!Y73</f>
        <v>48110.843232676671</v>
      </c>
      <c r="E73" s="56">
        <f>'Chinook Adult Proportions'!Y73</f>
        <v>48110.843232676671</v>
      </c>
      <c r="F73" s="57">
        <f>'Chinook Jack Proportions'!Y73</f>
        <v>0</v>
      </c>
      <c r="G73" s="71">
        <f>IF($B73="Jacks Only",'Chinook Jack Proportions'!C73,IF('3. Select Chinook Method'!$B73="Adults Only",'Chinook Adult Proportions'!C73,'Chinook All Ages Proportions'!C73))</f>
        <v>0.11568322981366459</v>
      </c>
      <c r="H73" s="71">
        <f>IF($B73="Jacks Only",'Chinook Jack Proportions'!D73,IF('3. Select Chinook Method'!$B73="Adults Only",'Chinook Adult Proportions'!D73,'Chinook All Ages Proportions'!D73))</f>
        <v>3.98345334763291E-3</v>
      </c>
      <c r="I73" s="71">
        <f>IF($B73="Jacks Only",'Chinook Jack Proportions'!E73,IF('3. Select Chinook Method'!$B73="Adults Only",'Chinook Adult Proportions'!E73,'Chinook All Ages Proportions'!E73))</f>
        <v>1.1527377521613834E-2</v>
      </c>
      <c r="J73" s="71">
        <f>IF($B73="Jacks Only",'Chinook Jack Proportions'!F73,IF('3. Select Chinook Method'!$B73="Adults Only",'Chinook Adult Proportions'!F73,'Chinook All Ages Proportions'!F73))</f>
        <v>9.6870342771982115E-2</v>
      </c>
      <c r="K73" s="71">
        <f>IF($B73="Jacks Only",'Chinook Jack Proportions'!G73,IF('3. Select Chinook Method'!$B73="Adults Only",'Chinook Adult Proportions'!G73,'Chinook All Ages Proportions'!G73))</f>
        <v>0.44029544521953223</v>
      </c>
      <c r="L73" s="24">
        <f>IF($B73="Jacks Only",'Chinook Jack Proportions'!H73,IF('3. Select Chinook Method'!$B73="Adults Only",'Chinook Adult Proportions'!H73,'Chinook All Ages Proportions'!H73))</f>
        <v>7.6923076923076927E-2</v>
      </c>
      <c r="M73" s="71">
        <f>IF($B73="Jacks Only",'Chinook Jack Proportions'!I73,IF('3. Select Chinook Method'!$B73="Adults Only",'Chinook Adult Proportions'!I73,'Chinook All Ages Proportions'!I73))</f>
        <v>3.4248936903804164E-2</v>
      </c>
      <c r="N73" s="71">
        <f>IF($B73="Jacks Only",'Chinook Jack Proportions'!J73,IF('3. Select Chinook Method'!$B73="Adults Only",'Chinook Adult Proportions'!J73,'Chinook All Ages Proportions'!J73))</f>
        <v>0.2423172024019781</v>
      </c>
      <c r="O73" s="23">
        <f>IF($B73="Jacks Only",'Chinook Jack Proportions'!K73,IF('3. Select Chinook Method'!$B73="Adults Only",'Chinook Adult Proportions'!K73,'Chinook All Ages Proportions'!K73))</f>
        <v>0.49138958085129425</v>
      </c>
      <c r="P73" s="76">
        <f>IF($B73="Jacks Only",'Chinook Jack Proportions'!L73,IF('3. Select Chinook Method'!$B73="Adults Only",'Chinook Adult Proportions'!L73,'Chinook All Ages Proportions'!L73))</f>
        <v>654.53571428571422</v>
      </c>
      <c r="Q73" s="76">
        <f>IF($B73="Jacks Only",'Chinook Jack Proportions'!M73,IF('3. Select Chinook Method'!$B73="Adults Only",'Chinook Adult Proportions'!M73,'Chinook All Ages Proportions'!M73))</f>
        <v>161.06695265818908</v>
      </c>
      <c r="R73" s="76">
        <f>IF($B73="Jacks Only",'Chinook Jack Proportions'!X73,IF('3. Select Chinook Method'!$B73="Adults Only",'Chinook Adult Proportions'!X73,'Chinook All Ages Proportions'!X73))</f>
        <v>531.32541786743514</v>
      </c>
      <c r="S73" s="76">
        <f>IF($B73="Jacks Only",'Chinook Jack Proportions'!N73,IF('3. Select Chinook Method'!$B73="Adults Only",'Chinook Adult Proportions'!N73,'Chinook All Ages Proportions'!N73))</f>
        <v>6224.1675111773466</v>
      </c>
      <c r="T73" s="76">
        <f>IF($B73="Jacks Only",'Chinook Jack Proportions'!O73,IF('3. Select Chinook Method'!$B73="Adults Only",'Chinook Adult Proportions'!O73,'Chinook All Ages Proportions'!O73))</f>
        <v>21342.458727944195</v>
      </c>
      <c r="U73" s="76">
        <f>IF($B73="Jacks Only",'Chinook Jack Proportions'!P73,IF('3. Select Chinook Method'!$B73="Adults Only",'Chinook Adult Proportions'!P73,'Chinook All Ages Proportions'!P73))</f>
        <v>7421.6904718916703</v>
      </c>
      <c r="V73" s="76">
        <f>IF($B73="Jacks Only",'Chinook Jack Proportions'!Q73,IF('3. Select Chinook Method'!$B73="Adults Only",'Chinook Adult Proportions'!Q73,'Chinook All Ages Proportions'!Q73))</f>
        <v>5857.0213541239227</v>
      </c>
      <c r="W73" s="76">
        <f>IF($B73="Jacks Only",'Chinook Jack Proportions'!R73,IF('3. Select Chinook Method'!$B73="Adults Only",'Chinook Adult Proportions'!R73,'Chinook All Ages Proportions'!R73))</f>
        <v>0</v>
      </c>
      <c r="X73" s="56">
        <f>IF(B73="Jacks Only",'Chinook Jack Proportions'!S73,IF(B73="Adults Only",'Chinook Adult Proportions'!S73,'Chinook All Ages Proportions'!S73))</f>
        <v>2178.2953846153746</v>
      </c>
      <c r="Y73" s="56">
        <f>IF($B73="Jacks Only",'Chinook Jack Proportions'!T73,IF('3. Select Chinook Method'!$B73="Adults Only",'Chinook Adult Proportions'!T73,'Chinook All Ages Proportions'!T73))</f>
        <v>700.76085346041361</v>
      </c>
      <c r="Z73" s="56">
        <f>IF($B73="Jacks Only",'Chinook Jack Proportions'!U73,IF('3. Select Chinook Method'!$B73="Adults Only",'Chinook Adult Proportions'!U73,'Chinook All Ages Proportions'!U73))</f>
        <v>1354.2303736596989</v>
      </c>
      <c r="AA73" s="56">
        <f>IF($B73="Jacks Only",'Chinook Jack Proportions'!V73,IF('3. Select Chinook Method'!$B73="Adults Only",'Chinook Adult Proportions'!V73,'Chinook All Ages Proportions'!V73))</f>
        <v>1607.3190815966088</v>
      </c>
      <c r="AB73" s="56">
        <f>IF($B73="Jacks Only",'Chinook Jack Proportions'!W73,IF('3. Select Chinook Method'!$B73="Adults Only",'Chinook Adult Proportions'!W73,'Chinook All Ages Proportions'!W73))</f>
        <v>609.29680726353297</v>
      </c>
      <c r="AC73" s="41">
        <f>IF(B73="Jacks Only",'Chinook Jack Proportions'!Y73,IF('3. Select Chinook Method'!B73="Adults Only",'Chinook Adult Proportions'!Y73,'Chinook All Ages Proportions'!Y73))</f>
        <v>48110.843232676671</v>
      </c>
      <c r="AD73" s="42">
        <f>IF(B73="Jacks Only",'Chinook Jack Proportions'!Z73,IF('3. Select Chinook Method'!B73="Adults Only",'Chinook Adult Proportions'!Z73,'Chinook All Ages Proportions'!Z73))</f>
        <v>0.1956521304792482</v>
      </c>
      <c r="AE73" s="43">
        <f>IF($B73="Jacks Only",'Chinook Jack Proportions'!AA73,IF('3. Select Chinook Method'!$B73="Adults Only",'Chinook Adult Proportions'!AA73,'Chinook All Ages Proportions'!AA73))</f>
        <v>0.22045541234963245</v>
      </c>
      <c r="AF73" s="42">
        <f>IF($B73="Jacks Only",'Chinook Jack Proportions'!AB73,IF('3. Select Chinook Method'!$B73="Adults Only",'Chinook Adult Proportions'!AB73,'Chinook All Ages Proportions'!AB73))</f>
        <v>7.6923076923076927E-2</v>
      </c>
      <c r="AG73" s="44">
        <f>IF($B73="Jacks Only",'Chinook Jack Proportions'!AC73,IF('3. Select Chinook Method'!$B73="Adults Only",'Chinook Adult Proportions'!AC73,'Chinook All Ages Proportions'!AC73))</f>
        <v>0.39496622469101172</v>
      </c>
    </row>
    <row r="74" spans="1:33" x14ac:dyDescent="0.3">
      <c r="A74" s="5">
        <f>'1. Mixture Model Inputs'!A74</f>
        <v>45176</v>
      </c>
      <c r="B74" s="55" t="s">
        <v>43</v>
      </c>
      <c r="C74" s="60">
        <f t="shared" si="1"/>
        <v>87501.132435462656</v>
      </c>
      <c r="D74" s="56">
        <f>'Chinook All Ages Proportions'!Y74</f>
        <v>88433.43643546266</v>
      </c>
      <c r="E74" s="56">
        <f>'Chinook Adult Proportions'!Y74</f>
        <v>87501.132435462656</v>
      </c>
      <c r="F74" s="57">
        <f>'Chinook Jack Proportions'!Y74</f>
        <v>932.30400000000316</v>
      </c>
      <c r="G74" s="71">
        <f>IF($B74="Jacks Only",'Chinook Jack Proportions'!C74,IF('3. Select Chinook Method'!$B74="Adults Only",'Chinook Adult Proportions'!C74,'Chinook All Ages Proportions'!C74))</f>
        <v>5.6667925953910094E-3</v>
      </c>
      <c r="H74" s="71">
        <f>IF($B74="Jacks Only",'Chinook Jack Proportions'!D74,IF('3. Select Chinook Method'!$B74="Adults Only",'Chinook Adult Proportions'!D74,'Chinook All Ages Proportions'!D74))</f>
        <v>1.020408163265306E-2</v>
      </c>
      <c r="I74" s="71">
        <f>IF($B74="Jacks Only",'Chinook Jack Proportions'!E74,IF('3. Select Chinook Method'!$B74="Adults Only",'Chinook Adult Proportions'!E74,'Chinook All Ages Proportions'!E74))</f>
        <v>8.1026333558406483E-3</v>
      </c>
      <c r="J74" s="71">
        <f>IF($B74="Jacks Only",'Chinook Jack Proportions'!F74,IF('3. Select Chinook Method'!$B74="Adults Only",'Chinook Adult Proportions'!F74,'Chinook All Ages Proportions'!F74))</f>
        <v>0.16491847543877869</v>
      </c>
      <c r="K74" s="71">
        <f>IF($B74="Jacks Only",'Chinook Jack Proportions'!G74,IF('3. Select Chinook Method'!$B74="Adults Only",'Chinook Adult Proportions'!G74,'Chinook All Ages Proportions'!G74))</f>
        <v>0.45322580645161292</v>
      </c>
      <c r="L74" s="24">
        <f>IF($B74="Jacks Only",'Chinook Jack Proportions'!H74,IF('3. Select Chinook Method'!$B74="Adults Only",'Chinook Adult Proportions'!H74,'Chinook All Ages Proportions'!H74))</f>
        <v>0.14000000000000001</v>
      </c>
      <c r="M74" s="71">
        <f>IF($B74="Jacks Only",'Chinook Jack Proportions'!I74,IF('3. Select Chinook Method'!$B74="Adults Only",'Chinook Adult Proportions'!I74,'Chinook All Ages Proportions'!I74))</f>
        <v>2.8757527344230063E-2</v>
      </c>
      <c r="N74" s="71">
        <f>IF($B74="Jacks Only",'Chinook Jack Proportions'!J74,IF('3. Select Chinook Method'!$B74="Adults Only",'Chinook Adult Proportions'!J74,'Chinook All Ages Proportions'!J74))</f>
        <v>0.22647841684990166</v>
      </c>
      <c r="O74" s="23">
        <f>IF($B74="Jacks Only",'Chinook Jack Proportions'!K74,IF('3. Select Chinook Method'!$B74="Adults Only",'Chinook Adult Proportions'!K74,'Chinook All Ages Proportions'!K74))</f>
        <v>0.42967728963506585</v>
      </c>
      <c r="P74" s="76">
        <f>IF($B74="Jacks Only",'Chinook Jack Proportions'!L74,IF('3. Select Chinook Method'!$B74="Adults Only",'Chinook Adult Proportions'!L74,'Chinook All Ages Proportions'!L74))</f>
        <v>26.985266339251986</v>
      </c>
      <c r="Q74" s="76">
        <f>IF($B74="Jacks Only",'Chinook Jack Proportions'!M74,IF('3. Select Chinook Method'!$B74="Adults Only",'Chinook Adult Proportions'!M74,'Chinook All Ages Proportions'!M74))</f>
        <v>383.77551020408163</v>
      </c>
      <c r="R74" s="76">
        <f>IF($B74="Jacks Only",'Chinook Jack Proportions'!X74,IF('3. Select Chinook Method'!$B74="Adults Only",'Chinook Adult Proportions'!X74,'Chinook All Ages Proportions'!X74))</f>
        <v>343.3286698176907</v>
      </c>
      <c r="S74" s="76">
        <f>IF($B74="Jacks Only",'Chinook Jack Proportions'!N74,IF('3. Select Chinook Method'!$B74="Adults Only",'Chinook Adult Proportions'!N74,'Chinook All Ages Proportions'!N74))</f>
        <v>13082.402143524769</v>
      </c>
      <c r="T74" s="76">
        <f>IF($B74="Jacks Only",'Chinook Jack Proportions'!O74,IF('3. Select Chinook Method'!$B74="Adults Only",'Chinook Adult Proportions'!O74,'Chinook All Ages Proportions'!O74))</f>
        <v>54422.230838709678</v>
      </c>
      <c r="U74" s="76">
        <f>IF($B74="Jacks Only",'Chinook Jack Proportions'!P74,IF('3. Select Chinook Method'!$B74="Adults Only",'Chinook Adult Proportions'!P74,'Chinook All Ages Proportions'!P74))</f>
        <v>7028.4445161290323</v>
      </c>
      <c r="V74" s="76">
        <f>IF($B74="Jacks Only",'Chinook Jack Proportions'!Q74,IF('3. Select Chinook Method'!$B74="Adults Only",'Chinook Adult Proportions'!Q74,'Chinook All Ages Proportions'!Q74))</f>
        <v>5396.8316129032255</v>
      </c>
      <c r="W74" s="76">
        <f>IF($B74="Jacks Only",'Chinook Jack Proportions'!R74,IF('3. Select Chinook Method'!$B74="Adults Only",'Chinook Adult Proportions'!R74,'Chinook All Ages Proportions'!R74))</f>
        <v>0</v>
      </c>
      <c r="X74" s="56">
        <f>IF(B74="Jacks Only",'Chinook Jack Proportions'!S74,IF(B74="Adults Only",'Chinook Adult Proportions'!S74,'Chinook All Ages Proportions'!S74))</f>
        <v>3263.0640000000112</v>
      </c>
      <c r="Y74" s="56">
        <f>IF($B74="Jacks Only",'Chinook Jack Proportions'!T74,IF('3. Select Chinook Method'!$B74="Adults Only",'Chinook Adult Proportions'!T74,'Chinook All Ages Proportions'!T74))</f>
        <v>654.82818940384038</v>
      </c>
      <c r="Z74" s="56">
        <f>IF($B74="Jacks Only",'Chinook Jack Proportions'!U74,IF('3. Select Chinook Method'!$B74="Adults Only",'Chinook Adult Proportions'!U74,'Chinook All Ages Proportions'!U74))</f>
        <v>1438.5595656982005</v>
      </c>
      <c r="AA74" s="56">
        <f>IF($B74="Jacks Only",'Chinook Jack Proportions'!V74,IF('3. Select Chinook Method'!$B74="Adults Only",'Chinook Adult Proportions'!V74,'Chinook All Ages Proportions'!V74))</f>
        <v>1473.994009952552</v>
      </c>
      <c r="AB74" s="56">
        <f>IF($B74="Jacks Only",'Chinook Jack Proportions'!W74,IF('3. Select Chinook Method'!$B74="Adults Only",'Chinook Adult Proportions'!W74,'Chinook All Ages Proportions'!W74))</f>
        <v>330.01678259800912</v>
      </c>
      <c r="AC74" s="41">
        <f>IF(B74="Jacks Only",'Chinook Jack Proportions'!Y74,IF('3. Select Chinook Method'!B74="Adults Only",'Chinook Adult Proportions'!Y74,'Chinook All Ages Proportions'!Y74))</f>
        <v>87501.132435462656</v>
      </c>
      <c r="AD74" s="42">
        <f>IF(B74="Jacks Only",'Chinook Jack Proportions'!Z74,IF('3. Select Chinook Method'!B74="Adults Only",'Chinook Adult Proportions'!Z74,'Chinook All Ages Proportions'!Z74))</f>
        <v>0.27746828288569442</v>
      </c>
      <c r="AE74" s="43">
        <f>IF($B74="Jacks Only",'Chinook Jack Proportions'!AA74,IF('3. Select Chinook Method'!$B74="Adults Only",'Chinook Adult Proportions'!AA74,'Chinook All Ages Proportions'!AA74))</f>
        <v>0.29845153419232734</v>
      </c>
      <c r="AF74" s="42">
        <f>IF($B74="Jacks Only",'Chinook Jack Proportions'!AB74,IF('3. Select Chinook Method'!$B74="Adults Only",'Chinook Adult Proportions'!AB74,'Chinook All Ages Proportions'!AB74))</f>
        <v>0.14000000000000001</v>
      </c>
      <c r="AG74" s="44">
        <f>IF($B74="Jacks Only",'Chinook Jack Proportions'!AC74,IF('3. Select Chinook Method'!$B74="Adults Only",'Chinook Adult Proportions'!AC74,'Chinook All Ages Proportions'!AC74))</f>
        <v>0.34246827397231383</v>
      </c>
    </row>
    <row r="75" spans="1:33" x14ac:dyDescent="0.3">
      <c r="A75" s="5">
        <f>'1. Mixture Model Inputs'!A75</f>
        <v>45177</v>
      </c>
      <c r="B75" s="55" t="s">
        <v>43</v>
      </c>
      <c r="C75" s="60">
        <f t="shared" si="1"/>
        <v>74141.537183311215</v>
      </c>
      <c r="D75" s="56">
        <f>'Chinook All Ages Proportions'!Y75</f>
        <v>74141.537183311215</v>
      </c>
      <c r="E75" s="56">
        <f>'Chinook Adult Proportions'!Y75</f>
        <v>74141.537183311215</v>
      </c>
      <c r="F75" s="57">
        <f>'Chinook Jack Proportions'!Y75</f>
        <v>0</v>
      </c>
      <c r="G75" s="71">
        <f>IF($B75="Jacks Only",'Chinook Jack Proportions'!C75,IF('3. Select Chinook Method'!$B75="Adults Only",'Chinook Adult Proportions'!C75,'Chinook All Ages Proportions'!C75))</f>
        <v>9.4831673779042207E-3</v>
      </c>
      <c r="H75" s="71">
        <f>IF($B75="Jacks Only",'Chinook Jack Proportions'!D75,IF('3. Select Chinook Method'!$B75="Adults Only",'Chinook Adult Proportions'!D75,'Chinook All Ages Proportions'!D75))</f>
        <v>0</v>
      </c>
      <c r="I75" s="71">
        <f>IF($B75="Jacks Only",'Chinook Jack Proportions'!E75,IF('3. Select Chinook Method'!$B75="Adults Only",'Chinook Adult Proportions'!E75,'Chinook All Ages Proportions'!E75))</f>
        <v>0</v>
      </c>
      <c r="J75" s="71">
        <f>IF($B75="Jacks Only",'Chinook Jack Proportions'!F75,IF('3. Select Chinook Method'!$B75="Adults Only",'Chinook Adult Proportions'!F75,'Chinook All Ages Proportions'!F75))</f>
        <v>0.23878746901059275</v>
      </c>
      <c r="K75" s="71">
        <f>IF($B75="Jacks Only",'Chinook Jack Proportions'!G75,IF('3. Select Chinook Method'!$B75="Adults Only",'Chinook Adult Proportions'!G75,'Chinook All Ages Proportions'!G75))</f>
        <v>0.46993865030674847</v>
      </c>
      <c r="L75" s="24">
        <f>IF($B75="Jacks Only",'Chinook Jack Proportions'!H75,IF('3. Select Chinook Method'!$B75="Adults Only",'Chinook Adult Proportions'!H75,'Chinook All Ages Proportions'!H75))</f>
        <v>2.0134228187919462E-2</v>
      </c>
      <c r="M75" s="71">
        <f>IF($B75="Jacks Only",'Chinook Jack Proportions'!I75,IF('3. Select Chinook Method'!$B75="Adults Only",'Chinook Adult Proportions'!I75,'Chinook All Ages Proportions'!I75))</f>
        <v>2.8757527344230063E-2</v>
      </c>
      <c r="N75" s="71">
        <f>IF($B75="Jacks Only",'Chinook Jack Proportions'!J75,IF('3. Select Chinook Method'!$B75="Adults Only",'Chinook Adult Proportions'!J75,'Chinook All Ages Proportions'!J75))</f>
        <v>0.22647841684990166</v>
      </c>
      <c r="O75" s="23">
        <f>IF($B75="Jacks Only",'Chinook Jack Proportions'!K75,IF('3. Select Chinook Method'!$B75="Adults Only",'Chinook Adult Proportions'!K75,'Chinook All Ages Proportions'!K75))</f>
        <v>0.42967728963506585</v>
      </c>
      <c r="P75" s="76">
        <f>IF($B75="Jacks Only",'Chinook Jack Proportions'!L75,IF('3. Select Chinook Method'!$B75="Adults Only",'Chinook Adult Proportions'!L75,'Chinook All Ages Proportions'!L75))</f>
        <v>56.794689426268377</v>
      </c>
      <c r="Q75" s="76">
        <f>IF($B75="Jacks Only",'Chinook Jack Proportions'!M75,IF('3. Select Chinook Method'!$B75="Adults Only",'Chinook Adult Proportions'!M75,'Chinook All Ages Proportions'!M75))</f>
        <v>0</v>
      </c>
      <c r="R75" s="76">
        <f>IF($B75="Jacks Only",'Chinook Jack Proportions'!X75,IF('3. Select Chinook Method'!$B75="Adults Only",'Chinook Adult Proportions'!X75,'Chinook All Ages Proportions'!X75))</f>
        <v>0</v>
      </c>
      <c r="S75" s="76">
        <f>IF($B75="Jacks Only",'Chinook Jack Proportions'!N75,IF('3. Select Chinook Method'!$B75="Adults Only",'Chinook Adult Proportions'!N75,'Chinook All Ages Proportions'!N75))</f>
        <v>22141.271967545639</v>
      </c>
      <c r="T75" s="76">
        <f>IF($B75="Jacks Only",'Chinook Jack Proportions'!O75,IF('3. Select Chinook Method'!$B75="Adults Only",'Chinook Adult Proportions'!O75,'Chinook All Ages Proportions'!O75))</f>
        <v>28510.538797546011</v>
      </c>
      <c r="U75" s="76">
        <f>IF($B75="Jacks Only",'Chinook Jack Proportions'!P75,IF('3. Select Chinook Method'!$B75="Adults Only",'Chinook Adult Proportions'!P75,'Chinook All Ages Proportions'!P75))</f>
        <v>8697.6621349693251</v>
      </c>
      <c r="V75" s="76">
        <f>IF($B75="Jacks Only",'Chinook Jack Proportions'!Q75,IF('3. Select Chinook Method'!$B75="Adults Only",'Chinook Adult Proportions'!Q75,'Chinook All Ages Proportions'!Q75))</f>
        <v>10462.187779141104</v>
      </c>
      <c r="W75" s="76">
        <f>IF($B75="Jacks Only",'Chinook Jack Proportions'!R75,IF('3. Select Chinook Method'!$B75="Adults Only",'Chinook Adult Proportions'!R75,'Chinook All Ages Proportions'!R75))</f>
        <v>0</v>
      </c>
      <c r="X75" s="56">
        <f>IF(B75="Jacks Only",'Chinook Jack Proportions'!S75,IF(B75="Adults Only",'Chinook Adult Proportions'!S75,'Chinook All Ages Proportions'!S75))</f>
        <v>514.62120805369284</v>
      </c>
      <c r="Y75" s="56">
        <f>IF($B75="Jacks Only",'Chinook Jack Proportions'!T75,IF('3. Select Chinook Method'!$B75="Adults Only",'Chinook Adult Proportions'!T75,'Chinook All Ages Proportions'!T75))</f>
        <v>500.14436513521667</v>
      </c>
      <c r="Z75" s="56">
        <f>IF($B75="Jacks Only",'Chinook Jack Proportions'!U75,IF('3. Select Chinook Method'!$B75="Adults Only",'Chinook Adult Proportions'!U75,'Chinook All Ages Proportions'!U75))</f>
        <v>1495.2769679300291</v>
      </c>
      <c r="AA75" s="56">
        <f>IF($B75="Jacks Only",'Chinook Jack Proportions'!V75,IF('3. Select Chinook Method'!$B75="Adults Only",'Chinook Adult Proportions'!V75,'Chinook All Ages Proportions'!V75))</f>
        <v>1386.428394861706</v>
      </c>
      <c r="AB75" s="56">
        <f>IF($B75="Jacks Only",'Chinook Jack Proportions'!W75,IF('3. Select Chinook Method'!$B75="Adults Only",'Chinook Adult Proportions'!W75,'Chinook All Ages Proportions'!W75))</f>
        <v>376.6108787022244</v>
      </c>
      <c r="AC75" s="41">
        <f>IF(B75="Jacks Only",'Chinook Jack Proportions'!Y75,IF('3. Select Chinook Method'!B75="Adults Only",'Chinook Adult Proportions'!Y75,'Chinook All Ages Proportions'!Y75))</f>
        <v>74141.537183311215</v>
      </c>
      <c r="AD75" s="42">
        <f>IF(B75="Jacks Only",'Chinook Jack Proportions'!Z75,IF('3. Select Chinook Method'!B75="Adults Only",'Chinook Adult Proportions'!Z75,'Chinook All Ages Proportions'!Z75))</f>
        <v>0.25545547443207367</v>
      </c>
      <c r="AE75" s="43">
        <f>IF($B75="Jacks Only",'Chinook Jack Proportions'!AA75,IF('3. Select Chinook Method'!$B75="Adults Only",'Chinook Adult Proportions'!AA75,'Chinook All Ages Proportions'!AA75))</f>
        <v>0.29013760878066408</v>
      </c>
      <c r="AF75" s="42">
        <f>IF($B75="Jacks Only",'Chinook Jack Proportions'!AB75,IF('3. Select Chinook Method'!$B75="Adults Only",'Chinook Adult Proportions'!AB75,'Chinook All Ages Proportions'!AB75))</f>
        <v>2.0134228187919465E-2</v>
      </c>
      <c r="AG75" s="44">
        <f>IF($B75="Jacks Only",'Chinook Jack Proportions'!AC75,IF('3. Select Chinook Method'!$B75="Adults Only",'Chinook Adult Proportions'!AC75,'Chinook All Ages Proportions'!AC75))</f>
        <v>0.34911502168271547</v>
      </c>
    </row>
    <row r="76" spans="1:33" x14ac:dyDescent="0.3">
      <c r="A76" s="5">
        <f>'1. Mixture Model Inputs'!A76</f>
        <v>45178</v>
      </c>
      <c r="B76" s="55" t="s">
        <v>43</v>
      </c>
      <c r="C76" s="60">
        <f t="shared" si="1"/>
        <v>29633.739529816852</v>
      </c>
      <c r="D76" s="56">
        <f>'Chinook All Ages Proportions'!Y76</f>
        <v>29792.298848965791</v>
      </c>
      <c r="E76" s="56">
        <f>'Chinook Adult Proportions'!Y76</f>
        <v>29633.739529816852</v>
      </c>
      <c r="F76" s="57">
        <f>'Chinook Jack Proportions'!Y76</f>
        <v>158.55931914893594</v>
      </c>
      <c r="G76" s="71">
        <f>IF($B76="Jacks Only",'Chinook Jack Proportions'!C76,IF('3. Select Chinook Method'!$B76="Adults Only",'Chinook Adult Proportions'!C76,'Chinook All Ages Proportions'!C76))</f>
        <v>4.5078888054094664E-3</v>
      </c>
      <c r="H76" s="71">
        <f>IF($B76="Jacks Only",'Chinook Jack Proportions'!D76,IF('3. Select Chinook Method'!$B76="Adults Only",'Chinook Adult Proportions'!D76,'Chinook All Ages Proportions'!D76))</f>
        <v>0</v>
      </c>
      <c r="I76" s="71">
        <f>IF($B76="Jacks Only",'Chinook Jack Proportions'!E76,IF('3. Select Chinook Method'!$B76="Adults Only",'Chinook Adult Proportions'!E76,'Chinook All Ages Proportions'!E76))</f>
        <v>0</v>
      </c>
      <c r="J76" s="71">
        <f>IF($B76="Jacks Only",'Chinook Jack Proportions'!F76,IF('3. Select Chinook Method'!$B76="Adults Only",'Chinook Adult Proportions'!F76,'Chinook All Ages Proportions'!F76))</f>
        <v>5.0326188257222737E-2</v>
      </c>
      <c r="K76" s="71">
        <f>IF($B76="Jacks Only",'Chinook Jack Proportions'!G76,IF('3. Select Chinook Method'!$B76="Adults Only",'Chinook Adult Proportions'!G76,'Chinook All Ages Proportions'!G76))</f>
        <v>0.21489229494614745</v>
      </c>
      <c r="L76" s="24">
        <f>IF($B76="Jacks Only",'Chinook Jack Proportions'!H76,IF('3. Select Chinook Method'!$B76="Adults Only",'Chinook Adult Proportions'!H76,'Chinook All Ages Proportions'!H76))</f>
        <v>4.2553191489361703E-3</v>
      </c>
      <c r="M76" s="71">
        <f>IF($B76="Jacks Only",'Chinook Jack Proportions'!I76,IF('3. Select Chinook Method'!$B76="Adults Only",'Chinook Adult Proportions'!I76,'Chinook All Ages Proportions'!I76))</f>
        <v>1.5710478327956235E-2</v>
      </c>
      <c r="N76" s="71">
        <f>IF($B76="Jacks Only",'Chinook Jack Proportions'!J76,IF('3. Select Chinook Method'!$B76="Adults Only",'Chinook Adult Proportions'!J76,'Chinook All Ages Proportions'!J76))</f>
        <v>0.15659270594236166</v>
      </c>
      <c r="O76" s="23">
        <f>IF($B76="Jacks Only",'Chinook Jack Proportions'!K76,IF('3. Select Chinook Method'!$B76="Adults Only",'Chinook Adult Proportions'!K76,'Chinook All Ages Proportions'!K76))</f>
        <v>0.51231420201801026</v>
      </c>
      <c r="P76" s="76">
        <f>IF($B76="Jacks Only",'Chinook Jack Proportions'!L76,IF('3. Select Chinook Method'!$B76="Adults Only",'Chinook Adult Proportions'!L76,'Chinook All Ages Proportions'!L76))</f>
        <v>22.05709992486852</v>
      </c>
      <c r="Q76" s="76">
        <f>IF($B76="Jacks Only",'Chinook Jack Proportions'!M76,IF('3. Select Chinook Method'!$B76="Adults Only",'Chinook Adult Proportions'!M76,'Chinook All Ages Proportions'!M76))</f>
        <v>0</v>
      </c>
      <c r="R76" s="76">
        <f>IF($B76="Jacks Only",'Chinook Jack Proportions'!X76,IF('3. Select Chinook Method'!$B76="Adults Only",'Chinook Adult Proportions'!X76,'Chinook All Ages Proportions'!X76))</f>
        <v>0</v>
      </c>
      <c r="S76" s="76">
        <f>IF($B76="Jacks Only",'Chinook Jack Proportions'!N76,IF('3. Select Chinook Method'!$B76="Adults Only",'Chinook Adult Proportions'!N76,'Chinook All Ages Proportions'!N76))</f>
        <v>3114.2046598322454</v>
      </c>
      <c r="T76" s="76">
        <f>IF($B76="Jacks Only",'Chinook Jack Proportions'!O76,IF('3. Select Chinook Method'!$B76="Adults Only",'Chinook Adult Proportions'!O76,'Chinook All Ages Proportions'!O76))</f>
        <v>11388.088235294115</v>
      </c>
      <c r="U76" s="76">
        <f>IF($B76="Jacks Only",'Chinook Jack Proportions'!P76,IF('3. Select Chinook Method'!$B76="Adults Only",'Chinook Adult Proportions'!P76,'Chinook All Ages Proportions'!P76))</f>
        <v>4927.7038111019056</v>
      </c>
      <c r="V76" s="76">
        <f>IF($B76="Jacks Only",'Chinook Jack Proportions'!Q76,IF('3. Select Chinook Method'!$B76="Adults Only",'Chinook Adult Proportions'!Q76,'Chinook All Ages Proportions'!Q76))</f>
        <v>3941.6060480530232</v>
      </c>
      <c r="W76" s="76">
        <f>IF($B76="Jacks Only",'Chinook Jack Proportions'!R76,IF('3. Select Chinook Method'!$B76="Adults Only",'Chinook Adult Proportions'!R76,'Chinook All Ages Proportions'!R76))</f>
        <v>0</v>
      </c>
      <c r="X76" s="56">
        <f>IF(B76="Jacks Only",'Chinook Jack Proportions'!S76,IF(B76="Adults Only",'Chinook Adult Proportions'!S76,'Chinook All Ages Proportions'!S76))</f>
        <v>158.55931914893594</v>
      </c>
      <c r="Y76" s="56">
        <f>IF($B76="Jacks Only",'Chinook Jack Proportions'!T76,IF('3. Select Chinook Method'!$B76="Adults Only",'Chinook Adult Proportions'!T76,'Chinook All Ages Proportions'!T76))</f>
        <v>902.36974286644261</v>
      </c>
      <c r="Z76" s="56">
        <f>IF($B76="Jacks Only",'Chinook Jack Proportions'!U76,IF('3. Select Chinook Method'!$B76="Adults Only",'Chinook Adult Proportions'!U76,'Chinook All Ages Proportions'!U76))</f>
        <v>3504.8439188456123</v>
      </c>
      <c r="AA76" s="56">
        <f>IF($B76="Jacks Only",'Chinook Jack Proportions'!V76,IF('3. Select Chinook Method'!$B76="Adults Only",'Chinook Adult Proportions'!V76,'Chinook All Ages Proportions'!V76))</f>
        <v>1516.7444223412397</v>
      </c>
      <c r="AB76" s="56">
        <f>IF($B76="Jacks Only",'Chinook Jack Proportions'!W76,IF('3. Select Chinook Method'!$B76="Adults Only",'Chinook Adult Proportions'!W76,'Chinook All Ages Proportions'!W76))</f>
        <v>157.56227240847241</v>
      </c>
      <c r="AC76" s="41">
        <f>IF(B76="Jacks Only",'Chinook Jack Proportions'!Y76,IF('3. Select Chinook Method'!B76="Adults Only",'Chinook Adult Proportions'!Y76,'Chinook All Ages Proportions'!Y76))</f>
        <v>29633.739529816852</v>
      </c>
      <c r="AD76" s="42">
        <f>IF(B76="Jacks Only",'Chinook Jack Proportions'!Z76,IF('3. Select Chinook Method'!B76="Adults Only",'Chinook Adult Proportions'!Z76,'Chinook All Ages Proportions'!Z76))</f>
        <v>0.11384407231830909</v>
      </c>
      <c r="AE76" s="43">
        <f>IF($B76="Jacks Only",'Chinook Jack Proportions'!AA76,IF('3. Select Chinook Method'!$B76="Adults Only",'Chinook Adult Proportions'!AA76,'Chinook All Ages Proportions'!AA76))</f>
        <v>0.12013871182048876</v>
      </c>
      <c r="AF76" s="42">
        <f>IF($B76="Jacks Only",'Chinook Jack Proportions'!AB76,IF('3. Select Chinook Method'!$B76="Adults Only",'Chinook Adult Proportions'!AB76,'Chinook All Ages Proportions'!AB76))</f>
        <v>4.2553191489361703E-3</v>
      </c>
      <c r="AG76" s="44">
        <f>IF($B76="Jacks Only",'Chinook Jack Proportions'!AC76,IF('3. Select Chinook Method'!$B76="Adults Only",'Chinook Adult Proportions'!AC76,'Chinook All Ages Proportions'!AC76))</f>
        <v>0.33253284890060658</v>
      </c>
    </row>
    <row r="77" spans="1:33" x14ac:dyDescent="0.3">
      <c r="A77" s="5">
        <f>'1. Mixture Model Inputs'!A77</f>
        <v>45179</v>
      </c>
      <c r="B77" s="55" t="s">
        <v>43</v>
      </c>
      <c r="C77" s="60">
        <f t="shared" si="1"/>
        <v>61401.422674805515</v>
      </c>
      <c r="D77" s="56">
        <f>'Chinook All Ages Proportions'!Y77</f>
        <v>61401.422674805515</v>
      </c>
      <c r="E77" s="56">
        <f>'Chinook Adult Proportions'!Y77</f>
        <v>61401.422674805515</v>
      </c>
      <c r="F77" s="57">
        <f>'Chinook Jack Proportions'!Y77</f>
        <v>0</v>
      </c>
      <c r="G77" s="71">
        <f>IF($B77="Jacks Only",'Chinook Jack Proportions'!C77,IF('3. Select Chinook Method'!$B77="Adults Only",'Chinook Adult Proportions'!C77,'Chinook All Ages Proportions'!C77))</f>
        <v>0</v>
      </c>
      <c r="H77" s="71">
        <f>IF($B77="Jacks Only",'Chinook Jack Proportions'!D77,IF('3. Select Chinook Method'!$B77="Adults Only",'Chinook Adult Proportions'!D77,'Chinook All Ages Proportions'!D77))</f>
        <v>0</v>
      </c>
      <c r="I77" s="71">
        <f>IF($B77="Jacks Only",'Chinook Jack Proportions'!E77,IF('3. Select Chinook Method'!$B77="Adults Only",'Chinook Adult Proportions'!E77,'Chinook All Ages Proportions'!E77))</f>
        <v>0</v>
      </c>
      <c r="J77" s="71">
        <f>IF($B77="Jacks Only",'Chinook Jack Proportions'!F77,IF('3. Select Chinook Method'!$B77="Adults Only",'Chinook Adult Proportions'!F77,'Chinook All Ages Proportions'!F77))</f>
        <v>0.12737688932228181</v>
      </c>
      <c r="K77" s="71">
        <f>IF($B77="Jacks Only",'Chinook Jack Proportions'!G77,IF('3. Select Chinook Method'!$B77="Adults Only",'Chinook Adult Proportions'!G77,'Chinook All Ages Proportions'!G77))</f>
        <v>0.31646876613319563</v>
      </c>
      <c r="L77" s="24">
        <f>IF($B77="Jacks Only",'Chinook Jack Proportions'!H77,IF('3. Select Chinook Method'!$B77="Adults Only",'Chinook Adult Proportions'!H77,'Chinook All Ages Proportions'!H77))</f>
        <v>9.8039215686274508E-3</v>
      </c>
      <c r="M77" s="71">
        <f>IF($B77="Jacks Only",'Chinook Jack Proportions'!I77,IF('3. Select Chinook Method'!$B77="Adults Only",'Chinook Adult Proportions'!I77,'Chinook All Ages Proportions'!I77))</f>
        <v>1.5710478327956235E-2</v>
      </c>
      <c r="N77" s="71">
        <f>IF($B77="Jacks Only",'Chinook Jack Proportions'!J77,IF('3. Select Chinook Method'!$B77="Adults Only",'Chinook Adult Proportions'!J77,'Chinook All Ages Proportions'!J77))</f>
        <v>0.15659270594236166</v>
      </c>
      <c r="O77" s="23">
        <f>IF($B77="Jacks Only",'Chinook Jack Proportions'!K77,IF('3. Select Chinook Method'!$B77="Adults Only",'Chinook Adult Proportions'!K77,'Chinook All Ages Proportions'!K77))</f>
        <v>0.51231420201801026</v>
      </c>
      <c r="P77" s="76">
        <f>IF($B77="Jacks Only",'Chinook Jack Proportions'!L77,IF('3. Select Chinook Method'!$B77="Adults Only",'Chinook Adult Proportions'!L77,'Chinook All Ages Proportions'!L77))</f>
        <v>0</v>
      </c>
      <c r="Q77" s="76">
        <f>IF($B77="Jacks Only",'Chinook Jack Proportions'!M77,IF('3. Select Chinook Method'!$B77="Adults Only",'Chinook Adult Proportions'!M77,'Chinook All Ages Proportions'!M77))</f>
        <v>0</v>
      </c>
      <c r="R77" s="76">
        <f>IF($B77="Jacks Only",'Chinook Jack Proportions'!X77,IF('3. Select Chinook Method'!$B77="Adults Only",'Chinook Adult Proportions'!X77,'Chinook All Ages Proportions'!X77))</f>
        <v>0</v>
      </c>
      <c r="S77" s="76">
        <f>IF($B77="Jacks Only",'Chinook Jack Proportions'!N77,IF('3. Select Chinook Method'!$B77="Adults Only",'Chinook Adult Proportions'!N77,'Chinook All Ages Proportions'!N77))</f>
        <v>10310.466260360799</v>
      </c>
      <c r="T77" s="76">
        <f>IF($B77="Jacks Only",'Chinook Jack Proportions'!O77,IF('3. Select Chinook Method'!$B77="Adults Only",'Chinook Adult Proportions'!O77,'Chinook All Ages Proportions'!O77))</f>
        <v>26461.5485389778</v>
      </c>
      <c r="U77" s="76">
        <f>IF($B77="Jacks Only",'Chinook Jack Proportions'!P77,IF('3. Select Chinook Method'!$B77="Adults Only",'Chinook Adult Proportions'!P77,'Chinook All Ages Proportions'!P77))</f>
        <v>10635.856974703147</v>
      </c>
      <c r="V77" s="76">
        <f>IF($B77="Jacks Only",'Chinook Jack Proportions'!Q77,IF('3. Select Chinook Method'!$B77="Adults Only",'Chinook Adult Proportions'!Q77,'Chinook All Ages Proportions'!Q77))</f>
        <v>3562.3243366029938</v>
      </c>
      <c r="W77" s="76">
        <f>IF($B77="Jacks Only",'Chinook Jack Proportions'!R77,IF('3. Select Chinook Method'!$B77="Adults Only",'Chinook Adult Proportions'!R77,'Chinook All Ages Proportions'!R77))</f>
        <v>0</v>
      </c>
      <c r="X77" s="56">
        <f>IF(B77="Jacks Only",'Chinook Jack Proportions'!S77,IF(B77="Adults Only",'Chinook Adult Proportions'!S77,'Chinook All Ages Proportions'!S77))</f>
        <v>502.22823529411704</v>
      </c>
      <c r="Y77" s="56">
        <f>IF($B77="Jacks Only",'Chinook Jack Proportions'!T77,IF('3. Select Chinook Method'!$B77="Adults Only",'Chinook Adult Proportions'!T77,'Chinook All Ages Proportions'!T77))</f>
        <v>1863.0203493544541</v>
      </c>
      <c r="Z77" s="56">
        <f>IF($B77="Jacks Only",'Chinook Jack Proportions'!U77,IF('3. Select Chinook Method'!$B77="Adults Only",'Chinook Adult Proportions'!U77,'Chinook All Ages Proportions'!U77))</f>
        <v>5559.920616252577</v>
      </c>
      <c r="AA77" s="56">
        <f>IF($B77="Jacks Only",'Chinook Jack Proportions'!V77,IF('3. Select Chinook Method'!$B77="Adults Only",'Chinook Adult Proportions'!V77,'Chinook All Ages Proportions'!V77))</f>
        <v>2113.5505432287682</v>
      </c>
      <c r="AB77" s="56">
        <f>IF($B77="Jacks Only",'Chinook Jack Proportions'!W77,IF('3. Select Chinook Method'!$B77="Adults Only",'Chinook Adult Proportions'!W77,'Chinook All Ages Proportions'!W77))</f>
        <v>392.5068200308599</v>
      </c>
      <c r="AC77" s="41">
        <f>IF(B77="Jacks Only",'Chinook Jack Proportions'!Y77,IF('3. Select Chinook Method'!B77="Adults Only",'Chinook Adult Proportions'!Y77,'Chinook All Ages Proportions'!Y77))</f>
        <v>61401.422674805515</v>
      </c>
      <c r="AD77" s="42">
        <f>IF(B77="Jacks Only",'Chinook Jack Proportions'!Z77,IF('3. Select Chinook Method'!B77="Adults Only",'Chinook Adult Proportions'!Z77,'Chinook All Ages Proportions'!Z77))</f>
        <v>0.17343506073703538</v>
      </c>
      <c r="AE77" s="43">
        <f>IF($B77="Jacks Only",'Chinook Jack Proportions'!AA77,IF('3. Select Chinook Method'!$B77="Adults Only",'Chinook Adult Proportions'!AA77,'Chinook All Ages Proportions'!AA77))</f>
        <v>0.20401625123339792</v>
      </c>
      <c r="AF77" s="42">
        <f>IF($B77="Jacks Only",'Chinook Jack Proportions'!AB77,IF('3. Select Chinook Method'!$B77="Adults Only",'Chinook Adult Proportions'!AB77,'Chinook All Ages Proportions'!AB77))</f>
        <v>9.8039215686274508E-3</v>
      </c>
      <c r="AG77" s="44">
        <f>IF($B77="Jacks Only",'Chinook Jack Proportions'!AC77,IF('3. Select Chinook Method'!$B77="Adults Only",'Chinook Adult Proportions'!AC77,'Chinook All Ages Proportions'!AC77))</f>
        <v>0.3547824470690748</v>
      </c>
    </row>
    <row r="78" spans="1:33" x14ac:dyDescent="0.3">
      <c r="A78" s="5">
        <f>'1. Mixture Model Inputs'!A78</f>
        <v>45180</v>
      </c>
      <c r="B78" s="55" t="s">
        <v>43</v>
      </c>
      <c r="C78" s="60">
        <f t="shared" si="1"/>
        <v>112265.90347787325</v>
      </c>
      <c r="D78" s="56">
        <f>'Chinook All Ages Proportions'!Y78</f>
        <v>112265.90347787325</v>
      </c>
      <c r="E78" s="56">
        <f>'Chinook Adult Proportions'!Y78</f>
        <v>112265.90347787325</v>
      </c>
      <c r="F78" s="57">
        <f>'Chinook Jack Proportions'!Y78</f>
        <v>0</v>
      </c>
      <c r="G78" s="71">
        <f>IF($B78="Jacks Only",'Chinook Jack Proportions'!C78,IF('3. Select Chinook Method'!$B78="Adults Only",'Chinook Adult Proportions'!C78,'Chinook All Ages Proportions'!C78))</f>
        <v>0</v>
      </c>
      <c r="H78" s="71">
        <f>IF($B78="Jacks Only",'Chinook Jack Proportions'!D78,IF('3. Select Chinook Method'!$B78="Adults Only",'Chinook Adult Proportions'!D78,'Chinook All Ages Proportions'!D78))</f>
        <v>0</v>
      </c>
      <c r="I78" s="71">
        <f>IF($B78="Jacks Only",'Chinook Jack Proportions'!E78,IF('3. Select Chinook Method'!$B78="Adults Only",'Chinook Adult Proportions'!E78,'Chinook All Ages Proportions'!E78))</f>
        <v>0</v>
      </c>
      <c r="J78" s="71">
        <f>IF($B78="Jacks Only",'Chinook Jack Proportions'!F78,IF('3. Select Chinook Method'!$B78="Adults Only",'Chinook Adult Proportions'!F78,'Chinook All Ages Proportions'!F78))</f>
        <v>0.12358470412305063</v>
      </c>
      <c r="K78" s="71">
        <f>IF($B78="Jacks Only",'Chinook Jack Proportions'!G78,IF('3. Select Chinook Method'!$B78="Adults Only",'Chinook Adult Proportions'!G78,'Chinook All Ages Proportions'!G78))</f>
        <v>0.4288006417970317</v>
      </c>
      <c r="L78" s="24">
        <f>IF($B78="Jacks Only",'Chinook Jack Proportions'!H78,IF('3. Select Chinook Method'!$B78="Adults Only",'Chinook Adult Proportions'!H78,'Chinook All Ages Proportions'!H78))</f>
        <v>1.3745704467353952E-2</v>
      </c>
      <c r="M78" s="71">
        <f>IF($B78="Jacks Only",'Chinook Jack Proportions'!I78,IF('3. Select Chinook Method'!$B78="Adults Only",'Chinook Adult Proportions'!I78,'Chinook All Ages Proportions'!I78))</f>
        <v>0</v>
      </c>
      <c r="N78" s="71">
        <f>IF($B78="Jacks Only",'Chinook Jack Proportions'!J78,IF('3. Select Chinook Method'!$B78="Adults Only",'Chinook Adult Proportions'!J78,'Chinook All Ages Proportions'!J78))</f>
        <v>0.12450937636284343</v>
      </c>
      <c r="O78" s="23">
        <f>IF($B78="Jacks Only",'Chinook Jack Proportions'!K78,IF('3. Select Chinook Method'!$B78="Adults Only",'Chinook Adult Proportions'!K78,'Chinook All Ages Proportions'!K78))</f>
        <v>0.39665523156089194</v>
      </c>
      <c r="P78" s="76">
        <f>IF($B78="Jacks Only",'Chinook Jack Proportions'!L78,IF('3. Select Chinook Method'!$B78="Adults Only",'Chinook Adult Proportions'!L78,'Chinook All Ages Proportions'!L78))</f>
        <v>0</v>
      </c>
      <c r="Q78" s="76">
        <f>IF($B78="Jacks Only",'Chinook Jack Proportions'!M78,IF('3. Select Chinook Method'!$B78="Adults Only",'Chinook Adult Proportions'!M78,'Chinook All Ages Proportions'!M78))</f>
        <v>0</v>
      </c>
      <c r="R78" s="76">
        <f>IF($B78="Jacks Only",'Chinook Jack Proportions'!X78,IF('3. Select Chinook Method'!$B78="Adults Only",'Chinook Adult Proportions'!X78,'Chinook All Ages Proportions'!X78))</f>
        <v>0</v>
      </c>
      <c r="S78" s="76">
        <f>IF($B78="Jacks Only",'Chinook Jack Proportions'!N78,IF('3. Select Chinook Method'!$B78="Adults Only",'Chinook Adult Proportions'!N78,'Chinook All Ages Proportions'!N78))</f>
        <v>21342.297346720785</v>
      </c>
      <c r="T78" s="76">
        <f>IF($B78="Jacks Only",'Chinook Jack Proportions'!O78,IF('3. Select Chinook Method'!$B78="Adults Only",'Chinook Adult Proportions'!O78,'Chinook All Ages Proportions'!O78))</f>
        <v>57944.688327316486</v>
      </c>
      <c r="U78" s="76">
        <f>IF($B78="Jacks Only",'Chinook Jack Proportions'!P78,IF('3. Select Chinook Method'!$B78="Adults Only",'Chinook Adult Proportions'!P78,'Chinook All Ages Proportions'!P78))</f>
        <v>19705.41342960289</v>
      </c>
      <c r="V78" s="76">
        <f>IF($B78="Jacks Only",'Chinook Jack Proportions'!Q78,IF('3. Select Chinook Method'!$B78="Adults Only",'Chinook Adult Proportions'!Q78,'Chinook All Ages Proportions'!Q78))</f>
        <v>6018.4056799037317</v>
      </c>
      <c r="W78" s="76">
        <f>IF($B78="Jacks Only",'Chinook Jack Proportions'!R78,IF('3. Select Chinook Method'!$B78="Adults Only",'Chinook Adult Proportions'!R78,'Chinook All Ages Proportions'!R78))</f>
        <v>0</v>
      </c>
      <c r="X78" s="56">
        <f>IF(B78="Jacks Only",'Chinook Jack Proportions'!S78,IF(B78="Adults Only",'Chinook Adult Proportions'!S78,'Chinook All Ages Proportions'!S78))</f>
        <v>984.28701030928039</v>
      </c>
      <c r="Y78" s="56">
        <f>IF($B78="Jacks Only",'Chinook Jack Proportions'!T78,IF('3. Select Chinook Method'!$B78="Adults Only",'Chinook Adult Proportions'!T78,'Chinook All Ages Proportions'!T78))</f>
        <v>1213.2890222984563</v>
      </c>
      <c r="Z78" s="56">
        <f>IF($B78="Jacks Only",'Chinook Jack Proportions'!U78,IF('3. Select Chinook Method'!$B78="Adults Only",'Chinook Adult Proportions'!U78,'Chinook All Ages Proportions'!U78))</f>
        <v>3404.8250428816468</v>
      </c>
      <c r="AA78" s="56">
        <f>IF($B78="Jacks Only",'Chinook Jack Proportions'!V78,IF('3. Select Chinook Method'!$B78="Adults Only",'Chinook Adult Proportions'!V78,'Chinook All Ages Proportions'!V78))</f>
        <v>1652.6976188399476</v>
      </c>
      <c r="AB78" s="56">
        <f>IF($B78="Jacks Only",'Chinook Jack Proportions'!W78,IF('3. Select Chinook Method'!$B78="Adults Only",'Chinook Adult Proportions'!W78,'Chinook All Ages Proportions'!W78))</f>
        <v>0</v>
      </c>
      <c r="AC78" s="41">
        <f>IF(B78="Jacks Only",'Chinook Jack Proportions'!Y78,IF('3. Select Chinook Method'!B78="Adults Only",'Chinook Adult Proportions'!Y78,'Chinook All Ages Proportions'!Y78))</f>
        <v>112265.90347787325</v>
      </c>
      <c r="AD78" s="42">
        <f>IF(B78="Jacks Only",'Chinook Jack Proportions'!Z78,IF('3. Select Chinook Method'!B78="Adults Only",'Chinook Adult Proportions'!Z78,'Chinook All Ages Proportions'!Z78))</f>
        <v>0.17887787913212813</v>
      </c>
      <c r="AE78" s="43">
        <f>IF($B78="Jacks Only",'Chinook Jack Proportions'!AA78,IF('3. Select Chinook Method'!$B78="Adults Only",'Chinook Adult Proportions'!AA78,'Chinook All Ages Proportions'!AA78))</f>
        <v>0.20983088168886793</v>
      </c>
      <c r="AF78" s="42">
        <f>IF($B78="Jacks Only",'Chinook Jack Proportions'!AB78,IF('3. Select Chinook Method'!$B78="Adults Only",'Chinook Adult Proportions'!AB78,'Chinook All Ages Proportions'!AB78))</f>
        <v>1.3745704467353952E-2</v>
      </c>
      <c r="AG78" s="44">
        <f>IF($B78="Jacks Only",'Chinook Jack Proportions'!AC78,IF('3. Select Chinook Method'!$B78="Adults Only",'Chinook Adult Proportions'!AC78,'Chinook All Ages Proportions'!AC78))</f>
        <v>0.25167487349737244</v>
      </c>
    </row>
    <row r="79" spans="1:33" x14ac:dyDescent="0.3">
      <c r="A79" s="5">
        <f>'1. Mixture Model Inputs'!A79</f>
        <v>45181</v>
      </c>
      <c r="B79" s="55" t="s">
        <v>43</v>
      </c>
      <c r="C79" s="60">
        <f t="shared" si="1"/>
        <v>81512.766979641092</v>
      </c>
      <c r="D79" s="56">
        <f>'Chinook All Ages Proportions'!Y79</f>
        <v>81512.766979641092</v>
      </c>
      <c r="E79" s="56">
        <f>'Chinook Adult Proportions'!Y79</f>
        <v>81512.766979641092</v>
      </c>
      <c r="F79" s="57">
        <f>'Chinook Jack Proportions'!Y79</f>
        <v>0</v>
      </c>
      <c r="G79" s="71">
        <f>IF($B79="Jacks Only",'Chinook Jack Proportions'!C79,IF('3. Select Chinook Method'!$B79="Adults Only",'Chinook Adult Proportions'!C79,'Chinook All Ages Proportions'!C79))</f>
        <v>0</v>
      </c>
      <c r="H79" s="71">
        <f>IF($B79="Jacks Only",'Chinook Jack Proportions'!D79,IF('3. Select Chinook Method'!$B79="Adults Only",'Chinook Adult Proportions'!D79,'Chinook All Ages Proportions'!D79))</f>
        <v>1.8399264029438821E-2</v>
      </c>
      <c r="I79" s="71">
        <f>IF($B79="Jacks Only",'Chinook Jack Proportions'!E79,IF('3. Select Chinook Method'!$B79="Adults Only",'Chinook Adult Proportions'!E79,'Chinook All Ages Proportions'!E79))</f>
        <v>1.7521902377972465E-2</v>
      </c>
      <c r="J79" s="71">
        <f>IF($B79="Jacks Only",'Chinook Jack Proportions'!F79,IF('3. Select Chinook Method'!$B79="Adults Only",'Chinook Adult Proportions'!F79,'Chinook All Ages Proportions'!F79))</f>
        <v>7.7839643652561255E-2</v>
      </c>
      <c r="K79" s="71">
        <f>IF($B79="Jacks Only",'Chinook Jack Proportions'!G79,IF('3. Select Chinook Method'!$B79="Adults Only",'Chinook Adult Proportions'!G79,'Chinook All Ages Proportions'!G79))</f>
        <v>0.33350352292453794</v>
      </c>
      <c r="L79" s="24">
        <f>IF($B79="Jacks Only",'Chinook Jack Proportions'!H79,IF('3. Select Chinook Method'!$B79="Adults Only",'Chinook Adult Proportions'!H79,'Chinook All Ages Proportions'!H79))</f>
        <v>2.3076923076923078E-2</v>
      </c>
      <c r="M79" s="71">
        <f>IF($B79="Jacks Only",'Chinook Jack Proportions'!I79,IF('3. Select Chinook Method'!$B79="Adults Only",'Chinook Adult Proportions'!I79,'Chinook All Ages Proportions'!I79))</f>
        <v>0</v>
      </c>
      <c r="N79" s="71">
        <f>IF($B79="Jacks Only",'Chinook Jack Proportions'!J79,IF('3. Select Chinook Method'!$B79="Adults Only",'Chinook Adult Proportions'!J79,'Chinook All Ages Proportions'!J79))</f>
        <v>0.12450937636284343</v>
      </c>
      <c r="O79" s="23">
        <f>IF($B79="Jacks Only",'Chinook Jack Proportions'!K79,IF('3. Select Chinook Method'!$B79="Adults Only",'Chinook Adult Proportions'!K79,'Chinook All Ages Proportions'!K79))</f>
        <v>0.39665523156089194</v>
      </c>
      <c r="P79" s="76">
        <f>IF($B79="Jacks Only",'Chinook Jack Proportions'!L79,IF('3. Select Chinook Method'!$B79="Adults Only",'Chinook Adult Proportions'!L79,'Chinook All Ages Proportions'!L79))</f>
        <v>0</v>
      </c>
      <c r="Q79" s="76">
        <f>IF($B79="Jacks Only",'Chinook Jack Proportions'!M79,IF('3. Select Chinook Method'!$B79="Adults Only",'Chinook Adult Proportions'!M79,'Chinook All Ages Proportions'!M79))</f>
        <v>2173.2658693652252</v>
      </c>
      <c r="R79" s="76">
        <f>IF($B79="Jacks Only",'Chinook Jack Proportions'!X79,IF('3. Select Chinook Method'!$B79="Adults Only",'Chinook Adult Proportions'!X79,'Chinook All Ages Proportions'!X79))</f>
        <v>3575.2839048811011</v>
      </c>
      <c r="S79" s="76">
        <f>IF($B79="Jacks Only",'Chinook Jack Proportions'!N79,IF('3. Select Chinook Method'!$B79="Adults Only",'Chinook Adult Proportions'!N79,'Chinook All Ages Proportions'!N79))</f>
        <v>15964.960730512252</v>
      </c>
      <c r="T79" s="76">
        <f>IF($B79="Jacks Only",'Chinook Jack Proportions'!O79,IF('3. Select Chinook Method'!$B79="Adults Only",'Chinook Adult Proportions'!O79,'Chinook All Ages Proportions'!O79))</f>
        <v>45739.34116205453</v>
      </c>
      <c r="U79" s="76">
        <f>IF($B79="Jacks Only",'Chinook Jack Proportions'!P79,IF('3. Select Chinook Method'!$B79="Adults Only",'Chinook Adult Proportions'!P79,'Chinook All Ages Proportions'!P79))</f>
        <v>10325.269069743696</v>
      </c>
      <c r="V79" s="76">
        <f>IF($B79="Jacks Only",'Chinook Jack Proportions'!Q79,IF('3. Select Chinook Method'!$B79="Adults Only",'Chinook Adult Proportions'!Q79,'Chinook All Ages Proportions'!Q79))</f>
        <v>4301.6351598080264</v>
      </c>
      <c r="W79" s="76">
        <f>IF($B79="Jacks Only",'Chinook Jack Proportions'!R79,IF('3. Select Chinook Method'!$B79="Adults Only",'Chinook Adult Proportions'!R79,'Chinook All Ages Proportions'!R79))</f>
        <v>0</v>
      </c>
      <c r="X79" s="56">
        <f>IF(B79="Jacks Only",'Chinook Jack Proportions'!S79,IF(B79="Adults Only",'Chinook Adult Proportions'!S79,'Chinook All Ages Proportions'!S79))</f>
        <v>1001.6418461538525</v>
      </c>
      <c r="Y79" s="56">
        <f>IF($B79="Jacks Only",'Chinook Jack Proportions'!T79,IF('3. Select Chinook Method'!$B79="Adults Only",'Chinook Adult Proportions'!T79,'Chinook All Ages Proportions'!T79))</f>
        <v>269.88421955403089</v>
      </c>
      <c r="Z79" s="56">
        <f>IF($B79="Jacks Only",'Chinook Jack Proportions'!U79,IF('3. Select Chinook Method'!$B79="Adults Only",'Chinook Adult Proportions'!U79,'Chinook All Ages Proportions'!U79))</f>
        <v>618.3061749571184</v>
      </c>
      <c r="AA79" s="56">
        <f>IF($B79="Jacks Only",'Chinook Jack Proportions'!V79,IF('3. Select Chinook Method'!$B79="Adults Only",'Chinook Adult Proportions'!V79,'Chinook All Ages Proportions'!V79))</f>
        <v>1118.4627474923682</v>
      </c>
      <c r="AB79" s="56">
        <f>IF($B79="Jacks Only",'Chinook Jack Proportions'!W79,IF('3. Select Chinook Method'!$B79="Adults Only",'Chinook Adult Proportions'!W79,'Chinook All Ages Proportions'!W79))</f>
        <v>0</v>
      </c>
      <c r="AC79" s="41">
        <f>IF(B79="Jacks Only",'Chinook Jack Proportions'!Y79,IF('3. Select Chinook Method'!B79="Adults Only",'Chinook Adult Proportions'!Y79,'Chinook All Ages Proportions'!Y79))</f>
        <v>81512.766979641092</v>
      </c>
      <c r="AD79" s="42">
        <f>IF(B79="Jacks Only",'Chinook Jack Proportions'!Z79,IF('3. Select Chinook Method'!B79="Adults Only",'Chinook Adult Proportions'!Z79,'Chinook All Ages Proportions'!Z79))</f>
        <v>0.12133914898881976</v>
      </c>
      <c r="AE79" s="43">
        <f>IF($B79="Jacks Only",'Chinook Jack Proportions'!AA79,IF('3. Select Chinook Method'!$B79="Adults Only",'Chinook Adult Proportions'!AA79,'Chinook All Ages Proportions'!AA79))</f>
        <v>0.13302381385691597</v>
      </c>
      <c r="AF79" s="42">
        <f>IF($B79="Jacks Only",'Chinook Jack Proportions'!AB79,IF('3. Select Chinook Method'!$B79="Adults Only",'Chinook Adult Proportions'!AB79,'Chinook All Ages Proportions'!AB79))</f>
        <v>2.3076923076923078E-2</v>
      </c>
      <c r="AG79" s="44">
        <f>IF($B79="Jacks Only",'Chinook Jack Proportions'!AC79,IF('3. Select Chinook Method'!$B79="Adults Only",'Chinook Adult Proportions'!AC79,'Chinook All Ages Proportions'!AC79))</f>
        <v>0.17881166745114285</v>
      </c>
    </row>
    <row r="80" spans="1:33" x14ac:dyDescent="0.3">
      <c r="A80" s="5">
        <f>'1. Mixture Model Inputs'!A80</f>
        <v>45182</v>
      </c>
      <c r="B80" s="55" t="s">
        <v>43</v>
      </c>
      <c r="C80" s="60">
        <f t="shared" si="1"/>
        <v>73580.203577327557</v>
      </c>
      <c r="D80" s="56">
        <f>'Chinook All Ages Proportions'!Y80</f>
        <v>73580.203577327557</v>
      </c>
      <c r="E80" s="56">
        <f>'Chinook Adult Proportions'!Y80</f>
        <v>73580.203577327557</v>
      </c>
      <c r="F80" s="57">
        <f>'Chinook Jack Proportions'!Y80</f>
        <v>0</v>
      </c>
      <c r="G80" s="71">
        <f>IF($B80="Jacks Only",'Chinook Jack Proportions'!C80,IF('3. Select Chinook Method'!$B80="Adults Only",'Chinook Adult Proportions'!C80,'Chinook All Ages Proportions'!C80))</f>
        <v>0</v>
      </c>
      <c r="H80" s="71">
        <f>IF($B80="Jacks Only",'Chinook Jack Proportions'!D80,IF('3. Select Chinook Method'!$B80="Adults Only",'Chinook Adult Proportions'!D80,'Chinook All Ages Proportions'!D80))</f>
        <v>0</v>
      </c>
      <c r="I80" s="71">
        <f>IF($B80="Jacks Only",'Chinook Jack Proportions'!E80,IF('3. Select Chinook Method'!$B80="Adults Only",'Chinook Adult Proportions'!E80,'Chinook All Ages Proportions'!E80))</f>
        <v>0</v>
      </c>
      <c r="J80" s="71">
        <f>IF($B80="Jacks Only",'Chinook Jack Proportions'!F80,IF('3. Select Chinook Method'!$B80="Adults Only",'Chinook Adult Proportions'!F80,'Chinook All Ages Proportions'!F80))</f>
        <v>0.1693468579910935</v>
      </c>
      <c r="K80" s="71">
        <f>IF($B80="Jacks Only",'Chinook Jack Proportions'!G80,IF('3. Select Chinook Method'!$B80="Adults Only",'Chinook Adult Proportions'!G80,'Chinook All Ages Proportions'!G80))</f>
        <v>0.26579234972677596</v>
      </c>
      <c r="L80" s="24">
        <f>IF($B80="Jacks Only",'Chinook Jack Proportions'!H80,IF('3. Select Chinook Method'!$B80="Adults Only",'Chinook Adult Proportions'!H80,'Chinook All Ages Proportions'!H80))</f>
        <v>6.8965517241379309E-2</v>
      </c>
      <c r="M80" s="71">
        <f>IF($B80="Jacks Only",'Chinook Jack Proportions'!I80,IF('3. Select Chinook Method'!$B80="Adults Only",'Chinook Adult Proportions'!I80,'Chinook All Ages Proportions'!I80))</f>
        <v>4.8821906177032477E-3</v>
      </c>
      <c r="N80" s="71">
        <f>IF($B80="Jacks Only",'Chinook Jack Proportions'!J80,IF('3. Select Chinook Method'!$B80="Adults Only",'Chinook Adult Proportions'!J80,'Chinook All Ages Proportions'!J80))</f>
        <v>0.1839632714072176</v>
      </c>
      <c r="O80" s="23">
        <f>IF($B80="Jacks Only",'Chinook Jack Proportions'!K80,IF('3. Select Chinook Method'!$B80="Adults Only",'Chinook Adult Proportions'!K80,'Chinook All Ages Proportions'!K80))</f>
        <v>0.48018193632228723</v>
      </c>
      <c r="P80" s="76">
        <f>IF($B80="Jacks Only",'Chinook Jack Proportions'!L80,IF('3. Select Chinook Method'!$B80="Adults Only",'Chinook Adult Proportions'!L80,'Chinook All Ages Proportions'!L80))</f>
        <v>0</v>
      </c>
      <c r="Q80" s="76">
        <f>IF($B80="Jacks Only",'Chinook Jack Proportions'!M80,IF('3. Select Chinook Method'!$B80="Adults Only",'Chinook Adult Proportions'!M80,'Chinook All Ages Proportions'!M80))</f>
        <v>0</v>
      </c>
      <c r="R80" s="76">
        <f>IF($B80="Jacks Only",'Chinook Jack Proportions'!X80,IF('3. Select Chinook Method'!$B80="Adults Only",'Chinook Adult Proportions'!X80,'Chinook All Ages Proportions'!X80))</f>
        <v>0</v>
      </c>
      <c r="S80" s="76">
        <f>IF($B80="Jacks Only",'Chinook Jack Proportions'!N80,IF('3. Select Chinook Method'!$B80="Adults Only",'Chinook Adult Proportions'!N80,'Chinook All Ages Proportions'!N80))</f>
        <v>25362.686036615534</v>
      </c>
      <c r="T80" s="76">
        <f>IF($B80="Jacks Only",'Chinook Jack Proportions'!O80,IF('3. Select Chinook Method'!$B80="Adults Only",'Chinook Adult Proportions'!O80,'Chinook All Ages Proportions'!O80))</f>
        <v>26267.449914754096</v>
      </c>
      <c r="U80" s="76">
        <f>IF($B80="Jacks Only",'Chinook Jack Proportions'!P80,IF('3. Select Chinook Method'!$B80="Adults Only",'Chinook Adult Proportions'!P80,'Chinook All Ages Proportions'!P80))</f>
        <v>8465.2737049180323</v>
      </c>
      <c r="V80" s="76">
        <f>IF($B80="Jacks Only",'Chinook Jack Proportions'!Q80,IF('3. Select Chinook Method'!$B80="Adults Only",'Chinook Adult Proportions'!Q80,'Chinook All Ages Proportions'!Q80))</f>
        <v>3198.3750295081968</v>
      </c>
      <c r="W80" s="76">
        <f>IF($B80="Jacks Only",'Chinook Jack Proportions'!R80,IF('3. Select Chinook Method'!$B80="Adults Only",'Chinook Adult Proportions'!R80,'Chinook All Ages Proportions'!R80))</f>
        <v>0</v>
      </c>
      <c r="X80" s="56">
        <f>IF(B80="Jacks Only",'Chinook Jack Proportions'!S80,IF(B80="Adults Only",'Chinook Adult Proportions'!S80,'Chinook All Ages Proportions'!S80))</f>
        <v>8034.0744827586241</v>
      </c>
      <c r="Y80" s="56">
        <f>IF($B80="Jacks Only",'Chinook Jack Proportions'!T80,IF('3. Select Chinook Method'!$B80="Adults Only",'Chinook Adult Proportions'!T80,'Chinook All Ages Proportions'!T80))</f>
        <v>-385.72054580896685</v>
      </c>
      <c r="Z80" s="56">
        <f>IF($B80="Jacks Only",'Chinook Jack Proportions'!U80,IF('3. Select Chinook Method'!$B80="Adults Only",'Chinook Adult Proportions'!U80,'Chinook All Ages Proportions'!U80))</f>
        <v>630.7285769980507</v>
      </c>
      <c r="AA80" s="56">
        <f>IF($B80="Jacks Only",'Chinook Jack Proportions'!V80,IF('3. Select Chinook Method'!$B80="Adults Only",'Chinook Adult Proportions'!V80,'Chinook All Ages Proportions'!V80))</f>
        <v>1861.3698142216529</v>
      </c>
      <c r="AB80" s="56">
        <f>IF($B80="Jacks Only",'Chinook Jack Proportions'!W80,IF('3. Select Chinook Method'!$B80="Adults Only",'Chinook Adult Proportions'!W80,'Chinook All Ages Proportions'!W80))</f>
        <v>145.96656336234346</v>
      </c>
      <c r="AC80" s="41">
        <f>IF(B80="Jacks Only",'Chinook Jack Proportions'!Y80,IF('3. Select Chinook Method'!B80="Adults Only",'Chinook Adult Proportions'!Y80,'Chinook All Ages Proportions'!Y80))</f>
        <v>73580.203577327557</v>
      </c>
      <c r="AD80" s="42">
        <f>IF(B80="Jacks Only",'Chinook Jack Proportions'!Z80,IF('3. Select Chinook Method'!B80="Adults Only",'Chinook Adult Proportions'!Z80,'Chinook All Ages Proportions'!Z80))</f>
        <v>0.13611831519462378</v>
      </c>
      <c r="AE80" s="43">
        <f>IF($B80="Jacks Only",'Chinook Jack Proportions'!AA80,IF('3. Select Chinook Method'!$B80="Adults Only",'Chinook Adult Proportions'!AA80,'Chinook All Ages Proportions'!AA80))</f>
        <v>0.16502507867696825</v>
      </c>
      <c r="AF80" s="42">
        <f>IF($B80="Jacks Only",'Chinook Jack Proportions'!AB80,IF('3. Select Chinook Method'!$B80="Adults Only",'Chinook Adult Proportions'!AB80,'Chinook All Ages Proportions'!AB80))</f>
        <v>6.8965517241379309E-2</v>
      </c>
      <c r="AG80" s="44">
        <f>IF($B80="Jacks Only",'Chinook Jack Proportions'!AC80,IF('3. Select Chinook Method'!$B80="Adults Only",'Chinook Adult Proportions'!AC80,'Chinook All Ages Proportions'!AC80))</f>
        <v>0.21191754250621736</v>
      </c>
    </row>
    <row r="81" spans="1:33" x14ac:dyDescent="0.3">
      <c r="A81" s="5">
        <f>'1. Mixture Model Inputs'!A81</f>
        <v>45183</v>
      </c>
      <c r="B81" s="55" t="s">
        <v>43</v>
      </c>
      <c r="C81" s="60">
        <f t="shared" si="1"/>
        <v>54615.938236302813</v>
      </c>
      <c r="D81" s="56">
        <f>'Chinook All Ages Proportions'!Y81</f>
        <v>55717.062170729041</v>
      </c>
      <c r="E81" s="56">
        <f>'Chinook Adult Proportions'!Y81</f>
        <v>54615.938236302813</v>
      </c>
      <c r="F81" s="57">
        <f>'Chinook Jack Proportions'!Y81</f>
        <v>1101.1239344262269</v>
      </c>
      <c r="G81" s="71">
        <f>IF($B81="Jacks Only",'Chinook Jack Proportions'!C81,IF('3. Select Chinook Method'!$B81="Adults Only",'Chinook Adult Proportions'!C81,'Chinook All Ages Proportions'!C81))</f>
        <v>1.4337925217880236E-2</v>
      </c>
      <c r="H81" s="71">
        <f>IF($B81="Jacks Only",'Chinook Jack Proportions'!D81,IF('3. Select Chinook Method'!$B81="Adults Only",'Chinook Adult Proportions'!D81,'Chinook All Ages Proportions'!D81))</f>
        <v>4.9170251997541483E-3</v>
      </c>
      <c r="I81" s="71">
        <f>IF($B81="Jacks Only",'Chinook Jack Proportions'!E81,IF('3. Select Chinook Method'!$B81="Adults Only",'Chinook Adult Proportions'!E81,'Chinook All Ages Proportions'!E81))</f>
        <v>2.42306760358614E-2</v>
      </c>
      <c r="J81" s="71">
        <f>IF($B81="Jacks Only",'Chinook Jack Proportions'!F81,IF('3. Select Chinook Method'!$B81="Adults Only",'Chinook Adult Proportions'!F81,'Chinook All Ages Proportions'!F81))</f>
        <v>0.21024691358024691</v>
      </c>
      <c r="K81" s="71">
        <f>IF($B81="Jacks Only",'Chinook Jack Proportions'!G81,IF('3. Select Chinook Method'!$B81="Adults Only",'Chinook Adult Proportions'!G81,'Chinook All Ages Proportions'!G81))</f>
        <v>0.34269359542067185</v>
      </c>
      <c r="L81" s="24">
        <f>IF($B81="Jacks Only",'Chinook Jack Proportions'!H81,IF('3. Select Chinook Method'!$B81="Adults Only",'Chinook Adult Proportions'!H81,'Chinook All Ages Proportions'!H81))</f>
        <v>0.26229508196721313</v>
      </c>
      <c r="M81" s="71">
        <f>IF($B81="Jacks Only",'Chinook Jack Proportions'!I81,IF('3. Select Chinook Method'!$B81="Adults Only",'Chinook Adult Proportions'!I81,'Chinook All Ages Proportions'!I81))</f>
        <v>4.8821906177032477E-3</v>
      </c>
      <c r="N81" s="71">
        <f>IF($B81="Jacks Only",'Chinook Jack Proportions'!J81,IF('3. Select Chinook Method'!$B81="Adults Only",'Chinook Adult Proportions'!J81,'Chinook All Ages Proportions'!J81))</f>
        <v>0.1839632714072176</v>
      </c>
      <c r="O81" s="23">
        <f>IF($B81="Jacks Only",'Chinook Jack Proportions'!K81,IF('3. Select Chinook Method'!$B81="Adults Only",'Chinook Adult Proportions'!K81,'Chinook All Ages Proportions'!K81))</f>
        <v>0.48018193632228723</v>
      </c>
      <c r="P81" s="76">
        <f>IF($B81="Jacks Only",'Chinook Jack Proportions'!L81,IF('3. Select Chinook Method'!$B81="Adults Only",'Chinook Adult Proportions'!L81,'Chinook All Ages Proportions'!L81))</f>
        <v>132.31037391059883</v>
      </c>
      <c r="Q81" s="76">
        <f>IF($B81="Jacks Only",'Chinook Jack Proportions'!M81,IF('3. Select Chinook Method'!$B81="Adults Only",'Chinook Adult Proportions'!M81,'Chinook All Ages Proportions'!M81))</f>
        <v>171.41733251382911</v>
      </c>
      <c r="R81" s="76">
        <f>IF($B81="Jacks Only",'Chinook Jack Proportions'!X81,IF('3. Select Chinook Method'!$B81="Adults Only",'Chinook Adult Proportions'!X81,'Chinook All Ages Proportions'!X81))</f>
        <v>1068.3111218803003</v>
      </c>
      <c r="S81" s="76">
        <f>IF($B81="Jacks Only",'Chinook Jack Proportions'!N81,IF('3. Select Chinook Method'!$B81="Adults Only",'Chinook Adult Proportions'!N81,'Chinook All Ages Proportions'!N81))</f>
        <v>10559.659644444444</v>
      </c>
      <c r="T81" s="76">
        <f>IF($B81="Jacks Only",'Chinook Jack Proportions'!O81,IF('3. Select Chinook Method'!$B81="Adults Only",'Chinook Adult Proportions'!O81,'Chinook All Ages Proportions'!O81))</f>
        <v>14522.504693811432</v>
      </c>
      <c r="U81" s="76">
        <f>IF($B81="Jacks Only",'Chinook Jack Proportions'!P81,IF('3. Select Chinook Method'!$B81="Adults Only",'Chinook Adult Proportions'!P81,'Chinook All Ages Proportions'!P81))</f>
        <v>5845.8318436116224</v>
      </c>
      <c r="V81" s="76">
        <f>IF($B81="Jacks Only",'Chinook Jack Proportions'!Q81,IF('3. Select Chinook Method'!$B81="Adults Only",'Chinook Adult Proportions'!Q81,'Chinook All Ages Proportions'!Q81))</f>
        <v>3615.1432768117511</v>
      </c>
      <c r="W81" s="76">
        <f>IF($B81="Jacks Only",'Chinook Jack Proportions'!R81,IF('3. Select Chinook Method'!$B81="Adults Only",'Chinook Adult Proportions'!R81,'Chinook All Ages Proportions'!R81))</f>
        <v>0</v>
      </c>
      <c r="X81" s="56">
        <f>IF(B81="Jacks Only",'Chinook Jack Proportions'!S81,IF(B81="Adults Only",'Chinook Adult Proportions'!S81,'Chinook All Ages Proportions'!S81))</f>
        <v>17617.982950819631</v>
      </c>
      <c r="Y81" s="56">
        <f>IF($B81="Jacks Only",'Chinook Jack Proportions'!T81,IF('3. Select Chinook Method'!$B81="Adults Only",'Chinook Adult Proportions'!T81,'Chinook All Ages Proportions'!T81))</f>
        <v>109.36623781676414</v>
      </c>
      <c r="Z81" s="56">
        <f>IF($B81="Jacks Only",'Chinook Jack Proportions'!U81,IF('3. Select Chinook Method'!$B81="Adults Only",'Chinook Adult Proportions'!U81,'Chinook All Ages Proportions'!U81))</f>
        <v>869.16771929824563</v>
      </c>
      <c r="AA81" s="56">
        <f>IF($B81="Jacks Only",'Chinook Jack Proportions'!V81,IF('3. Select Chinook Method'!$B81="Adults Only",'Chinook Adult Proportions'!V81,'Chinook All Ages Proportions'!V81))</f>
        <v>1051.8136835361947</v>
      </c>
      <c r="AB81" s="56">
        <f>IF($B81="Jacks Only",'Chinook Jack Proportions'!W81,IF('3. Select Chinook Method'!$B81="Adults Only",'Chinook Adult Proportions'!W81,'Chinook All Ages Proportions'!W81))</f>
        <v>120.7404797282955</v>
      </c>
      <c r="AC81" s="41">
        <f>IF(B81="Jacks Only",'Chinook Jack Proportions'!Y81,IF('3. Select Chinook Method'!B81="Adults Only",'Chinook Adult Proportions'!Y81,'Chinook All Ages Proportions'!Y81))</f>
        <v>54615.938236302813</v>
      </c>
      <c r="AD81" s="42">
        <f>IF(B81="Jacks Only",'Chinook Jack Proportions'!Z81,IF('3. Select Chinook Method'!B81="Adults Only",'Chinook Adult Proportions'!Z81,'Chinook All Ages Proportions'!Z81))</f>
        <v>0.20691448180359368</v>
      </c>
      <c r="AE81" s="43">
        <f>IF($B81="Jacks Only",'Chinook Jack Proportions'!AA81,IF('3. Select Chinook Method'!$B81="Adults Only",'Chinook Adult Proportions'!AA81,'Chinook All Ages Proportions'!AA81))</f>
        <v>0.2120936453898058</v>
      </c>
      <c r="AF81" s="42">
        <f>IF($B81="Jacks Only",'Chinook Jack Proportions'!AB81,IF('3. Select Chinook Method'!$B81="Adults Only",'Chinook Adult Proportions'!AB81,'Chinook All Ages Proportions'!AB81))</f>
        <v>0.26229508196721313</v>
      </c>
      <c r="AG81" s="44">
        <f>IF($B81="Jacks Only",'Chinook Jack Proportions'!AC81,IF('3. Select Chinook Method'!$B81="Adults Only",'Chinook Adult Proportions'!AC81,'Chinook All Ages Proportions'!AC81))</f>
        <v>0.27736792623159984</v>
      </c>
    </row>
    <row r="82" spans="1:33" x14ac:dyDescent="0.3">
      <c r="A82" s="5">
        <f>'1. Mixture Model Inputs'!A82</f>
        <v>45184</v>
      </c>
      <c r="B82" s="55" t="s">
        <v>43</v>
      </c>
      <c r="C82" s="60">
        <f t="shared" si="1"/>
        <v>24743.732889597359</v>
      </c>
      <c r="D82" s="56">
        <f>'Chinook All Ages Proportions'!Y82</f>
        <v>24743.732889597359</v>
      </c>
      <c r="E82" s="56">
        <f>'Chinook Adult Proportions'!Y82</f>
        <v>24743.732889597359</v>
      </c>
      <c r="F82" s="57">
        <f>'Chinook Jack Proportions'!Y82</f>
        <v>0</v>
      </c>
      <c r="G82" s="71">
        <f>IF($B82="Jacks Only",'Chinook Jack Proportions'!C82,IF('3. Select Chinook Method'!$B82="Adults Only",'Chinook Adult Proportions'!C82,'Chinook All Ages Proportions'!C82))</f>
        <v>2.1313614615050023E-2</v>
      </c>
      <c r="H82" s="71">
        <f>IF($B82="Jacks Only",'Chinook Jack Proportions'!D82,IF('3. Select Chinook Method'!$B82="Adults Only",'Chinook Adult Proportions'!D82,'Chinook All Ages Proportions'!D82))</f>
        <v>0</v>
      </c>
      <c r="I82" s="71">
        <f>IF($B82="Jacks Only",'Chinook Jack Proportions'!E82,IF('3. Select Chinook Method'!$B82="Adults Only",'Chinook Adult Proportions'!E82,'Chinook All Ages Proportions'!E82))</f>
        <v>3.152585119798235E-3</v>
      </c>
      <c r="J82" s="71">
        <f>IF($B82="Jacks Only",'Chinook Jack Proportions'!F82,IF('3. Select Chinook Method'!$B82="Adults Only",'Chinook Adult Proportions'!F82,'Chinook All Ages Proportions'!F82))</f>
        <v>0.14678244320209349</v>
      </c>
      <c r="K82" s="71">
        <f>IF($B82="Jacks Only",'Chinook Jack Proportions'!G82,IF('3. Select Chinook Method'!$B82="Adults Only",'Chinook Adult Proportions'!G82,'Chinook All Ages Proportions'!G82))</f>
        <v>0.2371715349047028</v>
      </c>
      <c r="L82" s="24">
        <f>IF($B82="Jacks Only",'Chinook Jack Proportions'!H82,IF('3. Select Chinook Method'!$B82="Adults Only",'Chinook Adult Proportions'!H82,'Chinook All Ages Proportions'!H82))</f>
        <v>2.4691358024691357E-2</v>
      </c>
      <c r="M82" s="71">
        <f>IF($B82="Jacks Only",'Chinook Jack Proportions'!I82,IF('3. Select Chinook Method'!$B82="Adults Only",'Chinook Adult Proportions'!I82,'Chinook All Ages Proportions'!I82))</f>
        <v>0</v>
      </c>
      <c r="N82" s="71">
        <f>IF($B82="Jacks Only",'Chinook Jack Proportions'!J82,IF('3. Select Chinook Method'!$B82="Adults Only",'Chinook Adult Proportions'!J82,'Chinook All Ages Proportions'!J82))</f>
        <v>0.15359348311654186</v>
      </c>
      <c r="O82" s="23">
        <f>IF($B82="Jacks Only",'Chinook Jack Proportions'!K82,IF('3. Select Chinook Method'!$B82="Adults Only",'Chinook Adult Proportions'!K82,'Chinook All Ages Proportions'!K82))</f>
        <v>0.43298743855816491</v>
      </c>
      <c r="P82" s="76">
        <f>IF($B82="Jacks Only",'Chinook Jack Proportions'!L82,IF('3. Select Chinook Method'!$B82="Adults Only",'Chinook Adult Proportions'!L82,'Chinook All Ages Proportions'!L82))</f>
        <v>79.819486733362339</v>
      </c>
      <c r="Q82" s="76">
        <f>IF($B82="Jacks Only",'Chinook Jack Proportions'!M82,IF('3. Select Chinook Method'!$B82="Adults Only",'Chinook Adult Proportions'!M82,'Chinook All Ages Proportions'!M82))</f>
        <v>0</v>
      </c>
      <c r="R82" s="76">
        <f>IF($B82="Jacks Only",'Chinook Jack Proportions'!X82,IF('3. Select Chinook Method'!$B82="Adults Only",'Chinook Adult Proportions'!X82,'Chinook All Ages Proportions'!X82))</f>
        <v>79.557124842370754</v>
      </c>
      <c r="S82" s="76">
        <f>IF($B82="Jacks Only",'Chinook Jack Proportions'!N82,IF('3. Select Chinook Method'!$B82="Adults Only",'Chinook Adult Proportions'!N82,'Chinook All Ages Proportions'!N82))</f>
        <v>5457.7704864993457</v>
      </c>
      <c r="T82" s="76">
        <f>IF($B82="Jacks Only",'Chinook Jack Proportions'!O82,IF('3. Select Chinook Method'!$B82="Adults Only",'Chinook Adult Proportions'!O82,'Chinook All Ages Proportions'!O82))</f>
        <v>8781.1717243712628</v>
      </c>
      <c r="U82" s="76">
        <f>IF($B82="Jacks Only",'Chinook Jack Proportions'!P82,IF('3. Select Chinook Method'!$B82="Adults Only",'Chinook Adult Proportions'!P82,'Chinook All Ages Proportions'!P82))</f>
        <v>4500.927547084696</v>
      </c>
      <c r="V82" s="76">
        <f>IF($B82="Jacks Only",'Chinook Jack Proportions'!Q82,IF('3. Select Chinook Method'!$B82="Adults Only",'Chinook Adult Proportions'!Q82,'Chinook All Ages Proportions'!Q82))</f>
        <v>2443.2273102514941</v>
      </c>
      <c r="W82" s="76">
        <f>IF($B82="Jacks Only",'Chinook Jack Proportions'!R82,IF('3. Select Chinook Method'!$B82="Adults Only",'Chinook Adult Proportions'!R82,'Chinook All Ages Proportions'!R82))</f>
        <v>0</v>
      </c>
      <c r="X82" s="56">
        <f>IF(B82="Jacks Only",'Chinook Jack Proportions'!S82,IF(B82="Adults Only",'Chinook Adult Proportions'!S82,'Chinook All Ages Proportions'!S82))</f>
        <v>1644.9066666666658</v>
      </c>
      <c r="Y82" s="56">
        <f>IF($B82="Jacks Only",'Chinook Jack Proportions'!T82,IF('3. Select Chinook Method'!$B82="Adults Only",'Chinook Adult Proportions'!T82,'Chinook All Ages Proportions'!T82))</f>
        <v>208.35355543418896</v>
      </c>
      <c r="Z82" s="56">
        <f>IF($B82="Jacks Only",'Chinook Jack Proportions'!U82,IF('3. Select Chinook Method'!$B82="Adults Only",'Chinook Adult Proportions'!U82,'Chinook All Ages Proportions'!U82))</f>
        <v>1011.2161835062807</v>
      </c>
      <c r="AA82" s="56">
        <f>IF($B82="Jacks Only",'Chinook Jack Proportions'!V82,IF('3. Select Chinook Method'!$B82="Adults Only",'Chinook Adult Proportions'!V82,'Chinook All Ages Proportions'!V82))</f>
        <v>616.33992905005914</v>
      </c>
      <c r="AB82" s="56">
        <f>IF($B82="Jacks Only",'Chinook Jack Proportions'!W82,IF('3. Select Chinook Method'!$B82="Adults Only",'Chinook Adult Proportions'!W82,'Chinook All Ages Proportions'!W82))</f>
        <v>0</v>
      </c>
      <c r="AC82" s="41">
        <f>IF(B82="Jacks Only",'Chinook Jack Proportions'!Y82,IF('3. Select Chinook Method'!B82="Adults Only",'Chinook Adult Proportions'!Y82,'Chinook All Ages Proportions'!Y82))</f>
        <v>24743.732889597359</v>
      </c>
      <c r="AD82" s="42">
        <f>IF(B82="Jacks Only",'Chinook Jack Proportions'!Z82,IF('3. Select Chinook Method'!B82="Adults Only",'Chinook Adult Proportions'!Z82,'Chinook All Ages Proportions'!Z82))</f>
        <v>0.11856784032843878</v>
      </c>
      <c r="AE82" s="43">
        <f>IF($B82="Jacks Only",'Chinook Jack Proportions'!AA82,IF('3. Select Chinook Method'!$B82="Adults Only",'Chinook Adult Proportions'!AA82,'Chinook All Ages Proportions'!AA82))</f>
        <v>0.16518499545174431</v>
      </c>
      <c r="AF82" s="42">
        <f>IF($B82="Jacks Only",'Chinook Jack Proportions'!AB82,IF('3. Select Chinook Method'!$B82="Adults Only",'Chinook Adult Proportions'!AB82,'Chinook All Ages Proportions'!AB82))</f>
        <v>2.4691358024691357E-2</v>
      </c>
      <c r="AG82" s="44">
        <f>IF($B82="Jacks Only",'Chinook Jack Proportions'!AC82,IF('3. Select Chinook Method'!$B82="Adults Only",'Chinook Adult Proportions'!AC82,'Chinook All Ages Proportions'!AC82))</f>
        <v>0.26882287098071417</v>
      </c>
    </row>
    <row r="83" spans="1:33" x14ac:dyDescent="0.3">
      <c r="A83" s="5">
        <f>'1. Mixture Model Inputs'!A83</f>
        <v>45185</v>
      </c>
      <c r="B83" s="55" t="s">
        <v>43</v>
      </c>
      <c r="C83" s="60">
        <f t="shared" si="1"/>
        <v>28001.09818258238</v>
      </c>
      <c r="D83" s="56">
        <f>'Chinook All Ages Proportions'!Y83</f>
        <v>28001.09818258238</v>
      </c>
      <c r="E83" s="56">
        <f>'Chinook Adult Proportions'!Y83</f>
        <v>28001.09818258238</v>
      </c>
      <c r="F83" s="57">
        <f>'Chinook Jack Proportions'!Y83</f>
        <v>0</v>
      </c>
      <c r="G83" s="71">
        <f>IF($B83="Jacks Only",'Chinook Jack Proportions'!C83,IF('3. Select Chinook Method'!$B83="Adults Only",'Chinook Adult Proportions'!C83,'Chinook All Ages Proportions'!C83))</f>
        <v>1.2499999999999999E-2</v>
      </c>
      <c r="H83" s="71">
        <f>IF($B83="Jacks Only",'Chinook Jack Proportions'!D83,IF('3. Select Chinook Method'!$B83="Adults Only",'Chinook Adult Proportions'!D83,'Chinook All Ages Proportions'!D83))</f>
        <v>0</v>
      </c>
      <c r="I83" s="71">
        <f>IF($B83="Jacks Only",'Chinook Jack Proportions'!E83,IF('3. Select Chinook Method'!$B83="Adults Only",'Chinook Adult Proportions'!E83,'Chinook All Ages Proportions'!E83))</f>
        <v>4.2872454448017157E-3</v>
      </c>
      <c r="J83" s="71">
        <f>IF($B83="Jacks Only",'Chinook Jack Proportions'!F83,IF('3. Select Chinook Method'!$B83="Adults Only",'Chinook Adult Proportions'!F83,'Chinook All Ages Proportions'!F83))</f>
        <v>8.2699838746832538E-2</v>
      </c>
      <c r="K83" s="71">
        <f>IF($B83="Jacks Only",'Chinook Jack Proportions'!G83,IF('3. Select Chinook Method'!$B83="Adults Only",'Chinook Adult Proportions'!G83,'Chinook All Ages Proportions'!G83))</f>
        <v>0.19595565592280845</v>
      </c>
      <c r="L83" s="24">
        <f>IF($B83="Jacks Only",'Chinook Jack Proportions'!H83,IF('3. Select Chinook Method'!$B83="Adults Only",'Chinook Adult Proportions'!H83,'Chinook All Ages Proportions'!H83))</f>
        <v>0.12307692307692308</v>
      </c>
      <c r="M83" s="71">
        <f>IF($B83="Jacks Only",'Chinook Jack Proportions'!I83,IF('3. Select Chinook Method'!$B83="Adults Only",'Chinook Adult Proportions'!I83,'Chinook All Ages Proportions'!I83))</f>
        <v>0</v>
      </c>
      <c r="N83" s="71">
        <f>IF($B83="Jacks Only",'Chinook Jack Proportions'!J83,IF('3. Select Chinook Method'!$B83="Adults Only",'Chinook Adult Proportions'!J83,'Chinook All Ages Proportions'!J83))</f>
        <v>0.15359348311654186</v>
      </c>
      <c r="O83" s="23">
        <f>IF($B83="Jacks Only",'Chinook Jack Proportions'!K83,IF('3. Select Chinook Method'!$B83="Adults Only",'Chinook Adult Proportions'!K83,'Chinook All Ages Proportions'!K83))</f>
        <v>0.43298743855816491</v>
      </c>
      <c r="P83" s="76">
        <f>IF($B83="Jacks Only",'Chinook Jack Proportions'!L83,IF('3. Select Chinook Method'!$B83="Adults Only",'Chinook Adult Proportions'!L83,'Chinook All Ages Proportions'!L83))</f>
        <v>72.262499999999989</v>
      </c>
      <c r="Q83" s="76">
        <f>IF($B83="Jacks Only",'Chinook Jack Proportions'!M83,IF('3. Select Chinook Method'!$B83="Adults Only",'Chinook Adult Proportions'!M83,'Chinook All Ages Proportions'!M83))</f>
        <v>0</v>
      </c>
      <c r="R83" s="76">
        <f>IF($B83="Jacks Only",'Chinook Jack Proportions'!X83,IF('3. Select Chinook Method'!$B83="Adults Only",'Chinook Adult Proportions'!X83,'Chinook All Ages Proportions'!X83))</f>
        <v>83.175305466237958</v>
      </c>
      <c r="S83" s="76">
        <f>IF($B83="Jacks Only",'Chinook Jack Proportions'!N83,IF('3. Select Chinook Method'!$B83="Adults Only",'Chinook Adult Proportions'!N83,'Chinook All Ages Proportions'!N83))</f>
        <v>4268.0063579820317</v>
      </c>
      <c r="T83" s="76">
        <f>IF($B83="Jacks Only",'Chinook Jack Proportions'!O83,IF('3. Select Chinook Method'!$B83="Adults Only",'Chinook Adult Proportions'!O83,'Chinook All Ages Proportions'!O83))</f>
        <v>8297.2484417983978</v>
      </c>
      <c r="U83" s="76">
        <f>IF($B83="Jacks Only",'Chinook Jack Proportions'!P83,IF('3. Select Chinook Method'!$B83="Adults Only",'Chinook Adult Proportions'!P83,'Chinook All Ages Proportions'!P83))</f>
        <v>4730.6360336686512</v>
      </c>
      <c r="V83" s="76">
        <f>IF($B83="Jacks Only",'Chinook Jack Proportions'!Q83,IF('3. Select Chinook Method'!$B83="Adults Only",'Chinook Adult Proportions'!Q83,'Chinook All Ages Proportions'!Q83))</f>
        <v>2144.3035516321083</v>
      </c>
      <c r="W83" s="76">
        <f>IF($B83="Jacks Only",'Chinook Jack Proportions'!R83,IF('3. Select Chinook Method'!$B83="Adults Only",'Chinook Adult Proportions'!R83,'Chinook All Ages Proportions'!R83))</f>
        <v>0</v>
      </c>
      <c r="X83" s="56">
        <f>IF(B83="Jacks Only",'Chinook Jack Proportions'!S83,IF(B83="Adults Only",'Chinook Adult Proportions'!S83,'Chinook All Ages Proportions'!S83))</f>
        <v>6641.7526153846084</v>
      </c>
      <c r="Y83" s="56">
        <f>IF($B83="Jacks Only",'Chinook Jack Proportions'!T83,IF('3. Select Chinook Method'!$B83="Adults Only",'Chinook Adult Proportions'!T83,'Chinook All Ages Proportions'!T83))</f>
        <v>223.62935226652101</v>
      </c>
      <c r="Z83" s="56">
        <f>IF($B83="Jacks Only",'Chinook Jack Proportions'!U83,IF('3. Select Chinook Method'!$B83="Adults Only",'Chinook Adult Proportions'!U83,'Chinook All Ages Proportions'!U83))</f>
        <v>889.21764281813205</v>
      </c>
      <c r="AA83" s="56">
        <f>IF($B83="Jacks Only",'Chinook Jack Proportions'!V83,IF('3. Select Chinook Method'!$B83="Adults Only",'Chinook Adult Proportions'!V83,'Chinook All Ages Proportions'!V83))</f>
        <v>734.04168703192749</v>
      </c>
      <c r="AB83" s="56">
        <f>IF($B83="Jacks Only",'Chinook Jack Proportions'!W83,IF('3. Select Chinook Method'!$B83="Adults Only",'Chinook Adult Proportions'!W83,'Chinook All Ages Proportions'!W83))</f>
        <v>0</v>
      </c>
      <c r="AC83" s="41">
        <f>IF(B83="Jacks Only",'Chinook Jack Proportions'!Y83,IF('3. Select Chinook Method'!B83="Adults Only",'Chinook Adult Proportions'!Y83,'Chinook All Ages Proportions'!Y83))</f>
        <v>28001.09818258238</v>
      </c>
      <c r="AD83" s="42">
        <f>IF(B83="Jacks Only",'Chinook Jack Proportions'!Z83,IF('3. Select Chinook Method'!B83="Adults Only",'Chinook Adult Proportions'!Z83,'Chinook All Ages Proportions'!Z83))</f>
        <v>0.13041065721870304</v>
      </c>
      <c r="AE83" s="43">
        <f>IF($B83="Jacks Only",'Chinook Jack Proportions'!AA83,IF('3. Select Chinook Method'!$B83="Adults Only",'Chinook Adult Proportions'!AA83,'Chinook All Ages Proportions'!AA83))</f>
        <v>0.13145395288438191</v>
      </c>
      <c r="AF83" s="42">
        <f>IF($B83="Jacks Only",'Chinook Jack Proportions'!AB83,IF('3. Select Chinook Method'!$B83="Adults Only",'Chinook Adult Proportions'!AB83,'Chinook All Ages Proportions'!AB83))</f>
        <v>0.12307692307692308</v>
      </c>
      <c r="AG83" s="44">
        <f>IF($B83="Jacks Only",'Chinook Jack Proportions'!AC83,IF('3. Select Chinook Method'!$B83="Adults Only",'Chinook Adult Proportions'!AC83,'Chinook All Ages Proportions'!AC83))</f>
        <v>0.25130198905424489</v>
      </c>
    </row>
    <row r="84" spans="1:33" x14ac:dyDescent="0.3">
      <c r="A84" s="5">
        <f>'1. Mixture Model Inputs'!A84</f>
        <v>45186</v>
      </c>
      <c r="B84" s="55" t="s">
        <v>43</v>
      </c>
      <c r="C84" s="60">
        <f t="shared" si="1"/>
        <v>30550.190913176684</v>
      </c>
      <c r="D84" s="56">
        <f>'Chinook All Ages Proportions'!Y84</f>
        <v>30550.190913176684</v>
      </c>
      <c r="E84" s="56">
        <f>'Chinook Adult Proportions'!Y84</f>
        <v>30550.190913176684</v>
      </c>
      <c r="F84" s="57">
        <f>'Chinook Jack Proportions'!Y84</f>
        <v>0</v>
      </c>
      <c r="G84" s="71">
        <f>IF($B84="Jacks Only",'Chinook Jack Proportions'!C84,IF('3. Select Chinook Method'!$B84="Adults Only",'Chinook Adult Proportions'!C84,'Chinook All Ages Proportions'!C84))</f>
        <v>0</v>
      </c>
      <c r="H84" s="71">
        <f>IF($B84="Jacks Only",'Chinook Jack Proportions'!D84,IF('3. Select Chinook Method'!$B84="Adults Only",'Chinook Adult Proportions'!D84,'Chinook All Ages Proportions'!D84))</f>
        <v>0</v>
      </c>
      <c r="I84" s="71">
        <f>IF($B84="Jacks Only",'Chinook Jack Proportions'!E84,IF('3. Select Chinook Method'!$B84="Adults Only",'Chinook Adult Proportions'!E84,'Chinook All Ages Proportions'!E84))</f>
        <v>0</v>
      </c>
      <c r="J84" s="71">
        <f>IF($B84="Jacks Only",'Chinook Jack Proportions'!F84,IF('3. Select Chinook Method'!$B84="Adults Only",'Chinook Adult Proportions'!F84,'Chinook All Ages Proportions'!F84))</f>
        <v>6.7320184244714781E-2</v>
      </c>
      <c r="K84" s="71">
        <f>IF($B84="Jacks Only",'Chinook Jack Proportions'!G84,IF('3. Select Chinook Method'!$B84="Adults Only",'Chinook Adult Proportions'!G84,'Chinook All Ages Proportions'!G84))</f>
        <v>0.27826086956521739</v>
      </c>
      <c r="L84" s="24">
        <f>IF($B84="Jacks Only",'Chinook Jack Proportions'!H84,IF('3. Select Chinook Method'!$B84="Adults Only",'Chinook Adult Proportions'!H84,'Chinook All Ages Proportions'!H84))</f>
        <v>6.3829787234042548E-2</v>
      </c>
      <c r="M84" s="71">
        <f>IF($B84="Jacks Only",'Chinook Jack Proportions'!I84,IF('3. Select Chinook Method'!$B84="Adults Only",'Chinook Adult Proportions'!I84,'Chinook All Ages Proportions'!I84))</f>
        <v>8.0561714708056176E-2</v>
      </c>
      <c r="N84" s="71">
        <f>IF($B84="Jacks Only",'Chinook Jack Proportions'!J84,IF('3. Select Chinook Method'!$B84="Adults Only",'Chinook Adult Proportions'!J84,'Chinook All Ages Proportions'!J84))</f>
        <v>0.1917347429120615</v>
      </c>
      <c r="O84" s="23">
        <f>IF($B84="Jacks Only",'Chinook Jack Proportions'!K84,IF('3. Select Chinook Method'!$B84="Adults Only",'Chinook Adult Proportions'!K84,'Chinook All Ages Proportions'!K84))</f>
        <v>0.34437003968253971</v>
      </c>
      <c r="P84" s="76">
        <f>IF($B84="Jacks Only",'Chinook Jack Proportions'!L84,IF('3. Select Chinook Method'!$B84="Adults Only",'Chinook Adult Proportions'!L84,'Chinook All Ages Proportions'!L84))</f>
        <v>0</v>
      </c>
      <c r="Q84" s="76">
        <f>IF($B84="Jacks Only",'Chinook Jack Proportions'!M84,IF('3. Select Chinook Method'!$B84="Adults Only",'Chinook Adult Proportions'!M84,'Chinook All Ages Proportions'!M84))</f>
        <v>0</v>
      </c>
      <c r="R84" s="76">
        <f>IF($B84="Jacks Only",'Chinook Jack Proportions'!X84,IF('3. Select Chinook Method'!$B84="Adults Only",'Chinook Adult Proportions'!X84,'Chinook All Ages Proportions'!X84))</f>
        <v>0</v>
      </c>
      <c r="S84" s="76">
        <f>IF($B84="Jacks Only",'Chinook Jack Proportions'!N84,IF('3. Select Chinook Method'!$B84="Adults Only",'Chinook Adult Proportions'!N84,'Chinook All Ages Proportions'!N84))</f>
        <v>4824.9991732608951</v>
      </c>
      <c r="T84" s="76">
        <f>IF($B84="Jacks Only",'Chinook Jack Proportions'!O84,IF('3. Select Chinook Method'!$B84="Adults Only",'Chinook Adult Proportions'!O84,'Chinook All Ages Proportions'!O84))</f>
        <v>12134.600347826088</v>
      </c>
      <c r="U84" s="76">
        <f>IF($B84="Jacks Only",'Chinook Jack Proportions'!P84,IF('3. Select Chinook Method'!$B84="Adults Only",'Chinook Adult Proportions'!P84,'Chinook All Ages Proportions'!P84))</f>
        <v>5808.4173913043478</v>
      </c>
      <c r="V84" s="76">
        <f>IF($B84="Jacks Only",'Chinook Jack Proportions'!Q84,IF('3. Select Chinook Method'!$B84="Adults Only",'Chinook Adult Proportions'!Q84,'Chinook All Ages Proportions'!Q84))</f>
        <v>2111.7328695652177</v>
      </c>
      <c r="W84" s="76">
        <f>IF($B84="Jacks Only",'Chinook Jack Proportions'!R84,IF('3. Select Chinook Method'!$B84="Adults Only",'Chinook Adult Proportions'!R84,'Chinook All Ages Proportions'!R84))</f>
        <v>0</v>
      </c>
      <c r="X84" s="56">
        <f>IF(B84="Jacks Only",'Chinook Jack Proportions'!S84,IF(B84="Adults Only",'Chinook Adult Proportions'!S84,'Chinook All Ages Proportions'!S84))</f>
        <v>3175.3685106382941</v>
      </c>
      <c r="Y84" s="56">
        <f>IF($B84="Jacks Only",'Chinook Jack Proportions'!T84,IF('3. Select Chinook Method'!$B84="Adults Only",'Chinook Adult Proportions'!T84,'Chinook All Ages Proportions'!T84))</f>
        <v>198.43979166666668</v>
      </c>
      <c r="Z84" s="56">
        <f>IF($B84="Jacks Only",'Chinook Jack Proportions'!U84,IF('3. Select Chinook Method'!$B84="Adults Only",'Chinook Adult Proportions'!U84,'Chinook All Ages Proportions'!U84))</f>
        <v>880.54041666666672</v>
      </c>
      <c r="AA84" s="56">
        <f>IF($B84="Jacks Only",'Chinook Jack Proportions'!V84,IF('3. Select Chinook Method'!$B84="Adults Only",'Chinook Adult Proportions'!V84,'Chinook All Ages Proportions'!V84))</f>
        <v>902.6564920711196</v>
      </c>
      <c r="AB84" s="56">
        <f>IF($B84="Jacks Only",'Chinook Jack Proportions'!W84,IF('3. Select Chinook Method'!$B84="Adults Only",'Chinook Adult Proportions'!W84,'Chinook All Ages Proportions'!W84))</f>
        <v>513.43592017738365</v>
      </c>
      <c r="AC84" s="41">
        <f>IF(B84="Jacks Only",'Chinook Jack Proportions'!Y84,IF('3. Select Chinook Method'!B84="Adults Only",'Chinook Adult Proportions'!Y84,'Chinook All Ages Proportions'!Y84))</f>
        <v>30550.190913176684</v>
      </c>
      <c r="AD84" s="42">
        <f>IF(B84="Jacks Only",'Chinook Jack Proportions'!Z84,IF('3. Select Chinook Method'!B84="Adults Only",'Chinook Adult Proportions'!Z84,'Chinook All Ages Proportions'!Z84))</f>
        <v>0.12067432038534286</v>
      </c>
      <c r="AE84" s="43">
        <f>IF($B84="Jacks Only",'Chinook Jack Proportions'!AA84,IF('3. Select Chinook Method'!$B84="Adults Only",'Chinook Adult Proportions'!AA84,'Chinook All Ages Proportions'!AA84))</f>
        <v>0.1314992897590439</v>
      </c>
      <c r="AF84" s="42">
        <f>IF($B84="Jacks Only",'Chinook Jack Proportions'!AB84,IF('3. Select Chinook Method'!$B84="Adults Only",'Chinook Adult Proportions'!AB84,'Chinook All Ages Proportions'!AB84))</f>
        <v>6.3829787234042548E-2</v>
      </c>
      <c r="AG84" s="44">
        <f>IF($B84="Jacks Only",'Chinook Jack Proportions'!AC84,IF('3. Select Chinook Method'!$B84="Adults Only",'Chinook Adult Proportions'!AC84,'Chinook All Ages Proportions'!AC84))</f>
        <v>0.31820684763524182</v>
      </c>
    </row>
    <row r="85" spans="1:33" x14ac:dyDescent="0.3">
      <c r="A85" s="5">
        <f>'1. Mixture Model Inputs'!A85</f>
        <v>45187</v>
      </c>
      <c r="B85" s="55" t="s">
        <v>43</v>
      </c>
      <c r="C85" s="60">
        <f t="shared" si="1"/>
        <v>47633.877700015626</v>
      </c>
      <c r="D85" s="56">
        <f>'Chinook All Ages Proportions'!Y85</f>
        <v>47633.877700015626</v>
      </c>
      <c r="E85" s="56">
        <f>'Chinook Adult Proportions'!Y85</f>
        <v>47633.877700015626</v>
      </c>
      <c r="F85" s="57">
        <f>'Chinook Jack Proportions'!Y85</f>
        <v>0</v>
      </c>
      <c r="G85" s="71">
        <f>IF($B85="Jacks Only",'Chinook Jack Proportions'!C85,IF('3. Select Chinook Method'!$B85="Adults Only",'Chinook Adult Proportions'!C85,'Chinook All Ages Proportions'!C85))</f>
        <v>0</v>
      </c>
      <c r="H85" s="71">
        <f>IF($B85="Jacks Only",'Chinook Jack Proportions'!D85,IF('3. Select Chinook Method'!$B85="Adults Only",'Chinook Adult Proportions'!D85,'Chinook All Ages Proportions'!D85))</f>
        <v>0</v>
      </c>
      <c r="I85" s="71">
        <f>IF($B85="Jacks Only",'Chinook Jack Proportions'!E85,IF('3. Select Chinook Method'!$B85="Adults Only",'Chinook Adult Proportions'!E85,'Chinook All Ages Proportions'!E85))</f>
        <v>0</v>
      </c>
      <c r="J85" s="71">
        <f>IF($B85="Jacks Only",'Chinook Jack Proportions'!F85,IF('3. Select Chinook Method'!$B85="Adults Only",'Chinook Adult Proportions'!F85,'Chinook All Ages Proportions'!F85))</f>
        <v>0.14079461571862789</v>
      </c>
      <c r="K85" s="71">
        <f>IF($B85="Jacks Only",'Chinook Jack Proportions'!G85,IF('3. Select Chinook Method'!$B85="Adults Only",'Chinook Adult Proportions'!G85,'Chinook All Ages Proportions'!G85))</f>
        <v>0.39203245267318493</v>
      </c>
      <c r="L85" s="24">
        <f>IF($B85="Jacks Only",'Chinook Jack Proportions'!H85,IF('3. Select Chinook Method'!$B85="Adults Only",'Chinook Adult Proportions'!H85,'Chinook All Ages Proportions'!H85))</f>
        <v>7.9646017699115043E-2</v>
      </c>
      <c r="M85" s="71">
        <f>IF($B85="Jacks Only",'Chinook Jack Proportions'!I85,IF('3. Select Chinook Method'!$B85="Adults Only",'Chinook Adult Proportions'!I85,'Chinook All Ages Proportions'!I85))</f>
        <v>8.0561714708056176E-2</v>
      </c>
      <c r="N85" s="71">
        <f>IF($B85="Jacks Only",'Chinook Jack Proportions'!J85,IF('3. Select Chinook Method'!$B85="Adults Only",'Chinook Adult Proportions'!J85,'Chinook All Ages Proportions'!J85))</f>
        <v>0.1917347429120615</v>
      </c>
      <c r="O85" s="23">
        <f>IF($B85="Jacks Only",'Chinook Jack Proportions'!K85,IF('3. Select Chinook Method'!$B85="Adults Only",'Chinook Adult Proportions'!K85,'Chinook All Ages Proportions'!K85))</f>
        <v>0.34437003968253971</v>
      </c>
      <c r="P85" s="76">
        <f>IF($B85="Jacks Only",'Chinook Jack Proportions'!L85,IF('3. Select Chinook Method'!$B85="Adults Only",'Chinook Adult Proportions'!L85,'Chinook All Ages Proportions'!L85))</f>
        <v>0</v>
      </c>
      <c r="Q85" s="76">
        <f>IF($B85="Jacks Only",'Chinook Jack Proportions'!M85,IF('3. Select Chinook Method'!$B85="Adults Only",'Chinook Adult Proportions'!M85,'Chinook All Ages Proportions'!M85))</f>
        <v>0</v>
      </c>
      <c r="R85" s="76">
        <f>IF($B85="Jacks Only",'Chinook Jack Proportions'!X85,IF('3. Select Chinook Method'!$B85="Adults Only",'Chinook Adult Proportions'!X85,'Chinook All Ages Proportions'!X85))</f>
        <v>0</v>
      </c>
      <c r="S85" s="76">
        <f>IF($B85="Jacks Only",'Chinook Jack Proportions'!N85,IF('3. Select Chinook Method'!$B85="Adults Only",'Chinook Adult Proportions'!N85,'Chinook All Ages Proportions'!N85))</f>
        <v>10587.439722101606</v>
      </c>
      <c r="T85" s="76">
        <f>IF($B85="Jacks Only",'Chinook Jack Proportions'!O85,IF('3. Select Chinook Method'!$B85="Adults Only",'Chinook Adult Proportions'!O85,'Chinook All Ages Proportions'!O85))</f>
        <v>20453.462109423755</v>
      </c>
      <c r="U85" s="76">
        <f>IF($B85="Jacks Only",'Chinook Jack Proportions'!P85,IF('3. Select Chinook Method'!$B85="Adults Only",'Chinook Adult Proportions'!P85,'Chinook All Ages Proportions'!P85))</f>
        <v>9151.3546744331179</v>
      </c>
      <c r="V85" s="76">
        <f>IF($B85="Jacks Only",'Chinook Jack Proportions'!Q85,IF('3. Select Chinook Method'!$B85="Adults Only",'Chinook Adult Proportions'!Q85,'Chinook All Ages Proportions'!Q85))</f>
        <v>1839.6985313085081</v>
      </c>
      <c r="W85" s="76">
        <f>IF($B85="Jacks Only",'Chinook Jack Proportions'!R85,IF('3. Select Chinook Method'!$B85="Adults Only",'Chinook Adult Proportions'!R85,'Chinook All Ages Proportions'!R85))</f>
        <v>0</v>
      </c>
      <c r="X85" s="56">
        <f>IF(B85="Jacks Only",'Chinook Jack Proportions'!S85,IF(B85="Adults Only",'Chinook Adult Proportions'!S85,'Chinook All Ages Proportions'!S85))</f>
        <v>3809.2651327433514</v>
      </c>
      <c r="Y85" s="56">
        <f>IF($B85="Jacks Only",'Chinook Jack Proportions'!T85,IF('3. Select Chinook Method'!$B85="Adults Only",'Chinook Adult Proportions'!T85,'Chinook All Ages Proportions'!T85))</f>
        <v>61.986607142857146</v>
      </c>
      <c r="Z85" s="56">
        <f>IF($B85="Jacks Only",'Chinook Jack Proportions'!U85,IF('3. Select Chinook Method'!$B85="Adults Only",'Chinook Adult Proportions'!U85,'Chinook All Ages Proportions'!U85))</f>
        <v>541.5150000000001</v>
      </c>
      <c r="AA85" s="56">
        <f>IF($B85="Jacks Only",'Chinook Jack Proportions'!V85,IF('3. Select Chinook Method'!$B85="Adults Only",'Chinook Adult Proportions'!V85,'Chinook All Ages Proportions'!V85))</f>
        <v>654.49037962518003</v>
      </c>
      <c r="AB85" s="56">
        <f>IF($B85="Jacks Only",'Chinook Jack Proportions'!W85,IF('3. Select Chinook Method'!$B85="Adults Only",'Chinook Adult Proportions'!W85,'Chinook All Ages Proportions'!W85))</f>
        <v>534.66554323725052</v>
      </c>
      <c r="AC85" s="41">
        <f>IF(B85="Jacks Only",'Chinook Jack Proportions'!Y85,IF('3. Select Chinook Method'!B85="Adults Only",'Chinook Adult Proportions'!Y85,'Chinook All Ages Proportions'!Y85))</f>
        <v>47633.877700015626</v>
      </c>
      <c r="AD85" s="42">
        <f>IF(B85="Jacks Only",'Chinook Jack Proportions'!Z85,IF('3. Select Chinook Method'!B85="Adults Only",'Chinook Adult Proportions'!Z85,'Chinook All Ages Proportions'!Z85))</f>
        <v>0.15604211431355985</v>
      </c>
      <c r="AE85" s="43">
        <f>IF($B85="Jacks Only",'Chinook Jack Proportions'!AA85,IF('3. Select Chinook Method'!$B85="Adults Only",'Chinook Adult Proportions'!AA85,'Chinook All Ages Proportions'!AA85))</f>
        <v>0.17111702931069053</v>
      </c>
      <c r="AF85" s="42">
        <f>IF($B85="Jacks Only",'Chinook Jack Proportions'!AB85,IF('3. Select Chinook Method'!$B85="Adults Only",'Chinook Adult Proportions'!AB85,'Chinook All Ages Proportions'!AB85))</f>
        <v>7.9646017699115043E-2</v>
      </c>
      <c r="AG85" s="44">
        <f>IF($B85="Jacks Only",'Chinook Jack Proportions'!AC85,IF('3. Select Chinook Method'!$B85="Adults Only",'Chinook Adult Proportions'!AC85,'Chinook All Ages Proportions'!AC85))</f>
        <v>0.34701074912994345</v>
      </c>
    </row>
    <row r="86" spans="1:33" x14ac:dyDescent="0.3">
      <c r="A86" s="5">
        <f>'1. Mixture Model Inputs'!A86</f>
        <v>45188</v>
      </c>
      <c r="B86" s="55" t="s">
        <v>43</v>
      </c>
      <c r="C86" s="60">
        <f t="shared" si="1"/>
        <v>26861.28826396049</v>
      </c>
      <c r="D86" s="56">
        <f>'Chinook All Ages Proportions'!Y86</f>
        <v>26861.28826396049</v>
      </c>
      <c r="E86" s="56">
        <f>'Chinook Adult Proportions'!Y86</f>
        <v>26861.28826396049</v>
      </c>
      <c r="F86" s="57">
        <f>'Chinook Jack Proportions'!Y86</f>
        <v>0</v>
      </c>
      <c r="G86" s="71">
        <f>IF($B86="Jacks Only",'Chinook Jack Proportions'!C86,IF('3. Select Chinook Method'!$B86="Adults Only",'Chinook Adult Proportions'!C86,'Chinook All Ages Proportions'!C86))</f>
        <v>0</v>
      </c>
      <c r="H86" s="71">
        <f>IF($B86="Jacks Only",'Chinook Jack Proportions'!D86,IF('3. Select Chinook Method'!$B86="Adults Only",'Chinook Adult Proportions'!D86,'Chinook All Ages Proportions'!D86))</f>
        <v>3.5492763611302547E-2</v>
      </c>
      <c r="I86" s="71">
        <f>IF($B86="Jacks Only",'Chinook Jack Proportions'!E86,IF('3. Select Chinook Method'!$B86="Adults Only",'Chinook Adult Proportions'!E86,'Chinook All Ages Proportions'!E86))</f>
        <v>1.8698870276587457E-2</v>
      </c>
      <c r="J86" s="71">
        <f>IF($B86="Jacks Only",'Chinook Jack Proportions'!F86,IF('3. Select Chinook Method'!$B86="Adults Only",'Chinook Adult Proportions'!F86,'Chinook All Ages Proportions'!F86))</f>
        <v>6.3832570307390465E-2</v>
      </c>
      <c r="K86" s="71">
        <f>IF($B86="Jacks Only",'Chinook Jack Proportions'!G86,IF('3. Select Chinook Method'!$B86="Adults Only",'Chinook Adult Proportions'!G86,'Chinook All Ages Proportions'!G86))</f>
        <v>0.24270931326434619</v>
      </c>
      <c r="L86" s="24">
        <f>IF($B86="Jacks Only",'Chinook Jack Proportions'!H86,IF('3. Select Chinook Method'!$B86="Adults Only",'Chinook Adult Proportions'!H86,'Chinook All Ages Proportions'!H86))</f>
        <v>0.05</v>
      </c>
      <c r="M86" s="71">
        <f>IF($B86="Jacks Only",'Chinook Jack Proportions'!I86,IF('3. Select Chinook Method'!$B86="Adults Only",'Chinook Adult Proportions'!I86,'Chinook All Ages Proportions'!I86))</f>
        <v>3.3783783783783786E-2</v>
      </c>
      <c r="N86" s="71">
        <f>IF($B86="Jacks Only",'Chinook Jack Proportions'!J86,IF('3. Select Chinook Method'!$B86="Adults Only",'Chinook Adult Proportions'!J86,'Chinook All Ages Proportions'!J86))</f>
        <v>0.20270096463022508</v>
      </c>
      <c r="O86" s="23">
        <f>IF($B86="Jacks Only",'Chinook Jack Proportions'!K86,IF('3. Select Chinook Method'!$B86="Adults Only",'Chinook Adult Proportions'!K86,'Chinook All Ages Proportions'!K86))</f>
        <v>0.4905915492957747</v>
      </c>
      <c r="P86" s="76">
        <f>IF($B86="Jacks Only",'Chinook Jack Proportions'!L86,IF('3. Select Chinook Method'!$B86="Adults Only",'Chinook Adult Proportions'!L86,'Chinook All Ages Proportions'!L86))</f>
        <v>0</v>
      </c>
      <c r="Q86" s="76">
        <f>IF($B86="Jacks Only",'Chinook Jack Proportions'!M86,IF('3. Select Chinook Method'!$B86="Adults Only",'Chinook Adult Proportions'!M86,'Chinook All Ages Proportions'!M86))</f>
        <v>1498.0785665058579</v>
      </c>
      <c r="R86" s="76">
        <f>IF($B86="Jacks Only",'Chinook Jack Proportions'!X86,IF('3. Select Chinook Method'!$B86="Adults Only",'Chinook Adult Proportions'!X86,'Chinook All Ages Proportions'!X86))</f>
        <v>1917.5706427736659</v>
      </c>
      <c r="S86" s="76">
        <f>IF($B86="Jacks Only",'Chinook Jack Proportions'!N86,IF('3. Select Chinook Method'!$B86="Adults Only",'Chinook Adult Proportions'!N86,'Chinook All Ages Proportions'!N86))</f>
        <v>3740.4405284499685</v>
      </c>
      <c r="T86" s="76">
        <f>IF($B86="Jacks Only",'Chinook Jack Proportions'!O86,IF('3. Select Chinook Method'!$B86="Adults Only",'Chinook Adult Proportions'!O86,'Chinook All Ages Proportions'!O86))</f>
        <v>9897.4139604891807</v>
      </c>
      <c r="U86" s="76">
        <f>IF($B86="Jacks Only",'Chinook Jack Proportions'!P86,IF('3. Select Chinook Method'!$B86="Adults Only",'Chinook Adult Proportions'!P86,'Chinook All Ages Proportions'!P86))</f>
        <v>4225.7050611476952</v>
      </c>
      <c r="V86" s="76">
        <f>IF($B86="Jacks Only",'Chinook Jack Proportions'!Q86,IF('3. Select Chinook Method'!$B86="Adults Only",'Chinook Adult Proportions'!Q86,'Chinook All Ages Proportions'!Q86))</f>
        <v>1834.0086547507058</v>
      </c>
      <c r="W86" s="76">
        <f>IF($B86="Jacks Only",'Chinook Jack Proportions'!R86,IF('3. Select Chinook Method'!$B86="Adults Only",'Chinook Adult Proportions'!R86,'Chinook All Ages Proportions'!R86))</f>
        <v>0</v>
      </c>
      <c r="X86" s="56">
        <f>IF(B86="Jacks Only",'Chinook Jack Proportions'!S86,IF(B86="Adults Only",'Chinook Adult Proportions'!S86,'Chinook All Ages Proportions'!S86))</f>
        <v>3561.9359999999965</v>
      </c>
      <c r="Y86" s="56">
        <f>IF($B86="Jacks Only",'Chinook Jack Proportions'!T86,IF('3. Select Chinook Method'!$B86="Adults Only",'Chinook Adult Proportions'!T86,'Chinook All Ages Proportions'!T86))</f>
        <v>156.24359661971835</v>
      </c>
      <c r="Z86" s="56">
        <f>IF($B86="Jacks Only",'Chinook Jack Proportions'!U86,IF('3. Select Chinook Method'!$B86="Adults Only",'Chinook Adult Proportions'!U86,'Chinook All Ages Proportions'!U86))</f>
        <v>943.23093633802819</v>
      </c>
      <c r="AA86" s="56">
        <f>IF($B86="Jacks Only",'Chinook Jack Proportions'!V86,IF('3. Select Chinook Method'!$B86="Adults Only",'Chinook Adult Proportions'!V86,'Chinook All Ages Proportions'!V86))</f>
        <v>802.16068938906744</v>
      </c>
      <c r="AB86" s="56">
        <f>IF($B86="Jacks Only",'Chinook Jack Proportions'!W86,IF('3. Select Chinook Method'!$B86="Adults Only",'Chinook Adult Proportions'!W86,'Chinook All Ages Proportions'!W86))</f>
        <v>202.07027027027027</v>
      </c>
      <c r="AC86" s="41">
        <f>IF(B86="Jacks Only",'Chinook Jack Proportions'!Y86,IF('3. Select Chinook Method'!B86="Adults Only",'Chinook Adult Proportions'!Y86,'Chinook All Ages Proportions'!Y86))</f>
        <v>26861.28826396049</v>
      </c>
      <c r="AD86" s="42">
        <f>IF(B86="Jacks Only",'Chinook Jack Proportions'!Z86,IF('3. Select Chinook Method'!B86="Adults Only",'Chinook Adult Proportions'!Z86,'Chinook All Ages Proportions'!Z86))</f>
        <v>8.6562174002251205E-2</v>
      </c>
      <c r="AE86" s="43">
        <f>IF($B86="Jacks Only",'Chinook Jack Proportions'!AA86,IF('3. Select Chinook Method'!$B86="Adults Only",'Chinook Adult Proportions'!AA86,'Chinook All Ages Proportions'!AA86))</f>
        <v>9.3416679762423474E-2</v>
      </c>
      <c r="AF86" s="42">
        <f>IF($B86="Jacks Only",'Chinook Jack Proportions'!AB86,IF('3. Select Chinook Method'!$B86="Adults Only",'Chinook Adult Proportions'!AB86,'Chinook All Ages Proportions'!AB86))</f>
        <v>0.05</v>
      </c>
      <c r="AG86" s="44">
        <f>IF($B86="Jacks Only",'Chinook Jack Proportions'!AC86,IF('3. Select Chinook Method'!$B86="Adults Only",'Chinook Adult Proportions'!AC86,'Chinook All Ages Proportions'!AC86))</f>
        <v>0.33939054294231558</v>
      </c>
    </row>
    <row r="87" spans="1:33" x14ac:dyDescent="0.3">
      <c r="A87" s="5">
        <f>'1. Mixture Model Inputs'!A87</f>
        <v>45189</v>
      </c>
      <c r="B87" s="55" t="s">
        <v>43</v>
      </c>
      <c r="C87" s="60">
        <f t="shared" si="1"/>
        <v>22762.352367632226</v>
      </c>
      <c r="D87" s="56">
        <f>'Chinook All Ages Proportions'!Y87</f>
        <v>22762.352367632226</v>
      </c>
      <c r="E87" s="56">
        <f>'Chinook Adult Proportions'!Y87</f>
        <v>22762.352367632226</v>
      </c>
      <c r="F87" s="57">
        <f>'Chinook Jack Proportions'!Y87</f>
        <v>0</v>
      </c>
      <c r="G87" s="71">
        <f>IF($B87="Jacks Only",'Chinook Jack Proportions'!C87,IF('3. Select Chinook Method'!$B87="Adults Only",'Chinook Adult Proportions'!C87,'Chinook All Ages Proportions'!C87))</f>
        <v>2.5226757369614512E-2</v>
      </c>
      <c r="H87" s="71">
        <f>IF($B87="Jacks Only",'Chinook Jack Proportions'!D87,IF('3. Select Chinook Method'!$B87="Adults Only",'Chinook Adult Proportions'!D87,'Chinook All Ages Proportions'!D87))</f>
        <v>2.7861698556562606E-2</v>
      </c>
      <c r="I87" s="71">
        <f>IF($B87="Jacks Only",'Chinook Jack Proportions'!E87,IF('3. Select Chinook Method'!$B87="Adults Only",'Chinook Adult Proportions'!E87,'Chinook All Ages Proportions'!E87))</f>
        <v>4.0553285130462122E-2</v>
      </c>
      <c r="J87" s="71">
        <f>IF($B87="Jacks Only",'Chinook Jack Proportions'!F87,IF('3. Select Chinook Method'!$B87="Adults Only",'Chinook Adult Proportions'!F87,'Chinook All Ages Proportions'!F87))</f>
        <v>4.4407685456164907E-2</v>
      </c>
      <c r="K87" s="71">
        <f>IF($B87="Jacks Only",'Chinook Jack Proportions'!G87,IF('3. Select Chinook Method'!$B87="Adults Only",'Chinook Adult Proportions'!G87,'Chinook All Ages Proportions'!G87))</f>
        <v>0.22781065088757396</v>
      </c>
      <c r="L87" s="24">
        <f>IF($B87="Jacks Only",'Chinook Jack Proportions'!H87,IF('3. Select Chinook Method'!$B87="Adults Only",'Chinook Adult Proportions'!H87,'Chinook All Ages Proportions'!H87))</f>
        <v>0.11475409836065574</v>
      </c>
      <c r="M87" s="71">
        <f>IF($B87="Jacks Only",'Chinook Jack Proportions'!I87,IF('3. Select Chinook Method'!$B87="Adults Only",'Chinook Adult Proportions'!I87,'Chinook All Ages Proportions'!I87))</f>
        <v>3.3783783783783786E-2</v>
      </c>
      <c r="N87" s="71">
        <f>IF($B87="Jacks Only",'Chinook Jack Proportions'!J87,IF('3. Select Chinook Method'!$B87="Adults Only",'Chinook Adult Proportions'!J87,'Chinook All Ages Proportions'!J87))</f>
        <v>0.20270096463022508</v>
      </c>
      <c r="O87" s="23">
        <f>IF($B87="Jacks Only",'Chinook Jack Proportions'!K87,IF('3. Select Chinook Method'!$B87="Adults Only",'Chinook Adult Proportions'!K87,'Chinook All Ages Proportions'!K87))</f>
        <v>0.4905915492957747</v>
      </c>
      <c r="P87" s="76">
        <f>IF($B87="Jacks Only",'Chinook Jack Proportions'!L87,IF('3. Select Chinook Method'!$B87="Adults Only",'Chinook Adult Proportions'!L87,'Chinook All Ages Proportions'!L87))</f>
        <v>303.75538548752832</v>
      </c>
      <c r="Q87" s="76">
        <f>IF($B87="Jacks Only",'Chinook Jack Proportions'!M87,IF('3. Select Chinook Method'!$B87="Adults Only",'Chinook Adult Proportions'!M87,'Chinook All Ages Proportions'!M87))</f>
        <v>77.511245384357167</v>
      </c>
      <c r="R87" s="76">
        <f>IF($B87="Jacks Only",'Chinook Jack Proportions'!X87,IF('3. Select Chinook Method'!$B87="Adults Only",'Chinook Adult Proportions'!X87,'Chinook All Ages Proportions'!X87))</f>
        <v>601.09701351776187</v>
      </c>
      <c r="S87" s="76">
        <f>IF($B87="Jacks Only",'Chinook Jack Proportions'!N87,IF('3. Select Chinook Method'!$B87="Adults Only",'Chinook Adult Proportions'!N87,'Chinook All Ages Proportions'!N87))</f>
        <v>1568.6002392161854</v>
      </c>
      <c r="T87" s="76">
        <f>IF($B87="Jacks Only",'Chinook Jack Proportions'!O87,IF('3. Select Chinook Method'!$B87="Adults Only",'Chinook Adult Proportions'!O87,'Chinook All Ages Proportions'!O87))</f>
        <v>7298.8892307692304</v>
      </c>
      <c r="U87" s="76">
        <f>IF($B87="Jacks Only",'Chinook Jack Proportions'!P87,IF('3. Select Chinook Method'!$B87="Adults Only",'Chinook Adult Proportions'!P87,'Chinook All Ages Proportions'!P87))</f>
        <v>3545.1528994082842</v>
      </c>
      <c r="V87" s="76">
        <f>IF($B87="Jacks Only",'Chinook Jack Proportions'!Q87,IF('3. Select Chinook Method'!$B87="Adults Only",'Chinook Adult Proportions'!Q87,'Chinook All Ages Proportions'!Q87))</f>
        <v>2355.2705325443785</v>
      </c>
      <c r="W87" s="76">
        <f>IF($B87="Jacks Only",'Chinook Jack Proportions'!R87,IF('3. Select Chinook Method'!$B87="Adults Only",'Chinook Adult Proportions'!R87,'Chinook All Ages Proportions'!R87))</f>
        <v>0</v>
      </c>
      <c r="X87" s="56">
        <f>IF(B87="Jacks Only",'Chinook Jack Proportions'!S87,IF(B87="Adults Only",'Chinook Adult Proportions'!S87,'Chinook All Ages Proportions'!S87))</f>
        <v>5253.8281967213152</v>
      </c>
      <c r="Y87" s="56">
        <f>IF($B87="Jacks Only",'Chinook Jack Proportions'!T87,IF('3. Select Chinook Method'!$B87="Adults Only",'Chinook Adult Proportions'!T87,'Chinook All Ages Proportions'!T87))</f>
        <v>731.05990309859169</v>
      </c>
      <c r="Z87" s="56">
        <f>IF($B87="Jacks Only",'Chinook Jack Proportions'!U87,IF('3. Select Chinook Method'!$B87="Adults Only",'Chinook Adult Proportions'!U87,'Chinook All Ages Proportions'!U87))</f>
        <v>725.5260304225352</v>
      </c>
      <c r="AA87" s="56">
        <f>IF($B87="Jacks Only",'Chinook Jack Proportions'!V87,IF('3. Select Chinook Method'!$B87="Adults Only",'Chinook Adult Proportions'!V87,'Chinook All Ages Proportions'!V87))</f>
        <v>718.43708295819943</v>
      </c>
      <c r="AB87" s="56">
        <f>IF($B87="Jacks Only",'Chinook Jack Proportions'!W87,IF('3. Select Chinook Method'!$B87="Adults Only",'Chinook Adult Proportions'!W87,'Chinook All Ages Proportions'!W87))</f>
        <v>184.32162162162163</v>
      </c>
      <c r="AC87" s="41">
        <f>IF(B87="Jacks Only",'Chinook Jack Proportions'!Y87,IF('3. Select Chinook Method'!B87="Adults Only",'Chinook Adult Proportions'!Y87,'Chinook All Ages Proportions'!Y87))</f>
        <v>22762.352367632226</v>
      </c>
      <c r="AD87" s="42">
        <f>IF(B87="Jacks Only",'Chinook Jack Proportions'!Z87,IF('3. Select Chinook Method'!B87="Adults Only",'Chinook Adult Proportions'!Z87,'Chinook All Ages Proportions'!Z87))</f>
        <v>0.13725688485381013</v>
      </c>
      <c r="AE87" s="43">
        <f>IF($B87="Jacks Only",'Chinook Jack Proportions'!AA87,IF('3. Select Chinook Method'!$B87="Adults Only",'Chinook Adult Proportions'!AA87,'Chinook All Ages Proportions'!AA87))</f>
        <v>0.14015992172093106</v>
      </c>
      <c r="AF87" s="42">
        <f>IF($B87="Jacks Only",'Chinook Jack Proportions'!AB87,IF('3. Select Chinook Method'!$B87="Adults Only",'Chinook Adult Proportions'!AB87,'Chinook All Ages Proportions'!AB87))</f>
        <v>0.11475409836065574</v>
      </c>
      <c r="AG87" s="44">
        <f>IF($B87="Jacks Only",'Chinook Jack Proportions'!AC87,IF('3. Select Chinook Method'!$B87="Adults Only",'Chinook Adult Proportions'!AC87,'Chinook All Ages Proportions'!AC87))</f>
        <v>0.36223157296709346</v>
      </c>
    </row>
    <row r="88" spans="1:33" x14ac:dyDescent="0.3">
      <c r="A88" s="5">
        <f>'1. Mixture Model Inputs'!A88</f>
        <v>45190</v>
      </c>
      <c r="B88" s="55" t="s">
        <v>43</v>
      </c>
      <c r="C88" s="60">
        <f t="shared" si="1"/>
        <v>16272.797530216136</v>
      </c>
      <c r="D88" s="56">
        <f>'Chinook All Ages Proportions'!Y88</f>
        <v>16272.797530216136</v>
      </c>
      <c r="E88" s="56">
        <f>'Chinook Adult Proportions'!Y88</f>
        <v>16272.797530216136</v>
      </c>
      <c r="F88" s="57">
        <f>'Chinook Jack Proportions'!Y88</f>
        <v>0</v>
      </c>
      <c r="G88" s="71">
        <f>IF($B88="Jacks Only",'Chinook Jack Proportions'!C88,IF('3. Select Chinook Method'!$B88="Adults Only",'Chinook Adult Proportions'!C88,'Chinook All Ages Proportions'!C88))</f>
        <v>4.4300059066745417E-3</v>
      </c>
      <c r="H88" s="71">
        <f>IF($B88="Jacks Only",'Chinook Jack Proportions'!D88,IF('3. Select Chinook Method'!$B88="Adults Only",'Chinook Adult Proportions'!D88,'Chinook All Ages Proportions'!D88))</f>
        <v>1.4426379665674376E-2</v>
      </c>
      <c r="I88" s="71">
        <f>IF($B88="Jacks Only",'Chinook Jack Proportions'!E88,IF('3. Select Chinook Method'!$B88="Adults Only",'Chinook Adult Proportions'!E88,'Chinook All Ages Proportions'!E88))</f>
        <v>7.5268817204301071E-3</v>
      </c>
      <c r="J88" s="71">
        <f>IF($B88="Jacks Only",'Chinook Jack Proportions'!F88,IF('3. Select Chinook Method'!$B88="Adults Only",'Chinook Adult Proportions'!F88,'Chinook All Ages Proportions'!F88))</f>
        <v>0.1410058623881518</v>
      </c>
      <c r="K88" s="71">
        <f>IF($B88="Jacks Only",'Chinook Jack Proportions'!G88,IF('3. Select Chinook Method'!$B88="Adults Only",'Chinook Adult Proportions'!G88,'Chinook All Ages Proportions'!G88))</f>
        <v>0.34387834387834387</v>
      </c>
      <c r="L88" s="24">
        <f>IF($B88="Jacks Only",'Chinook Jack Proportions'!H88,IF('3. Select Chinook Method'!$B88="Adults Only",'Chinook Adult Proportions'!H88,'Chinook All Ages Proportions'!H88))</f>
        <v>0</v>
      </c>
      <c r="M88" s="71">
        <f>IF($B88="Jacks Only",'Chinook Jack Proportions'!I88,IF('3. Select Chinook Method'!$B88="Adults Only",'Chinook Adult Proportions'!I88,'Chinook All Ages Proportions'!I88))</f>
        <v>5.3189964157706091E-2</v>
      </c>
      <c r="N88" s="71">
        <f>IF($B88="Jacks Only",'Chinook Jack Proportions'!J88,IF('3. Select Chinook Method'!$B88="Adults Only",'Chinook Adult Proportions'!J88,'Chinook All Ages Proportions'!J88))</f>
        <v>0.17290856031128404</v>
      </c>
      <c r="O88" s="23">
        <f>IF($B88="Jacks Only",'Chinook Jack Proportions'!K88,IF('3. Select Chinook Method'!$B88="Adults Only",'Chinook Adult Proportions'!K88,'Chinook All Ages Proportions'!K88))</f>
        <v>0.41900381422481492</v>
      </c>
      <c r="P88" s="76">
        <f>IF($B88="Jacks Only",'Chinook Jack Proportions'!L88,IF('3. Select Chinook Method'!$B88="Adults Only",'Chinook Adult Proportions'!L88,'Chinook All Ages Proportions'!L88))</f>
        <v>65.626107501476667</v>
      </c>
      <c r="Q88" s="76">
        <f>IF($B88="Jacks Only",'Chinook Jack Proportions'!M88,IF('3. Select Chinook Method'!$B88="Adults Only",'Chinook Adult Proportions'!M88,'Chinook All Ages Proportions'!M88))</f>
        <v>95.18525303411954</v>
      </c>
      <c r="R88" s="76">
        <f>IF($B88="Jacks Only",'Chinook Jack Proportions'!X88,IF('3. Select Chinook Method'!$B88="Adults Only",'Chinook Adult Proportions'!X88,'Chinook All Ages Proportions'!X88))</f>
        <v>161.16799999999998</v>
      </c>
      <c r="S88" s="76">
        <f>IF($B88="Jacks Only",'Chinook Jack Proportions'!N88,IF('3. Select Chinook Method'!$B88="Adults Only",'Chinook Adult Proportions'!N88,'Chinook All Ages Proportions'!N88))</f>
        <v>2101.4160074051219</v>
      </c>
      <c r="T88" s="76">
        <f>IF($B88="Jacks Only",'Chinook Jack Proportions'!O88,IF('3. Select Chinook Method'!$B88="Adults Only",'Chinook Adult Proportions'!O88,'Chinook All Ages Proportions'!O88))</f>
        <v>6468.8468331668328</v>
      </c>
      <c r="U88" s="76">
        <f>IF($B88="Jacks Only",'Chinook Jack Proportions'!P88,IF('3. Select Chinook Method'!$B88="Adults Only",'Chinook Adult Proportions'!P88,'Chinook All Ages Proportions'!P88))</f>
        <v>3253.6943589743591</v>
      </c>
      <c r="V88" s="76">
        <f>IF($B88="Jacks Only",'Chinook Jack Proportions'!Q88,IF('3. Select Chinook Method'!$B88="Adults Only",'Chinook Adult Proportions'!Q88,'Chinook All Ages Proportions'!Q88))</f>
        <v>2356.1718814518813</v>
      </c>
      <c r="W88" s="76">
        <f>IF($B88="Jacks Only",'Chinook Jack Proportions'!R88,IF('3. Select Chinook Method'!$B88="Adults Only",'Chinook Adult Proportions'!R88,'Chinook All Ages Proportions'!R88))</f>
        <v>0</v>
      </c>
      <c r="X88" s="56">
        <f>IF(B88="Jacks Only",'Chinook Jack Proportions'!S88,IF(B88="Adults Only",'Chinook Adult Proportions'!S88,'Chinook All Ages Proportions'!S88))</f>
        <v>0</v>
      </c>
      <c r="Y88" s="56">
        <f>IF($B88="Jacks Only",'Chinook Jack Proportions'!T88,IF('3. Select Chinook Method'!$B88="Adults Only",'Chinook Adult Proportions'!T88,'Chinook All Ages Proportions'!T88))</f>
        <v>19.408256674893426</v>
      </c>
      <c r="Z88" s="56">
        <f>IF($B88="Jacks Only",'Chinook Jack Proportions'!U88,IF('3. Select Chinook Method'!$B88="Adults Only",'Chinook Adult Proportions'!U88,'Chinook All Ages Proportions'!U88))</f>
        <v>1063.7333632488223</v>
      </c>
      <c r="AA88" s="56">
        <f>IF($B88="Jacks Only",'Chinook Jack Proportions'!V88,IF('3. Select Chinook Method'!$B88="Adults Only",'Chinook Adult Proportions'!V88,'Chinook All Ages Proportions'!V88))</f>
        <v>542.37957198443576</v>
      </c>
      <c r="AB88" s="56">
        <f>IF($B88="Jacks Only",'Chinook Jack Proportions'!W88,IF('3. Select Chinook Method'!$B88="Adults Only",'Chinook Adult Proportions'!W88,'Chinook All Ages Proportions'!W88))</f>
        <v>306.33589677419354</v>
      </c>
      <c r="AC88" s="41">
        <f>IF(B88="Jacks Only",'Chinook Jack Proportions'!Y88,IF('3. Select Chinook Method'!B88="Adults Only",'Chinook Adult Proportions'!Y88,'Chinook All Ages Proportions'!Y88))</f>
        <v>16272.797530216136</v>
      </c>
      <c r="AD88" s="42">
        <f>IF(B88="Jacks Only",'Chinook Jack Proportions'!Z88,IF('3. Select Chinook Method'!B88="Adults Only",'Chinook Adult Proportions'!Z88,'Chinook All Ages Proportions'!Z88))</f>
        <v>0.12714084573127205</v>
      </c>
      <c r="AE88" s="43">
        <f>IF($B88="Jacks Only",'Chinook Jack Proportions'!AA88,IF('3. Select Chinook Method'!$B88="Adults Only",'Chinook Adult Proportions'!AA88,'Chinook All Ages Proportions'!AA88))</f>
        <v>0.20074014844185734</v>
      </c>
      <c r="AF88" s="42">
        <f>IF($B88="Jacks Only",'Chinook Jack Proportions'!AB88,IF('3. Select Chinook Method'!$B88="Adults Only",'Chinook Adult Proportions'!AB88,'Chinook All Ages Proportions'!AB88))</f>
        <v>0</v>
      </c>
      <c r="AG88" s="44">
        <f>IF($B88="Jacks Only",'Chinook Jack Proportions'!AC88,IF('3. Select Chinook Method'!$B88="Adults Only",'Chinook Adult Proportions'!AC88,'Chinook All Ages Proportions'!AC88))</f>
        <v>0.33762864545012533</v>
      </c>
    </row>
    <row r="89" spans="1:33" x14ac:dyDescent="0.3">
      <c r="A89" s="5">
        <f>'1. Mixture Model Inputs'!A89</f>
        <v>45191</v>
      </c>
      <c r="B89" s="55" t="s">
        <v>43</v>
      </c>
      <c r="C89" s="60">
        <f t="shared" si="1"/>
        <v>15236.851482249835</v>
      </c>
      <c r="D89" s="56">
        <f>'Chinook All Ages Proportions'!Y89</f>
        <v>15236.851482249835</v>
      </c>
      <c r="E89" s="56">
        <f>'Chinook Adult Proportions'!Y89</f>
        <v>15236.851482249835</v>
      </c>
      <c r="F89" s="57">
        <f>'Chinook Jack Proportions'!Y89</f>
        <v>0</v>
      </c>
      <c r="G89" s="71">
        <f>IF($B89="Jacks Only",'Chinook Jack Proportions'!C89,IF('3. Select Chinook Method'!$B89="Adults Only",'Chinook Adult Proportions'!C89,'Chinook All Ages Proportions'!C89))</f>
        <v>0</v>
      </c>
      <c r="H89" s="71">
        <f>IF($B89="Jacks Only",'Chinook Jack Proportions'!D89,IF('3. Select Chinook Method'!$B89="Adults Only",'Chinook Adult Proportions'!D89,'Chinook All Ages Proportions'!D89))</f>
        <v>2.9239766081871343E-3</v>
      </c>
      <c r="I89" s="71">
        <f>IF($B89="Jacks Only",'Chinook Jack Proportions'!E89,IF('3. Select Chinook Method'!$B89="Adults Only",'Chinook Adult Proportions'!E89,'Chinook All Ages Proportions'!E89))</f>
        <v>0</v>
      </c>
      <c r="J89" s="71">
        <f>IF($B89="Jacks Only",'Chinook Jack Proportions'!F89,IF('3. Select Chinook Method'!$B89="Adults Only",'Chinook Adult Proportions'!F89,'Chinook All Ages Proportions'!F89))</f>
        <v>0.23175039246467816</v>
      </c>
      <c r="K89" s="71">
        <f>IF($B89="Jacks Only",'Chinook Jack Proportions'!G89,IF('3. Select Chinook Method'!$B89="Adults Only",'Chinook Adult Proportions'!G89,'Chinook All Ages Proportions'!G89))</f>
        <v>0.23058123472532141</v>
      </c>
      <c r="L89" s="24">
        <f>IF($B89="Jacks Only",'Chinook Jack Proportions'!H89,IF('3. Select Chinook Method'!$B89="Adults Only",'Chinook Adult Proportions'!H89,'Chinook All Ages Proportions'!H89))</f>
        <v>0.2</v>
      </c>
      <c r="M89" s="71">
        <f>IF($B89="Jacks Only",'Chinook Jack Proportions'!I89,IF('3. Select Chinook Method'!$B89="Adults Only",'Chinook Adult Proportions'!I89,'Chinook All Ages Proportions'!I89))</f>
        <v>3.9321040420075712E-2</v>
      </c>
      <c r="N89" s="71">
        <f>IF($B89="Jacks Only",'Chinook Jack Proportions'!J89,IF('3. Select Chinook Method'!$B89="Adults Only",'Chinook Adult Proportions'!J89,'Chinook All Ages Proportions'!J89))</f>
        <v>0.20909886264216973</v>
      </c>
      <c r="O89" s="23">
        <f>IF($B89="Jacks Only",'Chinook Jack Proportions'!K89,IF('3. Select Chinook Method'!$B89="Adults Only",'Chinook Adult Proportions'!K89,'Chinook All Ages Proportions'!K89))</f>
        <v>0.31475919212843084</v>
      </c>
      <c r="P89" s="76">
        <f>IF($B89="Jacks Only",'Chinook Jack Proportions'!L89,IF('3. Select Chinook Method'!$B89="Adults Only",'Chinook Adult Proportions'!L89,'Chinook All Ages Proportions'!L89))</f>
        <v>0</v>
      </c>
      <c r="Q89" s="76">
        <f>IF($B89="Jacks Only",'Chinook Jack Proportions'!M89,IF('3. Select Chinook Method'!$B89="Adults Only",'Chinook Adult Proportions'!M89,'Chinook All Ages Proportions'!M89))</f>
        <v>19.675438596491226</v>
      </c>
      <c r="R89" s="76">
        <f>IF($B89="Jacks Only",'Chinook Jack Proportions'!X89,IF('3. Select Chinook Method'!$B89="Adults Only",'Chinook Adult Proportions'!X89,'Chinook All Ages Proportions'!X89))</f>
        <v>0</v>
      </c>
      <c r="S89" s="76">
        <f>IF($B89="Jacks Only",'Chinook Jack Proportions'!N89,IF('3. Select Chinook Method'!$B89="Adults Only",'Chinook Adult Proportions'!N89,'Chinook All Ages Proportions'!N89))</f>
        <v>3709.1928414442696</v>
      </c>
      <c r="T89" s="76">
        <f>IF($B89="Jacks Only",'Chinook Jack Proportions'!O89,IF('3. Select Chinook Method'!$B89="Adults Only",'Chinook Adult Proportions'!O89,'Chinook All Ages Proportions'!O89))</f>
        <v>3805.5311444054823</v>
      </c>
      <c r="U89" s="76">
        <f>IF($B89="Jacks Only",'Chinook Jack Proportions'!P89,IF('3. Select Chinook Method'!$B89="Adults Only",'Chinook Adult Proportions'!P89,'Chinook All Ages Proportions'!P89))</f>
        <v>1555.8699394325786</v>
      </c>
      <c r="V89" s="76">
        <f>IF($B89="Jacks Only",'Chinook Jack Proportions'!Q89,IF('3. Select Chinook Method'!$B89="Adults Only",'Chinook Adult Proportions'!Q89,'Chinook All Ages Proportions'!Q89))</f>
        <v>820.74007013069809</v>
      </c>
      <c r="W89" s="76">
        <f>IF($B89="Jacks Only",'Chinook Jack Proportions'!R89,IF('3. Select Chinook Method'!$B89="Adults Only",'Chinook Adult Proportions'!R89,'Chinook All Ages Proportions'!R89))</f>
        <v>0</v>
      </c>
      <c r="X89" s="56">
        <f>IF(B89="Jacks Only",'Chinook Jack Proportions'!S89,IF(B89="Adults Only",'Chinook Adult Proportions'!S89,'Chinook All Ages Proportions'!S89))</f>
        <v>4411.3440000000037</v>
      </c>
      <c r="Y89" s="56">
        <f>IF($B89="Jacks Only",'Chinook Jack Proportions'!T89,IF('3. Select Chinook Method'!$B89="Adults Only",'Chinook Adult Proportions'!T89,'Chinook All Ages Proportions'!T89))</f>
        <v>41.699297773174514</v>
      </c>
      <c r="Z89" s="56">
        <f>IF($B89="Jacks Only",'Chinook Jack Proportions'!U89,IF('3. Select Chinook Method'!$B89="Adults Only",'Chinook Adult Proportions'!U89,'Chinook All Ages Proportions'!U89))</f>
        <v>95.560890730191616</v>
      </c>
      <c r="AA89" s="56">
        <f>IF($B89="Jacks Only",'Chinook Jack Proportions'!V89,IF('3. Select Chinook Method'!$B89="Adults Only",'Chinook Adult Proportions'!V89,'Chinook All Ages Proportions'!V89))</f>
        <v>700.51464566929133</v>
      </c>
      <c r="AB89" s="56">
        <f>IF($B89="Jacks Only",'Chinook Jack Proportions'!W89,IF('3. Select Chinook Method'!$B89="Adults Only",'Chinook Adult Proportions'!W89,'Chinook All Ages Proportions'!W89))</f>
        <v>76.723214067651725</v>
      </c>
      <c r="AC89" s="41">
        <f>IF(B89="Jacks Only",'Chinook Jack Proportions'!Y89,IF('3. Select Chinook Method'!B89="Adults Only",'Chinook Adult Proportions'!Y89,'Chinook All Ages Proportions'!Y89))</f>
        <v>15236.851482249835</v>
      </c>
      <c r="AD89" s="42">
        <f>IF(B89="Jacks Only",'Chinook Jack Proportions'!Z89,IF('3. Select Chinook Method'!B89="Adults Only",'Chinook Adult Proportions'!Z89,'Chinook All Ages Proportions'!Z89))</f>
        <v>0.17122289514419667</v>
      </c>
      <c r="AE89" s="43">
        <f>IF($B89="Jacks Only",'Chinook Jack Proportions'!AA89,IF('3. Select Chinook Method'!$B89="Adults Only",'Chinook Adult Proportions'!AA89,'Chinook All Ages Proportions'!AA89))</f>
        <v>0.16195984187416201</v>
      </c>
      <c r="AF89" s="42">
        <f>IF($B89="Jacks Only",'Chinook Jack Proportions'!AB89,IF('3. Select Chinook Method'!$B89="Adults Only",'Chinook Adult Proportions'!AB89,'Chinook All Ages Proportions'!AB89))</f>
        <v>0.2</v>
      </c>
      <c r="AG89" s="44">
        <f>IF($B89="Jacks Only",'Chinook Jack Proportions'!AC89,IF('3. Select Chinook Method'!$B89="Adults Only",'Chinook Adult Proportions'!AC89,'Chinook All Ages Proportions'!AC89))</f>
        <v>0.24153198113175847</v>
      </c>
    </row>
    <row r="90" spans="1:33" x14ac:dyDescent="0.3">
      <c r="A90" s="5">
        <f>'1. Mixture Model Inputs'!A90</f>
        <v>45192</v>
      </c>
      <c r="B90" s="55" t="s">
        <v>43</v>
      </c>
      <c r="C90" s="60">
        <f t="shared" si="1"/>
        <v>8965.6032548545954</v>
      </c>
      <c r="D90" s="56">
        <f>'Chinook All Ages Proportions'!Y90</f>
        <v>8965.6032548545954</v>
      </c>
      <c r="E90" s="56">
        <f>'Chinook Adult Proportions'!Y90</f>
        <v>8965.6032548545954</v>
      </c>
      <c r="F90" s="57">
        <f>'Chinook Jack Proportions'!Y90</f>
        <v>0</v>
      </c>
      <c r="G90" s="71">
        <f>IF($B90="Jacks Only",'Chinook Jack Proportions'!C90,IF('3. Select Chinook Method'!$B90="Adults Only",'Chinook Adult Proportions'!C90,'Chinook All Ages Proportions'!C90))</f>
        <v>2.7238678924072182E-2</v>
      </c>
      <c r="H90" s="71">
        <f>IF($B90="Jacks Only",'Chinook Jack Proportions'!D90,IF('3. Select Chinook Method'!$B90="Adults Only",'Chinook Adult Proportions'!D90,'Chinook All Ages Proportions'!D90))</f>
        <v>1.2310059626851317E-2</v>
      </c>
      <c r="I90" s="71">
        <f>IF($B90="Jacks Only",'Chinook Jack Proportions'!E90,IF('3. Select Chinook Method'!$B90="Adults Only",'Chinook Adult Proportions'!E90,'Chinook All Ages Proportions'!E90))</f>
        <v>2.2136422136422137E-2</v>
      </c>
      <c r="J90" s="71">
        <f>IF($B90="Jacks Only",'Chinook Jack Proportions'!F90,IF('3. Select Chinook Method'!$B90="Adults Only",'Chinook Adult Proportions'!F90,'Chinook All Ages Proportions'!F90))</f>
        <v>0.17133990912113486</v>
      </c>
      <c r="K90" s="71">
        <f>IF($B90="Jacks Only",'Chinook Jack Proportions'!G90,IF('3. Select Chinook Method'!$B90="Adults Only",'Chinook Adult Proportions'!G90,'Chinook All Ages Proportions'!G90))</f>
        <v>0.31355470876428959</v>
      </c>
      <c r="L90" s="24">
        <f>IF($B90="Jacks Only",'Chinook Jack Proportions'!H90,IF('3. Select Chinook Method'!$B90="Adults Only",'Chinook Adult Proportions'!H90,'Chinook All Ages Proportions'!H90))</f>
        <v>0</v>
      </c>
      <c r="M90" s="71">
        <f>IF($B90="Jacks Only",'Chinook Jack Proportions'!I90,IF('3. Select Chinook Method'!$B90="Adults Only",'Chinook Adult Proportions'!I90,'Chinook All Ages Proportions'!I90))</f>
        <v>4.7833758086649678E-2</v>
      </c>
      <c r="N90" s="71">
        <f>IF($B90="Jacks Only",'Chinook Jack Proportions'!J90,IF('3. Select Chinook Method'!$B90="Adults Only",'Chinook Adult Proportions'!J90,'Chinook All Ages Proportions'!J90))</f>
        <v>0.22070957095709573</v>
      </c>
      <c r="O90" s="23">
        <f>IF($B90="Jacks Only",'Chinook Jack Proportions'!K90,IF('3. Select Chinook Method'!$B90="Adults Only",'Chinook Adult Proportions'!K90,'Chinook All Ages Proportions'!K90))</f>
        <v>0.34020274033641529</v>
      </c>
      <c r="P90" s="76">
        <f>IF($B90="Jacks Only",'Chinook Jack Proportions'!L90,IF('3. Select Chinook Method'!$B90="Adults Only",'Chinook Adult Proportions'!L90,'Chinook All Ages Proportions'!L90))</f>
        <v>150.43922369765068</v>
      </c>
      <c r="Q90" s="76">
        <f>IF($B90="Jacks Only",'Chinook Jack Proportions'!M90,IF('3. Select Chinook Method'!$B90="Adults Only",'Chinook Adult Proportions'!M90,'Chinook All Ages Proportions'!M90))</f>
        <v>104.51240623196769</v>
      </c>
      <c r="R90" s="76">
        <f>IF($B90="Jacks Only",'Chinook Jack Proportions'!X90,IF('3. Select Chinook Method'!$B90="Adults Only",'Chinook Adult Proportions'!X90,'Chinook All Ages Proportions'!X90))</f>
        <v>310.21096525096522</v>
      </c>
      <c r="S90" s="76">
        <f>IF($B90="Jacks Only",'Chinook Jack Proportions'!N90,IF('3. Select Chinook Method'!$B90="Adults Only",'Chinook Adult Proportions'!N90,'Chinook All Ages Proportions'!N90))</f>
        <v>3101.6772780671613</v>
      </c>
      <c r="T90" s="76">
        <f>IF($B90="Jacks Only",'Chinook Jack Proportions'!O90,IF('3. Select Chinook Method'!$B90="Adults Only",'Chinook Adult Proportions'!O90,'Chinook All Ages Proportions'!O90))</f>
        <v>2808.8983342406095</v>
      </c>
      <c r="U90" s="76">
        <f>IF($B90="Jacks Only",'Chinook Jack Proportions'!P90,IF('3. Select Chinook Method'!$B90="Adults Only",'Chinook Adult Proportions'!P90,'Chinook All Ages Proportions'!P90))</f>
        <v>846.97397931409898</v>
      </c>
      <c r="V90" s="76">
        <f>IF($B90="Jacks Only",'Chinook Jack Proportions'!Q90,IF('3. Select Chinook Method'!$B90="Adults Only",'Chinook Adult Proportions'!Q90,'Chinook All Ages Proportions'!Q90))</f>
        <v>337.2092759934676</v>
      </c>
      <c r="W90" s="76">
        <f>IF($B90="Jacks Only",'Chinook Jack Proportions'!R90,IF('3. Select Chinook Method'!$B90="Adults Only",'Chinook Adult Proportions'!R90,'Chinook All Ages Proportions'!R90))</f>
        <v>0</v>
      </c>
      <c r="X90" s="56">
        <f>IF(B90="Jacks Only",'Chinook Jack Proportions'!S90,IF(B90="Adults Only",'Chinook Adult Proportions'!S90,'Chinook All Ages Proportions'!S90))</f>
        <v>0</v>
      </c>
      <c r="Y90" s="56">
        <f>IF($B90="Jacks Only",'Chinook Jack Proportions'!T90,IF('3. Select Chinook Method'!$B90="Adults Only",'Chinook Adult Proportions'!T90,'Chinook All Ages Proportions'!T90))</f>
        <v>166.64491032638966</v>
      </c>
      <c r="Z90" s="56">
        <f>IF($B90="Jacks Only",'Chinook Jack Proportions'!U90,IF('3. Select Chinook Method'!$B90="Adults Only",'Chinook Adult Proportions'!U90,'Chinook All Ages Proportions'!U90))</f>
        <v>603.13863428762397</v>
      </c>
      <c r="AA90" s="56">
        <f>IF($B90="Jacks Only",'Chinook Jack Proportions'!V90,IF('3. Select Chinook Method'!$B90="Adults Only",'Chinook Adult Proportions'!V90,'Chinook All Ages Proportions'!V90))</f>
        <v>736.65792079207927</v>
      </c>
      <c r="AB90" s="56">
        <f>IF($B90="Jacks Only",'Chinook Jack Proportions'!W90,IF('3. Select Chinook Method'!$B90="Adults Only",'Chinook Adult Proportions'!W90,'Chinook All Ages Proportions'!W90))</f>
        <v>109.45129190354832</v>
      </c>
      <c r="AC90" s="41">
        <f>IF(B90="Jacks Only",'Chinook Jack Proportions'!Y90,IF('3. Select Chinook Method'!B90="Adults Only",'Chinook Adult Proportions'!Y90,'Chinook All Ages Proportions'!Y90))</f>
        <v>8965.6032548545954</v>
      </c>
      <c r="AD90" s="42">
        <f>IF(B90="Jacks Only",'Chinook Jack Proportions'!Z90,IF('3. Select Chinook Method'!B90="Adults Only",'Chinook Adult Proportions'!Z90,'Chinook All Ages Proportions'!Z90))</f>
        <v>0.12296785131470862</v>
      </c>
      <c r="AE90" s="43">
        <f>IF($B90="Jacks Only",'Chinook Jack Proportions'!AA90,IF('3. Select Chinook Method'!$B90="Adults Only",'Chinook Adult Proportions'!AA90,'Chinook All Ages Proportions'!AA90))</f>
        <v>0.16386963618047318</v>
      </c>
      <c r="AF90" s="42">
        <f>IF($B90="Jacks Only",'Chinook Jack Proportions'!AB90,IF('3. Select Chinook Method'!$B90="Adults Only",'Chinook Adult Proportions'!AB90,'Chinook All Ages Proportions'!AB90))</f>
        <v>0</v>
      </c>
      <c r="AG90" s="44">
        <f>IF($B90="Jacks Only",'Chinook Jack Proportions'!AC90,IF('3. Select Chinook Method'!$B90="Adults Only",'Chinook Adult Proportions'!AC90,'Chinook All Ages Proportions'!AC90))</f>
        <v>0.28853166868610125</v>
      </c>
    </row>
    <row r="91" spans="1:33" x14ac:dyDescent="0.3">
      <c r="A91" s="5">
        <f>'1. Mixture Model Inputs'!A91</f>
        <v>45193</v>
      </c>
      <c r="B91" s="55" t="s">
        <v>43</v>
      </c>
      <c r="C91" s="60">
        <f t="shared" si="1"/>
        <v>6600.9449077037352</v>
      </c>
      <c r="D91" s="56">
        <f>'Chinook All Ages Proportions'!Y91</f>
        <v>6600.9449077037352</v>
      </c>
      <c r="E91" s="56">
        <f>'Chinook Adult Proportions'!Y91</f>
        <v>6600.9449077037352</v>
      </c>
      <c r="F91" s="57">
        <f>'Chinook Jack Proportions'!Y91</f>
        <v>0</v>
      </c>
      <c r="G91" s="71">
        <f>IF($B91="Jacks Only",'Chinook Jack Proportions'!C91,IF('3. Select Chinook Method'!$B91="Adults Only",'Chinook Adult Proportions'!C91,'Chinook All Ages Proportions'!C91))</f>
        <v>9.9646415943426547E-2</v>
      </c>
      <c r="H91" s="71">
        <f>IF($B91="Jacks Only",'Chinook Jack Proportions'!D91,IF('3. Select Chinook Method'!$B91="Adults Only",'Chinook Adult Proportions'!D91,'Chinook All Ages Proportions'!D91))</f>
        <v>5.7349665924276164E-2</v>
      </c>
      <c r="I91" s="71">
        <f>IF($B91="Jacks Only",'Chinook Jack Proportions'!E91,IF('3. Select Chinook Method'!$B91="Adults Only",'Chinook Adult Proportions'!E91,'Chinook All Ages Proportions'!E91))</f>
        <v>5.9763502716522851E-2</v>
      </c>
      <c r="J91" s="71">
        <f>IF($B91="Jacks Only",'Chinook Jack Proportions'!F91,IF('3. Select Chinook Method'!$B91="Adults Only",'Chinook Adult Proportions'!F91,'Chinook All Ages Proportions'!F91))</f>
        <v>0.10496095544327055</v>
      </c>
      <c r="K91" s="71">
        <f>IF($B91="Jacks Only",'Chinook Jack Proportions'!G91,IF('3. Select Chinook Method'!$B91="Adults Only",'Chinook Adult Proportions'!G91,'Chinook All Ages Proportions'!G91))</f>
        <v>0.25648097076668508</v>
      </c>
      <c r="L91" s="24">
        <f>IF($B91="Jacks Only",'Chinook Jack Proportions'!H91,IF('3. Select Chinook Method'!$B91="Adults Only",'Chinook Adult Proportions'!H91,'Chinook All Ages Proportions'!H91))</f>
        <v>0</v>
      </c>
      <c r="M91" s="71">
        <f>IF($B91="Jacks Only",'Chinook Jack Proportions'!I91,IF('3. Select Chinook Method'!$B91="Adults Only",'Chinook Adult Proportions'!I91,'Chinook All Ages Proportions'!I91))</f>
        <v>4.7833758086649678E-2</v>
      </c>
      <c r="N91" s="71">
        <f>IF($B91="Jacks Only",'Chinook Jack Proportions'!J91,IF('3. Select Chinook Method'!$B91="Adults Only",'Chinook Adult Proportions'!J91,'Chinook All Ages Proportions'!J91))</f>
        <v>0.22070957095709573</v>
      </c>
      <c r="O91" s="23">
        <f>IF($B91="Jacks Only",'Chinook Jack Proportions'!K91,IF('3. Select Chinook Method'!$B91="Adults Only",'Chinook Adult Proportions'!K91,'Chinook All Ages Proportions'!K91))</f>
        <v>0.34020274033641529</v>
      </c>
      <c r="P91" s="76">
        <f>IF($B91="Jacks Only",'Chinook Jack Proportions'!L91,IF('3. Select Chinook Method'!$B91="Adults Only",'Chinook Adult Proportions'!L91,'Chinook All Ages Proportions'!L91))</f>
        <v>738.67888138862099</v>
      </c>
      <c r="Q91" s="76">
        <f>IF($B91="Jacks Only",'Chinook Jack Proportions'!M91,IF('3. Select Chinook Method'!$B91="Adults Only",'Chinook Adult Proportions'!M91,'Chinook All Ages Proportions'!M91))</f>
        <v>154.15590200445433</v>
      </c>
      <c r="R91" s="76">
        <f>IF($B91="Jacks Only",'Chinook Jack Proportions'!X91,IF('3. Select Chinook Method'!$B91="Adults Only",'Chinook Adult Proportions'!X91,'Chinook All Ages Proportions'!X91))</f>
        <v>603.67831255992326</v>
      </c>
      <c r="S91" s="76">
        <f>IF($B91="Jacks Only",'Chinook Jack Proportions'!N91,IF('3. Select Chinook Method'!$B91="Adults Only",'Chinook Adult Proportions'!N91,'Chinook All Ages Proportions'!N91))</f>
        <v>1451.5848231511254</v>
      </c>
      <c r="T91" s="76">
        <f>IF($B91="Jacks Only",'Chinook Jack Proportions'!O91,IF('3. Select Chinook Method'!$B91="Adults Only",'Chinook Adult Proportions'!O91,'Chinook All Ages Proportions'!O91))</f>
        <v>2237.1091009376723</v>
      </c>
      <c r="U91" s="76">
        <f>IF($B91="Jacks Only",'Chinook Jack Proportions'!P91,IF('3. Select Chinook Method'!$B91="Adults Only",'Chinook Adult Proportions'!P91,'Chinook All Ages Proportions'!P91))</f>
        <v>1099.1338113623831</v>
      </c>
      <c r="V91" s="76">
        <f>IF($B91="Jacks Only",'Chinook Jack Proportions'!Q91,IF('3. Select Chinook Method'!$B91="Adults Only",'Chinook Adult Proportions'!Q91,'Chinook All Ages Proportions'!Q91))</f>
        <v>249.73039161610595</v>
      </c>
      <c r="W91" s="76">
        <f>IF($B91="Jacks Only",'Chinook Jack Proportions'!R91,IF('3. Select Chinook Method'!$B91="Adults Only",'Chinook Adult Proportions'!R91,'Chinook All Ages Proportions'!R91))</f>
        <v>0</v>
      </c>
      <c r="X91" s="56">
        <f>IF(B91="Jacks Only",'Chinook Jack Proportions'!S91,IF(B91="Adults Only",'Chinook Adult Proportions'!S91,'Chinook All Ages Proportions'!S91))</f>
        <v>0</v>
      </c>
      <c r="Y91" s="56">
        <f>IF($B91="Jacks Only",'Chinook Jack Proportions'!T91,IF('3. Select Chinook Method'!$B91="Adults Only",'Chinook Adult Proportions'!T91,'Chinook All Ages Proportions'!T91))</f>
        <v>215.71575359251423</v>
      </c>
      <c r="Z91" s="56">
        <f>IF($B91="Jacks Only",'Chinook Jack Proportions'!U91,IF('3. Select Chinook Method'!$B91="Adults Only",'Chinook Adult Proportions'!U91,'Chinook All Ages Proportions'!U91))</f>
        <v>261.92889383981287</v>
      </c>
      <c r="AA91" s="56">
        <f>IF($B91="Jacks Only",'Chinook Jack Proportions'!V91,IF('3. Select Chinook Method'!$B91="Adults Only",'Chinook Adult Proportions'!V91,'Chinook All Ages Proportions'!V91))</f>
        <v>132.37277227722774</v>
      </c>
      <c r="AB91" s="56">
        <f>IF($B91="Jacks Only",'Chinook Jack Proportions'!W91,IF('3. Select Chinook Method'!$B91="Adults Only",'Chinook Adult Proportions'!W91,'Chinook All Ages Proportions'!W91))</f>
        <v>60.534577533816901</v>
      </c>
      <c r="AC91" s="41">
        <f>IF(B91="Jacks Only",'Chinook Jack Proportions'!Y91,IF('3. Select Chinook Method'!B91="Adults Only",'Chinook Adult Proportions'!Y91,'Chinook All Ages Proportions'!Y91))</f>
        <v>6600.9449077037352</v>
      </c>
      <c r="AD91" s="42">
        <f>IF(B91="Jacks Only",'Chinook Jack Proportions'!Z91,IF('3. Select Chinook Method'!B91="Adults Only",'Chinook Adult Proportions'!Z91,'Chinook All Ages Proportions'!Z91))</f>
        <v>0.11951358898960399</v>
      </c>
      <c r="AE91" s="43">
        <f>IF($B91="Jacks Only",'Chinook Jack Proportions'!AA91,IF('3. Select Chinook Method'!$B91="Adults Only",'Chinook Adult Proportions'!AA91,'Chinook All Ages Proportions'!AA91))</f>
        <v>0.1564238988925068</v>
      </c>
      <c r="AF91" s="42">
        <f>IF($B91="Jacks Only",'Chinook Jack Proportions'!AB91,IF('3. Select Chinook Method'!$B91="Adults Only",'Chinook Adult Proportions'!AB91,'Chinook All Ages Proportions'!AB91))</f>
        <v>0</v>
      </c>
      <c r="AG91" s="44">
        <f>IF($B91="Jacks Only",'Chinook Jack Proportions'!AC91,IF('3. Select Chinook Method'!$B91="Adults Only",'Chinook Adult Proportions'!AC91,'Chinook All Ages Proportions'!AC91))</f>
        <v>0.33464686252014797</v>
      </c>
    </row>
    <row r="92" spans="1:33" x14ac:dyDescent="0.3">
      <c r="A92" s="5">
        <f>'1. Mixture Model Inputs'!A92</f>
        <v>45194</v>
      </c>
      <c r="B92" s="55" t="s">
        <v>43</v>
      </c>
      <c r="C92" s="60">
        <f t="shared" si="1"/>
        <v>5225.8301189225122</v>
      </c>
      <c r="D92" s="56">
        <f>'Chinook All Ages Proportions'!Y92</f>
        <v>5225.8301189225122</v>
      </c>
      <c r="E92" s="56">
        <f>'Chinook Adult Proportions'!Y92</f>
        <v>5225.8301189225122</v>
      </c>
      <c r="F92" s="57">
        <f>'Chinook Jack Proportions'!Y92</f>
        <v>0</v>
      </c>
      <c r="G92" s="71">
        <f>IF($B92="Jacks Only",'Chinook Jack Proportions'!C92,IF('3. Select Chinook Method'!$B92="Adults Only",'Chinook Adult Proportions'!C92,'Chinook All Ages Proportions'!C92))</f>
        <v>4.3748152527342599E-2</v>
      </c>
      <c r="H92" s="71">
        <f>IF($B92="Jacks Only",'Chinook Jack Proportions'!D92,IF('3. Select Chinook Method'!$B92="Adults Only",'Chinook Adult Proportions'!D92,'Chinook All Ages Proportions'!D92))</f>
        <v>0</v>
      </c>
      <c r="I92" s="71">
        <f>IF($B92="Jacks Only",'Chinook Jack Proportions'!E92,IF('3. Select Chinook Method'!$B92="Adults Only",'Chinook Adult Proportions'!E92,'Chinook All Ages Proportions'!E92))</f>
        <v>2.0021074815595365E-2</v>
      </c>
      <c r="J92" s="71">
        <f>IF($B92="Jacks Only",'Chinook Jack Proportions'!F92,IF('3. Select Chinook Method'!$B92="Adults Only",'Chinook Adult Proportions'!F92,'Chinook All Ages Proportions'!F92))</f>
        <v>7.6546717171717168E-2</v>
      </c>
      <c r="K92" s="71">
        <f>IF($B92="Jacks Only",'Chinook Jack Proportions'!G92,IF('3. Select Chinook Method'!$B92="Adults Only",'Chinook Adult Proportions'!G92,'Chinook All Ages Proportions'!G92))</f>
        <v>0.22055109070034443</v>
      </c>
      <c r="L92" s="24">
        <f>IF($B92="Jacks Only",'Chinook Jack Proportions'!H92,IF('3. Select Chinook Method'!$B92="Adults Only",'Chinook Adult Proportions'!H92,'Chinook All Ages Proportions'!H92))</f>
        <v>0.125</v>
      </c>
      <c r="M92" s="71">
        <f>IF($B92="Jacks Only",'Chinook Jack Proportions'!I92,IF('3. Select Chinook Method'!$B92="Adults Only",'Chinook Adult Proportions'!I92,'Chinook All Ages Proportions'!I92))</f>
        <v>1.164079822616408E-2</v>
      </c>
      <c r="N92" s="71">
        <f>IF($B92="Jacks Only",'Chinook Jack Proportions'!J92,IF('3. Select Chinook Method'!$B92="Adults Only",'Chinook Adult Proportions'!J92,'Chinook All Ages Proportions'!J92))</f>
        <v>0.14764413227977757</v>
      </c>
      <c r="O92" s="23">
        <f>IF($B92="Jacks Only",'Chinook Jack Proportions'!K92,IF('3. Select Chinook Method'!$B92="Adults Only",'Chinook Adult Proportions'!K92,'Chinook All Ages Proportions'!K92))</f>
        <v>0.4180232558139535</v>
      </c>
      <c r="P92" s="76">
        <f>IF($B92="Jacks Only",'Chinook Jack Proportions'!L92,IF('3. Select Chinook Method'!$B92="Adults Only",'Chinook Adult Proportions'!L92,'Chinook All Ages Proportions'!L92))</f>
        <v>276.48832397280523</v>
      </c>
      <c r="Q92" s="76">
        <f>IF($B92="Jacks Only",'Chinook Jack Proportions'!M92,IF('3. Select Chinook Method'!$B92="Adults Only",'Chinook Adult Proportions'!M92,'Chinook All Ages Proportions'!M92))</f>
        <v>0</v>
      </c>
      <c r="R92" s="76">
        <f>IF($B92="Jacks Only",'Chinook Jack Proportions'!X92,IF('3. Select Chinook Method'!$B92="Adults Only",'Chinook Adult Proportions'!X92,'Chinook All Ages Proportions'!X92))</f>
        <v>243.71253951527925</v>
      </c>
      <c r="S92" s="76">
        <f>IF($B92="Jacks Only",'Chinook Jack Proportions'!N92,IF('3. Select Chinook Method'!$B92="Adults Only",'Chinook Adult Proportions'!N92,'Chinook All Ages Proportions'!N92))</f>
        <v>459.24356060606056</v>
      </c>
      <c r="T92" s="76">
        <f>IF($B92="Jacks Only",'Chinook Jack Proportions'!O92,IF('3. Select Chinook Method'!$B92="Adults Only",'Chinook Adult Proportions'!O92,'Chinook All Ages Proportions'!O92))</f>
        <v>1153.0234580941446</v>
      </c>
      <c r="U92" s="76">
        <f>IF($B92="Jacks Only",'Chinook Jack Proportions'!P92,IF('3. Select Chinook Method'!$B92="Adults Only",'Chinook Adult Proportions'!P92,'Chinook All Ages Proportions'!P92))</f>
        <v>381.85333639494837</v>
      </c>
      <c r="V92" s="76">
        <f>IF($B92="Jacks Only",'Chinook Jack Proportions'!Q92,IF('3. Select Chinook Method'!$B92="Adults Only",'Chinook Adult Proportions'!Q92,'Chinook All Ages Proportions'!Q92))</f>
        <v>229.62015154994256</v>
      </c>
      <c r="W92" s="76">
        <f>IF($B92="Jacks Only",'Chinook Jack Proportions'!R92,IF('3. Select Chinook Method'!$B92="Adults Only",'Chinook Adult Proportions'!R92,'Chinook All Ages Proportions'!R92))</f>
        <v>0</v>
      </c>
      <c r="X92" s="56">
        <f>IF(B92="Jacks Only",'Chinook Jack Proportions'!S92,IF(B92="Adults Only",'Chinook Adult Proportions'!S92,'Chinook All Ages Proportions'!S92))</f>
        <v>1574.0700000000008</v>
      </c>
      <c r="Y92" s="56">
        <f>IF($B92="Jacks Only",'Chinook Jack Proportions'!T92,IF('3. Select Chinook Method'!$B92="Adults Only",'Chinook Adult Proportions'!T92,'Chinook All Ages Proportions'!T92))</f>
        <v>161.62451162790697</v>
      </c>
      <c r="Z92" s="56">
        <f>IF($B92="Jacks Only",'Chinook Jack Proportions'!U92,IF('3. Select Chinook Method'!$B92="Adults Only",'Chinook Adult Proportions'!U92,'Chinook All Ages Proportions'!U92))</f>
        <v>529.11711627906982</v>
      </c>
      <c r="AA92" s="56">
        <f>IF($B92="Jacks Only",'Chinook Jack Proportions'!V92,IF('3. Select Chinook Method'!$B92="Adults Only",'Chinook Adult Proportions'!V92,'Chinook All Ages Proportions'!V92))</f>
        <v>437.47546971027214</v>
      </c>
      <c r="AB92" s="56">
        <f>IF($B92="Jacks Only",'Chinook Jack Proportions'!W92,IF('3. Select Chinook Method'!$B92="Adults Only",'Chinook Adult Proportions'!W92,'Chinook All Ages Proportions'!W92))</f>
        <v>23.314190687361421</v>
      </c>
      <c r="AC92" s="41">
        <f>IF(B92="Jacks Only",'Chinook Jack Proportions'!Y92,IF('3. Select Chinook Method'!B92="Adults Only",'Chinook Adult Proportions'!Y92,'Chinook All Ages Proportions'!Y92))</f>
        <v>5225.8301189225122</v>
      </c>
      <c r="AD92" s="42">
        <f>IF(B92="Jacks Only",'Chinook Jack Proportions'!Z92,IF('3. Select Chinook Method'!B92="Adults Only",'Chinook Adult Proportions'!Z92,'Chinook All Ages Proportions'!Z92))</f>
        <v>0.11514818856982691</v>
      </c>
      <c r="AE92" s="43">
        <f>IF($B92="Jacks Only",'Chinook Jack Proportions'!AA92,IF('3. Select Chinook Method'!$B92="Adults Only",'Chinook Adult Proportions'!AA92,'Chinook All Ages Proportions'!AA92))</f>
        <v>9.5528047165823859E-2</v>
      </c>
      <c r="AF92" s="42">
        <f>IF($B92="Jacks Only",'Chinook Jack Proportions'!AB92,IF('3. Select Chinook Method'!$B92="Adults Only",'Chinook Adult Proportions'!AB92,'Chinook All Ages Proportions'!AB92))</f>
        <v>0.125</v>
      </c>
      <c r="AG92" s="44">
        <f>IF($B92="Jacks Only",'Chinook Jack Proportions'!AC92,IF('3. Select Chinook Method'!$B92="Adults Only",'Chinook Adult Proportions'!AC92,'Chinook All Ages Proportions'!AC92))</f>
        <v>0.24949545185390992</v>
      </c>
    </row>
    <row r="93" spans="1:33" x14ac:dyDescent="0.3">
      <c r="A93" s="5">
        <f>'1. Mixture Model Inputs'!A93</f>
        <v>45195</v>
      </c>
      <c r="B93" s="55" t="s">
        <v>43</v>
      </c>
      <c r="C93" s="60">
        <f t="shared" si="1"/>
        <v>3622.2289117066625</v>
      </c>
      <c r="D93" s="56">
        <f>'Chinook All Ages Proportions'!Y93</f>
        <v>3622.2289117066625</v>
      </c>
      <c r="E93" s="56">
        <f>'Chinook Adult Proportions'!Y93</f>
        <v>3622.2289117066625</v>
      </c>
      <c r="F93" s="57">
        <f>'Chinook Jack Proportions'!Y93</f>
        <v>0</v>
      </c>
      <c r="G93" s="71">
        <f>IF($B93="Jacks Only",'Chinook Jack Proportions'!C93,IF('3. Select Chinook Method'!$B93="Adults Only",'Chinook Adult Proportions'!C93,'Chinook All Ages Proportions'!C93))</f>
        <v>0</v>
      </c>
      <c r="H93" s="71">
        <f>IF($B93="Jacks Only",'Chinook Jack Proportions'!D93,IF('3. Select Chinook Method'!$B93="Adults Only",'Chinook Adult Proportions'!D93,'Chinook All Ages Proportions'!D93))</f>
        <v>5.0304164716892835E-2</v>
      </c>
      <c r="I93" s="71">
        <f>IF($B93="Jacks Only",'Chinook Jack Proportions'!E93,IF('3. Select Chinook Method'!$B93="Adults Only",'Chinook Adult Proportions'!E93,'Chinook All Ages Proportions'!E93))</f>
        <v>3.48564733450498E-2</v>
      </c>
      <c r="J93" s="71">
        <f>IF($B93="Jacks Only",'Chinook Jack Proportions'!F93,IF('3. Select Chinook Method'!$B93="Adults Only",'Chinook Adult Proportions'!F93,'Chinook All Ages Proportions'!F93))</f>
        <v>0.13832384052074859</v>
      </c>
      <c r="K93" s="71">
        <f>IF($B93="Jacks Only",'Chinook Jack Proportions'!G93,IF('3. Select Chinook Method'!$B93="Adults Only",'Chinook Adult Proportions'!G93,'Chinook All Ages Proportions'!G93))</f>
        <v>8.419747520288548E-2</v>
      </c>
      <c r="L93" s="24">
        <f>IF($B93="Jacks Only",'Chinook Jack Proportions'!H93,IF('3. Select Chinook Method'!$B93="Adults Only",'Chinook Adult Proportions'!H93,'Chinook All Ages Proportions'!H93))</f>
        <v>0</v>
      </c>
      <c r="M93" s="71">
        <f>IF($B93="Jacks Only",'Chinook Jack Proportions'!I93,IF('3. Select Chinook Method'!$B93="Adults Only",'Chinook Adult Proportions'!I93,'Chinook All Ages Proportions'!I93))</f>
        <v>1.164079822616408E-2</v>
      </c>
      <c r="N93" s="71">
        <f>IF($B93="Jacks Only",'Chinook Jack Proportions'!J93,IF('3. Select Chinook Method'!$B93="Adults Only",'Chinook Adult Proportions'!J93,'Chinook All Ages Proportions'!J93))</f>
        <v>0.14764413227977757</v>
      </c>
      <c r="O93" s="23">
        <f>IF($B93="Jacks Only",'Chinook Jack Proportions'!K93,IF('3. Select Chinook Method'!$B93="Adults Only",'Chinook Adult Proportions'!K93,'Chinook All Ages Proportions'!K93))</f>
        <v>0.4180232558139535</v>
      </c>
      <c r="P93" s="76">
        <f>IF($B93="Jacks Only",'Chinook Jack Proportions'!L93,IF('3. Select Chinook Method'!$B93="Adults Only",'Chinook Adult Proportions'!L93,'Chinook All Ages Proportions'!L93))</f>
        <v>0</v>
      </c>
      <c r="Q93" s="76">
        <f>IF($B93="Jacks Only",'Chinook Jack Proportions'!M93,IF('3. Select Chinook Method'!$B93="Adults Only",'Chinook Adult Proportions'!M93,'Chinook All Ages Proportions'!M93))</f>
        <v>235.2222742161909</v>
      </c>
      <c r="R93" s="76">
        <f>IF($B93="Jacks Only",'Chinook Jack Proportions'!X93,IF('3. Select Chinook Method'!$B93="Adults Only",'Chinook Adult Proportions'!X93,'Chinook All Ages Proportions'!X93))</f>
        <v>440.43803163444647</v>
      </c>
      <c r="S93" s="76">
        <f>IF($B93="Jacks Only",'Chinook Jack Proportions'!N93,IF('3. Select Chinook Method'!$B93="Adults Only",'Chinook Adult Proportions'!N93,'Chinook All Ages Proportions'!N93))</f>
        <v>1987.1824247355576</v>
      </c>
      <c r="T93" s="76">
        <f>IF($B93="Jacks Only",'Chinook Jack Proportions'!O93,IF('3. Select Chinook Method'!$B93="Adults Only",'Chinook Adult Proportions'!O93,'Chinook All Ages Proportions'!O93))</f>
        <v>690.56748422001806</v>
      </c>
      <c r="U93" s="76">
        <f>IF($B93="Jacks Only",'Chinook Jack Proportions'!P93,IF('3. Select Chinook Method'!$B93="Adults Only",'Chinook Adult Proportions'!P93,'Chinook All Ages Proportions'!P93))</f>
        <v>142.19943192064923</v>
      </c>
      <c r="V93" s="76">
        <f>IF($B93="Jacks Only",'Chinook Jack Proportions'!Q93,IF('3. Select Chinook Method'!$B93="Adults Only",'Chinook Adult Proportions'!Q93,'Chinook All Ages Proportions'!Q93))</f>
        <v>96.692380522993673</v>
      </c>
      <c r="W93" s="76">
        <f>IF($B93="Jacks Only",'Chinook Jack Proportions'!R93,IF('3. Select Chinook Method'!$B93="Adults Only",'Chinook Adult Proportions'!R93,'Chinook All Ages Proportions'!R93))</f>
        <v>0</v>
      </c>
      <c r="X93" s="56">
        <f>IF(B93="Jacks Only",'Chinook Jack Proportions'!S93,IF(B93="Adults Only",'Chinook Adult Proportions'!S93,'Chinook All Ages Proportions'!S93))</f>
        <v>0</v>
      </c>
      <c r="Y93" s="56">
        <f>IF($B93="Jacks Only",'Chinook Jack Proportions'!T93,IF('3. Select Chinook Method'!$B93="Adults Only",'Chinook Adult Proportions'!T93,'Chinook All Ages Proportions'!T93))</f>
        <v>107.85000000000001</v>
      </c>
      <c r="Z93" s="56">
        <f>IF($B93="Jacks Only",'Chinook Jack Proportions'!U93,IF('3. Select Chinook Method'!$B93="Adults Only",'Chinook Adult Proportions'!U93,'Chinook All Ages Proportions'!U93))</f>
        <v>138.048</v>
      </c>
      <c r="AA93" s="56">
        <f>IF($B93="Jacks Only",'Chinook Jack Proportions'!V93,IF('3. Select Chinook Method'!$B93="Adults Only",'Chinook Adult Proportions'!V93,'Chinook All Ages Proportions'!V93))</f>
        <v>208.14279192273924</v>
      </c>
      <c r="AB93" s="56">
        <f>IF($B93="Jacks Only",'Chinook Jack Proportions'!W93,IF('3. Select Chinook Method'!$B93="Adults Only",'Chinook Adult Proportions'!W93,'Chinook All Ages Proportions'!W93))</f>
        <v>16.324124168514413</v>
      </c>
      <c r="AC93" s="41">
        <f>IF(B93="Jacks Only",'Chinook Jack Proportions'!Y93,IF('3. Select Chinook Method'!B93="Adults Only",'Chinook Adult Proportions'!Y93,'Chinook All Ages Proportions'!Y93))</f>
        <v>3622.2289117066625</v>
      </c>
      <c r="AD93" s="42">
        <f>IF(B93="Jacks Only",'Chinook Jack Proportions'!Z93,IF('3. Select Chinook Method'!B93="Adults Only",'Chinook Adult Proportions'!Z93,'Chinook All Ages Proportions'!Z93))</f>
        <v>6.0766925282319577E-2</v>
      </c>
      <c r="AE93" s="43">
        <f>IF($B93="Jacks Only",'Chinook Jack Proportions'!AA93,IF('3. Select Chinook Method'!$B93="Adults Only",'Chinook Adult Proportions'!AA93,'Chinook All Ages Proportions'!AA93))</f>
        <v>8.2854480949361139E-2</v>
      </c>
      <c r="AF93" s="42">
        <f>IF($B93="Jacks Only",'Chinook Jack Proportions'!AB93,IF('3. Select Chinook Method'!$B93="Adults Only",'Chinook Adult Proportions'!AB93,'Chinook All Ages Proportions'!AB93))</f>
        <v>0</v>
      </c>
      <c r="AG93" s="44">
        <f>IF($B93="Jacks Only",'Chinook Jack Proportions'!AC93,IF('3. Select Chinook Method'!$B93="Adults Only",'Chinook Adult Proportions'!AC93,'Chinook All Ages Proportions'!AC93))</f>
        <v>0.23541787592154836</v>
      </c>
    </row>
    <row r="94" spans="1:33" x14ac:dyDescent="0.3">
      <c r="A94" s="5">
        <f>'1. Mixture Model Inputs'!A94</f>
        <v>45196</v>
      </c>
      <c r="B94" s="55" t="s">
        <v>43</v>
      </c>
      <c r="C94" s="60">
        <f t="shared" si="1"/>
        <v>9004.5808486447586</v>
      </c>
      <c r="D94" s="56">
        <f>'Chinook All Ages Proportions'!Y94</f>
        <v>9004.5808486447586</v>
      </c>
      <c r="E94" s="56">
        <f>'Chinook Adult Proportions'!Y94</f>
        <v>9004.5808486447586</v>
      </c>
      <c r="F94" s="57">
        <f>'Chinook Jack Proportions'!Y94</f>
        <v>0</v>
      </c>
      <c r="G94" s="71">
        <f>IF($B94="Jacks Only",'Chinook Jack Proportions'!C94,IF('3. Select Chinook Method'!$B94="Adults Only",'Chinook Adult Proportions'!C94,'Chinook All Ages Proportions'!C94))</f>
        <v>9.237779618889809E-2</v>
      </c>
      <c r="H94" s="71">
        <f>IF($B94="Jacks Only",'Chinook Jack Proportions'!D94,IF('3. Select Chinook Method'!$B94="Adults Only",'Chinook Adult Proportions'!D94,'Chinook All Ages Proportions'!D94))</f>
        <v>0</v>
      </c>
      <c r="I94" s="71">
        <f>IF($B94="Jacks Only",'Chinook Jack Proportions'!E94,IF('3. Select Chinook Method'!$B94="Adults Only",'Chinook Adult Proportions'!E94,'Chinook All Ages Proportions'!E94))</f>
        <v>2.573713143428286E-2</v>
      </c>
      <c r="J94" s="71">
        <f>IF($B94="Jacks Only",'Chinook Jack Proportions'!F94,IF('3. Select Chinook Method'!$B94="Adults Only",'Chinook Adult Proportions'!F94,'Chinook All Ages Proportions'!F94))</f>
        <v>8.3549717427829545E-2</v>
      </c>
      <c r="K94" s="71">
        <f>IF($B94="Jacks Only",'Chinook Jack Proportions'!G94,IF('3. Select Chinook Method'!$B94="Adults Only",'Chinook Adult Proportions'!G94,'Chinook All Ages Proportions'!G94))</f>
        <v>0.27126408319920764</v>
      </c>
      <c r="L94" s="24">
        <f>IF($B94="Jacks Only",'Chinook Jack Proportions'!H94,IF('3. Select Chinook Method'!$B94="Adults Only",'Chinook Adult Proportions'!H94,'Chinook All Ages Proportions'!H94))</f>
        <v>0.22222222222222221</v>
      </c>
      <c r="M94" s="71">
        <f>IF($B94="Jacks Only",'Chinook Jack Proportions'!I94,IF('3. Select Chinook Method'!$B94="Adults Only",'Chinook Adult Proportions'!I94,'Chinook All Ages Proportions'!I94))</f>
        <v>9.50209739193872E-2</v>
      </c>
      <c r="N94" s="71">
        <f>IF($B94="Jacks Only",'Chinook Jack Proportions'!J94,IF('3. Select Chinook Method'!$B94="Adults Only",'Chinook Adult Proportions'!J94,'Chinook All Ages Proportions'!J94))</f>
        <v>0.11657914478619656</v>
      </c>
      <c r="O94" s="23">
        <f>IF($B94="Jacks Only",'Chinook Jack Proportions'!K94,IF('3. Select Chinook Method'!$B94="Adults Only",'Chinook Adult Proportions'!K94,'Chinook All Ages Proportions'!K94))</f>
        <v>0.32721754724789626</v>
      </c>
      <c r="P94" s="76">
        <f>IF($B94="Jacks Only",'Chinook Jack Proportions'!L94,IF('3. Select Chinook Method'!$B94="Adults Only",'Chinook Adult Proportions'!L94,'Chinook All Ages Proportions'!L94))</f>
        <v>720.54681027340507</v>
      </c>
      <c r="Q94" s="76">
        <f>IF($B94="Jacks Only",'Chinook Jack Proportions'!M94,IF('3. Select Chinook Method'!$B94="Adults Only",'Chinook Adult Proportions'!M94,'Chinook All Ages Proportions'!M94))</f>
        <v>0</v>
      </c>
      <c r="R94" s="76">
        <f>IF($B94="Jacks Only",'Chinook Jack Proportions'!X94,IF('3. Select Chinook Method'!$B94="Adults Only",'Chinook Adult Proportions'!X94,'Chinook All Ages Proportions'!X94))</f>
        <v>473.79382308845578</v>
      </c>
      <c r="S94" s="76">
        <f>IF($B94="Jacks Only",'Chinook Jack Proportions'!N94,IF('3. Select Chinook Method'!$B94="Adults Only",'Chinook Adult Proportions'!N94,'Chinook All Ages Proportions'!N94))</f>
        <v>1168.6266076065374</v>
      </c>
      <c r="T94" s="76">
        <f>IF($B94="Jacks Only",'Chinook Jack Proportions'!O94,IF('3. Select Chinook Method'!$B94="Adults Only",'Chinook Adult Proportions'!O94,'Chinook All Ages Proportions'!O94))</f>
        <v>1908.5706871363132</v>
      </c>
      <c r="U94" s="76">
        <f>IF($B94="Jacks Only",'Chinook Jack Proportions'!P94,IF('3. Select Chinook Method'!$B94="Adults Only",'Chinook Adult Proportions'!P94,'Chinook All Ages Proportions'!P94))</f>
        <v>598.30006190417248</v>
      </c>
      <c r="V94" s="76">
        <f>IF($B94="Jacks Only",'Chinook Jack Proportions'!Q94,IF('3. Select Chinook Method'!$B94="Adults Only",'Chinook Adult Proportions'!Q94,'Chinook All Ages Proportions'!Q94))</f>
        <v>318.81125170236476</v>
      </c>
      <c r="W94" s="76">
        <f>IF($B94="Jacks Only",'Chinook Jack Proportions'!R94,IF('3. Select Chinook Method'!$B94="Adults Only",'Chinook Adult Proportions'!R94,'Chinook All Ages Proportions'!R94))</f>
        <v>0</v>
      </c>
      <c r="X94" s="56">
        <f>IF(B94="Jacks Only",'Chinook Jack Proportions'!S94,IF(B94="Adults Only",'Chinook Adult Proportions'!S94,'Chinook All Ages Proportions'!S94))</f>
        <v>3313.9199999999955</v>
      </c>
      <c r="Y94" s="56">
        <f>IF($B94="Jacks Only",'Chinook Jack Proportions'!T94,IF('3. Select Chinook Method'!$B94="Adults Only",'Chinook Adult Proportions'!T94,'Chinook All Ages Proportions'!T94))</f>
        <v>342.00778038350109</v>
      </c>
      <c r="Z94" s="56">
        <f>IF($B94="Jacks Only",'Chinook Jack Proportions'!U94,IF('3. Select Chinook Method'!$B94="Adults Only",'Chinook Adult Proportions'!U94,'Chinook All Ages Proportions'!U94))</f>
        <v>41.857668643950888</v>
      </c>
      <c r="AA94" s="56">
        <f>IF($B94="Jacks Only",'Chinook Jack Proportions'!V94,IF('3. Select Chinook Method'!$B94="Adults Only",'Chinook Adult Proportions'!V94,'Chinook All Ages Proportions'!V94))</f>
        <v>270.38900525131288</v>
      </c>
      <c r="AB94" s="56">
        <f>IF($B94="Jacks Only",'Chinook Jack Proportions'!W94,IF('3. Select Chinook Method'!$B94="Adults Only",'Chinook Adult Proportions'!W94,'Chinook All Ages Proportions'!W94))</f>
        <v>321.55097574320627</v>
      </c>
      <c r="AC94" s="41">
        <f>IF(B94="Jacks Only",'Chinook Jack Proportions'!Y94,IF('3. Select Chinook Method'!B94="Adults Only",'Chinook Adult Proportions'!Y94,'Chinook All Ages Proportions'!Y94))</f>
        <v>9004.5808486447586</v>
      </c>
      <c r="AD94" s="42">
        <f>IF(B94="Jacks Only",'Chinook Jack Proportions'!Z94,IF('3. Select Chinook Method'!B94="Adults Only",'Chinook Adult Proportions'!Z94,'Chinook All Ages Proportions'!Z94))</f>
        <v>0.13938548107867807</v>
      </c>
      <c r="AE94" s="43">
        <f>IF($B94="Jacks Only",'Chinook Jack Proportions'!AA94,IF('3. Select Chinook Method'!$B94="Adults Only",'Chinook Adult Proportions'!AA94,'Chinook All Ages Proportions'!AA94))</f>
        <v>0.11012703230015811</v>
      </c>
      <c r="AF94" s="42">
        <f>IF($B94="Jacks Only",'Chinook Jack Proportions'!AB94,IF('3. Select Chinook Method'!$B94="Adults Only",'Chinook Adult Proportions'!AB94,'Chinook All Ages Proportions'!AB94))</f>
        <v>0.22222222222222221</v>
      </c>
      <c r="AG94" s="44">
        <f>IF($B94="Jacks Only",'Chinook Jack Proportions'!AC94,IF('3. Select Chinook Method'!$B94="Adults Only",'Chinook Adult Proportions'!AC94,'Chinook All Ages Proportions'!AC94))</f>
        <v>0.27940186630187458</v>
      </c>
    </row>
    <row r="95" spans="1:33" x14ac:dyDescent="0.3">
      <c r="A95" s="5">
        <f>'1. Mixture Model Inputs'!A95</f>
        <v>45197</v>
      </c>
      <c r="B95" s="55" t="s">
        <v>43</v>
      </c>
      <c r="C95" s="60">
        <f t="shared" si="1"/>
        <v>6077.0379803570358</v>
      </c>
      <c r="D95" s="56">
        <f>'Chinook All Ages Proportions'!Y95</f>
        <v>6077.0379803570358</v>
      </c>
      <c r="E95" s="56">
        <f>'Chinook Adult Proportions'!Y95</f>
        <v>6077.0379803570358</v>
      </c>
      <c r="F95" s="57">
        <f>'Chinook Jack Proportions'!Y95</f>
        <v>0</v>
      </c>
      <c r="G95" s="71">
        <f>IF($B95="Jacks Only",'Chinook Jack Proportions'!C95,IF('3. Select Chinook Method'!$B95="Adults Only",'Chinook Adult Proportions'!C95,'Chinook All Ages Proportions'!C95))</f>
        <v>2.9025955902874684E-2</v>
      </c>
      <c r="H95" s="71">
        <f>IF($B95="Jacks Only",'Chinook Jack Proportions'!D95,IF('3. Select Chinook Method'!$B95="Adults Only",'Chinook Adult Proportions'!D95,'Chinook All Ages Proportions'!D95))</f>
        <v>2.1101093420295414E-2</v>
      </c>
      <c r="I95" s="71">
        <f>IF($B95="Jacks Only",'Chinook Jack Proportions'!E95,IF('3. Select Chinook Method'!$B95="Adults Only",'Chinook Adult Proportions'!E95,'Chinook All Ages Proportions'!E95))</f>
        <v>2.5316455696202531E-2</v>
      </c>
      <c r="J95" s="71">
        <f>IF($B95="Jacks Only",'Chinook Jack Proportions'!F95,IF('3. Select Chinook Method'!$B95="Adults Only",'Chinook Adult Proportions'!F95,'Chinook All Ages Proportions'!F95))</f>
        <v>0.27894138658873197</v>
      </c>
      <c r="K95" s="71">
        <f>IF($B95="Jacks Only",'Chinook Jack Proportions'!G95,IF('3. Select Chinook Method'!$B95="Adults Only",'Chinook Adult Proportions'!G95,'Chinook All Ages Proportions'!G95))</f>
        <v>0.26363425388721284</v>
      </c>
      <c r="L95" s="24">
        <f>IF($B95="Jacks Only",'Chinook Jack Proportions'!H95,IF('3. Select Chinook Method'!$B95="Adults Only",'Chinook Adult Proportions'!H95,'Chinook All Ages Proportions'!H95))</f>
        <v>0.125</v>
      </c>
      <c r="M95" s="71">
        <f>IF($B95="Jacks Only",'Chinook Jack Proportions'!I95,IF('3. Select Chinook Method'!$B95="Adults Only",'Chinook Adult Proportions'!I95,'Chinook All Ages Proportions'!I95))</f>
        <v>9.50209739193872E-2</v>
      </c>
      <c r="N95" s="71">
        <f>IF($B95="Jacks Only",'Chinook Jack Proportions'!J95,IF('3. Select Chinook Method'!$B95="Adults Only",'Chinook Adult Proportions'!J95,'Chinook All Ages Proportions'!J95))</f>
        <v>0.11657914478619656</v>
      </c>
      <c r="O95" s="23">
        <f>IF($B95="Jacks Only",'Chinook Jack Proportions'!K95,IF('3. Select Chinook Method'!$B95="Adults Only",'Chinook Adult Proportions'!K95,'Chinook All Ages Proportions'!K95))</f>
        <v>0.32721754724789626</v>
      </c>
      <c r="P95" s="76">
        <f>IF($B95="Jacks Only",'Chinook Jack Proportions'!L95,IF('3. Select Chinook Method'!$B95="Adults Only",'Chinook Adult Proportions'!L95,'Chinook All Ages Proportions'!L95))</f>
        <v>341.83868266815517</v>
      </c>
      <c r="Q95" s="76">
        <f>IF($B95="Jacks Only",'Chinook Jack Proportions'!M95,IF('3. Select Chinook Method'!$B95="Adults Only",'Chinook Adult Proportions'!M95,'Chinook All Ages Proportions'!M95))</f>
        <v>171.06656435833492</v>
      </c>
      <c r="R95" s="76">
        <f>IF($B95="Jacks Only",'Chinook Jack Proportions'!X95,IF('3. Select Chinook Method'!$B95="Adults Only",'Chinook Adult Proportions'!X95,'Chinook All Ages Proportions'!X95))</f>
        <v>503.40455696202531</v>
      </c>
      <c r="S95" s="76">
        <f>IF($B95="Jacks Only",'Chinook Jack Proportions'!N95,IF('3. Select Chinook Method'!$B95="Adults Only",'Chinook Adult Proportions'!N95,'Chinook All Ages Proportions'!N95))</f>
        <v>2106.3868290306868</v>
      </c>
      <c r="T95" s="76">
        <f>IF($B95="Jacks Only",'Chinook Jack Proportions'!O95,IF('3. Select Chinook Method'!$B95="Adults Only",'Chinook Adult Proportions'!O95,'Chinook All Ages Proportions'!O95))</f>
        <v>1031.5902900905085</v>
      </c>
      <c r="U95" s="76">
        <f>IF($B95="Jacks Only",'Chinook Jack Proportions'!P95,IF('3. Select Chinook Method'!$B95="Adults Only",'Chinook Adult Proportions'!P95,'Chinook All Ages Proportions'!P95))</f>
        <v>334.96313761893714</v>
      </c>
      <c r="V95" s="76">
        <f>IF($B95="Jacks Only",'Chinook Jack Proportions'!Q95,IF('3. Select Chinook Method'!$B95="Adults Only",'Chinook Adult Proportions'!Q95,'Chinook All Ages Proportions'!Q95))</f>
        <v>138.56616384311906</v>
      </c>
      <c r="W95" s="76">
        <f>IF($B95="Jacks Only",'Chinook Jack Proportions'!R95,IF('3. Select Chinook Method'!$B95="Adults Only",'Chinook Adult Proportions'!R95,'Chinook All Ages Proportions'!R95))</f>
        <v>0</v>
      </c>
      <c r="X95" s="56">
        <f>IF(B95="Jacks Only",'Chinook Jack Proportions'!S95,IF(B95="Adults Only",'Chinook Adult Proportions'!S95,'Chinook All Ages Proportions'!S95))</f>
        <v>999.41999999999962</v>
      </c>
      <c r="Y95" s="56">
        <f>IF($B95="Jacks Only",'Chinook Jack Proportions'!T95,IF('3. Select Chinook Method'!$B95="Adults Only",'Chinook Adult Proportions'!T95,'Chinook All Ages Proportions'!T95))</f>
        <v>-6.9893668092150643</v>
      </c>
      <c r="Z95" s="56">
        <f>IF($B95="Jacks Only",'Chinook Jack Proportions'!U95,IF('3. Select Chinook Method'!$B95="Adults Only",'Chinook Adult Proportions'!U95,'Chinook All Ages Proportions'!U95))</f>
        <v>414.96420471789213</v>
      </c>
      <c r="AA95" s="56">
        <f>IF($B95="Jacks Only",'Chinook Jack Proportions'!V95,IF('3. Select Chinook Method'!$B95="Adults Only",'Chinook Adult Proportions'!V95,'Chinook All Ages Proportions'!V95))</f>
        <v>285.41372543135788</v>
      </c>
      <c r="AB95" s="56">
        <f>IF($B95="Jacks Only",'Chinook Jack Proportions'!W95,IF('3. Select Chinook Method'!$B95="Adults Only",'Chinook Adult Proportions'!W95,'Chinook All Ages Proportions'!W95))</f>
        <v>259.81774940725882</v>
      </c>
      <c r="AC95" s="41">
        <f>IF(B95="Jacks Only",'Chinook Jack Proportions'!Y95,IF('3. Select Chinook Method'!B95="Adults Only",'Chinook Adult Proportions'!Y95,'Chinook All Ages Proportions'!Y95))</f>
        <v>6077.0379803570358</v>
      </c>
      <c r="AD95" s="42">
        <f>IF(B95="Jacks Only",'Chinook Jack Proportions'!Z95,IF('3. Select Chinook Method'!B95="Adults Only",'Chinook Adult Proportions'!Z95,'Chinook All Ages Proportions'!Z95))</f>
        <v>0.12775023881508216</v>
      </c>
      <c r="AE95" s="43">
        <f>IF($B95="Jacks Only",'Chinook Jack Proportions'!AA95,IF('3. Select Chinook Method'!$B95="Adults Only",'Chinook Adult Proportions'!AA95,'Chinook All Ages Proportions'!AA95))</f>
        <v>0.12443556026647014</v>
      </c>
      <c r="AF95" s="42">
        <f>IF($B95="Jacks Only",'Chinook Jack Proportions'!AB95,IF('3. Select Chinook Method'!$B95="Adults Only",'Chinook Adult Proportions'!AB95,'Chinook All Ages Proportions'!AB95))</f>
        <v>0.125</v>
      </c>
      <c r="AG95" s="44">
        <f>IF($B95="Jacks Only",'Chinook Jack Proportions'!AC95,IF('3. Select Chinook Method'!$B95="Adults Only",'Chinook Adult Proportions'!AC95,'Chinook All Ages Proportions'!AC95))</f>
        <v>0.25796914586778319</v>
      </c>
    </row>
    <row r="96" spans="1:33" x14ac:dyDescent="0.3">
      <c r="A96" s="5">
        <f>'1. Mixture Model Inputs'!A96</f>
        <v>45198</v>
      </c>
      <c r="B96" s="55" t="s">
        <v>43</v>
      </c>
      <c r="C96" s="60">
        <f t="shared" si="1"/>
        <v>11955.892965235586</v>
      </c>
      <c r="D96" s="56">
        <f>'Chinook All Ages Proportions'!Y96</f>
        <v>11955.892965235586</v>
      </c>
      <c r="E96" s="56">
        <f>'Chinook Adult Proportions'!Y96</f>
        <v>11955.892965235586</v>
      </c>
      <c r="F96" s="57">
        <f>'Chinook Jack Proportions'!Y96</f>
        <v>0</v>
      </c>
      <c r="G96" s="71">
        <f>IF($B96="Jacks Only",'Chinook Jack Proportions'!C96,IF('3. Select Chinook Method'!$B96="Adults Only",'Chinook Adult Proportions'!C96,'Chinook All Ages Proportions'!C96))</f>
        <v>1.3944757307589165E-2</v>
      </c>
      <c r="H96" s="71">
        <f>IF($B96="Jacks Only",'Chinook Jack Proportions'!D96,IF('3. Select Chinook Method'!$B96="Adults Only",'Chinook Adult Proportions'!D96,'Chinook All Ages Proportions'!D96))</f>
        <v>0.10059171597633138</v>
      </c>
      <c r="I96" s="71">
        <f>IF($B96="Jacks Only",'Chinook Jack Proportions'!E96,IF('3. Select Chinook Method'!$B96="Adults Only",'Chinook Adult Proportions'!E96,'Chinook All Ages Proportions'!E96))</f>
        <v>3.4250421111734979E-2</v>
      </c>
      <c r="J96" s="71">
        <f>IF($B96="Jacks Only",'Chinook Jack Proportions'!F96,IF('3. Select Chinook Method'!$B96="Adults Only",'Chinook Adult Proportions'!F96,'Chinook All Ages Proportions'!F96))</f>
        <v>0.19023569023569026</v>
      </c>
      <c r="K96" s="71">
        <f>IF($B96="Jacks Only",'Chinook Jack Proportions'!G96,IF('3. Select Chinook Method'!$B96="Adults Only",'Chinook Adult Proportions'!G96,'Chinook All Ages Proportions'!G96))</f>
        <v>0.21323529411764705</v>
      </c>
      <c r="L96" s="24">
        <f>IF($B96="Jacks Only",'Chinook Jack Proportions'!H96,IF('3. Select Chinook Method'!$B96="Adults Only",'Chinook Adult Proportions'!H96,'Chinook All Ages Proportions'!H96))</f>
        <v>0.2857142857142857</v>
      </c>
      <c r="M96" s="71" t="e">
        <f>IF($B96="Jacks Only",'Chinook Jack Proportions'!I96,IF('3. Select Chinook Method'!$B96="Adults Only",'Chinook Adult Proportions'!I96,'Chinook All Ages Proportions'!I96))</f>
        <v>#N/A</v>
      </c>
      <c r="N96" s="71" t="e">
        <f>IF($B96="Jacks Only",'Chinook Jack Proportions'!J96,IF('3. Select Chinook Method'!$B96="Adults Only",'Chinook Adult Proportions'!J96,'Chinook All Ages Proportions'!J96))</f>
        <v>#N/A</v>
      </c>
      <c r="O96" s="23" t="e">
        <f>IF($B96="Jacks Only",'Chinook Jack Proportions'!K96,IF('3. Select Chinook Method'!$B96="Adults Only",'Chinook Adult Proportions'!K96,'Chinook All Ages Proportions'!K96))</f>
        <v>#N/A</v>
      </c>
      <c r="P96" s="76">
        <f>IF($B96="Jacks Only",'Chinook Jack Proportions'!L96,IF('3. Select Chinook Method'!$B96="Adults Only",'Chinook Adult Proportions'!L96,'Chinook All Ages Proportions'!L96))</f>
        <v>190.30410297666933</v>
      </c>
      <c r="Q96" s="76">
        <f>IF($B96="Jacks Only",'Chinook Jack Proportions'!M96,IF('3. Select Chinook Method'!$B96="Adults Only",'Chinook Adult Proportions'!M96,'Chinook All Ages Proportions'!M96))</f>
        <v>361.6272189349113</v>
      </c>
      <c r="R96" s="76">
        <f>IF($B96="Jacks Only",'Chinook Jack Proportions'!X96,IF('3. Select Chinook Method'!$B96="Adults Only",'Chinook Adult Proportions'!X96,'Chinook All Ages Proportions'!X96))</f>
        <v>590.54028074115661</v>
      </c>
      <c r="S96" s="76">
        <f>IF($B96="Jacks Only",'Chinook Jack Proportions'!N96,IF('3. Select Chinook Method'!$B96="Adults Only",'Chinook Adult Proportions'!N96,'Chinook All Ages Proportions'!N96))</f>
        <v>1934.0577777777778</v>
      </c>
      <c r="T96" s="76">
        <f>IF($B96="Jacks Only",'Chinook Jack Proportions'!O96,IF('3. Select Chinook Method'!$B96="Adults Only",'Chinook Adult Proportions'!O96,'Chinook All Ages Proportions'!O96))</f>
        <v>1634.934705882353</v>
      </c>
      <c r="U96" s="76">
        <f>IF($B96="Jacks Only",'Chinook Jack Proportions'!P96,IF('3. Select Chinook Method'!$B96="Adults Only",'Chinook Adult Proportions'!P96,'Chinook All Ages Proportions'!P96))</f>
        <v>669.08117647058828</v>
      </c>
      <c r="V96" s="76">
        <f>IF($B96="Jacks Only",'Chinook Jack Proportions'!Q96,IF('3. Select Chinook Method'!$B96="Adults Only",'Chinook Adult Proportions'!Q96,'Chinook All Ages Proportions'!Q96))</f>
        <v>525.01941176470586</v>
      </c>
      <c r="W96" s="76">
        <f>IF($B96="Jacks Only",'Chinook Jack Proportions'!R96,IF('3. Select Chinook Method'!$B96="Adults Only",'Chinook Adult Proportions'!R96,'Chinook All Ages Proportions'!R96))</f>
        <v>0</v>
      </c>
      <c r="X96" s="56">
        <f>IF(B96="Jacks Only",'Chinook Jack Proportions'!S96,IF(B96="Adults Only",'Chinook Adult Proportions'!S96,'Chinook All Ages Proportions'!S96))</f>
        <v>6640.8685714285793</v>
      </c>
      <c r="Y96" s="56" t="e">
        <f>IF($B96="Jacks Only",'Chinook Jack Proportions'!T96,IF('3. Select Chinook Method'!$B96="Adults Only",'Chinook Adult Proportions'!T96,'Chinook All Ages Proportions'!T96))</f>
        <v>#N/A</v>
      </c>
      <c r="Z96" s="56" t="e">
        <f>IF($B96="Jacks Only",'Chinook Jack Proportions'!U96,IF('3. Select Chinook Method'!$B96="Adults Only",'Chinook Adult Proportions'!U96,'Chinook All Ages Proportions'!U96))</f>
        <v>#N/A</v>
      </c>
      <c r="AA96" s="56" t="e">
        <f>IF($B96="Jacks Only",'Chinook Jack Proportions'!V96,IF('3. Select Chinook Method'!$B96="Adults Only",'Chinook Adult Proportions'!V96,'Chinook All Ages Proportions'!V96))</f>
        <v>#N/A</v>
      </c>
      <c r="AB96" s="56" t="e">
        <f>IF($B96="Jacks Only",'Chinook Jack Proportions'!W96,IF('3. Select Chinook Method'!$B96="Adults Only",'Chinook Adult Proportions'!W96,'Chinook All Ages Proportions'!W96))</f>
        <v>#N/A</v>
      </c>
      <c r="AC96" s="41">
        <f>IF(B96="Jacks Only",'Chinook Jack Proportions'!Y96,IF('3. Select Chinook Method'!B96="Adults Only",'Chinook Adult Proportions'!Y96,'Chinook All Ages Proportions'!Y96))</f>
        <v>11955.892965235586</v>
      </c>
      <c r="AD96" s="42">
        <f>IF(B96="Jacks Only",'Chinook Jack Proportions'!Z96,IF('3. Select Chinook Method'!B96="Adults Only",'Chinook Adult Proportions'!Z96,'Chinook All Ages Proportions'!Z96))</f>
        <v>0.18704837902316535</v>
      </c>
      <c r="AE96" s="43">
        <f>IF($B96="Jacks Only",'Chinook Jack Proportions'!AA96,IF('3. Select Chinook Method'!$B96="Adults Only",'Chinook Adult Proportions'!AA96,'Chinook All Ages Proportions'!AA96))</f>
        <v>0.13066835990958245</v>
      </c>
      <c r="AF96" s="42">
        <f>IF($B96="Jacks Only",'Chinook Jack Proportions'!AB96,IF('3. Select Chinook Method'!$B96="Adults Only",'Chinook Adult Proportions'!AB96,'Chinook All Ages Proportions'!AB96))</f>
        <v>0.2857142857142857</v>
      </c>
      <c r="AG96" s="44" t="e">
        <f>IF($B96="Jacks Only",'Chinook Jack Proportions'!AC96,IF('3. Select Chinook Method'!$B96="Adults Only",'Chinook Adult Proportions'!AC96,'Chinook All Ages Proportions'!AC96))</f>
        <v>#N/A</v>
      </c>
    </row>
    <row r="97" spans="1:33" x14ac:dyDescent="0.3">
      <c r="A97" s="5">
        <f>'1. Mixture Model Inputs'!A97</f>
        <v>45199</v>
      </c>
      <c r="B97" s="55" t="s">
        <v>43</v>
      </c>
      <c r="C97" s="60">
        <f t="shared" si="1"/>
        <v>12620.061717363522</v>
      </c>
      <c r="D97" s="56">
        <f>'Chinook All Ages Proportions'!Y97</f>
        <v>12620.061717363522</v>
      </c>
      <c r="E97" s="56">
        <f>'Chinook Adult Proportions'!Y97</f>
        <v>12620.061717363522</v>
      </c>
      <c r="F97" s="57">
        <f>'Chinook Jack Proportions'!Y97</f>
        <v>0</v>
      </c>
      <c r="G97" s="71">
        <f>IF($B97="Jacks Only",'Chinook Jack Proportions'!C97,IF('3. Select Chinook Method'!$B97="Adults Only",'Chinook Adult Proportions'!C97,'Chinook All Ages Proportions'!C97))</f>
        <v>6.7840704422653594E-2</v>
      </c>
      <c r="H97" s="71">
        <f>IF($B97="Jacks Only",'Chinook Jack Proportions'!D97,IF('3. Select Chinook Method'!$B97="Adults Only",'Chinook Adult Proportions'!D97,'Chinook All Ages Proportions'!D97))</f>
        <v>6.1421206007621611E-2</v>
      </c>
      <c r="I97" s="71">
        <f>IF($B97="Jacks Only",'Chinook Jack Proportions'!E97,IF('3. Select Chinook Method'!$B97="Adults Only",'Chinook Adult Proportions'!E97,'Chinook All Ages Proportions'!E97))</f>
        <v>6.4921465968586389E-2</v>
      </c>
      <c r="J97" s="71">
        <f>IF($B97="Jacks Only",'Chinook Jack Proportions'!F97,IF('3. Select Chinook Method'!$B97="Adults Only",'Chinook Adult Proportions'!F97,'Chinook All Ages Proportions'!F97))</f>
        <v>0.16142722414335114</v>
      </c>
      <c r="K97" s="71">
        <f>IF($B97="Jacks Only",'Chinook Jack Proportions'!G97,IF('3. Select Chinook Method'!$B97="Adults Only",'Chinook Adult Proportions'!G97,'Chinook All Ages Proportions'!G97))</f>
        <v>0.28299447643671405</v>
      </c>
      <c r="L97" s="24">
        <f>IF($B97="Jacks Only",'Chinook Jack Proportions'!H97,IF('3. Select Chinook Method'!$B97="Adults Only",'Chinook Adult Proportions'!H97,'Chinook All Ages Proportions'!H97))</f>
        <v>0.2857142857142857</v>
      </c>
      <c r="M97" s="71" t="e">
        <f>IF($B97="Jacks Only",'Chinook Jack Proportions'!I97,IF('3. Select Chinook Method'!$B97="Adults Only",'Chinook Adult Proportions'!I97,'Chinook All Ages Proportions'!I97))</f>
        <v>#N/A</v>
      </c>
      <c r="N97" s="71" t="e">
        <f>IF($B97="Jacks Only",'Chinook Jack Proportions'!J97,IF('3. Select Chinook Method'!$B97="Adults Only",'Chinook Adult Proportions'!J97,'Chinook All Ages Proportions'!J97))</f>
        <v>#N/A</v>
      </c>
      <c r="O97" s="23" t="e">
        <f>IF($B97="Jacks Only",'Chinook Jack Proportions'!K97,IF('3. Select Chinook Method'!$B97="Adults Only",'Chinook Adult Proportions'!K97,'Chinook All Ages Proportions'!K97))</f>
        <v>#N/A</v>
      </c>
      <c r="P97" s="76">
        <f>IF($B97="Jacks Only",'Chinook Jack Proportions'!L97,IF('3. Select Chinook Method'!$B97="Adults Only",'Chinook Adult Proportions'!L97,'Chinook All Ages Proportions'!L97))</f>
        <v>498.76485891534924</v>
      </c>
      <c r="Q97" s="76">
        <f>IF($B97="Jacks Only",'Chinook Jack Proportions'!M97,IF('3. Select Chinook Method'!$B97="Adults Only",'Chinook Adult Proportions'!M97,'Chinook All Ages Proportions'!M97))</f>
        <v>123.76373010535754</v>
      </c>
      <c r="R97" s="76">
        <f>IF($B97="Jacks Only",'Chinook Jack Proportions'!X97,IF('3. Select Chinook Method'!$B97="Adults Only",'Chinook Adult Proportions'!X97,'Chinook All Ages Proportions'!X97))</f>
        <v>608.13235602094244</v>
      </c>
      <c r="S97" s="76">
        <f>IF($B97="Jacks Only",'Chinook Jack Proportions'!N97,IF('3. Select Chinook Method'!$B97="Adults Only",'Chinook Adult Proportions'!N97,'Chinook All Ages Proportions'!N97))</f>
        <v>1733.4959320968248</v>
      </c>
      <c r="T97" s="76">
        <f>IF($B97="Jacks Only",'Chinook Jack Proportions'!O97,IF('3. Select Chinook Method'!$B97="Adults Only",'Chinook Adult Proportions'!O97,'Chinook All Ages Proportions'!O97))</f>
        <v>1816.8924573980489</v>
      </c>
      <c r="U97" s="76">
        <f>IF($B97="Jacks Only",'Chinook Jack Proportions'!P97,IF('3. Select Chinook Method'!$B97="Adults Only",'Chinook Adult Proportions'!P97,'Chinook All Ages Proportions'!P97))</f>
        <v>743.57364672699487</v>
      </c>
      <c r="V97" s="76">
        <f>IF($B97="Jacks Only",'Chinook Jack Proportions'!Q97,IF('3. Select Chinook Method'!$B97="Adults Only",'Chinook Adult Proportions'!Q97,'Chinook All Ages Proportions'!Q97))</f>
        <v>322.88537783523327</v>
      </c>
      <c r="W97" s="76">
        <f>IF($B97="Jacks Only",'Chinook Jack Proportions'!R97,IF('3. Select Chinook Method'!$B97="Adults Only",'Chinook Adult Proportions'!R97,'Chinook All Ages Proportions'!R97))</f>
        <v>0</v>
      </c>
      <c r="X97" s="56">
        <f>IF(B97="Jacks Only",'Chinook Jack Proportions'!S97,IF(B97="Adults Only",'Chinook Adult Proportions'!S97,'Chinook All Ages Proportions'!S97))</f>
        <v>7380.6857142857134</v>
      </c>
      <c r="Y97" s="56" t="e">
        <f>IF($B97="Jacks Only",'Chinook Jack Proportions'!T97,IF('3. Select Chinook Method'!$B97="Adults Only",'Chinook Adult Proportions'!T97,'Chinook All Ages Proportions'!T97))</f>
        <v>#N/A</v>
      </c>
      <c r="Z97" s="56" t="e">
        <f>IF($B97="Jacks Only",'Chinook Jack Proportions'!U97,IF('3. Select Chinook Method'!$B97="Adults Only",'Chinook Adult Proportions'!U97,'Chinook All Ages Proportions'!U97))</f>
        <v>#N/A</v>
      </c>
      <c r="AA97" s="56" t="e">
        <f>IF($B97="Jacks Only",'Chinook Jack Proportions'!V97,IF('3. Select Chinook Method'!$B97="Adults Only",'Chinook Adult Proportions'!V97,'Chinook All Ages Proportions'!V97))</f>
        <v>#N/A</v>
      </c>
      <c r="AB97" s="56" t="e">
        <f>IF($B97="Jacks Only",'Chinook Jack Proportions'!W97,IF('3. Select Chinook Method'!$B97="Adults Only",'Chinook Adult Proportions'!W97,'Chinook All Ages Proportions'!W97))</f>
        <v>#N/A</v>
      </c>
      <c r="AC97" s="41">
        <f>IF(B97="Jacks Only",'Chinook Jack Proportions'!Y97,IF('3. Select Chinook Method'!B97="Adults Only",'Chinook Adult Proportions'!Y97,'Chinook All Ages Proportions'!Y97))</f>
        <v>12620.061717363522</v>
      </c>
      <c r="AD97" s="42">
        <f>IF(B97="Jacks Only",'Chinook Jack Proportions'!Z97,IF('3. Select Chinook Method'!B97="Adults Only",'Chinook Adult Proportions'!Z97,'Chinook All Ages Proportions'!Z97))</f>
        <v>0.22484880181053218</v>
      </c>
      <c r="AE97" s="43">
        <f>IF($B97="Jacks Only",'Chinook Jack Proportions'!AA97,IF('3. Select Chinook Method'!$B97="Adults Only",'Chinook Adult Proportions'!AA97,'Chinook All Ages Proportions'!AA97))</f>
        <v>0.17294820716770212</v>
      </c>
      <c r="AF97" s="42">
        <f>IF($B97="Jacks Only",'Chinook Jack Proportions'!AB97,IF('3. Select Chinook Method'!$B97="Adults Only",'Chinook Adult Proportions'!AB97,'Chinook All Ages Proportions'!AB97))</f>
        <v>0.2857142857142857</v>
      </c>
      <c r="AG97" s="44" t="e">
        <f>IF($B97="Jacks Only",'Chinook Jack Proportions'!AC97,IF('3. Select Chinook Method'!$B97="Adults Only",'Chinook Adult Proportions'!AC97,'Chinook All Ages Proportions'!AC97))</f>
        <v>#N/A</v>
      </c>
    </row>
    <row r="98" spans="1:33" x14ac:dyDescent="0.3">
      <c r="A98" s="5">
        <f>'1. Mixture Model Inputs'!A98</f>
        <v>45200</v>
      </c>
      <c r="B98" s="55" t="s">
        <v>43</v>
      </c>
      <c r="C98" s="60">
        <f t="shared" si="1"/>
        <v>10357.378588298354</v>
      </c>
      <c r="D98" s="56">
        <f>'Chinook All Ages Proportions'!Y98</f>
        <v>10357.378588298354</v>
      </c>
      <c r="E98" s="56">
        <f>'Chinook Adult Proportions'!Y98</f>
        <v>10357.378588298354</v>
      </c>
      <c r="F98" s="57">
        <f>'Chinook Jack Proportions'!Y98</f>
        <v>0</v>
      </c>
      <c r="G98" s="71">
        <f>IF($B98="Jacks Only",'Chinook Jack Proportions'!C98,IF('3. Select Chinook Method'!$B98="Adults Only",'Chinook Adult Proportions'!C98,'Chinook All Ages Proportions'!C98))</f>
        <v>1.6089312099819404E-2</v>
      </c>
      <c r="H98" s="71">
        <f>IF($B98="Jacks Only",'Chinook Jack Proportions'!D98,IF('3. Select Chinook Method'!$B98="Adults Only",'Chinook Adult Proportions'!D98,'Chinook All Ages Proportions'!D98))</f>
        <v>8.136321768498618E-2</v>
      </c>
      <c r="I98" s="71">
        <f>IF($B98="Jacks Only",'Chinook Jack Proportions'!E98,IF('3. Select Chinook Method'!$B98="Adults Only",'Chinook Adult Proportions'!E98,'Chinook All Ages Proportions'!E98))</f>
        <v>4.2741807820167801E-2</v>
      </c>
      <c r="J98" s="71">
        <f>IF($B98="Jacks Only",'Chinook Jack Proportions'!F98,IF('3. Select Chinook Method'!$B98="Adults Only",'Chinook Adult Proportions'!F98,'Chinook All Ages Proportions'!F98))</f>
        <v>0.15623579330201545</v>
      </c>
      <c r="K98" s="71">
        <f>IF($B98="Jacks Only",'Chinook Jack Proportions'!G98,IF('3. Select Chinook Method'!$B98="Adults Only",'Chinook Adult Proportions'!G98,'Chinook All Ages Proportions'!G98))</f>
        <v>0.26469227209625174</v>
      </c>
      <c r="L98" s="24">
        <f>IF($B98="Jacks Only",'Chinook Jack Proportions'!H98,IF('3. Select Chinook Method'!$B98="Adults Only",'Chinook Adult Proportions'!H98,'Chinook All Ages Proportions'!H98))</f>
        <v>0.26923076923076922</v>
      </c>
      <c r="M98" s="71" t="e">
        <f>IF($B98="Jacks Only",'Chinook Jack Proportions'!I98,IF('3. Select Chinook Method'!$B98="Adults Only",'Chinook Adult Proportions'!I98,'Chinook All Ages Proportions'!I98))</f>
        <v>#N/A</v>
      </c>
      <c r="N98" s="71" t="e">
        <f>IF($B98="Jacks Only",'Chinook Jack Proportions'!J98,IF('3. Select Chinook Method'!$B98="Adults Only",'Chinook Adult Proportions'!J98,'Chinook All Ages Proportions'!J98))</f>
        <v>#N/A</v>
      </c>
      <c r="O98" s="23" t="e">
        <f>IF($B98="Jacks Only",'Chinook Jack Proportions'!K98,IF('3. Select Chinook Method'!$B98="Adults Only",'Chinook Adult Proportions'!K98,'Chinook All Ages Proportions'!K98))</f>
        <v>#N/A</v>
      </c>
      <c r="P98" s="76">
        <f>IF($B98="Jacks Only",'Chinook Jack Proportions'!L98,IF('3. Select Chinook Method'!$B98="Adults Only",'Chinook Adult Proportions'!L98,'Chinook All Ages Proportions'!L98))</f>
        <v>130.61303562633393</v>
      </c>
      <c r="Q98" s="76">
        <f>IF($B98="Jacks Only",'Chinook Jack Proportions'!M98,IF('3. Select Chinook Method'!$B98="Adults Only",'Chinook Adult Proportions'!M98,'Chinook All Ages Proportions'!M98))</f>
        <v>180.87043291372427</v>
      </c>
      <c r="R98" s="76">
        <f>IF($B98="Jacks Only",'Chinook Jack Proportions'!X98,IF('3. Select Chinook Method'!$B98="Adults Only",'Chinook Adult Proportions'!X98,'Chinook All Ages Proportions'!X98))</f>
        <v>442.01867975304725</v>
      </c>
      <c r="S98" s="76">
        <f>IF($B98="Jacks Only",'Chinook Jack Proportions'!N98,IF('3. Select Chinook Method'!$B98="Adults Only",'Chinook Adult Proportions'!N98,'Chinook All Ages Proportions'!N98))</f>
        <v>1325.354484012729</v>
      </c>
      <c r="T98" s="76">
        <f>IF($B98="Jacks Only",'Chinook Jack Proportions'!O98,IF('3. Select Chinook Method'!$B98="Adults Only",'Chinook Adult Proportions'!O98,'Chinook All Ages Proportions'!O98))</f>
        <v>1042.6546228597872</v>
      </c>
      <c r="U98" s="76">
        <f>IF($B98="Jacks Only",'Chinook Jack Proportions'!P98,IF('3. Select Chinook Method'!$B98="Adults Only",'Chinook Adult Proportions'!P98,'Chinook All Ages Proportions'!P98))</f>
        <v>918.01632577510406</v>
      </c>
      <c r="V98" s="76">
        <f>IF($B98="Jacks Only",'Chinook Jack Proportions'!Q98,IF('3. Select Chinook Method'!$B98="Adults Only",'Chinook Adult Proportions'!Q98,'Chinook All Ages Proportions'!Q98))</f>
        <v>1228.4050717260527</v>
      </c>
      <c r="W98" s="76">
        <f>IF($B98="Jacks Only",'Chinook Jack Proportions'!R98,IF('3. Select Chinook Method'!$B98="Adults Only",'Chinook Adult Proportions'!R98,'Chinook All Ages Proportions'!R98))</f>
        <v>0</v>
      </c>
      <c r="X98" s="56">
        <f>IF(B98="Jacks Only",'Chinook Jack Proportions'!S98,IF(B98="Adults Only",'Chinook Adult Proportions'!S98,'Chinook All Ages Proportions'!S98))</f>
        <v>5531.4646153846234</v>
      </c>
      <c r="Y98" s="56" t="e">
        <f>IF($B98="Jacks Only",'Chinook Jack Proportions'!T98,IF('3. Select Chinook Method'!$B98="Adults Only",'Chinook Adult Proportions'!T98,'Chinook All Ages Proportions'!T98))</f>
        <v>#N/A</v>
      </c>
      <c r="Z98" s="56" t="e">
        <f>IF($B98="Jacks Only",'Chinook Jack Proportions'!U98,IF('3. Select Chinook Method'!$B98="Adults Only",'Chinook Adult Proportions'!U98,'Chinook All Ages Proportions'!U98))</f>
        <v>#N/A</v>
      </c>
      <c r="AA98" s="56" t="e">
        <f>IF($B98="Jacks Only",'Chinook Jack Proportions'!V98,IF('3. Select Chinook Method'!$B98="Adults Only",'Chinook Adult Proportions'!V98,'Chinook All Ages Proportions'!V98))</f>
        <v>#N/A</v>
      </c>
      <c r="AB98" s="56" t="e">
        <f>IF($B98="Jacks Only",'Chinook Jack Proportions'!W98,IF('3. Select Chinook Method'!$B98="Adults Only",'Chinook Adult Proportions'!W98,'Chinook All Ages Proportions'!W98))</f>
        <v>#N/A</v>
      </c>
      <c r="AC98" s="41">
        <f>IF(B98="Jacks Only",'Chinook Jack Proportions'!Y98,IF('3. Select Chinook Method'!B98="Adults Only",'Chinook Adult Proportions'!Y98,'Chinook All Ages Proportions'!Y98))</f>
        <v>10357.378588298354</v>
      </c>
      <c r="AD98" s="42">
        <f>IF(B98="Jacks Only",'Chinook Jack Proportions'!Z98,IF('3. Select Chinook Method'!B98="Adults Only",'Chinook Adult Proportions'!Z98,'Chinook All Ages Proportions'!Z98))</f>
        <v>0.20143362498615958</v>
      </c>
      <c r="AE98" s="43">
        <f>IF($B98="Jacks Only",'Chinook Jack Proportions'!AA98,IF('3. Select Chinook Method'!$B98="Adults Only",'Chinook Adult Proportions'!AA98,'Chinook All Ages Proportions'!AA98))</f>
        <v>0.15631563925729414</v>
      </c>
      <c r="AF98" s="42">
        <f>IF($B98="Jacks Only",'Chinook Jack Proportions'!AB98,IF('3. Select Chinook Method'!$B98="Adults Only",'Chinook Adult Proportions'!AB98,'Chinook All Ages Proportions'!AB98))</f>
        <v>0.26923076923076922</v>
      </c>
      <c r="AG98" s="44" t="e">
        <f>IF($B98="Jacks Only",'Chinook Jack Proportions'!AC98,IF('3. Select Chinook Method'!$B98="Adults Only",'Chinook Adult Proportions'!AC98,'Chinook All Ages Proportions'!AC98))</f>
        <v>#N/A</v>
      </c>
    </row>
    <row r="99" spans="1:33" x14ac:dyDescent="0.3">
      <c r="A99" s="5">
        <f>'1. Mixture Model Inputs'!A99</f>
        <v>45201</v>
      </c>
      <c r="B99" s="55" t="s">
        <v>43</v>
      </c>
      <c r="C99" s="60">
        <f>INDEX($D$6:$F$128, MATCH(A99, $A$6:$A$128, 0), MATCH(B99, $D$5:$F$5,0 ))</f>
        <v>4844.0857400860859</v>
      </c>
      <c r="D99" s="56">
        <f>'Chinook All Ages Proportions'!Y99</f>
        <v>4844.0857400860859</v>
      </c>
      <c r="E99" s="56">
        <f>'Chinook Adult Proportions'!Y99</f>
        <v>4844.0857400860859</v>
      </c>
      <c r="F99" s="57">
        <f>'Chinook Jack Proportions'!Y99</f>
        <v>0</v>
      </c>
      <c r="G99" s="71">
        <f>IF($B99="Jacks Only",'Chinook Jack Proportions'!C99,IF('3. Select Chinook Method'!$B99="Adults Only",'Chinook Adult Proportions'!C99,'Chinook All Ages Proportions'!C99))</f>
        <v>1.2318255250403878E-2</v>
      </c>
      <c r="H99" s="71">
        <f>IF($B99="Jacks Only",'Chinook Jack Proportions'!D99,IF('3. Select Chinook Method'!$B99="Adults Only",'Chinook Adult Proportions'!D99,'Chinook All Ages Proportions'!D99))</f>
        <v>0.11723521525398481</v>
      </c>
      <c r="I99" s="71">
        <f>IF($B99="Jacks Only",'Chinook Jack Proportions'!E99,IF('3. Select Chinook Method'!$B99="Adults Only",'Chinook Adult Proportions'!E99,'Chinook All Ages Proportions'!E99))</f>
        <v>6.440856440856442E-2</v>
      </c>
      <c r="J99" s="71">
        <f>IF($B99="Jacks Only",'Chinook Jack Proportions'!F99,IF('3. Select Chinook Method'!$B99="Adults Only",'Chinook Adult Proportions'!F99,'Chinook All Ages Proportions'!F99))</f>
        <v>0.20238833746898263</v>
      </c>
      <c r="K99" s="71">
        <f>IF($B99="Jacks Only",'Chinook Jack Proportions'!G99,IF('3. Select Chinook Method'!$B99="Adults Only",'Chinook Adult Proportions'!G99,'Chinook All Ages Proportions'!G99))</f>
        <v>0.51018986239331121</v>
      </c>
      <c r="L99" s="24">
        <f>IF($B99="Jacks Only",'Chinook Jack Proportions'!H99,IF('3. Select Chinook Method'!$B99="Adults Only",'Chinook Adult Proportions'!H99,'Chinook All Ages Proportions'!H99))</f>
        <v>0.14285714285714285</v>
      </c>
      <c r="M99" s="71" t="e">
        <f>IF($B99="Jacks Only",'Chinook Jack Proportions'!I99,IF('3. Select Chinook Method'!$B99="Adults Only",'Chinook Adult Proportions'!I99,'Chinook All Ages Proportions'!I99))</f>
        <v>#N/A</v>
      </c>
      <c r="N99" s="71" t="e">
        <f>IF($B99="Jacks Only",'Chinook Jack Proportions'!J99,IF('3. Select Chinook Method'!$B99="Adults Only",'Chinook Adult Proportions'!J99,'Chinook All Ages Proportions'!J99))</f>
        <v>#N/A</v>
      </c>
      <c r="O99" s="23" t="e">
        <f>IF($B99="Jacks Only",'Chinook Jack Proportions'!K99,IF('3. Select Chinook Method'!$B99="Adults Only",'Chinook Adult Proportions'!K99,'Chinook All Ages Proportions'!K99))</f>
        <v>#N/A</v>
      </c>
      <c r="P99" s="76">
        <f>IF($B99="Jacks Only",'Chinook Jack Proportions'!L99,IF('3. Select Chinook Method'!$B99="Adults Only",'Chinook Adult Proportions'!L99,'Chinook All Ages Proportions'!L99))</f>
        <v>104.72980613893377</v>
      </c>
      <c r="Q99" s="76">
        <f>IF($B99="Jacks Only",'Chinook Jack Proportions'!M99,IF('3. Select Chinook Method'!$B99="Adults Only",'Chinook Adult Proportions'!M99,'Chinook All Ages Proportions'!M99))</f>
        <v>468.23744972441534</v>
      </c>
      <c r="R99" s="76">
        <f>IF($B99="Jacks Only",'Chinook Jack Proportions'!X99,IF('3. Select Chinook Method'!$B99="Adults Only",'Chinook Adult Proportions'!X99,'Chinook All Ages Proportions'!X99))</f>
        <v>804.85457353457355</v>
      </c>
      <c r="S99" s="76">
        <f>IF($B99="Jacks Only",'Chinook Jack Proportions'!N99,IF('3. Select Chinook Method'!$B99="Adults Only",'Chinook Adult Proportions'!N99,'Chinook All Ages Proportions'!N99))</f>
        <v>1061.6158808933003</v>
      </c>
      <c r="T99" s="76">
        <f>IF($B99="Jacks Only",'Chinook Jack Proportions'!O99,IF('3. Select Chinook Method'!$B99="Adults Only",'Chinook Adult Proportions'!O99,'Chinook All Ages Proportions'!O99))</f>
        <v>968.54443476746189</v>
      </c>
      <c r="U99" s="76">
        <f>IF($B99="Jacks Only",'Chinook Jack Proportions'!P99,IF('3. Select Chinook Method'!$B99="Adults Only",'Chinook Adult Proportions'!P99,'Chinook All Ages Proportions'!P99))</f>
        <v>415.82514544504437</v>
      </c>
      <c r="V99" s="76">
        <f>IF($B99="Jacks Only",'Chinook Jack Proportions'!Q99,IF('3. Select Chinook Method'!$B99="Adults Only",'Chinook Adult Proportions'!Q99,'Chinook All Ages Proportions'!Q99))</f>
        <v>118.52730883121406</v>
      </c>
      <c r="W99" s="76">
        <f>IF($B99="Jacks Only",'Chinook Jack Proportions'!R99,IF('3. Select Chinook Method'!$B99="Adults Only",'Chinook Adult Proportions'!R99,'Chinook All Ages Proportions'!R99))</f>
        <v>0</v>
      </c>
      <c r="X99" s="56">
        <f>IF(B99="Jacks Only",'Chinook Jack Proportions'!S99,IF(B99="Adults Only",'Chinook Adult Proportions'!S99,'Chinook All Ages Proportions'!S99))</f>
        <v>1706.6057142857164</v>
      </c>
      <c r="Y99" s="56" t="e">
        <f>IF($B99="Jacks Only",'Chinook Jack Proportions'!T99,IF('3. Select Chinook Method'!$B99="Adults Only",'Chinook Adult Proportions'!T99,'Chinook All Ages Proportions'!T99))</f>
        <v>#N/A</v>
      </c>
      <c r="Z99" s="56" t="e">
        <f>IF($B99="Jacks Only",'Chinook Jack Proportions'!U99,IF('3. Select Chinook Method'!$B99="Adults Only",'Chinook Adult Proportions'!U99,'Chinook All Ages Proportions'!U99))</f>
        <v>#N/A</v>
      </c>
      <c r="AA99" s="56" t="e">
        <f>IF($B99="Jacks Only",'Chinook Jack Proportions'!V99,IF('3. Select Chinook Method'!$B99="Adults Only",'Chinook Adult Proportions'!V99,'Chinook All Ages Proportions'!V99))</f>
        <v>#N/A</v>
      </c>
      <c r="AB99" s="56" t="e">
        <f>IF($B99="Jacks Only",'Chinook Jack Proportions'!W99,IF('3. Select Chinook Method'!$B99="Adults Only",'Chinook Adult Proportions'!W99,'Chinook All Ages Proportions'!W99))</f>
        <v>#N/A</v>
      </c>
      <c r="AC99" s="41">
        <f>IF(B99="Jacks Only",'Chinook Jack Proportions'!Y99,IF('3. Select Chinook Method'!B99="Adults Only",'Chinook Adult Proportions'!Y99,'Chinook All Ages Proportions'!Y99))</f>
        <v>4844.0857400860859</v>
      </c>
      <c r="AD99" s="42">
        <f>IF(B99="Jacks Only",'Chinook Jack Proportions'!Z99,IF('3. Select Chinook Method'!B99="Adults Only",'Chinook Adult Proportions'!Z99,'Chinook All Ages Proportions'!Z99))</f>
        <v>0.14843895908520083</v>
      </c>
      <c r="AE99" s="43">
        <f>IF($B99="Jacks Only",'Chinook Jack Proportions'!AA99,IF('3. Select Chinook Method'!$B99="Adults Only",'Chinook Adult Proportions'!AA99,'Chinook All Ages Proportions'!AA99))</f>
        <v>0.15166227874328428</v>
      </c>
      <c r="AF99" s="42">
        <f>IF($B99="Jacks Only",'Chinook Jack Proportions'!AB99,IF('3. Select Chinook Method'!$B99="Adults Only",'Chinook Adult Proportions'!AB99,'Chinook All Ages Proportions'!AB99))</f>
        <v>0.14285714285714285</v>
      </c>
      <c r="AG99" s="44" t="e">
        <f>IF($B99="Jacks Only",'Chinook Jack Proportions'!AC99,IF('3. Select Chinook Method'!$B99="Adults Only",'Chinook Adult Proportions'!AC99,'Chinook All Ages Proportions'!AC99))</f>
        <v>#N/A</v>
      </c>
    </row>
    <row r="100" spans="1:33" x14ac:dyDescent="0.3">
      <c r="A100" s="5">
        <f>'1. Mixture Model Inputs'!A100</f>
        <v>45202</v>
      </c>
      <c r="B100" s="55"/>
      <c r="C100" s="60" t="e">
        <f t="shared" si="1"/>
        <v>#N/A</v>
      </c>
      <c r="D100" s="56">
        <f>'Chinook All Ages Proportions'!Y100</f>
        <v>0</v>
      </c>
      <c r="E100" s="56">
        <f>'Chinook Adult Proportions'!Y100</f>
        <v>0</v>
      </c>
      <c r="F100" s="57">
        <f>'Chinook Jack Proportions'!Y100</f>
        <v>0</v>
      </c>
      <c r="G100" s="71" t="e">
        <f>IF($B100="Jacks Only",'Chinook Jack Proportions'!C100,IF('3. Select Chinook Method'!$B100="Adults Only",'Chinook Adult Proportions'!C100,'Chinook All Ages Proportions'!C100))</f>
        <v>#N/A</v>
      </c>
      <c r="H100" s="71" t="e">
        <f>IF($B100="Jacks Only",'Chinook Jack Proportions'!D100,IF('3. Select Chinook Method'!$B100="Adults Only",'Chinook Adult Proportions'!D100,'Chinook All Ages Proportions'!D100))</f>
        <v>#N/A</v>
      </c>
      <c r="I100" s="71" t="e">
        <f>IF($B100="Jacks Only",'Chinook Jack Proportions'!E100,IF('3. Select Chinook Method'!$B100="Adults Only",'Chinook Adult Proportions'!E100,'Chinook All Ages Proportions'!E100))</f>
        <v>#N/A</v>
      </c>
      <c r="J100" s="71" t="e">
        <f>IF($B100="Jacks Only",'Chinook Jack Proportions'!F100,IF('3. Select Chinook Method'!$B100="Adults Only",'Chinook Adult Proportions'!F100,'Chinook All Ages Proportions'!F100))</f>
        <v>#N/A</v>
      </c>
      <c r="K100" s="71" t="e">
        <f>IF($B100="Jacks Only",'Chinook Jack Proportions'!G100,IF('3. Select Chinook Method'!$B100="Adults Only",'Chinook Adult Proportions'!G100,'Chinook All Ages Proportions'!G100))</f>
        <v>#N/A</v>
      </c>
      <c r="L100" s="24" t="e">
        <f>IF($B100="Jacks Only",'Chinook Jack Proportions'!H100,IF('3. Select Chinook Method'!$B100="Adults Only",'Chinook Adult Proportions'!H100,'Chinook All Ages Proportions'!H100))</f>
        <v>#N/A</v>
      </c>
      <c r="M100" s="71" t="e">
        <f>IF($B100="Jacks Only",'Chinook Jack Proportions'!I100,IF('3. Select Chinook Method'!$B100="Adults Only",'Chinook Adult Proportions'!I100,'Chinook All Ages Proportions'!I100))</f>
        <v>#N/A</v>
      </c>
      <c r="N100" s="71" t="e">
        <f>IF($B100="Jacks Only",'Chinook Jack Proportions'!J100,IF('3. Select Chinook Method'!$B100="Adults Only",'Chinook Adult Proportions'!J100,'Chinook All Ages Proportions'!J100))</f>
        <v>#N/A</v>
      </c>
      <c r="O100" s="23" t="e">
        <f>IF($B100="Jacks Only",'Chinook Jack Proportions'!K100,IF('3. Select Chinook Method'!$B100="Adults Only",'Chinook Adult Proportions'!K100,'Chinook All Ages Proportions'!K100))</f>
        <v>#N/A</v>
      </c>
      <c r="P100" s="76" t="e">
        <f>IF($B100="Jacks Only",'Chinook Jack Proportions'!L100,IF('3. Select Chinook Method'!$B100="Adults Only",'Chinook Adult Proportions'!L100,'Chinook All Ages Proportions'!L100))</f>
        <v>#N/A</v>
      </c>
      <c r="Q100" s="76" t="e">
        <f>IF($B100="Jacks Only",'Chinook Jack Proportions'!M100,IF('3. Select Chinook Method'!$B100="Adults Only",'Chinook Adult Proportions'!M100,'Chinook All Ages Proportions'!M100))</f>
        <v>#N/A</v>
      </c>
      <c r="R100" s="76" t="e">
        <f>IF($B100="Jacks Only",'Chinook Jack Proportions'!X100,IF('3. Select Chinook Method'!$B100="Adults Only",'Chinook Adult Proportions'!X100,'Chinook All Ages Proportions'!X100))</f>
        <v>#N/A</v>
      </c>
      <c r="S100" s="76" t="e">
        <f>IF($B100="Jacks Only",'Chinook Jack Proportions'!N100,IF('3. Select Chinook Method'!$B100="Adults Only",'Chinook Adult Proportions'!N100,'Chinook All Ages Proportions'!N100))</f>
        <v>#N/A</v>
      </c>
      <c r="T100" s="76" t="e">
        <f>IF($B100="Jacks Only",'Chinook Jack Proportions'!O100,IF('3. Select Chinook Method'!$B100="Adults Only",'Chinook Adult Proportions'!O100,'Chinook All Ages Proportions'!O100))</f>
        <v>#N/A</v>
      </c>
      <c r="U100" s="76" t="e">
        <f>IF($B100="Jacks Only",'Chinook Jack Proportions'!P100,IF('3. Select Chinook Method'!$B100="Adults Only",'Chinook Adult Proportions'!P100,'Chinook All Ages Proportions'!P100))</f>
        <v>#N/A</v>
      </c>
      <c r="V100" s="76" t="e">
        <f>IF($B100="Jacks Only",'Chinook Jack Proportions'!Q100,IF('3. Select Chinook Method'!$B100="Adults Only",'Chinook Adult Proportions'!Q100,'Chinook All Ages Proportions'!Q100))</f>
        <v>#N/A</v>
      </c>
      <c r="W100" s="76" t="e">
        <f>IF($B100="Jacks Only",'Chinook Jack Proportions'!R100,IF('3. Select Chinook Method'!$B100="Adults Only",'Chinook Adult Proportions'!R100,'Chinook All Ages Proportions'!R100))</f>
        <v>#N/A</v>
      </c>
      <c r="X100" s="56" t="e">
        <f>IF(B100="Jacks Only",'Chinook Jack Proportions'!S100,IF(B100="Adults Only",'Chinook Adult Proportions'!S100,'Chinook All Ages Proportions'!S100))</f>
        <v>#N/A</v>
      </c>
      <c r="Y100" s="56" t="e">
        <f>IF($B100="Jacks Only",'Chinook Jack Proportions'!T100,IF('3. Select Chinook Method'!$B100="Adults Only",'Chinook Adult Proportions'!T100,'Chinook All Ages Proportions'!T100))</f>
        <v>#N/A</v>
      </c>
      <c r="Z100" s="56" t="e">
        <f>IF($B100="Jacks Only",'Chinook Jack Proportions'!U100,IF('3. Select Chinook Method'!$B100="Adults Only",'Chinook Adult Proportions'!U100,'Chinook All Ages Proportions'!U100))</f>
        <v>#N/A</v>
      </c>
      <c r="AA100" s="56" t="e">
        <f>IF($B100="Jacks Only",'Chinook Jack Proportions'!V100,IF('3. Select Chinook Method'!$B100="Adults Only",'Chinook Adult Proportions'!V100,'Chinook All Ages Proportions'!V100))</f>
        <v>#N/A</v>
      </c>
      <c r="AB100" s="56" t="e">
        <f>IF($B100="Jacks Only",'Chinook Jack Proportions'!W100,IF('3. Select Chinook Method'!$B100="Adults Only",'Chinook Adult Proportions'!W100,'Chinook All Ages Proportions'!W100))</f>
        <v>#N/A</v>
      </c>
      <c r="AC100" s="41">
        <f>IF(B100="Jacks Only",'Chinook Jack Proportions'!Y100,IF('3. Select Chinook Method'!B100="Adults Only",'Chinook Adult Proportions'!Y100,'Chinook All Ages Proportions'!Y100))</f>
        <v>0</v>
      </c>
      <c r="AD100" s="42" t="e">
        <f>IF(B100="Jacks Only",'Chinook Jack Proportions'!Z100,IF('3. Select Chinook Method'!B100="Adults Only",'Chinook Adult Proportions'!Z100,'Chinook All Ages Proportions'!Z100))</f>
        <v>#N/A</v>
      </c>
      <c r="AE100" s="43" t="e">
        <f>IF($B100="Jacks Only",'Chinook Jack Proportions'!AA100,IF('3. Select Chinook Method'!$B100="Adults Only",'Chinook Adult Proportions'!AA100,'Chinook All Ages Proportions'!AA100))</f>
        <v>#N/A</v>
      </c>
      <c r="AF100" s="42" t="e">
        <f>IF($B100="Jacks Only",'Chinook Jack Proportions'!AB100,IF('3. Select Chinook Method'!$B100="Adults Only",'Chinook Adult Proportions'!AB100,'Chinook All Ages Proportions'!AB100))</f>
        <v>#N/A</v>
      </c>
      <c r="AG100" s="44" t="e">
        <f>IF($B100="Jacks Only",'Chinook Jack Proportions'!AC100,IF('3. Select Chinook Method'!$B100="Adults Only",'Chinook Adult Proportions'!AC100,'Chinook All Ages Proportions'!AC100))</f>
        <v>#N/A</v>
      </c>
    </row>
    <row r="101" spans="1:33" x14ac:dyDescent="0.3">
      <c r="A101" s="5">
        <f>'1. Mixture Model Inputs'!A101</f>
        <v>45203</v>
      </c>
      <c r="B101" s="55"/>
      <c r="C101" s="60" t="e">
        <f t="shared" si="1"/>
        <v>#N/A</v>
      </c>
      <c r="D101" s="56">
        <f>'Chinook All Ages Proportions'!Y101</f>
        <v>0</v>
      </c>
      <c r="E101" s="56">
        <f>'Chinook Adult Proportions'!Y101</f>
        <v>0</v>
      </c>
      <c r="F101" s="57">
        <f>'Chinook Jack Proportions'!Y101</f>
        <v>0</v>
      </c>
      <c r="G101" s="71" t="e">
        <f>IF($B101="Jacks Only",'Chinook Jack Proportions'!C101,IF('3. Select Chinook Method'!$B101="Adults Only",'Chinook Adult Proportions'!C101,'Chinook All Ages Proportions'!C101))</f>
        <v>#N/A</v>
      </c>
      <c r="H101" s="71" t="e">
        <f>IF($B101="Jacks Only",'Chinook Jack Proportions'!D101,IF('3. Select Chinook Method'!$B101="Adults Only",'Chinook Adult Proportions'!D101,'Chinook All Ages Proportions'!D101))</f>
        <v>#N/A</v>
      </c>
      <c r="I101" s="71" t="e">
        <f>IF($B101="Jacks Only",'Chinook Jack Proportions'!E101,IF('3. Select Chinook Method'!$B101="Adults Only",'Chinook Adult Proportions'!E101,'Chinook All Ages Proportions'!E101))</f>
        <v>#N/A</v>
      </c>
      <c r="J101" s="71" t="e">
        <f>IF($B101="Jacks Only",'Chinook Jack Proportions'!F101,IF('3. Select Chinook Method'!$B101="Adults Only",'Chinook Adult Proportions'!F101,'Chinook All Ages Proportions'!F101))</f>
        <v>#N/A</v>
      </c>
      <c r="K101" s="71" t="e">
        <f>IF($B101="Jacks Only",'Chinook Jack Proportions'!G101,IF('3. Select Chinook Method'!$B101="Adults Only",'Chinook Adult Proportions'!G101,'Chinook All Ages Proportions'!G101))</f>
        <v>#N/A</v>
      </c>
      <c r="L101" s="24" t="e">
        <f>IF($B101="Jacks Only",'Chinook Jack Proportions'!H101,IF('3. Select Chinook Method'!$B101="Adults Only",'Chinook Adult Proportions'!H101,'Chinook All Ages Proportions'!H101))</f>
        <v>#N/A</v>
      </c>
      <c r="M101" s="71" t="e">
        <f>IF($B101="Jacks Only",'Chinook Jack Proportions'!I101,IF('3. Select Chinook Method'!$B101="Adults Only",'Chinook Adult Proportions'!I101,'Chinook All Ages Proportions'!I101))</f>
        <v>#N/A</v>
      </c>
      <c r="N101" s="71" t="e">
        <f>IF($B101="Jacks Only",'Chinook Jack Proportions'!J101,IF('3. Select Chinook Method'!$B101="Adults Only",'Chinook Adult Proportions'!J101,'Chinook All Ages Proportions'!J101))</f>
        <v>#N/A</v>
      </c>
      <c r="O101" s="23" t="e">
        <f>IF($B101="Jacks Only",'Chinook Jack Proportions'!K101,IF('3. Select Chinook Method'!$B101="Adults Only",'Chinook Adult Proportions'!K101,'Chinook All Ages Proportions'!K101))</f>
        <v>#N/A</v>
      </c>
      <c r="P101" s="76" t="e">
        <f>IF($B101="Jacks Only",'Chinook Jack Proportions'!L101,IF('3. Select Chinook Method'!$B101="Adults Only",'Chinook Adult Proportions'!L101,'Chinook All Ages Proportions'!L101))</f>
        <v>#N/A</v>
      </c>
      <c r="Q101" s="76" t="e">
        <f>IF($B101="Jacks Only",'Chinook Jack Proportions'!M101,IF('3. Select Chinook Method'!$B101="Adults Only",'Chinook Adult Proportions'!M101,'Chinook All Ages Proportions'!M101))</f>
        <v>#N/A</v>
      </c>
      <c r="R101" s="76" t="e">
        <f>IF($B101="Jacks Only",'Chinook Jack Proportions'!X101,IF('3. Select Chinook Method'!$B101="Adults Only",'Chinook Adult Proportions'!X101,'Chinook All Ages Proportions'!X101))</f>
        <v>#N/A</v>
      </c>
      <c r="S101" s="76" t="e">
        <f>IF($B101="Jacks Only",'Chinook Jack Proportions'!N101,IF('3. Select Chinook Method'!$B101="Adults Only",'Chinook Adult Proportions'!N101,'Chinook All Ages Proportions'!N101))</f>
        <v>#N/A</v>
      </c>
      <c r="T101" s="76" t="e">
        <f>IF($B101="Jacks Only",'Chinook Jack Proportions'!O101,IF('3. Select Chinook Method'!$B101="Adults Only",'Chinook Adult Proportions'!O101,'Chinook All Ages Proportions'!O101))</f>
        <v>#N/A</v>
      </c>
      <c r="U101" s="76" t="e">
        <f>IF($B101="Jacks Only",'Chinook Jack Proportions'!P101,IF('3. Select Chinook Method'!$B101="Adults Only",'Chinook Adult Proportions'!P101,'Chinook All Ages Proportions'!P101))</f>
        <v>#N/A</v>
      </c>
      <c r="V101" s="76" t="e">
        <f>IF($B101="Jacks Only",'Chinook Jack Proportions'!Q101,IF('3. Select Chinook Method'!$B101="Adults Only",'Chinook Adult Proportions'!Q101,'Chinook All Ages Proportions'!Q101))</f>
        <v>#N/A</v>
      </c>
      <c r="W101" s="76" t="e">
        <f>IF($B101="Jacks Only",'Chinook Jack Proportions'!R101,IF('3. Select Chinook Method'!$B101="Adults Only",'Chinook Adult Proportions'!R101,'Chinook All Ages Proportions'!R101))</f>
        <v>#N/A</v>
      </c>
      <c r="X101" s="56" t="e">
        <f>IF(B101="Jacks Only",'Chinook Jack Proportions'!S101,IF(B101="Adults Only",'Chinook Adult Proportions'!S101,'Chinook All Ages Proportions'!S101))</f>
        <v>#N/A</v>
      </c>
      <c r="Y101" s="56" t="e">
        <f>IF($B101="Jacks Only",'Chinook Jack Proportions'!T101,IF('3. Select Chinook Method'!$B101="Adults Only",'Chinook Adult Proportions'!T101,'Chinook All Ages Proportions'!T101))</f>
        <v>#N/A</v>
      </c>
      <c r="Z101" s="56" t="e">
        <f>IF($B101="Jacks Only",'Chinook Jack Proportions'!U101,IF('3. Select Chinook Method'!$B101="Adults Only",'Chinook Adult Proportions'!U101,'Chinook All Ages Proportions'!U101))</f>
        <v>#N/A</v>
      </c>
      <c r="AA101" s="56" t="e">
        <f>IF($B101="Jacks Only",'Chinook Jack Proportions'!V101,IF('3. Select Chinook Method'!$B101="Adults Only",'Chinook Adult Proportions'!V101,'Chinook All Ages Proportions'!V101))</f>
        <v>#N/A</v>
      </c>
      <c r="AB101" s="56" t="e">
        <f>IF($B101="Jacks Only",'Chinook Jack Proportions'!W101,IF('3. Select Chinook Method'!$B101="Adults Only",'Chinook Adult Proportions'!W101,'Chinook All Ages Proportions'!W101))</f>
        <v>#N/A</v>
      </c>
      <c r="AC101" s="41">
        <f>IF(B101="Jacks Only",'Chinook Jack Proportions'!Y101,IF('3. Select Chinook Method'!B101="Adults Only",'Chinook Adult Proportions'!Y101,'Chinook All Ages Proportions'!Y101))</f>
        <v>0</v>
      </c>
      <c r="AD101" s="42" t="e">
        <f>IF(B101="Jacks Only",'Chinook Jack Proportions'!Z101,IF('3. Select Chinook Method'!B101="Adults Only",'Chinook Adult Proportions'!Z101,'Chinook All Ages Proportions'!Z101))</f>
        <v>#N/A</v>
      </c>
      <c r="AE101" s="43" t="e">
        <f>IF($B101="Jacks Only",'Chinook Jack Proportions'!AA101,IF('3. Select Chinook Method'!$B101="Adults Only",'Chinook Adult Proportions'!AA101,'Chinook All Ages Proportions'!AA101))</f>
        <v>#N/A</v>
      </c>
      <c r="AF101" s="42" t="e">
        <f>IF($B101="Jacks Only",'Chinook Jack Proportions'!AB101,IF('3. Select Chinook Method'!$B101="Adults Only",'Chinook Adult Proportions'!AB101,'Chinook All Ages Proportions'!AB101))</f>
        <v>#N/A</v>
      </c>
      <c r="AG101" s="44" t="e">
        <f>IF($B101="Jacks Only",'Chinook Jack Proportions'!AC101,IF('3. Select Chinook Method'!$B101="Adults Only",'Chinook Adult Proportions'!AC101,'Chinook All Ages Proportions'!AC101))</f>
        <v>#N/A</v>
      </c>
    </row>
    <row r="102" spans="1:33" x14ac:dyDescent="0.3">
      <c r="A102" s="5">
        <f>'1. Mixture Model Inputs'!A102</f>
        <v>45204</v>
      </c>
      <c r="B102" s="55"/>
      <c r="C102" s="60" t="e">
        <f t="shared" si="1"/>
        <v>#N/A</v>
      </c>
      <c r="D102" s="56">
        <f>'Chinook All Ages Proportions'!Y102</f>
        <v>0</v>
      </c>
      <c r="E102" s="56">
        <f>'Chinook Adult Proportions'!Y102</f>
        <v>0</v>
      </c>
      <c r="F102" s="57">
        <f>'Chinook Jack Proportions'!Y102</f>
        <v>0</v>
      </c>
      <c r="G102" s="71" t="e">
        <f>IF($B102="Jacks Only",'Chinook Jack Proportions'!C102,IF('3. Select Chinook Method'!$B102="Adults Only",'Chinook Adult Proportions'!C102,'Chinook All Ages Proportions'!C102))</f>
        <v>#N/A</v>
      </c>
      <c r="H102" s="71" t="e">
        <f>IF($B102="Jacks Only",'Chinook Jack Proportions'!D102,IF('3. Select Chinook Method'!$B102="Adults Only",'Chinook Adult Proportions'!D102,'Chinook All Ages Proportions'!D102))</f>
        <v>#N/A</v>
      </c>
      <c r="I102" s="71" t="e">
        <f>IF($B102="Jacks Only",'Chinook Jack Proportions'!E102,IF('3. Select Chinook Method'!$B102="Adults Only",'Chinook Adult Proportions'!E102,'Chinook All Ages Proportions'!E102))</f>
        <v>#N/A</v>
      </c>
      <c r="J102" s="71" t="e">
        <f>IF($B102="Jacks Only",'Chinook Jack Proportions'!F102,IF('3. Select Chinook Method'!$B102="Adults Only",'Chinook Adult Proportions'!F102,'Chinook All Ages Proportions'!F102))</f>
        <v>#N/A</v>
      </c>
      <c r="K102" s="71" t="e">
        <f>IF($B102="Jacks Only",'Chinook Jack Proportions'!G102,IF('3. Select Chinook Method'!$B102="Adults Only",'Chinook Adult Proportions'!G102,'Chinook All Ages Proportions'!G102))</f>
        <v>#N/A</v>
      </c>
      <c r="L102" s="24" t="e">
        <f>IF($B102="Jacks Only",'Chinook Jack Proportions'!H102,IF('3. Select Chinook Method'!$B102="Adults Only",'Chinook Adult Proportions'!H102,'Chinook All Ages Proportions'!H102))</f>
        <v>#N/A</v>
      </c>
      <c r="M102" s="71" t="e">
        <f>IF($B102="Jacks Only",'Chinook Jack Proportions'!I102,IF('3. Select Chinook Method'!$B102="Adults Only",'Chinook Adult Proportions'!I102,'Chinook All Ages Proportions'!I102))</f>
        <v>#N/A</v>
      </c>
      <c r="N102" s="71" t="e">
        <f>IF($B102="Jacks Only",'Chinook Jack Proportions'!J102,IF('3. Select Chinook Method'!$B102="Adults Only",'Chinook Adult Proportions'!J102,'Chinook All Ages Proportions'!J102))</f>
        <v>#N/A</v>
      </c>
      <c r="O102" s="23" t="e">
        <f>IF($B102="Jacks Only",'Chinook Jack Proportions'!K102,IF('3. Select Chinook Method'!$B102="Adults Only",'Chinook Adult Proportions'!K102,'Chinook All Ages Proportions'!K102))</f>
        <v>#N/A</v>
      </c>
      <c r="P102" s="76" t="e">
        <f>IF($B102="Jacks Only",'Chinook Jack Proportions'!L102,IF('3. Select Chinook Method'!$B102="Adults Only",'Chinook Adult Proportions'!L102,'Chinook All Ages Proportions'!L102))</f>
        <v>#N/A</v>
      </c>
      <c r="Q102" s="76" t="e">
        <f>IF($B102="Jacks Only",'Chinook Jack Proportions'!M102,IF('3. Select Chinook Method'!$B102="Adults Only",'Chinook Adult Proportions'!M102,'Chinook All Ages Proportions'!M102))</f>
        <v>#N/A</v>
      </c>
      <c r="R102" s="76" t="e">
        <f>IF($B102="Jacks Only",'Chinook Jack Proportions'!X102,IF('3. Select Chinook Method'!$B102="Adults Only",'Chinook Adult Proportions'!X102,'Chinook All Ages Proportions'!X102))</f>
        <v>#N/A</v>
      </c>
      <c r="S102" s="76" t="e">
        <f>IF($B102="Jacks Only",'Chinook Jack Proportions'!N102,IF('3. Select Chinook Method'!$B102="Adults Only",'Chinook Adult Proportions'!N102,'Chinook All Ages Proportions'!N102))</f>
        <v>#N/A</v>
      </c>
      <c r="T102" s="76" t="e">
        <f>IF($B102="Jacks Only",'Chinook Jack Proportions'!O102,IF('3. Select Chinook Method'!$B102="Adults Only",'Chinook Adult Proportions'!O102,'Chinook All Ages Proportions'!O102))</f>
        <v>#N/A</v>
      </c>
      <c r="U102" s="76" t="e">
        <f>IF($B102="Jacks Only",'Chinook Jack Proportions'!P102,IF('3. Select Chinook Method'!$B102="Adults Only",'Chinook Adult Proportions'!P102,'Chinook All Ages Proportions'!P102))</f>
        <v>#N/A</v>
      </c>
      <c r="V102" s="76" t="e">
        <f>IF($B102="Jacks Only",'Chinook Jack Proportions'!Q102,IF('3. Select Chinook Method'!$B102="Adults Only",'Chinook Adult Proportions'!Q102,'Chinook All Ages Proportions'!Q102))</f>
        <v>#N/A</v>
      </c>
      <c r="W102" s="76" t="e">
        <f>IF($B102="Jacks Only",'Chinook Jack Proportions'!R102,IF('3. Select Chinook Method'!$B102="Adults Only",'Chinook Adult Proportions'!R102,'Chinook All Ages Proportions'!R102))</f>
        <v>#N/A</v>
      </c>
      <c r="X102" s="56" t="e">
        <f>IF(B102="Jacks Only",'Chinook Jack Proportions'!S102,IF(B102="Adults Only",'Chinook Adult Proportions'!S102,'Chinook All Ages Proportions'!S102))</f>
        <v>#N/A</v>
      </c>
      <c r="Y102" s="56" t="e">
        <f>IF($B102="Jacks Only",'Chinook Jack Proportions'!T102,IF('3. Select Chinook Method'!$B102="Adults Only",'Chinook Adult Proportions'!T102,'Chinook All Ages Proportions'!T102))</f>
        <v>#N/A</v>
      </c>
      <c r="Z102" s="56" t="e">
        <f>IF($B102="Jacks Only",'Chinook Jack Proportions'!U102,IF('3. Select Chinook Method'!$B102="Adults Only",'Chinook Adult Proportions'!U102,'Chinook All Ages Proportions'!U102))</f>
        <v>#N/A</v>
      </c>
      <c r="AA102" s="56" t="e">
        <f>IF($B102="Jacks Only",'Chinook Jack Proportions'!V102,IF('3. Select Chinook Method'!$B102="Adults Only",'Chinook Adult Proportions'!V102,'Chinook All Ages Proportions'!V102))</f>
        <v>#N/A</v>
      </c>
      <c r="AB102" s="56" t="e">
        <f>IF($B102="Jacks Only",'Chinook Jack Proportions'!W102,IF('3. Select Chinook Method'!$B102="Adults Only",'Chinook Adult Proportions'!W102,'Chinook All Ages Proportions'!W102))</f>
        <v>#N/A</v>
      </c>
      <c r="AC102" s="41">
        <f>IF(B102="Jacks Only",'Chinook Jack Proportions'!Y102,IF('3. Select Chinook Method'!B102="Adults Only",'Chinook Adult Proportions'!Y102,'Chinook All Ages Proportions'!Y102))</f>
        <v>0</v>
      </c>
      <c r="AD102" s="42" t="e">
        <f>IF(B102="Jacks Only",'Chinook Jack Proportions'!Z102,IF('3. Select Chinook Method'!B102="Adults Only",'Chinook Adult Proportions'!Z102,'Chinook All Ages Proportions'!Z102))</f>
        <v>#N/A</v>
      </c>
      <c r="AE102" s="43" t="e">
        <f>IF($B102="Jacks Only",'Chinook Jack Proportions'!AA102,IF('3. Select Chinook Method'!$B102="Adults Only",'Chinook Adult Proportions'!AA102,'Chinook All Ages Proportions'!AA102))</f>
        <v>#N/A</v>
      </c>
      <c r="AF102" s="42" t="e">
        <f>IF($B102="Jacks Only",'Chinook Jack Proportions'!AB102,IF('3. Select Chinook Method'!$B102="Adults Only",'Chinook Adult Proportions'!AB102,'Chinook All Ages Proportions'!AB102))</f>
        <v>#N/A</v>
      </c>
      <c r="AG102" s="44" t="e">
        <f>IF($B102="Jacks Only",'Chinook Jack Proportions'!AC102,IF('3. Select Chinook Method'!$B102="Adults Only",'Chinook Adult Proportions'!AC102,'Chinook All Ages Proportions'!AC102))</f>
        <v>#N/A</v>
      </c>
    </row>
    <row r="103" spans="1:33" x14ac:dyDescent="0.3">
      <c r="A103" s="5">
        <f>'1. Mixture Model Inputs'!A103</f>
        <v>45205</v>
      </c>
      <c r="B103" s="55"/>
      <c r="C103" s="60" t="e">
        <f t="shared" si="1"/>
        <v>#N/A</v>
      </c>
      <c r="D103" s="56">
        <f>'Chinook All Ages Proportions'!Y103</f>
        <v>0</v>
      </c>
      <c r="E103" s="56">
        <f>'Chinook Adult Proportions'!Y103</f>
        <v>0</v>
      </c>
      <c r="F103" s="57">
        <f>'Chinook Jack Proportions'!Y103</f>
        <v>0</v>
      </c>
      <c r="G103" s="71" t="e">
        <f>IF($B103="Jacks Only",'Chinook Jack Proportions'!C103,IF('3. Select Chinook Method'!$B103="Adults Only",'Chinook Adult Proportions'!C103,'Chinook All Ages Proportions'!C103))</f>
        <v>#N/A</v>
      </c>
      <c r="H103" s="71" t="e">
        <f>IF($B103="Jacks Only",'Chinook Jack Proportions'!D103,IF('3. Select Chinook Method'!$B103="Adults Only",'Chinook Adult Proportions'!D103,'Chinook All Ages Proportions'!D103))</f>
        <v>#N/A</v>
      </c>
      <c r="I103" s="71" t="e">
        <f>IF($B103="Jacks Only",'Chinook Jack Proportions'!E103,IF('3. Select Chinook Method'!$B103="Adults Only",'Chinook Adult Proportions'!E103,'Chinook All Ages Proportions'!E103))</f>
        <v>#N/A</v>
      </c>
      <c r="J103" s="71" t="e">
        <f>IF($B103="Jacks Only",'Chinook Jack Proportions'!F103,IF('3. Select Chinook Method'!$B103="Adults Only",'Chinook Adult Proportions'!F103,'Chinook All Ages Proportions'!F103))</f>
        <v>#N/A</v>
      </c>
      <c r="K103" s="71" t="e">
        <f>IF($B103="Jacks Only",'Chinook Jack Proportions'!G103,IF('3. Select Chinook Method'!$B103="Adults Only",'Chinook Adult Proportions'!G103,'Chinook All Ages Proportions'!G103))</f>
        <v>#N/A</v>
      </c>
      <c r="L103" s="24" t="e">
        <f>IF($B103="Jacks Only",'Chinook Jack Proportions'!H103,IF('3. Select Chinook Method'!$B103="Adults Only",'Chinook Adult Proportions'!H103,'Chinook All Ages Proportions'!H103))</f>
        <v>#N/A</v>
      </c>
      <c r="M103" s="71" t="e">
        <f>IF($B103="Jacks Only",'Chinook Jack Proportions'!I103,IF('3. Select Chinook Method'!$B103="Adults Only",'Chinook Adult Proportions'!I103,'Chinook All Ages Proportions'!I103))</f>
        <v>#N/A</v>
      </c>
      <c r="N103" s="71" t="e">
        <f>IF($B103="Jacks Only",'Chinook Jack Proportions'!J103,IF('3. Select Chinook Method'!$B103="Adults Only",'Chinook Adult Proportions'!J103,'Chinook All Ages Proportions'!J103))</f>
        <v>#N/A</v>
      </c>
      <c r="O103" s="23" t="e">
        <f>IF($B103="Jacks Only",'Chinook Jack Proportions'!K103,IF('3. Select Chinook Method'!$B103="Adults Only",'Chinook Adult Proportions'!K103,'Chinook All Ages Proportions'!K103))</f>
        <v>#N/A</v>
      </c>
      <c r="P103" s="76" t="e">
        <f>IF($B103="Jacks Only",'Chinook Jack Proportions'!L103,IF('3. Select Chinook Method'!$B103="Adults Only",'Chinook Adult Proportions'!L103,'Chinook All Ages Proportions'!L103))</f>
        <v>#N/A</v>
      </c>
      <c r="Q103" s="76" t="e">
        <f>IF($B103="Jacks Only",'Chinook Jack Proportions'!M103,IF('3. Select Chinook Method'!$B103="Adults Only",'Chinook Adult Proportions'!M103,'Chinook All Ages Proportions'!M103))</f>
        <v>#N/A</v>
      </c>
      <c r="R103" s="76" t="e">
        <f>IF($B103="Jacks Only",'Chinook Jack Proportions'!X103,IF('3. Select Chinook Method'!$B103="Adults Only",'Chinook Adult Proportions'!X103,'Chinook All Ages Proportions'!X103))</f>
        <v>#N/A</v>
      </c>
      <c r="S103" s="76" t="e">
        <f>IF($B103="Jacks Only",'Chinook Jack Proportions'!N103,IF('3. Select Chinook Method'!$B103="Adults Only",'Chinook Adult Proportions'!N103,'Chinook All Ages Proportions'!N103))</f>
        <v>#N/A</v>
      </c>
      <c r="T103" s="76" t="e">
        <f>IF($B103="Jacks Only",'Chinook Jack Proportions'!O103,IF('3. Select Chinook Method'!$B103="Adults Only",'Chinook Adult Proportions'!O103,'Chinook All Ages Proportions'!O103))</f>
        <v>#N/A</v>
      </c>
      <c r="U103" s="76" t="e">
        <f>IF($B103="Jacks Only",'Chinook Jack Proportions'!P103,IF('3. Select Chinook Method'!$B103="Adults Only",'Chinook Adult Proportions'!P103,'Chinook All Ages Proportions'!P103))</f>
        <v>#N/A</v>
      </c>
      <c r="V103" s="76" t="e">
        <f>IF($B103="Jacks Only",'Chinook Jack Proportions'!Q103,IF('3. Select Chinook Method'!$B103="Adults Only",'Chinook Adult Proportions'!Q103,'Chinook All Ages Proportions'!Q103))</f>
        <v>#N/A</v>
      </c>
      <c r="W103" s="76" t="e">
        <f>IF($B103="Jacks Only",'Chinook Jack Proportions'!R103,IF('3. Select Chinook Method'!$B103="Adults Only",'Chinook Adult Proportions'!R103,'Chinook All Ages Proportions'!R103))</f>
        <v>#N/A</v>
      </c>
      <c r="X103" s="56" t="e">
        <f>IF(B103="Jacks Only",'Chinook Jack Proportions'!S103,IF(B103="Adults Only",'Chinook Adult Proportions'!S103,'Chinook All Ages Proportions'!S103))</f>
        <v>#N/A</v>
      </c>
      <c r="Y103" s="56" t="e">
        <f>IF($B103="Jacks Only",'Chinook Jack Proportions'!T103,IF('3. Select Chinook Method'!$B103="Adults Only",'Chinook Adult Proportions'!T103,'Chinook All Ages Proportions'!T103))</f>
        <v>#N/A</v>
      </c>
      <c r="Z103" s="56" t="e">
        <f>IF($B103="Jacks Only",'Chinook Jack Proportions'!U103,IF('3. Select Chinook Method'!$B103="Adults Only",'Chinook Adult Proportions'!U103,'Chinook All Ages Proportions'!U103))</f>
        <v>#N/A</v>
      </c>
      <c r="AA103" s="56" t="e">
        <f>IF($B103="Jacks Only",'Chinook Jack Proportions'!V103,IF('3. Select Chinook Method'!$B103="Adults Only",'Chinook Adult Proportions'!V103,'Chinook All Ages Proportions'!V103))</f>
        <v>#N/A</v>
      </c>
      <c r="AB103" s="56" t="e">
        <f>IF($B103="Jacks Only",'Chinook Jack Proportions'!W103,IF('3. Select Chinook Method'!$B103="Adults Only",'Chinook Adult Proportions'!W103,'Chinook All Ages Proportions'!W103))</f>
        <v>#N/A</v>
      </c>
      <c r="AC103" s="41">
        <f>IF(B103="Jacks Only",'Chinook Jack Proportions'!Y103,IF('3. Select Chinook Method'!B103="Adults Only",'Chinook Adult Proportions'!Y103,'Chinook All Ages Proportions'!Y103))</f>
        <v>0</v>
      </c>
      <c r="AD103" s="42" t="e">
        <f>IF(B103="Jacks Only",'Chinook Jack Proportions'!Z103,IF('3. Select Chinook Method'!B103="Adults Only",'Chinook Adult Proportions'!Z103,'Chinook All Ages Proportions'!Z103))</f>
        <v>#N/A</v>
      </c>
      <c r="AE103" s="43" t="e">
        <f>IF($B103="Jacks Only",'Chinook Jack Proportions'!AA103,IF('3. Select Chinook Method'!$B103="Adults Only",'Chinook Adult Proportions'!AA103,'Chinook All Ages Proportions'!AA103))</f>
        <v>#N/A</v>
      </c>
      <c r="AF103" s="42" t="e">
        <f>IF($B103="Jacks Only",'Chinook Jack Proportions'!AB103,IF('3. Select Chinook Method'!$B103="Adults Only",'Chinook Adult Proportions'!AB103,'Chinook All Ages Proportions'!AB103))</f>
        <v>#N/A</v>
      </c>
      <c r="AG103" s="44" t="e">
        <f>IF($B103="Jacks Only",'Chinook Jack Proportions'!AC103,IF('3. Select Chinook Method'!$B103="Adults Only",'Chinook Adult Proportions'!AC103,'Chinook All Ages Proportions'!AC103))</f>
        <v>#N/A</v>
      </c>
    </row>
    <row r="104" spans="1:33" x14ac:dyDescent="0.3">
      <c r="A104" s="5">
        <f>'1. Mixture Model Inputs'!A104</f>
        <v>45206</v>
      </c>
      <c r="B104" s="55"/>
      <c r="C104" s="60" t="e">
        <f t="shared" si="1"/>
        <v>#N/A</v>
      </c>
      <c r="D104" s="56">
        <f>'Chinook All Ages Proportions'!Y104</f>
        <v>0</v>
      </c>
      <c r="E104" s="56">
        <f>'Chinook Adult Proportions'!Y104</f>
        <v>0</v>
      </c>
      <c r="F104" s="57">
        <f>'Chinook Jack Proportions'!Y104</f>
        <v>0</v>
      </c>
      <c r="G104" s="71" t="e">
        <f>IF($B104="Jacks Only",'Chinook Jack Proportions'!C104,IF('3. Select Chinook Method'!$B104="Adults Only",'Chinook Adult Proportions'!C104,'Chinook All Ages Proportions'!C104))</f>
        <v>#N/A</v>
      </c>
      <c r="H104" s="71" t="e">
        <f>IF($B104="Jacks Only",'Chinook Jack Proportions'!D104,IF('3. Select Chinook Method'!$B104="Adults Only",'Chinook Adult Proportions'!D104,'Chinook All Ages Proportions'!D104))</f>
        <v>#N/A</v>
      </c>
      <c r="I104" s="71" t="e">
        <f>IF($B104="Jacks Only",'Chinook Jack Proportions'!E104,IF('3. Select Chinook Method'!$B104="Adults Only",'Chinook Adult Proportions'!E104,'Chinook All Ages Proportions'!E104))</f>
        <v>#N/A</v>
      </c>
      <c r="J104" s="71" t="e">
        <f>IF($B104="Jacks Only",'Chinook Jack Proportions'!F104,IF('3. Select Chinook Method'!$B104="Adults Only",'Chinook Adult Proportions'!F104,'Chinook All Ages Proportions'!F104))</f>
        <v>#N/A</v>
      </c>
      <c r="K104" s="71" t="e">
        <f>IF($B104="Jacks Only",'Chinook Jack Proportions'!G104,IF('3. Select Chinook Method'!$B104="Adults Only",'Chinook Adult Proportions'!G104,'Chinook All Ages Proportions'!G104))</f>
        <v>#N/A</v>
      </c>
      <c r="L104" s="24" t="e">
        <f>IF($B104="Jacks Only",'Chinook Jack Proportions'!H104,IF('3. Select Chinook Method'!$B104="Adults Only",'Chinook Adult Proportions'!H104,'Chinook All Ages Proportions'!H104))</f>
        <v>#N/A</v>
      </c>
      <c r="M104" s="71" t="e">
        <f>IF($B104="Jacks Only",'Chinook Jack Proportions'!I104,IF('3. Select Chinook Method'!$B104="Adults Only",'Chinook Adult Proportions'!I104,'Chinook All Ages Proportions'!I104))</f>
        <v>#N/A</v>
      </c>
      <c r="N104" s="71" t="e">
        <f>IF($B104="Jacks Only",'Chinook Jack Proportions'!J104,IF('3. Select Chinook Method'!$B104="Adults Only",'Chinook Adult Proportions'!J104,'Chinook All Ages Proportions'!J104))</f>
        <v>#N/A</v>
      </c>
      <c r="O104" s="23" t="e">
        <f>IF($B104="Jacks Only",'Chinook Jack Proportions'!K104,IF('3. Select Chinook Method'!$B104="Adults Only",'Chinook Adult Proportions'!K104,'Chinook All Ages Proportions'!K104))</f>
        <v>#N/A</v>
      </c>
      <c r="P104" s="76" t="e">
        <f>IF($B104="Jacks Only",'Chinook Jack Proportions'!L104,IF('3. Select Chinook Method'!$B104="Adults Only",'Chinook Adult Proportions'!L104,'Chinook All Ages Proportions'!L104))</f>
        <v>#N/A</v>
      </c>
      <c r="Q104" s="76" t="e">
        <f>IF($B104="Jacks Only",'Chinook Jack Proportions'!M104,IF('3. Select Chinook Method'!$B104="Adults Only",'Chinook Adult Proportions'!M104,'Chinook All Ages Proportions'!M104))</f>
        <v>#N/A</v>
      </c>
      <c r="R104" s="76" t="e">
        <f>IF($B104="Jacks Only",'Chinook Jack Proportions'!X104,IF('3. Select Chinook Method'!$B104="Adults Only",'Chinook Adult Proportions'!X104,'Chinook All Ages Proportions'!X104))</f>
        <v>#N/A</v>
      </c>
      <c r="S104" s="76" t="e">
        <f>IF($B104="Jacks Only",'Chinook Jack Proportions'!N104,IF('3. Select Chinook Method'!$B104="Adults Only",'Chinook Adult Proportions'!N104,'Chinook All Ages Proportions'!N104))</f>
        <v>#N/A</v>
      </c>
      <c r="T104" s="76" t="e">
        <f>IF($B104="Jacks Only",'Chinook Jack Proportions'!O104,IF('3. Select Chinook Method'!$B104="Adults Only",'Chinook Adult Proportions'!O104,'Chinook All Ages Proportions'!O104))</f>
        <v>#N/A</v>
      </c>
      <c r="U104" s="76" t="e">
        <f>IF($B104="Jacks Only",'Chinook Jack Proportions'!P104,IF('3. Select Chinook Method'!$B104="Adults Only",'Chinook Adult Proportions'!P104,'Chinook All Ages Proportions'!P104))</f>
        <v>#N/A</v>
      </c>
      <c r="V104" s="76" t="e">
        <f>IF($B104="Jacks Only",'Chinook Jack Proportions'!Q104,IF('3. Select Chinook Method'!$B104="Adults Only",'Chinook Adult Proportions'!Q104,'Chinook All Ages Proportions'!Q104))</f>
        <v>#N/A</v>
      </c>
      <c r="W104" s="76" t="e">
        <f>IF($B104="Jacks Only",'Chinook Jack Proportions'!R104,IF('3. Select Chinook Method'!$B104="Adults Only",'Chinook Adult Proportions'!R104,'Chinook All Ages Proportions'!R104))</f>
        <v>#N/A</v>
      </c>
      <c r="X104" s="56" t="e">
        <f>IF(B104="Jacks Only",'Chinook Jack Proportions'!S104,IF(B104="Adults Only",'Chinook Adult Proportions'!S104,'Chinook All Ages Proportions'!S104))</f>
        <v>#N/A</v>
      </c>
      <c r="Y104" s="56" t="e">
        <f>IF($B104="Jacks Only",'Chinook Jack Proportions'!T104,IF('3. Select Chinook Method'!$B104="Adults Only",'Chinook Adult Proportions'!T104,'Chinook All Ages Proportions'!T104))</f>
        <v>#N/A</v>
      </c>
      <c r="Z104" s="56" t="e">
        <f>IF($B104="Jacks Only",'Chinook Jack Proportions'!U104,IF('3. Select Chinook Method'!$B104="Adults Only",'Chinook Adult Proportions'!U104,'Chinook All Ages Proportions'!U104))</f>
        <v>#N/A</v>
      </c>
      <c r="AA104" s="56" t="e">
        <f>IF($B104="Jacks Only",'Chinook Jack Proportions'!V104,IF('3. Select Chinook Method'!$B104="Adults Only",'Chinook Adult Proportions'!V104,'Chinook All Ages Proportions'!V104))</f>
        <v>#N/A</v>
      </c>
      <c r="AB104" s="56" t="e">
        <f>IF($B104="Jacks Only",'Chinook Jack Proportions'!W104,IF('3. Select Chinook Method'!$B104="Adults Only",'Chinook Adult Proportions'!W104,'Chinook All Ages Proportions'!W104))</f>
        <v>#N/A</v>
      </c>
      <c r="AC104" s="41">
        <f>IF(B104="Jacks Only",'Chinook Jack Proportions'!Y104,IF('3. Select Chinook Method'!B104="Adults Only",'Chinook Adult Proportions'!Y104,'Chinook All Ages Proportions'!Y104))</f>
        <v>0</v>
      </c>
      <c r="AD104" s="42" t="e">
        <f>IF(B104="Jacks Only",'Chinook Jack Proportions'!Z104,IF('3. Select Chinook Method'!B104="Adults Only",'Chinook Adult Proportions'!Z104,'Chinook All Ages Proportions'!Z104))</f>
        <v>#N/A</v>
      </c>
      <c r="AE104" s="43" t="e">
        <f>IF($B104="Jacks Only",'Chinook Jack Proportions'!AA104,IF('3. Select Chinook Method'!$B104="Adults Only",'Chinook Adult Proportions'!AA104,'Chinook All Ages Proportions'!AA104))</f>
        <v>#N/A</v>
      </c>
      <c r="AF104" s="42" t="e">
        <f>IF($B104="Jacks Only",'Chinook Jack Proportions'!AB104,IF('3. Select Chinook Method'!$B104="Adults Only",'Chinook Adult Proportions'!AB104,'Chinook All Ages Proportions'!AB104))</f>
        <v>#N/A</v>
      </c>
      <c r="AG104" s="44" t="e">
        <f>IF($B104="Jacks Only",'Chinook Jack Proportions'!AC104,IF('3. Select Chinook Method'!$B104="Adults Only",'Chinook Adult Proportions'!AC104,'Chinook All Ages Proportions'!AC104))</f>
        <v>#N/A</v>
      </c>
    </row>
    <row r="105" spans="1:33" x14ac:dyDescent="0.3">
      <c r="A105" s="5">
        <f>'1. Mixture Model Inputs'!A105</f>
        <v>45207</v>
      </c>
      <c r="B105" s="55"/>
      <c r="C105" s="60" t="e">
        <f t="shared" si="1"/>
        <v>#N/A</v>
      </c>
      <c r="D105" s="56">
        <f>'Chinook All Ages Proportions'!Y105</f>
        <v>0</v>
      </c>
      <c r="E105" s="56">
        <f>'Chinook Adult Proportions'!Y105</f>
        <v>0</v>
      </c>
      <c r="F105" s="57">
        <f>'Chinook Jack Proportions'!Y105</f>
        <v>0</v>
      </c>
      <c r="G105" s="71" t="e">
        <f>IF($B105="Jacks Only",'Chinook Jack Proportions'!C105,IF('3. Select Chinook Method'!$B105="Adults Only",'Chinook Adult Proportions'!C105,'Chinook All Ages Proportions'!C105))</f>
        <v>#N/A</v>
      </c>
      <c r="H105" s="71" t="e">
        <f>IF($B105="Jacks Only",'Chinook Jack Proportions'!D105,IF('3. Select Chinook Method'!$B105="Adults Only",'Chinook Adult Proportions'!D105,'Chinook All Ages Proportions'!D105))</f>
        <v>#N/A</v>
      </c>
      <c r="I105" s="71" t="e">
        <f>IF($B105="Jacks Only",'Chinook Jack Proportions'!E105,IF('3. Select Chinook Method'!$B105="Adults Only",'Chinook Adult Proportions'!E105,'Chinook All Ages Proportions'!E105))</f>
        <v>#N/A</v>
      </c>
      <c r="J105" s="71" t="e">
        <f>IF($B105="Jacks Only",'Chinook Jack Proportions'!F105,IF('3. Select Chinook Method'!$B105="Adults Only",'Chinook Adult Proportions'!F105,'Chinook All Ages Proportions'!F105))</f>
        <v>#N/A</v>
      </c>
      <c r="K105" s="71" t="e">
        <f>IF($B105="Jacks Only",'Chinook Jack Proportions'!G105,IF('3. Select Chinook Method'!$B105="Adults Only",'Chinook Adult Proportions'!G105,'Chinook All Ages Proportions'!G105))</f>
        <v>#N/A</v>
      </c>
      <c r="L105" s="24" t="e">
        <f>IF($B105="Jacks Only",'Chinook Jack Proportions'!H105,IF('3. Select Chinook Method'!$B105="Adults Only",'Chinook Adult Proportions'!H105,'Chinook All Ages Proportions'!H105))</f>
        <v>#N/A</v>
      </c>
      <c r="M105" s="71" t="e">
        <f>IF($B105="Jacks Only",'Chinook Jack Proportions'!I105,IF('3. Select Chinook Method'!$B105="Adults Only",'Chinook Adult Proportions'!I105,'Chinook All Ages Proportions'!I105))</f>
        <v>#N/A</v>
      </c>
      <c r="N105" s="71" t="e">
        <f>IF($B105="Jacks Only",'Chinook Jack Proportions'!J105,IF('3. Select Chinook Method'!$B105="Adults Only",'Chinook Adult Proportions'!J105,'Chinook All Ages Proportions'!J105))</f>
        <v>#N/A</v>
      </c>
      <c r="O105" s="23" t="e">
        <f>IF($B105="Jacks Only",'Chinook Jack Proportions'!K105,IF('3. Select Chinook Method'!$B105="Adults Only",'Chinook Adult Proportions'!K105,'Chinook All Ages Proportions'!K105))</f>
        <v>#N/A</v>
      </c>
      <c r="P105" s="76" t="e">
        <f>IF($B105="Jacks Only",'Chinook Jack Proportions'!L105,IF('3. Select Chinook Method'!$B105="Adults Only",'Chinook Adult Proportions'!L105,'Chinook All Ages Proportions'!L105))</f>
        <v>#N/A</v>
      </c>
      <c r="Q105" s="76" t="e">
        <f>IF($B105="Jacks Only",'Chinook Jack Proportions'!M105,IF('3. Select Chinook Method'!$B105="Adults Only",'Chinook Adult Proportions'!M105,'Chinook All Ages Proportions'!M105))</f>
        <v>#N/A</v>
      </c>
      <c r="R105" s="76" t="e">
        <f>IF($B105="Jacks Only",'Chinook Jack Proportions'!X105,IF('3. Select Chinook Method'!$B105="Adults Only",'Chinook Adult Proportions'!X105,'Chinook All Ages Proportions'!X105))</f>
        <v>#N/A</v>
      </c>
      <c r="S105" s="76" t="e">
        <f>IF($B105="Jacks Only",'Chinook Jack Proportions'!N105,IF('3. Select Chinook Method'!$B105="Adults Only",'Chinook Adult Proportions'!N105,'Chinook All Ages Proportions'!N105))</f>
        <v>#N/A</v>
      </c>
      <c r="T105" s="76" t="e">
        <f>IF($B105="Jacks Only",'Chinook Jack Proportions'!O105,IF('3. Select Chinook Method'!$B105="Adults Only",'Chinook Adult Proportions'!O105,'Chinook All Ages Proportions'!O105))</f>
        <v>#N/A</v>
      </c>
      <c r="U105" s="76" t="e">
        <f>IF($B105="Jacks Only",'Chinook Jack Proportions'!P105,IF('3. Select Chinook Method'!$B105="Adults Only",'Chinook Adult Proportions'!P105,'Chinook All Ages Proportions'!P105))</f>
        <v>#N/A</v>
      </c>
      <c r="V105" s="76" t="e">
        <f>IF($B105="Jacks Only",'Chinook Jack Proportions'!Q105,IF('3. Select Chinook Method'!$B105="Adults Only",'Chinook Adult Proportions'!Q105,'Chinook All Ages Proportions'!Q105))</f>
        <v>#N/A</v>
      </c>
      <c r="W105" s="76" t="e">
        <f>IF($B105="Jacks Only",'Chinook Jack Proportions'!R105,IF('3. Select Chinook Method'!$B105="Adults Only",'Chinook Adult Proportions'!R105,'Chinook All Ages Proportions'!R105))</f>
        <v>#N/A</v>
      </c>
      <c r="X105" s="56" t="e">
        <f>IF(B105="Jacks Only",'Chinook Jack Proportions'!S105,IF(B105="Adults Only",'Chinook Adult Proportions'!S105,'Chinook All Ages Proportions'!S105))</f>
        <v>#N/A</v>
      </c>
      <c r="Y105" s="56" t="e">
        <f>IF($B105="Jacks Only",'Chinook Jack Proportions'!T105,IF('3. Select Chinook Method'!$B105="Adults Only",'Chinook Adult Proportions'!T105,'Chinook All Ages Proportions'!T105))</f>
        <v>#N/A</v>
      </c>
      <c r="Z105" s="56" t="e">
        <f>IF($B105="Jacks Only",'Chinook Jack Proportions'!U105,IF('3. Select Chinook Method'!$B105="Adults Only",'Chinook Adult Proportions'!U105,'Chinook All Ages Proportions'!U105))</f>
        <v>#N/A</v>
      </c>
      <c r="AA105" s="56" t="e">
        <f>IF($B105="Jacks Only",'Chinook Jack Proportions'!V105,IF('3. Select Chinook Method'!$B105="Adults Only",'Chinook Adult Proportions'!V105,'Chinook All Ages Proportions'!V105))</f>
        <v>#N/A</v>
      </c>
      <c r="AB105" s="56" t="e">
        <f>IF($B105="Jacks Only",'Chinook Jack Proportions'!W105,IF('3. Select Chinook Method'!$B105="Adults Only",'Chinook Adult Proportions'!W105,'Chinook All Ages Proportions'!W105))</f>
        <v>#N/A</v>
      </c>
      <c r="AC105" s="41">
        <f>IF(B105="Jacks Only",'Chinook Jack Proportions'!Y105,IF('3. Select Chinook Method'!B105="Adults Only",'Chinook Adult Proportions'!Y105,'Chinook All Ages Proportions'!Y105))</f>
        <v>0</v>
      </c>
      <c r="AD105" s="42" t="e">
        <f>IF(B105="Jacks Only",'Chinook Jack Proportions'!Z105,IF('3. Select Chinook Method'!B105="Adults Only",'Chinook Adult Proportions'!Z105,'Chinook All Ages Proportions'!Z105))</f>
        <v>#N/A</v>
      </c>
      <c r="AE105" s="43" t="e">
        <f>IF($B105="Jacks Only",'Chinook Jack Proportions'!AA105,IF('3. Select Chinook Method'!$B105="Adults Only",'Chinook Adult Proportions'!AA105,'Chinook All Ages Proportions'!AA105))</f>
        <v>#N/A</v>
      </c>
      <c r="AF105" s="42" t="e">
        <f>IF($B105="Jacks Only",'Chinook Jack Proportions'!AB105,IF('3. Select Chinook Method'!$B105="Adults Only",'Chinook Adult Proportions'!AB105,'Chinook All Ages Proportions'!AB105))</f>
        <v>#N/A</v>
      </c>
      <c r="AG105" s="44" t="e">
        <f>IF($B105="Jacks Only",'Chinook Jack Proportions'!AC105,IF('3. Select Chinook Method'!$B105="Adults Only",'Chinook Adult Proportions'!AC105,'Chinook All Ages Proportions'!AC105))</f>
        <v>#N/A</v>
      </c>
    </row>
    <row r="106" spans="1:33" x14ac:dyDescent="0.3">
      <c r="A106" s="5">
        <f>'1. Mixture Model Inputs'!A106</f>
        <v>45208</v>
      </c>
      <c r="B106" s="55"/>
      <c r="C106" s="60" t="e">
        <f t="shared" si="1"/>
        <v>#N/A</v>
      </c>
      <c r="D106" s="56">
        <f>'Chinook All Ages Proportions'!Y106</f>
        <v>0</v>
      </c>
      <c r="E106" s="56">
        <f>'Chinook Adult Proportions'!Y106</f>
        <v>0</v>
      </c>
      <c r="F106" s="57">
        <f>'Chinook Jack Proportions'!Y106</f>
        <v>0</v>
      </c>
      <c r="G106" s="71" t="e">
        <f>IF($B106="Jacks Only",'Chinook Jack Proportions'!C106,IF('3. Select Chinook Method'!$B106="Adults Only",'Chinook Adult Proportions'!C106,'Chinook All Ages Proportions'!C106))</f>
        <v>#N/A</v>
      </c>
      <c r="H106" s="71" t="e">
        <f>IF($B106="Jacks Only",'Chinook Jack Proportions'!D106,IF('3. Select Chinook Method'!$B106="Adults Only",'Chinook Adult Proportions'!D106,'Chinook All Ages Proportions'!D106))</f>
        <v>#N/A</v>
      </c>
      <c r="I106" s="71" t="e">
        <f>IF($B106="Jacks Only",'Chinook Jack Proportions'!E106,IF('3. Select Chinook Method'!$B106="Adults Only",'Chinook Adult Proportions'!E106,'Chinook All Ages Proportions'!E106))</f>
        <v>#N/A</v>
      </c>
      <c r="J106" s="71" t="e">
        <f>IF($B106="Jacks Only",'Chinook Jack Proportions'!F106,IF('3. Select Chinook Method'!$B106="Adults Only",'Chinook Adult Proportions'!F106,'Chinook All Ages Proportions'!F106))</f>
        <v>#N/A</v>
      </c>
      <c r="K106" s="71" t="e">
        <f>IF($B106="Jacks Only",'Chinook Jack Proportions'!G106,IF('3. Select Chinook Method'!$B106="Adults Only",'Chinook Adult Proportions'!G106,'Chinook All Ages Proportions'!G106))</f>
        <v>#N/A</v>
      </c>
      <c r="L106" s="24" t="e">
        <f>IF($B106="Jacks Only",'Chinook Jack Proportions'!H106,IF('3. Select Chinook Method'!$B106="Adults Only",'Chinook Adult Proportions'!H106,'Chinook All Ages Proportions'!H106))</f>
        <v>#N/A</v>
      </c>
      <c r="M106" s="71" t="e">
        <f>IF($B106="Jacks Only",'Chinook Jack Proportions'!I106,IF('3. Select Chinook Method'!$B106="Adults Only",'Chinook Adult Proportions'!I106,'Chinook All Ages Proportions'!I106))</f>
        <v>#N/A</v>
      </c>
      <c r="N106" s="71" t="e">
        <f>IF($B106="Jacks Only",'Chinook Jack Proportions'!J106,IF('3. Select Chinook Method'!$B106="Adults Only",'Chinook Adult Proportions'!J106,'Chinook All Ages Proportions'!J106))</f>
        <v>#N/A</v>
      </c>
      <c r="O106" s="23" t="e">
        <f>IF($B106="Jacks Only",'Chinook Jack Proportions'!K106,IF('3. Select Chinook Method'!$B106="Adults Only",'Chinook Adult Proportions'!K106,'Chinook All Ages Proportions'!K106))</f>
        <v>#N/A</v>
      </c>
      <c r="P106" s="76" t="e">
        <f>IF($B106="Jacks Only",'Chinook Jack Proportions'!L106,IF('3. Select Chinook Method'!$B106="Adults Only",'Chinook Adult Proportions'!L106,'Chinook All Ages Proportions'!L106))</f>
        <v>#N/A</v>
      </c>
      <c r="Q106" s="76" t="e">
        <f>IF($B106="Jacks Only",'Chinook Jack Proportions'!M106,IF('3. Select Chinook Method'!$B106="Adults Only",'Chinook Adult Proportions'!M106,'Chinook All Ages Proportions'!M106))</f>
        <v>#N/A</v>
      </c>
      <c r="R106" s="76" t="e">
        <f>IF($B106="Jacks Only",'Chinook Jack Proportions'!X106,IF('3. Select Chinook Method'!$B106="Adults Only",'Chinook Adult Proportions'!X106,'Chinook All Ages Proportions'!X106))</f>
        <v>#N/A</v>
      </c>
      <c r="S106" s="76" t="e">
        <f>IF($B106="Jacks Only",'Chinook Jack Proportions'!N106,IF('3. Select Chinook Method'!$B106="Adults Only",'Chinook Adult Proportions'!N106,'Chinook All Ages Proportions'!N106))</f>
        <v>#N/A</v>
      </c>
      <c r="T106" s="76" t="e">
        <f>IF($B106="Jacks Only",'Chinook Jack Proportions'!O106,IF('3. Select Chinook Method'!$B106="Adults Only",'Chinook Adult Proportions'!O106,'Chinook All Ages Proportions'!O106))</f>
        <v>#N/A</v>
      </c>
      <c r="U106" s="76" t="e">
        <f>IF($B106="Jacks Only",'Chinook Jack Proportions'!P106,IF('3. Select Chinook Method'!$B106="Adults Only",'Chinook Adult Proportions'!P106,'Chinook All Ages Proportions'!P106))</f>
        <v>#N/A</v>
      </c>
      <c r="V106" s="76" t="e">
        <f>IF($B106="Jacks Only",'Chinook Jack Proportions'!Q106,IF('3. Select Chinook Method'!$B106="Adults Only",'Chinook Adult Proportions'!Q106,'Chinook All Ages Proportions'!Q106))</f>
        <v>#N/A</v>
      </c>
      <c r="W106" s="76" t="e">
        <f>IF($B106="Jacks Only",'Chinook Jack Proportions'!R106,IF('3. Select Chinook Method'!$B106="Adults Only",'Chinook Adult Proportions'!R106,'Chinook All Ages Proportions'!R106))</f>
        <v>#N/A</v>
      </c>
      <c r="X106" s="56" t="e">
        <f>IF(B106="Jacks Only",'Chinook Jack Proportions'!S106,IF(B106="Adults Only",'Chinook Adult Proportions'!S106,'Chinook All Ages Proportions'!S106))</f>
        <v>#N/A</v>
      </c>
      <c r="Y106" s="56" t="e">
        <f>IF($B106="Jacks Only",'Chinook Jack Proportions'!T106,IF('3. Select Chinook Method'!$B106="Adults Only",'Chinook Adult Proportions'!T106,'Chinook All Ages Proportions'!T106))</f>
        <v>#N/A</v>
      </c>
      <c r="Z106" s="56" t="e">
        <f>IF($B106="Jacks Only",'Chinook Jack Proportions'!U106,IF('3. Select Chinook Method'!$B106="Adults Only",'Chinook Adult Proportions'!U106,'Chinook All Ages Proportions'!U106))</f>
        <v>#N/A</v>
      </c>
      <c r="AA106" s="56" t="e">
        <f>IF($B106="Jacks Only",'Chinook Jack Proportions'!V106,IF('3. Select Chinook Method'!$B106="Adults Only",'Chinook Adult Proportions'!V106,'Chinook All Ages Proportions'!V106))</f>
        <v>#N/A</v>
      </c>
      <c r="AB106" s="56" t="e">
        <f>IF($B106="Jacks Only",'Chinook Jack Proportions'!W106,IF('3. Select Chinook Method'!$B106="Adults Only",'Chinook Adult Proportions'!W106,'Chinook All Ages Proportions'!W106))</f>
        <v>#N/A</v>
      </c>
      <c r="AC106" s="41">
        <f>IF(B106="Jacks Only",'Chinook Jack Proportions'!Y106,IF('3. Select Chinook Method'!B106="Adults Only",'Chinook Adult Proportions'!Y106,'Chinook All Ages Proportions'!Y106))</f>
        <v>0</v>
      </c>
      <c r="AD106" s="42" t="e">
        <f>IF(B106="Jacks Only",'Chinook Jack Proportions'!Z106,IF('3. Select Chinook Method'!B106="Adults Only",'Chinook Adult Proportions'!Z106,'Chinook All Ages Proportions'!Z106))</f>
        <v>#N/A</v>
      </c>
      <c r="AE106" s="43" t="e">
        <f>IF($B106="Jacks Only",'Chinook Jack Proportions'!AA106,IF('3. Select Chinook Method'!$B106="Adults Only",'Chinook Adult Proportions'!AA106,'Chinook All Ages Proportions'!AA106))</f>
        <v>#N/A</v>
      </c>
      <c r="AF106" s="42" t="e">
        <f>IF($B106="Jacks Only",'Chinook Jack Proportions'!AB106,IF('3. Select Chinook Method'!$B106="Adults Only",'Chinook Adult Proportions'!AB106,'Chinook All Ages Proportions'!AB106))</f>
        <v>#N/A</v>
      </c>
      <c r="AG106" s="44" t="e">
        <f>IF($B106="Jacks Only",'Chinook Jack Proportions'!AC106,IF('3. Select Chinook Method'!$B106="Adults Only",'Chinook Adult Proportions'!AC106,'Chinook All Ages Proportions'!AC106))</f>
        <v>#N/A</v>
      </c>
    </row>
    <row r="107" spans="1:33" x14ac:dyDescent="0.3">
      <c r="A107" s="5">
        <f>'1. Mixture Model Inputs'!A107</f>
        <v>45209</v>
      </c>
      <c r="B107" s="55"/>
      <c r="C107" s="60" t="e">
        <f t="shared" si="1"/>
        <v>#N/A</v>
      </c>
      <c r="D107" s="56">
        <f>'Chinook All Ages Proportions'!Y107</f>
        <v>0</v>
      </c>
      <c r="E107" s="56">
        <f>'Chinook Adult Proportions'!Y107</f>
        <v>0</v>
      </c>
      <c r="F107" s="57">
        <f>'Chinook Jack Proportions'!Y107</f>
        <v>0</v>
      </c>
      <c r="G107" s="71" t="e">
        <f>IF($B107="Jacks Only",'Chinook Jack Proportions'!C107,IF('3. Select Chinook Method'!$B107="Adults Only",'Chinook Adult Proportions'!C107,'Chinook All Ages Proportions'!C107))</f>
        <v>#N/A</v>
      </c>
      <c r="H107" s="71" t="e">
        <f>IF($B107="Jacks Only",'Chinook Jack Proportions'!D107,IF('3. Select Chinook Method'!$B107="Adults Only",'Chinook Adult Proportions'!D107,'Chinook All Ages Proportions'!D107))</f>
        <v>#N/A</v>
      </c>
      <c r="I107" s="71" t="e">
        <f>IF($B107="Jacks Only",'Chinook Jack Proportions'!E107,IF('3. Select Chinook Method'!$B107="Adults Only",'Chinook Adult Proportions'!E107,'Chinook All Ages Proportions'!E107))</f>
        <v>#N/A</v>
      </c>
      <c r="J107" s="71" t="e">
        <f>IF($B107="Jacks Only",'Chinook Jack Proportions'!F107,IF('3. Select Chinook Method'!$B107="Adults Only",'Chinook Adult Proportions'!F107,'Chinook All Ages Proportions'!F107))</f>
        <v>#N/A</v>
      </c>
      <c r="K107" s="71" t="e">
        <f>IF($B107="Jacks Only",'Chinook Jack Proportions'!G107,IF('3. Select Chinook Method'!$B107="Adults Only",'Chinook Adult Proportions'!G107,'Chinook All Ages Proportions'!G107))</f>
        <v>#N/A</v>
      </c>
      <c r="L107" s="24" t="e">
        <f>IF($B107="Jacks Only",'Chinook Jack Proportions'!H107,IF('3. Select Chinook Method'!$B107="Adults Only",'Chinook Adult Proportions'!H107,'Chinook All Ages Proportions'!H107))</f>
        <v>#N/A</v>
      </c>
      <c r="M107" s="71" t="e">
        <f>IF($B107="Jacks Only",'Chinook Jack Proportions'!I107,IF('3. Select Chinook Method'!$B107="Adults Only",'Chinook Adult Proportions'!I107,'Chinook All Ages Proportions'!I107))</f>
        <v>#N/A</v>
      </c>
      <c r="N107" s="71" t="e">
        <f>IF($B107="Jacks Only",'Chinook Jack Proportions'!J107,IF('3. Select Chinook Method'!$B107="Adults Only",'Chinook Adult Proportions'!J107,'Chinook All Ages Proportions'!J107))</f>
        <v>#N/A</v>
      </c>
      <c r="O107" s="23" t="e">
        <f>IF($B107="Jacks Only",'Chinook Jack Proportions'!K107,IF('3. Select Chinook Method'!$B107="Adults Only",'Chinook Adult Proportions'!K107,'Chinook All Ages Proportions'!K107))</f>
        <v>#N/A</v>
      </c>
      <c r="P107" s="76" t="e">
        <f>IF($B107="Jacks Only",'Chinook Jack Proportions'!L107,IF('3. Select Chinook Method'!$B107="Adults Only",'Chinook Adult Proportions'!L107,'Chinook All Ages Proportions'!L107))</f>
        <v>#N/A</v>
      </c>
      <c r="Q107" s="76" t="e">
        <f>IF($B107="Jacks Only",'Chinook Jack Proportions'!M107,IF('3. Select Chinook Method'!$B107="Adults Only",'Chinook Adult Proportions'!M107,'Chinook All Ages Proportions'!M107))</f>
        <v>#N/A</v>
      </c>
      <c r="R107" s="76" t="e">
        <f>IF($B107="Jacks Only",'Chinook Jack Proportions'!X107,IF('3. Select Chinook Method'!$B107="Adults Only",'Chinook Adult Proportions'!X107,'Chinook All Ages Proportions'!X107))</f>
        <v>#N/A</v>
      </c>
      <c r="S107" s="76" t="e">
        <f>IF($B107="Jacks Only",'Chinook Jack Proportions'!N107,IF('3. Select Chinook Method'!$B107="Adults Only",'Chinook Adult Proportions'!N107,'Chinook All Ages Proportions'!N107))</f>
        <v>#N/A</v>
      </c>
      <c r="T107" s="76" t="e">
        <f>IF($B107="Jacks Only",'Chinook Jack Proportions'!O107,IF('3. Select Chinook Method'!$B107="Adults Only",'Chinook Adult Proportions'!O107,'Chinook All Ages Proportions'!O107))</f>
        <v>#N/A</v>
      </c>
      <c r="U107" s="76" t="e">
        <f>IF($B107="Jacks Only",'Chinook Jack Proportions'!P107,IF('3. Select Chinook Method'!$B107="Adults Only",'Chinook Adult Proportions'!P107,'Chinook All Ages Proportions'!P107))</f>
        <v>#N/A</v>
      </c>
      <c r="V107" s="76" t="e">
        <f>IF($B107="Jacks Only",'Chinook Jack Proportions'!Q107,IF('3. Select Chinook Method'!$B107="Adults Only",'Chinook Adult Proportions'!Q107,'Chinook All Ages Proportions'!Q107))</f>
        <v>#N/A</v>
      </c>
      <c r="W107" s="76" t="e">
        <f>IF($B107="Jacks Only",'Chinook Jack Proportions'!R107,IF('3. Select Chinook Method'!$B107="Adults Only",'Chinook Adult Proportions'!R107,'Chinook All Ages Proportions'!R107))</f>
        <v>#N/A</v>
      </c>
      <c r="X107" s="56" t="e">
        <f>IF(B107="Jacks Only",'Chinook Jack Proportions'!S107,IF(B107="Adults Only",'Chinook Adult Proportions'!S107,'Chinook All Ages Proportions'!S107))</f>
        <v>#N/A</v>
      </c>
      <c r="Y107" s="56" t="e">
        <f>IF($B107="Jacks Only",'Chinook Jack Proportions'!T107,IF('3. Select Chinook Method'!$B107="Adults Only",'Chinook Adult Proportions'!T107,'Chinook All Ages Proportions'!T107))</f>
        <v>#N/A</v>
      </c>
      <c r="Z107" s="56" t="e">
        <f>IF($B107="Jacks Only",'Chinook Jack Proportions'!U107,IF('3. Select Chinook Method'!$B107="Adults Only",'Chinook Adult Proportions'!U107,'Chinook All Ages Proportions'!U107))</f>
        <v>#N/A</v>
      </c>
      <c r="AA107" s="56" t="e">
        <f>IF($B107="Jacks Only",'Chinook Jack Proportions'!V107,IF('3. Select Chinook Method'!$B107="Adults Only",'Chinook Adult Proportions'!V107,'Chinook All Ages Proportions'!V107))</f>
        <v>#N/A</v>
      </c>
      <c r="AB107" s="56" t="e">
        <f>IF($B107="Jacks Only",'Chinook Jack Proportions'!W107,IF('3. Select Chinook Method'!$B107="Adults Only",'Chinook Adult Proportions'!W107,'Chinook All Ages Proportions'!W107))</f>
        <v>#N/A</v>
      </c>
      <c r="AC107" s="41">
        <f>IF(B107="Jacks Only",'Chinook Jack Proportions'!Y107,IF('3. Select Chinook Method'!B107="Adults Only",'Chinook Adult Proportions'!Y107,'Chinook All Ages Proportions'!Y107))</f>
        <v>0</v>
      </c>
      <c r="AD107" s="42" t="e">
        <f>IF(B107="Jacks Only",'Chinook Jack Proportions'!Z107,IF('3. Select Chinook Method'!B107="Adults Only",'Chinook Adult Proportions'!Z107,'Chinook All Ages Proportions'!Z107))</f>
        <v>#N/A</v>
      </c>
      <c r="AE107" s="43" t="e">
        <f>IF($B107="Jacks Only",'Chinook Jack Proportions'!AA107,IF('3. Select Chinook Method'!$B107="Adults Only",'Chinook Adult Proportions'!AA107,'Chinook All Ages Proportions'!AA107))</f>
        <v>#N/A</v>
      </c>
      <c r="AF107" s="42" t="e">
        <f>IF($B107="Jacks Only",'Chinook Jack Proportions'!AB107,IF('3. Select Chinook Method'!$B107="Adults Only",'Chinook Adult Proportions'!AB107,'Chinook All Ages Proportions'!AB107))</f>
        <v>#N/A</v>
      </c>
      <c r="AG107" s="44" t="e">
        <f>IF($B107="Jacks Only",'Chinook Jack Proportions'!AC107,IF('3. Select Chinook Method'!$B107="Adults Only",'Chinook Adult Proportions'!AC107,'Chinook All Ages Proportions'!AC107))</f>
        <v>#N/A</v>
      </c>
    </row>
    <row r="108" spans="1:33" x14ac:dyDescent="0.3">
      <c r="A108" s="5">
        <f>'1. Mixture Model Inputs'!A108</f>
        <v>45210</v>
      </c>
      <c r="B108" s="55"/>
      <c r="C108" s="60" t="e">
        <f t="shared" si="1"/>
        <v>#N/A</v>
      </c>
      <c r="D108" s="56">
        <f>'Chinook All Ages Proportions'!Y108</f>
        <v>0</v>
      </c>
      <c r="E108" s="56">
        <f>'Chinook Adult Proportions'!Y108</f>
        <v>0</v>
      </c>
      <c r="F108" s="57">
        <f>'Chinook Jack Proportions'!Y108</f>
        <v>0</v>
      </c>
      <c r="G108" s="71" t="e">
        <f>IF($B108="Jacks Only",'Chinook Jack Proportions'!C108,IF('3. Select Chinook Method'!$B108="Adults Only",'Chinook Adult Proportions'!C108,'Chinook All Ages Proportions'!C108))</f>
        <v>#N/A</v>
      </c>
      <c r="H108" s="71" t="e">
        <f>IF($B108="Jacks Only",'Chinook Jack Proportions'!D108,IF('3. Select Chinook Method'!$B108="Adults Only",'Chinook Adult Proportions'!D108,'Chinook All Ages Proportions'!D108))</f>
        <v>#N/A</v>
      </c>
      <c r="I108" s="71" t="e">
        <f>IF($B108="Jacks Only",'Chinook Jack Proportions'!E108,IF('3. Select Chinook Method'!$B108="Adults Only",'Chinook Adult Proportions'!E108,'Chinook All Ages Proportions'!E108))</f>
        <v>#N/A</v>
      </c>
      <c r="J108" s="71" t="e">
        <f>IF($B108="Jacks Only",'Chinook Jack Proportions'!F108,IF('3. Select Chinook Method'!$B108="Adults Only",'Chinook Adult Proportions'!F108,'Chinook All Ages Proportions'!F108))</f>
        <v>#N/A</v>
      </c>
      <c r="K108" s="71" t="e">
        <f>IF($B108="Jacks Only",'Chinook Jack Proportions'!G108,IF('3. Select Chinook Method'!$B108="Adults Only",'Chinook Adult Proportions'!G108,'Chinook All Ages Proportions'!G108))</f>
        <v>#N/A</v>
      </c>
      <c r="L108" s="24" t="e">
        <f>IF($B108="Jacks Only",'Chinook Jack Proportions'!H108,IF('3. Select Chinook Method'!$B108="Adults Only",'Chinook Adult Proportions'!H108,'Chinook All Ages Proportions'!H108))</f>
        <v>#N/A</v>
      </c>
      <c r="M108" s="71" t="e">
        <f>IF($B108="Jacks Only",'Chinook Jack Proportions'!I108,IF('3. Select Chinook Method'!$B108="Adults Only",'Chinook Adult Proportions'!I108,'Chinook All Ages Proportions'!I108))</f>
        <v>#N/A</v>
      </c>
      <c r="N108" s="71" t="e">
        <f>IF($B108="Jacks Only",'Chinook Jack Proportions'!J108,IF('3. Select Chinook Method'!$B108="Adults Only",'Chinook Adult Proportions'!J108,'Chinook All Ages Proportions'!J108))</f>
        <v>#N/A</v>
      </c>
      <c r="O108" s="23" t="e">
        <f>IF($B108="Jacks Only",'Chinook Jack Proportions'!K108,IF('3. Select Chinook Method'!$B108="Adults Only",'Chinook Adult Proportions'!K108,'Chinook All Ages Proportions'!K108))</f>
        <v>#N/A</v>
      </c>
      <c r="P108" s="76" t="e">
        <f>IF($B108="Jacks Only",'Chinook Jack Proportions'!L108,IF('3. Select Chinook Method'!$B108="Adults Only",'Chinook Adult Proportions'!L108,'Chinook All Ages Proportions'!L108))</f>
        <v>#N/A</v>
      </c>
      <c r="Q108" s="76" t="e">
        <f>IF($B108="Jacks Only",'Chinook Jack Proportions'!M108,IF('3. Select Chinook Method'!$B108="Adults Only",'Chinook Adult Proportions'!M108,'Chinook All Ages Proportions'!M108))</f>
        <v>#N/A</v>
      </c>
      <c r="R108" s="76" t="e">
        <f>IF($B108="Jacks Only",'Chinook Jack Proportions'!X108,IF('3. Select Chinook Method'!$B108="Adults Only",'Chinook Adult Proportions'!X108,'Chinook All Ages Proportions'!X108))</f>
        <v>#N/A</v>
      </c>
      <c r="S108" s="76" t="e">
        <f>IF($B108="Jacks Only",'Chinook Jack Proportions'!N108,IF('3. Select Chinook Method'!$B108="Adults Only",'Chinook Adult Proportions'!N108,'Chinook All Ages Proportions'!N108))</f>
        <v>#N/A</v>
      </c>
      <c r="T108" s="76" t="e">
        <f>IF($B108="Jacks Only",'Chinook Jack Proportions'!O108,IF('3. Select Chinook Method'!$B108="Adults Only",'Chinook Adult Proportions'!O108,'Chinook All Ages Proportions'!O108))</f>
        <v>#N/A</v>
      </c>
      <c r="U108" s="76" t="e">
        <f>IF($B108="Jacks Only",'Chinook Jack Proportions'!P108,IF('3. Select Chinook Method'!$B108="Adults Only",'Chinook Adult Proportions'!P108,'Chinook All Ages Proportions'!P108))</f>
        <v>#N/A</v>
      </c>
      <c r="V108" s="76" t="e">
        <f>IF($B108="Jacks Only",'Chinook Jack Proportions'!Q108,IF('3. Select Chinook Method'!$B108="Adults Only",'Chinook Adult Proportions'!Q108,'Chinook All Ages Proportions'!Q108))</f>
        <v>#N/A</v>
      </c>
      <c r="W108" s="76" t="e">
        <f>IF($B108="Jacks Only",'Chinook Jack Proportions'!R108,IF('3. Select Chinook Method'!$B108="Adults Only",'Chinook Adult Proportions'!R108,'Chinook All Ages Proportions'!R108))</f>
        <v>#N/A</v>
      </c>
      <c r="X108" s="56" t="e">
        <f>IF(B108="Jacks Only",'Chinook Jack Proportions'!S108,IF(B108="Adults Only",'Chinook Adult Proportions'!S108,'Chinook All Ages Proportions'!S108))</f>
        <v>#N/A</v>
      </c>
      <c r="Y108" s="56" t="e">
        <f>IF($B108="Jacks Only",'Chinook Jack Proportions'!T108,IF('3. Select Chinook Method'!$B108="Adults Only",'Chinook Adult Proportions'!T108,'Chinook All Ages Proportions'!T108))</f>
        <v>#N/A</v>
      </c>
      <c r="Z108" s="56" t="e">
        <f>IF($B108="Jacks Only",'Chinook Jack Proportions'!U108,IF('3. Select Chinook Method'!$B108="Adults Only",'Chinook Adult Proportions'!U108,'Chinook All Ages Proportions'!U108))</f>
        <v>#N/A</v>
      </c>
      <c r="AA108" s="56" t="e">
        <f>IF($B108="Jacks Only",'Chinook Jack Proportions'!V108,IF('3. Select Chinook Method'!$B108="Adults Only",'Chinook Adult Proportions'!V108,'Chinook All Ages Proportions'!V108))</f>
        <v>#N/A</v>
      </c>
      <c r="AB108" s="56" t="e">
        <f>IF($B108="Jacks Only",'Chinook Jack Proportions'!W108,IF('3. Select Chinook Method'!$B108="Adults Only",'Chinook Adult Proportions'!W108,'Chinook All Ages Proportions'!W108))</f>
        <v>#N/A</v>
      </c>
      <c r="AC108" s="41">
        <f>IF(B108="Jacks Only",'Chinook Jack Proportions'!Y108,IF('3. Select Chinook Method'!B108="Adults Only",'Chinook Adult Proportions'!Y108,'Chinook All Ages Proportions'!Y108))</f>
        <v>0</v>
      </c>
      <c r="AD108" s="42" t="e">
        <f>IF(B108="Jacks Only",'Chinook Jack Proportions'!Z108,IF('3. Select Chinook Method'!B108="Adults Only",'Chinook Adult Proportions'!Z108,'Chinook All Ages Proportions'!Z108))</f>
        <v>#N/A</v>
      </c>
      <c r="AE108" s="43" t="e">
        <f>IF($B108="Jacks Only",'Chinook Jack Proportions'!AA108,IF('3. Select Chinook Method'!$B108="Adults Only",'Chinook Adult Proportions'!AA108,'Chinook All Ages Proportions'!AA108))</f>
        <v>#N/A</v>
      </c>
      <c r="AF108" s="42" t="e">
        <f>IF($B108="Jacks Only",'Chinook Jack Proportions'!AB108,IF('3. Select Chinook Method'!$B108="Adults Only",'Chinook Adult Proportions'!AB108,'Chinook All Ages Proportions'!AB108))</f>
        <v>#N/A</v>
      </c>
      <c r="AG108" s="44" t="e">
        <f>IF($B108="Jacks Only",'Chinook Jack Proportions'!AC108,IF('3. Select Chinook Method'!$B108="Adults Only",'Chinook Adult Proportions'!AC108,'Chinook All Ages Proportions'!AC108))</f>
        <v>#N/A</v>
      </c>
    </row>
    <row r="109" spans="1:33" x14ac:dyDescent="0.3">
      <c r="A109" s="5">
        <f>'1. Mixture Model Inputs'!A109</f>
        <v>45211</v>
      </c>
      <c r="B109" s="55"/>
      <c r="C109" s="60" t="e">
        <f t="shared" si="1"/>
        <v>#N/A</v>
      </c>
      <c r="D109" s="56">
        <f>'Chinook All Ages Proportions'!Y109</f>
        <v>0</v>
      </c>
      <c r="E109" s="56">
        <f>'Chinook Adult Proportions'!Y109</f>
        <v>0</v>
      </c>
      <c r="F109" s="57">
        <f>'Chinook Jack Proportions'!Y109</f>
        <v>0</v>
      </c>
      <c r="G109" s="71" t="e">
        <f>IF($B109="Jacks Only",'Chinook Jack Proportions'!C109,IF('3. Select Chinook Method'!$B109="Adults Only",'Chinook Adult Proportions'!C109,'Chinook All Ages Proportions'!C109))</f>
        <v>#N/A</v>
      </c>
      <c r="H109" s="71" t="e">
        <f>IF($B109="Jacks Only",'Chinook Jack Proportions'!D109,IF('3. Select Chinook Method'!$B109="Adults Only",'Chinook Adult Proportions'!D109,'Chinook All Ages Proportions'!D109))</f>
        <v>#N/A</v>
      </c>
      <c r="I109" s="71" t="e">
        <f>IF($B109="Jacks Only",'Chinook Jack Proportions'!E109,IF('3. Select Chinook Method'!$B109="Adults Only",'Chinook Adult Proportions'!E109,'Chinook All Ages Proportions'!E109))</f>
        <v>#N/A</v>
      </c>
      <c r="J109" s="71" t="e">
        <f>IF($B109="Jacks Only",'Chinook Jack Proportions'!F109,IF('3. Select Chinook Method'!$B109="Adults Only",'Chinook Adult Proportions'!F109,'Chinook All Ages Proportions'!F109))</f>
        <v>#N/A</v>
      </c>
      <c r="K109" s="71" t="e">
        <f>IF($B109="Jacks Only",'Chinook Jack Proportions'!G109,IF('3. Select Chinook Method'!$B109="Adults Only",'Chinook Adult Proportions'!G109,'Chinook All Ages Proportions'!G109))</f>
        <v>#N/A</v>
      </c>
      <c r="L109" s="24" t="e">
        <f>IF($B109="Jacks Only",'Chinook Jack Proportions'!H109,IF('3. Select Chinook Method'!$B109="Adults Only",'Chinook Adult Proportions'!H109,'Chinook All Ages Proportions'!H109))</f>
        <v>#N/A</v>
      </c>
      <c r="M109" s="71" t="e">
        <f>IF($B109="Jacks Only",'Chinook Jack Proportions'!I109,IF('3. Select Chinook Method'!$B109="Adults Only",'Chinook Adult Proportions'!I109,'Chinook All Ages Proportions'!I109))</f>
        <v>#N/A</v>
      </c>
      <c r="N109" s="71" t="e">
        <f>IF($B109="Jacks Only",'Chinook Jack Proportions'!J109,IF('3. Select Chinook Method'!$B109="Adults Only",'Chinook Adult Proportions'!J109,'Chinook All Ages Proportions'!J109))</f>
        <v>#N/A</v>
      </c>
      <c r="O109" s="23" t="e">
        <f>IF($B109="Jacks Only",'Chinook Jack Proportions'!K109,IF('3. Select Chinook Method'!$B109="Adults Only",'Chinook Adult Proportions'!K109,'Chinook All Ages Proportions'!K109))</f>
        <v>#N/A</v>
      </c>
      <c r="P109" s="76" t="e">
        <f>IF($B109="Jacks Only",'Chinook Jack Proportions'!L109,IF('3. Select Chinook Method'!$B109="Adults Only",'Chinook Adult Proportions'!L109,'Chinook All Ages Proportions'!L109))</f>
        <v>#N/A</v>
      </c>
      <c r="Q109" s="76" t="e">
        <f>IF($B109="Jacks Only",'Chinook Jack Proportions'!M109,IF('3. Select Chinook Method'!$B109="Adults Only",'Chinook Adult Proportions'!M109,'Chinook All Ages Proportions'!M109))</f>
        <v>#N/A</v>
      </c>
      <c r="R109" s="76" t="e">
        <f>IF($B109="Jacks Only",'Chinook Jack Proportions'!X109,IF('3. Select Chinook Method'!$B109="Adults Only",'Chinook Adult Proportions'!X109,'Chinook All Ages Proportions'!X109))</f>
        <v>#N/A</v>
      </c>
      <c r="S109" s="76" t="e">
        <f>IF($B109="Jacks Only",'Chinook Jack Proportions'!N109,IF('3. Select Chinook Method'!$B109="Adults Only",'Chinook Adult Proportions'!N109,'Chinook All Ages Proportions'!N109))</f>
        <v>#N/A</v>
      </c>
      <c r="T109" s="76" t="e">
        <f>IF($B109="Jacks Only",'Chinook Jack Proportions'!O109,IF('3. Select Chinook Method'!$B109="Adults Only",'Chinook Adult Proportions'!O109,'Chinook All Ages Proportions'!O109))</f>
        <v>#N/A</v>
      </c>
      <c r="U109" s="76" t="e">
        <f>IF($B109="Jacks Only",'Chinook Jack Proportions'!P109,IF('3. Select Chinook Method'!$B109="Adults Only",'Chinook Adult Proportions'!P109,'Chinook All Ages Proportions'!P109))</f>
        <v>#N/A</v>
      </c>
      <c r="V109" s="76" t="e">
        <f>IF($B109="Jacks Only",'Chinook Jack Proportions'!Q109,IF('3. Select Chinook Method'!$B109="Adults Only",'Chinook Adult Proportions'!Q109,'Chinook All Ages Proportions'!Q109))</f>
        <v>#N/A</v>
      </c>
      <c r="W109" s="76" t="e">
        <f>IF($B109="Jacks Only",'Chinook Jack Proportions'!R109,IF('3. Select Chinook Method'!$B109="Adults Only",'Chinook Adult Proportions'!R109,'Chinook All Ages Proportions'!R109))</f>
        <v>#N/A</v>
      </c>
      <c r="X109" s="56" t="e">
        <f>IF(B109="Jacks Only",'Chinook Jack Proportions'!S109,IF(B109="Adults Only",'Chinook Adult Proportions'!S109,'Chinook All Ages Proportions'!S109))</f>
        <v>#N/A</v>
      </c>
      <c r="Y109" s="56" t="e">
        <f>IF($B109="Jacks Only",'Chinook Jack Proportions'!T109,IF('3. Select Chinook Method'!$B109="Adults Only",'Chinook Adult Proportions'!T109,'Chinook All Ages Proportions'!T109))</f>
        <v>#N/A</v>
      </c>
      <c r="Z109" s="56" t="e">
        <f>IF($B109="Jacks Only",'Chinook Jack Proportions'!U109,IF('3. Select Chinook Method'!$B109="Adults Only",'Chinook Adult Proportions'!U109,'Chinook All Ages Proportions'!U109))</f>
        <v>#N/A</v>
      </c>
      <c r="AA109" s="56" t="e">
        <f>IF($B109="Jacks Only",'Chinook Jack Proportions'!V109,IF('3. Select Chinook Method'!$B109="Adults Only",'Chinook Adult Proportions'!V109,'Chinook All Ages Proportions'!V109))</f>
        <v>#N/A</v>
      </c>
      <c r="AB109" s="56" t="e">
        <f>IF($B109="Jacks Only",'Chinook Jack Proportions'!W109,IF('3. Select Chinook Method'!$B109="Adults Only",'Chinook Adult Proportions'!W109,'Chinook All Ages Proportions'!W109))</f>
        <v>#N/A</v>
      </c>
      <c r="AC109" s="41">
        <f>IF(B109="Jacks Only",'Chinook Jack Proportions'!Y109,IF('3. Select Chinook Method'!B109="Adults Only",'Chinook Adult Proportions'!Y109,'Chinook All Ages Proportions'!Y109))</f>
        <v>0</v>
      </c>
      <c r="AD109" s="42" t="e">
        <f>IF(B109="Jacks Only",'Chinook Jack Proportions'!Z109,IF('3. Select Chinook Method'!B109="Adults Only",'Chinook Adult Proportions'!Z109,'Chinook All Ages Proportions'!Z109))</f>
        <v>#N/A</v>
      </c>
      <c r="AE109" s="43" t="e">
        <f>IF($B109="Jacks Only",'Chinook Jack Proportions'!AA109,IF('3. Select Chinook Method'!$B109="Adults Only",'Chinook Adult Proportions'!AA109,'Chinook All Ages Proportions'!AA109))</f>
        <v>#N/A</v>
      </c>
      <c r="AF109" s="42" t="e">
        <f>IF($B109="Jacks Only",'Chinook Jack Proportions'!AB109,IF('3. Select Chinook Method'!$B109="Adults Only",'Chinook Adult Proportions'!AB109,'Chinook All Ages Proportions'!AB109))</f>
        <v>#N/A</v>
      </c>
      <c r="AG109" s="44" t="e">
        <f>IF($B109="Jacks Only",'Chinook Jack Proportions'!AC109,IF('3. Select Chinook Method'!$B109="Adults Only",'Chinook Adult Proportions'!AC109,'Chinook All Ages Proportions'!AC109))</f>
        <v>#N/A</v>
      </c>
    </row>
    <row r="110" spans="1:33" x14ac:dyDescent="0.3">
      <c r="A110" s="5">
        <f>'1. Mixture Model Inputs'!A110</f>
        <v>45212</v>
      </c>
      <c r="B110" s="55"/>
      <c r="C110" s="60" t="e">
        <f t="shared" si="1"/>
        <v>#N/A</v>
      </c>
      <c r="D110" s="56">
        <f>'Chinook All Ages Proportions'!Y110</f>
        <v>0</v>
      </c>
      <c r="E110" s="56">
        <f>'Chinook Adult Proportions'!Y110</f>
        <v>0</v>
      </c>
      <c r="F110" s="57">
        <f>'Chinook Jack Proportions'!Y110</f>
        <v>0</v>
      </c>
      <c r="G110" s="71" t="e">
        <f>IF($B110="Jacks Only",'Chinook Jack Proportions'!C110,IF('3. Select Chinook Method'!$B110="Adults Only",'Chinook Adult Proportions'!C110,'Chinook All Ages Proportions'!C110))</f>
        <v>#N/A</v>
      </c>
      <c r="H110" s="71" t="e">
        <f>IF($B110="Jacks Only",'Chinook Jack Proportions'!D110,IF('3. Select Chinook Method'!$B110="Adults Only",'Chinook Adult Proportions'!D110,'Chinook All Ages Proportions'!D110))</f>
        <v>#N/A</v>
      </c>
      <c r="I110" s="71" t="e">
        <f>IF($B110="Jacks Only",'Chinook Jack Proportions'!E110,IF('3. Select Chinook Method'!$B110="Adults Only",'Chinook Adult Proportions'!E110,'Chinook All Ages Proportions'!E110))</f>
        <v>#N/A</v>
      </c>
      <c r="J110" s="71" t="e">
        <f>IF($B110="Jacks Only",'Chinook Jack Proportions'!F110,IF('3. Select Chinook Method'!$B110="Adults Only",'Chinook Adult Proportions'!F110,'Chinook All Ages Proportions'!F110))</f>
        <v>#N/A</v>
      </c>
      <c r="K110" s="71" t="e">
        <f>IF($B110="Jacks Only",'Chinook Jack Proportions'!G110,IF('3. Select Chinook Method'!$B110="Adults Only",'Chinook Adult Proportions'!G110,'Chinook All Ages Proportions'!G110))</f>
        <v>#N/A</v>
      </c>
      <c r="L110" s="24" t="e">
        <f>IF($B110="Jacks Only",'Chinook Jack Proportions'!H110,IF('3. Select Chinook Method'!$B110="Adults Only",'Chinook Adult Proportions'!H110,'Chinook All Ages Proportions'!H110))</f>
        <v>#N/A</v>
      </c>
      <c r="M110" s="71" t="e">
        <f>IF($B110="Jacks Only",'Chinook Jack Proportions'!I110,IF('3. Select Chinook Method'!$B110="Adults Only",'Chinook Adult Proportions'!I110,'Chinook All Ages Proportions'!I110))</f>
        <v>#N/A</v>
      </c>
      <c r="N110" s="71" t="e">
        <f>IF($B110="Jacks Only",'Chinook Jack Proportions'!J110,IF('3. Select Chinook Method'!$B110="Adults Only",'Chinook Adult Proportions'!J110,'Chinook All Ages Proportions'!J110))</f>
        <v>#N/A</v>
      </c>
      <c r="O110" s="23" t="e">
        <f>IF($B110="Jacks Only",'Chinook Jack Proportions'!K110,IF('3. Select Chinook Method'!$B110="Adults Only",'Chinook Adult Proportions'!K110,'Chinook All Ages Proportions'!K110))</f>
        <v>#N/A</v>
      </c>
      <c r="P110" s="76" t="e">
        <f>IF($B110="Jacks Only",'Chinook Jack Proportions'!L110,IF('3. Select Chinook Method'!$B110="Adults Only",'Chinook Adult Proportions'!L110,'Chinook All Ages Proportions'!L110))</f>
        <v>#N/A</v>
      </c>
      <c r="Q110" s="76" t="e">
        <f>IF($B110="Jacks Only",'Chinook Jack Proportions'!M110,IF('3. Select Chinook Method'!$B110="Adults Only",'Chinook Adult Proportions'!M110,'Chinook All Ages Proportions'!M110))</f>
        <v>#N/A</v>
      </c>
      <c r="R110" s="76" t="e">
        <f>IF($B110="Jacks Only",'Chinook Jack Proportions'!X110,IF('3. Select Chinook Method'!$B110="Adults Only",'Chinook Adult Proportions'!X110,'Chinook All Ages Proportions'!X110))</f>
        <v>#N/A</v>
      </c>
      <c r="S110" s="76" t="e">
        <f>IF($B110="Jacks Only",'Chinook Jack Proportions'!N110,IF('3. Select Chinook Method'!$B110="Adults Only",'Chinook Adult Proportions'!N110,'Chinook All Ages Proportions'!N110))</f>
        <v>#N/A</v>
      </c>
      <c r="T110" s="76" t="e">
        <f>IF($B110="Jacks Only",'Chinook Jack Proportions'!O110,IF('3. Select Chinook Method'!$B110="Adults Only",'Chinook Adult Proportions'!O110,'Chinook All Ages Proportions'!O110))</f>
        <v>#N/A</v>
      </c>
      <c r="U110" s="76" t="e">
        <f>IF($B110="Jacks Only",'Chinook Jack Proportions'!P110,IF('3. Select Chinook Method'!$B110="Adults Only",'Chinook Adult Proportions'!P110,'Chinook All Ages Proportions'!P110))</f>
        <v>#N/A</v>
      </c>
      <c r="V110" s="76" t="e">
        <f>IF($B110="Jacks Only",'Chinook Jack Proportions'!Q110,IF('3. Select Chinook Method'!$B110="Adults Only",'Chinook Adult Proportions'!Q110,'Chinook All Ages Proportions'!Q110))</f>
        <v>#N/A</v>
      </c>
      <c r="W110" s="76" t="e">
        <f>IF($B110="Jacks Only",'Chinook Jack Proportions'!R110,IF('3. Select Chinook Method'!$B110="Adults Only",'Chinook Adult Proportions'!R110,'Chinook All Ages Proportions'!R110))</f>
        <v>#N/A</v>
      </c>
      <c r="X110" s="56" t="e">
        <f>IF(B110="Jacks Only",'Chinook Jack Proportions'!S110,IF(B110="Adults Only",'Chinook Adult Proportions'!S110,'Chinook All Ages Proportions'!S110))</f>
        <v>#N/A</v>
      </c>
      <c r="Y110" s="56" t="e">
        <f>IF($B110="Jacks Only",'Chinook Jack Proportions'!T110,IF('3. Select Chinook Method'!$B110="Adults Only",'Chinook Adult Proportions'!T110,'Chinook All Ages Proportions'!T110))</f>
        <v>#N/A</v>
      </c>
      <c r="Z110" s="56" t="e">
        <f>IF($B110="Jacks Only",'Chinook Jack Proportions'!U110,IF('3. Select Chinook Method'!$B110="Adults Only",'Chinook Adult Proportions'!U110,'Chinook All Ages Proportions'!U110))</f>
        <v>#N/A</v>
      </c>
      <c r="AA110" s="56" t="e">
        <f>IF($B110="Jacks Only",'Chinook Jack Proportions'!V110,IF('3. Select Chinook Method'!$B110="Adults Only",'Chinook Adult Proportions'!V110,'Chinook All Ages Proportions'!V110))</f>
        <v>#N/A</v>
      </c>
      <c r="AB110" s="56" t="e">
        <f>IF($B110="Jacks Only",'Chinook Jack Proportions'!W110,IF('3. Select Chinook Method'!$B110="Adults Only",'Chinook Adult Proportions'!W110,'Chinook All Ages Proportions'!W110))</f>
        <v>#N/A</v>
      </c>
      <c r="AC110" s="41">
        <f>IF(B110="Jacks Only",'Chinook Jack Proportions'!Y110,IF('3. Select Chinook Method'!B110="Adults Only",'Chinook Adult Proportions'!Y110,'Chinook All Ages Proportions'!Y110))</f>
        <v>0</v>
      </c>
      <c r="AD110" s="42" t="e">
        <f>IF(B110="Jacks Only",'Chinook Jack Proportions'!Z110,IF('3. Select Chinook Method'!B110="Adults Only",'Chinook Adult Proportions'!Z110,'Chinook All Ages Proportions'!Z110))</f>
        <v>#N/A</v>
      </c>
      <c r="AE110" s="43" t="e">
        <f>IF($B110="Jacks Only",'Chinook Jack Proportions'!AA110,IF('3. Select Chinook Method'!$B110="Adults Only",'Chinook Adult Proportions'!AA110,'Chinook All Ages Proportions'!AA110))</f>
        <v>#N/A</v>
      </c>
      <c r="AF110" s="42" t="e">
        <f>IF($B110="Jacks Only",'Chinook Jack Proportions'!AB110,IF('3. Select Chinook Method'!$B110="Adults Only",'Chinook Adult Proportions'!AB110,'Chinook All Ages Proportions'!AB110))</f>
        <v>#N/A</v>
      </c>
      <c r="AG110" s="44" t="e">
        <f>IF($B110="Jacks Only",'Chinook Jack Proportions'!AC110,IF('3. Select Chinook Method'!$B110="Adults Only",'Chinook Adult Proportions'!AC110,'Chinook All Ages Proportions'!AC110))</f>
        <v>#N/A</v>
      </c>
    </row>
    <row r="111" spans="1:33" x14ac:dyDescent="0.3">
      <c r="A111" s="5">
        <f>'1. Mixture Model Inputs'!A111</f>
        <v>45213</v>
      </c>
      <c r="B111" s="55"/>
      <c r="C111" s="60" t="e">
        <f t="shared" si="1"/>
        <v>#N/A</v>
      </c>
      <c r="D111" s="56">
        <f>'Chinook All Ages Proportions'!Y111</f>
        <v>0</v>
      </c>
      <c r="E111" s="56">
        <f>'Chinook Adult Proportions'!Y111</f>
        <v>0</v>
      </c>
      <c r="F111" s="57">
        <f>'Chinook Jack Proportions'!Y111</f>
        <v>0</v>
      </c>
      <c r="G111" s="71" t="e">
        <f>IF($B111="Jacks Only",'Chinook Jack Proportions'!C111,IF('3. Select Chinook Method'!$B111="Adults Only",'Chinook Adult Proportions'!C111,'Chinook All Ages Proportions'!C111))</f>
        <v>#N/A</v>
      </c>
      <c r="H111" s="71" t="e">
        <f>IF($B111="Jacks Only",'Chinook Jack Proportions'!D111,IF('3. Select Chinook Method'!$B111="Adults Only",'Chinook Adult Proportions'!D111,'Chinook All Ages Proportions'!D111))</f>
        <v>#N/A</v>
      </c>
      <c r="I111" s="71" t="e">
        <f>IF($B111="Jacks Only",'Chinook Jack Proportions'!E111,IF('3. Select Chinook Method'!$B111="Adults Only",'Chinook Adult Proportions'!E111,'Chinook All Ages Proportions'!E111))</f>
        <v>#N/A</v>
      </c>
      <c r="J111" s="71" t="e">
        <f>IF($B111="Jacks Only",'Chinook Jack Proportions'!F111,IF('3. Select Chinook Method'!$B111="Adults Only",'Chinook Adult Proportions'!F111,'Chinook All Ages Proportions'!F111))</f>
        <v>#N/A</v>
      </c>
      <c r="K111" s="71" t="e">
        <f>IF($B111="Jacks Only",'Chinook Jack Proportions'!G111,IF('3. Select Chinook Method'!$B111="Adults Only",'Chinook Adult Proportions'!G111,'Chinook All Ages Proportions'!G111))</f>
        <v>#N/A</v>
      </c>
      <c r="L111" s="24" t="e">
        <f>IF($B111="Jacks Only",'Chinook Jack Proportions'!H111,IF('3. Select Chinook Method'!$B111="Adults Only",'Chinook Adult Proportions'!H111,'Chinook All Ages Proportions'!H111))</f>
        <v>#N/A</v>
      </c>
      <c r="M111" s="71" t="e">
        <f>IF($B111="Jacks Only",'Chinook Jack Proportions'!I111,IF('3. Select Chinook Method'!$B111="Adults Only",'Chinook Adult Proportions'!I111,'Chinook All Ages Proportions'!I111))</f>
        <v>#N/A</v>
      </c>
      <c r="N111" s="71" t="e">
        <f>IF($B111="Jacks Only",'Chinook Jack Proportions'!J111,IF('3. Select Chinook Method'!$B111="Adults Only",'Chinook Adult Proportions'!J111,'Chinook All Ages Proportions'!J111))</f>
        <v>#N/A</v>
      </c>
      <c r="O111" s="23" t="e">
        <f>IF($B111="Jacks Only",'Chinook Jack Proportions'!K111,IF('3. Select Chinook Method'!$B111="Adults Only",'Chinook Adult Proportions'!K111,'Chinook All Ages Proportions'!K111))</f>
        <v>#N/A</v>
      </c>
      <c r="P111" s="76" t="e">
        <f>IF($B111="Jacks Only",'Chinook Jack Proportions'!L111,IF('3. Select Chinook Method'!$B111="Adults Only",'Chinook Adult Proportions'!L111,'Chinook All Ages Proportions'!L111))</f>
        <v>#N/A</v>
      </c>
      <c r="Q111" s="76" t="e">
        <f>IF($B111="Jacks Only",'Chinook Jack Proportions'!M111,IF('3. Select Chinook Method'!$B111="Adults Only",'Chinook Adult Proportions'!M111,'Chinook All Ages Proportions'!M111))</f>
        <v>#N/A</v>
      </c>
      <c r="R111" s="76" t="e">
        <f>IF($B111="Jacks Only",'Chinook Jack Proportions'!X111,IF('3. Select Chinook Method'!$B111="Adults Only",'Chinook Adult Proportions'!X111,'Chinook All Ages Proportions'!X111))</f>
        <v>#N/A</v>
      </c>
      <c r="S111" s="76" t="e">
        <f>IF($B111="Jacks Only",'Chinook Jack Proportions'!N111,IF('3. Select Chinook Method'!$B111="Adults Only",'Chinook Adult Proportions'!N111,'Chinook All Ages Proportions'!N111))</f>
        <v>#N/A</v>
      </c>
      <c r="T111" s="76" t="e">
        <f>IF($B111="Jacks Only",'Chinook Jack Proportions'!O111,IF('3. Select Chinook Method'!$B111="Adults Only",'Chinook Adult Proportions'!O111,'Chinook All Ages Proportions'!O111))</f>
        <v>#N/A</v>
      </c>
      <c r="U111" s="76" t="e">
        <f>IF($B111="Jacks Only",'Chinook Jack Proportions'!P111,IF('3. Select Chinook Method'!$B111="Adults Only",'Chinook Adult Proportions'!P111,'Chinook All Ages Proportions'!P111))</f>
        <v>#N/A</v>
      </c>
      <c r="V111" s="76" t="e">
        <f>IF($B111="Jacks Only",'Chinook Jack Proportions'!Q111,IF('3. Select Chinook Method'!$B111="Adults Only",'Chinook Adult Proportions'!Q111,'Chinook All Ages Proportions'!Q111))</f>
        <v>#N/A</v>
      </c>
      <c r="W111" s="76" t="e">
        <f>IF($B111="Jacks Only",'Chinook Jack Proportions'!R111,IF('3. Select Chinook Method'!$B111="Adults Only",'Chinook Adult Proportions'!R111,'Chinook All Ages Proportions'!R111))</f>
        <v>#N/A</v>
      </c>
      <c r="X111" s="56" t="e">
        <f>IF(B111="Jacks Only",'Chinook Jack Proportions'!S111,IF(B111="Adults Only",'Chinook Adult Proportions'!S111,'Chinook All Ages Proportions'!S111))</f>
        <v>#N/A</v>
      </c>
      <c r="Y111" s="56" t="e">
        <f>IF($B111="Jacks Only",'Chinook Jack Proportions'!T111,IF('3. Select Chinook Method'!$B111="Adults Only",'Chinook Adult Proportions'!T111,'Chinook All Ages Proportions'!T111))</f>
        <v>#N/A</v>
      </c>
      <c r="Z111" s="56" t="e">
        <f>IF($B111="Jacks Only",'Chinook Jack Proportions'!U111,IF('3. Select Chinook Method'!$B111="Adults Only",'Chinook Adult Proportions'!U111,'Chinook All Ages Proportions'!U111))</f>
        <v>#N/A</v>
      </c>
      <c r="AA111" s="56" t="e">
        <f>IF($B111="Jacks Only",'Chinook Jack Proportions'!V111,IF('3. Select Chinook Method'!$B111="Adults Only",'Chinook Adult Proportions'!V111,'Chinook All Ages Proportions'!V111))</f>
        <v>#N/A</v>
      </c>
      <c r="AB111" s="56" t="e">
        <f>IF($B111="Jacks Only",'Chinook Jack Proportions'!W111,IF('3. Select Chinook Method'!$B111="Adults Only",'Chinook Adult Proportions'!W111,'Chinook All Ages Proportions'!W111))</f>
        <v>#N/A</v>
      </c>
      <c r="AC111" s="41">
        <f>IF(B111="Jacks Only",'Chinook Jack Proportions'!Y111,IF('3. Select Chinook Method'!B111="Adults Only",'Chinook Adult Proportions'!Y111,'Chinook All Ages Proportions'!Y111))</f>
        <v>0</v>
      </c>
      <c r="AD111" s="42" t="e">
        <f>IF(B111="Jacks Only",'Chinook Jack Proportions'!Z111,IF('3. Select Chinook Method'!B111="Adults Only",'Chinook Adult Proportions'!Z111,'Chinook All Ages Proportions'!Z111))</f>
        <v>#N/A</v>
      </c>
      <c r="AE111" s="43" t="e">
        <f>IF($B111="Jacks Only",'Chinook Jack Proportions'!AA111,IF('3. Select Chinook Method'!$B111="Adults Only",'Chinook Adult Proportions'!AA111,'Chinook All Ages Proportions'!AA111))</f>
        <v>#N/A</v>
      </c>
      <c r="AF111" s="42" t="e">
        <f>IF($B111="Jacks Only",'Chinook Jack Proportions'!AB111,IF('3. Select Chinook Method'!$B111="Adults Only",'Chinook Adult Proportions'!AB111,'Chinook All Ages Proportions'!AB111))</f>
        <v>#N/A</v>
      </c>
      <c r="AG111" s="44" t="e">
        <f>IF($B111="Jacks Only",'Chinook Jack Proportions'!AC111,IF('3. Select Chinook Method'!$B111="Adults Only",'Chinook Adult Proportions'!AC111,'Chinook All Ages Proportions'!AC111))</f>
        <v>#N/A</v>
      </c>
    </row>
    <row r="112" spans="1:33" x14ac:dyDescent="0.3">
      <c r="A112" s="5">
        <f>'1. Mixture Model Inputs'!A112</f>
        <v>45214</v>
      </c>
      <c r="B112" s="55"/>
      <c r="C112" s="60" t="e">
        <f t="shared" si="1"/>
        <v>#N/A</v>
      </c>
      <c r="D112" s="56">
        <f>'Chinook All Ages Proportions'!Y112</f>
        <v>0</v>
      </c>
      <c r="E112" s="56">
        <f>'Chinook Adult Proportions'!Y112</f>
        <v>0</v>
      </c>
      <c r="F112" s="57">
        <f>'Chinook Jack Proportions'!Y112</f>
        <v>0</v>
      </c>
      <c r="G112" s="71" t="e">
        <f>IF($B112="Jacks Only",'Chinook Jack Proportions'!C112,IF('3. Select Chinook Method'!$B112="Adults Only",'Chinook Adult Proportions'!C112,'Chinook All Ages Proportions'!C112))</f>
        <v>#N/A</v>
      </c>
      <c r="H112" s="71" t="e">
        <f>IF($B112="Jacks Only",'Chinook Jack Proportions'!D112,IF('3. Select Chinook Method'!$B112="Adults Only",'Chinook Adult Proportions'!D112,'Chinook All Ages Proportions'!D112))</f>
        <v>#N/A</v>
      </c>
      <c r="I112" s="71" t="e">
        <f>IF($B112="Jacks Only",'Chinook Jack Proportions'!E112,IF('3. Select Chinook Method'!$B112="Adults Only",'Chinook Adult Proportions'!E112,'Chinook All Ages Proportions'!E112))</f>
        <v>#N/A</v>
      </c>
      <c r="J112" s="71" t="e">
        <f>IF($B112="Jacks Only",'Chinook Jack Proportions'!F112,IF('3. Select Chinook Method'!$B112="Adults Only",'Chinook Adult Proportions'!F112,'Chinook All Ages Proportions'!F112))</f>
        <v>#N/A</v>
      </c>
      <c r="K112" s="71" t="e">
        <f>IF($B112="Jacks Only",'Chinook Jack Proportions'!G112,IF('3. Select Chinook Method'!$B112="Adults Only",'Chinook Adult Proportions'!G112,'Chinook All Ages Proportions'!G112))</f>
        <v>#N/A</v>
      </c>
      <c r="L112" s="24" t="e">
        <f>IF($B112="Jacks Only",'Chinook Jack Proportions'!H112,IF('3. Select Chinook Method'!$B112="Adults Only",'Chinook Adult Proportions'!H112,'Chinook All Ages Proportions'!H112))</f>
        <v>#N/A</v>
      </c>
      <c r="M112" s="71" t="e">
        <f>IF($B112="Jacks Only",'Chinook Jack Proportions'!I112,IF('3. Select Chinook Method'!$B112="Adults Only",'Chinook Adult Proportions'!I112,'Chinook All Ages Proportions'!I112))</f>
        <v>#N/A</v>
      </c>
      <c r="N112" s="71" t="e">
        <f>IF($B112="Jacks Only",'Chinook Jack Proportions'!J112,IF('3. Select Chinook Method'!$B112="Adults Only",'Chinook Adult Proportions'!J112,'Chinook All Ages Proportions'!J112))</f>
        <v>#N/A</v>
      </c>
      <c r="O112" s="23" t="e">
        <f>IF($B112="Jacks Only",'Chinook Jack Proportions'!K112,IF('3. Select Chinook Method'!$B112="Adults Only",'Chinook Adult Proportions'!K112,'Chinook All Ages Proportions'!K112))</f>
        <v>#N/A</v>
      </c>
      <c r="P112" s="76" t="e">
        <f>IF($B112="Jacks Only",'Chinook Jack Proportions'!L112,IF('3. Select Chinook Method'!$B112="Adults Only",'Chinook Adult Proportions'!L112,'Chinook All Ages Proportions'!L112))</f>
        <v>#N/A</v>
      </c>
      <c r="Q112" s="76" t="e">
        <f>IF($B112="Jacks Only",'Chinook Jack Proportions'!M112,IF('3. Select Chinook Method'!$B112="Adults Only",'Chinook Adult Proportions'!M112,'Chinook All Ages Proportions'!M112))</f>
        <v>#N/A</v>
      </c>
      <c r="R112" s="76" t="e">
        <f>IF($B112="Jacks Only",'Chinook Jack Proportions'!X112,IF('3. Select Chinook Method'!$B112="Adults Only",'Chinook Adult Proportions'!X112,'Chinook All Ages Proportions'!X112))</f>
        <v>#N/A</v>
      </c>
      <c r="S112" s="76" t="e">
        <f>IF($B112="Jacks Only",'Chinook Jack Proportions'!N112,IF('3. Select Chinook Method'!$B112="Adults Only",'Chinook Adult Proportions'!N112,'Chinook All Ages Proportions'!N112))</f>
        <v>#N/A</v>
      </c>
      <c r="T112" s="76" t="e">
        <f>IF($B112="Jacks Only",'Chinook Jack Proportions'!O112,IF('3. Select Chinook Method'!$B112="Adults Only",'Chinook Adult Proportions'!O112,'Chinook All Ages Proportions'!O112))</f>
        <v>#N/A</v>
      </c>
      <c r="U112" s="76" t="e">
        <f>IF($B112="Jacks Only",'Chinook Jack Proportions'!P112,IF('3. Select Chinook Method'!$B112="Adults Only",'Chinook Adult Proportions'!P112,'Chinook All Ages Proportions'!P112))</f>
        <v>#N/A</v>
      </c>
      <c r="V112" s="76" t="e">
        <f>IF($B112="Jacks Only",'Chinook Jack Proportions'!Q112,IF('3. Select Chinook Method'!$B112="Adults Only",'Chinook Adult Proportions'!Q112,'Chinook All Ages Proportions'!Q112))</f>
        <v>#N/A</v>
      </c>
      <c r="W112" s="76" t="e">
        <f>IF($B112="Jacks Only",'Chinook Jack Proportions'!R112,IF('3. Select Chinook Method'!$B112="Adults Only",'Chinook Adult Proportions'!R112,'Chinook All Ages Proportions'!R112))</f>
        <v>#N/A</v>
      </c>
      <c r="X112" s="56" t="e">
        <f>IF(B112="Jacks Only",'Chinook Jack Proportions'!S112,IF(B112="Adults Only",'Chinook Adult Proportions'!S112,'Chinook All Ages Proportions'!S112))</f>
        <v>#N/A</v>
      </c>
      <c r="Y112" s="56" t="e">
        <f>IF($B112="Jacks Only",'Chinook Jack Proportions'!T112,IF('3. Select Chinook Method'!$B112="Adults Only",'Chinook Adult Proportions'!T112,'Chinook All Ages Proportions'!T112))</f>
        <v>#N/A</v>
      </c>
      <c r="Z112" s="56" t="e">
        <f>IF($B112="Jacks Only",'Chinook Jack Proportions'!U112,IF('3. Select Chinook Method'!$B112="Adults Only",'Chinook Adult Proportions'!U112,'Chinook All Ages Proportions'!U112))</f>
        <v>#N/A</v>
      </c>
      <c r="AA112" s="56" t="e">
        <f>IF($B112="Jacks Only",'Chinook Jack Proportions'!V112,IF('3. Select Chinook Method'!$B112="Adults Only",'Chinook Adult Proportions'!V112,'Chinook All Ages Proportions'!V112))</f>
        <v>#N/A</v>
      </c>
      <c r="AB112" s="56" t="e">
        <f>IF($B112="Jacks Only",'Chinook Jack Proportions'!W112,IF('3. Select Chinook Method'!$B112="Adults Only",'Chinook Adult Proportions'!W112,'Chinook All Ages Proportions'!W112))</f>
        <v>#N/A</v>
      </c>
      <c r="AC112" s="41">
        <f>IF(B112="Jacks Only",'Chinook Jack Proportions'!Y112,IF('3. Select Chinook Method'!B112="Adults Only",'Chinook Adult Proportions'!Y112,'Chinook All Ages Proportions'!Y112))</f>
        <v>0</v>
      </c>
      <c r="AD112" s="42" t="e">
        <f>IF(B112="Jacks Only",'Chinook Jack Proportions'!Z112,IF('3. Select Chinook Method'!B112="Adults Only",'Chinook Adult Proportions'!Z112,'Chinook All Ages Proportions'!Z112))</f>
        <v>#N/A</v>
      </c>
      <c r="AE112" s="43" t="e">
        <f>IF($B112="Jacks Only",'Chinook Jack Proportions'!AA112,IF('3. Select Chinook Method'!$B112="Adults Only",'Chinook Adult Proportions'!AA112,'Chinook All Ages Proportions'!AA112))</f>
        <v>#N/A</v>
      </c>
      <c r="AF112" s="42" t="e">
        <f>IF($B112="Jacks Only",'Chinook Jack Proportions'!AB112,IF('3. Select Chinook Method'!$B112="Adults Only",'Chinook Adult Proportions'!AB112,'Chinook All Ages Proportions'!AB112))</f>
        <v>#N/A</v>
      </c>
      <c r="AG112" s="44" t="e">
        <f>IF($B112="Jacks Only",'Chinook Jack Proportions'!AC112,IF('3. Select Chinook Method'!$B112="Adults Only",'Chinook Adult Proportions'!AC112,'Chinook All Ages Proportions'!AC112))</f>
        <v>#N/A</v>
      </c>
    </row>
    <row r="113" spans="1:33" x14ac:dyDescent="0.3">
      <c r="A113" s="5">
        <f>'1. Mixture Model Inputs'!A113</f>
        <v>45215</v>
      </c>
      <c r="B113" s="55"/>
      <c r="C113" s="60" t="e">
        <f t="shared" si="1"/>
        <v>#N/A</v>
      </c>
      <c r="D113" s="56">
        <f>'Chinook All Ages Proportions'!Y113</f>
        <v>0</v>
      </c>
      <c r="E113" s="56">
        <f>'Chinook Adult Proportions'!Y113</f>
        <v>0</v>
      </c>
      <c r="F113" s="57">
        <f>'Chinook Jack Proportions'!Y113</f>
        <v>0</v>
      </c>
      <c r="G113" s="71" t="e">
        <f>IF($B113="Jacks Only",'Chinook Jack Proportions'!C113,IF('3. Select Chinook Method'!$B113="Adults Only",'Chinook Adult Proportions'!C113,'Chinook All Ages Proportions'!C113))</f>
        <v>#N/A</v>
      </c>
      <c r="H113" s="71" t="e">
        <f>IF($B113="Jacks Only",'Chinook Jack Proportions'!D113,IF('3. Select Chinook Method'!$B113="Adults Only",'Chinook Adult Proportions'!D113,'Chinook All Ages Proportions'!D113))</f>
        <v>#N/A</v>
      </c>
      <c r="I113" s="71" t="e">
        <f>IF($B113="Jacks Only",'Chinook Jack Proportions'!E113,IF('3. Select Chinook Method'!$B113="Adults Only",'Chinook Adult Proportions'!E113,'Chinook All Ages Proportions'!E113))</f>
        <v>#N/A</v>
      </c>
      <c r="J113" s="71" t="e">
        <f>IF($B113="Jacks Only",'Chinook Jack Proportions'!F113,IF('3. Select Chinook Method'!$B113="Adults Only",'Chinook Adult Proportions'!F113,'Chinook All Ages Proportions'!F113))</f>
        <v>#N/A</v>
      </c>
      <c r="K113" s="71" t="e">
        <f>IF($B113="Jacks Only",'Chinook Jack Proportions'!G113,IF('3. Select Chinook Method'!$B113="Adults Only",'Chinook Adult Proportions'!G113,'Chinook All Ages Proportions'!G113))</f>
        <v>#N/A</v>
      </c>
      <c r="L113" s="24" t="e">
        <f>IF($B113="Jacks Only",'Chinook Jack Proportions'!H113,IF('3. Select Chinook Method'!$B113="Adults Only",'Chinook Adult Proportions'!H113,'Chinook All Ages Proportions'!H113))</f>
        <v>#N/A</v>
      </c>
      <c r="M113" s="71" t="e">
        <f>IF($B113="Jacks Only",'Chinook Jack Proportions'!I113,IF('3. Select Chinook Method'!$B113="Adults Only",'Chinook Adult Proportions'!I113,'Chinook All Ages Proportions'!I113))</f>
        <v>#N/A</v>
      </c>
      <c r="N113" s="71" t="e">
        <f>IF($B113="Jacks Only",'Chinook Jack Proportions'!J113,IF('3. Select Chinook Method'!$B113="Adults Only",'Chinook Adult Proportions'!J113,'Chinook All Ages Proportions'!J113))</f>
        <v>#N/A</v>
      </c>
      <c r="O113" s="23" t="e">
        <f>IF($B113="Jacks Only",'Chinook Jack Proportions'!K113,IF('3. Select Chinook Method'!$B113="Adults Only",'Chinook Adult Proportions'!K113,'Chinook All Ages Proportions'!K113))</f>
        <v>#N/A</v>
      </c>
      <c r="P113" s="76" t="e">
        <f>IF($B113="Jacks Only",'Chinook Jack Proportions'!L113,IF('3. Select Chinook Method'!$B113="Adults Only",'Chinook Adult Proportions'!L113,'Chinook All Ages Proportions'!L113))</f>
        <v>#N/A</v>
      </c>
      <c r="Q113" s="76" t="e">
        <f>IF($B113="Jacks Only",'Chinook Jack Proportions'!M113,IF('3. Select Chinook Method'!$B113="Adults Only",'Chinook Adult Proportions'!M113,'Chinook All Ages Proportions'!M113))</f>
        <v>#N/A</v>
      </c>
      <c r="R113" s="76" t="e">
        <f>IF($B113="Jacks Only",'Chinook Jack Proportions'!X113,IF('3. Select Chinook Method'!$B113="Adults Only",'Chinook Adult Proportions'!X113,'Chinook All Ages Proportions'!X113))</f>
        <v>#N/A</v>
      </c>
      <c r="S113" s="76" t="e">
        <f>IF($B113="Jacks Only",'Chinook Jack Proportions'!N113,IF('3. Select Chinook Method'!$B113="Adults Only",'Chinook Adult Proportions'!N113,'Chinook All Ages Proportions'!N113))</f>
        <v>#N/A</v>
      </c>
      <c r="T113" s="76" t="e">
        <f>IF($B113="Jacks Only",'Chinook Jack Proportions'!O113,IF('3. Select Chinook Method'!$B113="Adults Only",'Chinook Adult Proportions'!O113,'Chinook All Ages Proportions'!O113))</f>
        <v>#N/A</v>
      </c>
      <c r="U113" s="76" t="e">
        <f>IF($B113="Jacks Only",'Chinook Jack Proportions'!P113,IF('3. Select Chinook Method'!$B113="Adults Only",'Chinook Adult Proportions'!P113,'Chinook All Ages Proportions'!P113))</f>
        <v>#N/A</v>
      </c>
      <c r="V113" s="76" t="e">
        <f>IF($B113="Jacks Only",'Chinook Jack Proportions'!Q113,IF('3. Select Chinook Method'!$B113="Adults Only",'Chinook Adult Proportions'!Q113,'Chinook All Ages Proportions'!Q113))</f>
        <v>#N/A</v>
      </c>
      <c r="W113" s="76" t="e">
        <f>IF($B113="Jacks Only",'Chinook Jack Proportions'!R113,IF('3. Select Chinook Method'!$B113="Adults Only",'Chinook Adult Proportions'!R113,'Chinook All Ages Proportions'!R113))</f>
        <v>#N/A</v>
      </c>
      <c r="X113" s="56" t="e">
        <f>IF(B113="Jacks Only",'Chinook Jack Proportions'!S113,IF(B113="Adults Only",'Chinook Adult Proportions'!S113,'Chinook All Ages Proportions'!S113))</f>
        <v>#N/A</v>
      </c>
      <c r="Y113" s="56" t="e">
        <f>IF($B113="Jacks Only",'Chinook Jack Proportions'!T113,IF('3. Select Chinook Method'!$B113="Adults Only",'Chinook Adult Proportions'!T113,'Chinook All Ages Proportions'!T113))</f>
        <v>#N/A</v>
      </c>
      <c r="Z113" s="56" t="e">
        <f>IF($B113="Jacks Only",'Chinook Jack Proportions'!U113,IF('3. Select Chinook Method'!$B113="Adults Only",'Chinook Adult Proportions'!U113,'Chinook All Ages Proportions'!U113))</f>
        <v>#N/A</v>
      </c>
      <c r="AA113" s="56" t="e">
        <f>IF($B113="Jacks Only",'Chinook Jack Proportions'!V113,IF('3. Select Chinook Method'!$B113="Adults Only",'Chinook Adult Proportions'!V113,'Chinook All Ages Proportions'!V113))</f>
        <v>#N/A</v>
      </c>
      <c r="AB113" s="56" t="e">
        <f>IF($B113="Jacks Only",'Chinook Jack Proportions'!W113,IF('3. Select Chinook Method'!$B113="Adults Only",'Chinook Adult Proportions'!W113,'Chinook All Ages Proportions'!W113))</f>
        <v>#N/A</v>
      </c>
      <c r="AC113" s="41">
        <f>IF(B113="Jacks Only",'Chinook Jack Proportions'!Y113,IF('3. Select Chinook Method'!B113="Adults Only",'Chinook Adult Proportions'!Y113,'Chinook All Ages Proportions'!Y113))</f>
        <v>0</v>
      </c>
      <c r="AD113" s="42" t="e">
        <f>IF(B113="Jacks Only",'Chinook Jack Proportions'!Z113,IF('3. Select Chinook Method'!B113="Adults Only",'Chinook Adult Proportions'!Z113,'Chinook All Ages Proportions'!Z113))</f>
        <v>#N/A</v>
      </c>
      <c r="AE113" s="43" t="e">
        <f>IF($B113="Jacks Only",'Chinook Jack Proportions'!AA113,IF('3. Select Chinook Method'!$B113="Adults Only",'Chinook Adult Proportions'!AA113,'Chinook All Ages Proportions'!AA113))</f>
        <v>#N/A</v>
      </c>
      <c r="AF113" s="42" t="e">
        <f>IF($B113="Jacks Only",'Chinook Jack Proportions'!AB113,IF('3. Select Chinook Method'!$B113="Adults Only",'Chinook Adult Proportions'!AB113,'Chinook All Ages Proportions'!AB113))</f>
        <v>#N/A</v>
      </c>
      <c r="AG113" s="44" t="e">
        <f>IF($B113="Jacks Only",'Chinook Jack Proportions'!AC113,IF('3. Select Chinook Method'!$B113="Adults Only",'Chinook Adult Proportions'!AC113,'Chinook All Ages Proportions'!AC113))</f>
        <v>#N/A</v>
      </c>
    </row>
    <row r="114" spans="1:33" x14ac:dyDescent="0.3">
      <c r="A114" s="5">
        <f>'1. Mixture Model Inputs'!A114</f>
        <v>45216</v>
      </c>
      <c r="B114" s="55"/>
      <c r="C114" s="60" t="e">
        <f t="shared" si="1"/>
        <v>#N/A</v>
      </c>
      <c r="D114" s="56">
        <f>'Chinook All Ages Proportions'!Y114</f>
        <v>0</v>
      </c>
      <c r="E114" s="56">
        <f>'Chinook Adult Proportions'!Y114</f>
        <v>0</v>
      </c>
      <c r="F114" s="57">
        <f>'Chinook Jack Proportions'!Y114</f>
        <v>0</v>
      </c>
      <c r="G114" s="71" t="e">
        <f>IF($B114="Jacks Only",'Chinook Jack Proportions'!C114,IF('3. Select Chinook Method'!$B114="Adults Only",'Chinook Adult Proportions'!C114,'Chinook All Ages Proportions'!C114))</f>
        <v>#N/A</v>
      </c>
      <c r="H114" s="71" t="e">
        <f>IF($B114="Jacks Only",'Chinook Jack Proportions'!D114,IF('3. Select Chinook Method'!$B114="Adults Only",'Chinook Adult Proportions'!D114,'Chinook All Ages Proportions'!D114))</f>
        <v>#N/A</v>
      </c>
      <c r="I114" s="71" t="e">
        <f>IF($B114="Jacks Only",'Chinook Jack Proportions'!E114,IF('3. Select Chinook Method'!$B114="Adults Only",'Chinook Adult Proportions'!E114,'Chinook All Ages Proportions'!E114))</f>
        <v>#N/A</v>
      </c>
      <c r="J114" s="71" t="e">
        <f>IF($B114="Jacks Only",'Chinook Jack Proportions'!F114,IF('3. Select Chinook Method'!$B114="Adults Only",'Chinook Adult Proportions'!F114,'Chinook All Ages Proportions'!F114))</f>
        <v>#N/A</v>
      </c>
      <c r="K114" s="71" t="e">
        <f>IF($B114="Jacks Only",'Chinook Jack Proportions'!G114,IF('3. Select Chinook Method'!$B114="Adults Only",'Chinook Adult Proportions'!G114,'Chinook All Ages Proportions'!G114))</f>
        <v>#N/A</v>
      </c>
      <c r="L114" s="24" t="e">
        <f>IF($B114="Jacks Only",'Chinook Jack Proportions'!H114,IF('3. Select Chinook Method'!$B114="Adults Only",'Chinook Adult Proportions'!H114,'Chinook All Ages Proportions'!H114))</f>
        <v>#N/A</v>
      </c>
      <c r="M114" s="71" t="e">
        <f>IF($B114="Jacks Only",'Chinook Jack Proportions'!I114,IF('3. Select Chinook Method'!$B114="Adults Only",'Chinook Adult Proportions'!I114,'Chinook All Ages Proportions'!I114))</f>
        <v>#N/A</v>
      </c>
      <c r="N114" s="71" t="e">
        <f>IF($B114="Jacks Only",'Chinook Jack Proportions'!J114,IF('3. Select Chinook Method'!$B114="Adults Only",'Chinook Adult Proportions'!J114,'Chinook All Ages Proportions'!J114))</f>
        <v>#N/A</v>
      </c>
      <c r="O114" s="23" t="e">
        <f>IF($B114="Jacks Only",'Chinook Jack Proportions'!K114,IF('3. Select Chinook Method'!$B114="Adults Only",'Chinook Adult Proportions'!K114,'Chinook All Ages Proportions'!K114))</f>
        <v>#N/A</v>
      </c>
      <c r="P114" s="76" t="e">
        <f>IF($B114="Jacks Only",'Chinook Jack Proportions'!L114,IF('3. Select Chinook Method'!$B114="Adults Only",'Chinook Adult Proportions'!L114,'Chinook All Ages Proportions'!L114))</f>
        <v>#N/A</v>
      </c>
      <c r="Q114" s="76" t="e">
        <f>IF($B114="Jacks Only",'Chinook Jack Proportions'!M114,IF('3. Select Chinook Method'!$B114="Adults Only",'Chinook Adult Proportions'!M114,'Chinook All Ages Proportions'!M114))</f>
        <v>#N/A</v>
      </c>
      <c r="R114" s="76" t="e">
        <f>IF($B114="Jacks Only",'Chinook Jack Proportions'!X114,IF('3. Select Chinook Method'!$B114="Adults Only",'Chinook Adult Proportions'!X114,'Chinook All Ages Proportions'!X114))</f>
        <v>#N/A</v>
      </c>
      <c r="S114" s="76" t="e">
        <f>IF($B114="Jacks Only",'Chinook Jack Proportions'!N114,IF('3. Select Chinook Method'!$B114="Adults Only",'Chinook Adult Proportions'!N114,'Chinook All Ages Proportions'!N114))</f>
        <v>#N/A</v>
      </c>
      <c r="T114" s="76" t="e">
        <f>IF($B114="Jacks Only",'Chinook Jack Proportions'!O114,IF('3. Select Chinook Method'!$B114="Adults Only",'Chinook Adult Proportions'!O114,'Chinook All Ages Proportions'!O114))</f>
        <v>#N/A</v>
      </c>
      <c r="U114" s="76" t="e">
        <f>IF($B114="Jacks Only",'Chinook Jack Proportions'!P114,IF('3. Select Chinook Method'!$B114="Adults Only",'Chinook Adult Proportions'!P114,'Chinook All Ages Proportions'!P114))</f>
        <v>#N/A</v>
      </c>
      <c r="V114" s="76" t="e">
        <f>IF($B114="Jacks Only",'Chinook Jack Proportions'!Q114,IF('3. Select Chinook Method'!$B114="Adults Only",'Chinook Adult Proportions'!Q114,'Chinook All Ages Proportions'!Q114))</f>
        <v>#N/A</v>
      </c>
      <c r="W114" s="76" t="e">
        <f>IF($B114="Jacks Only",'Chinook Jack Proportions'!R114,IF('3. Select Chinook Method'!$B114="Adults Only",'Chinook Adult Proportions'!R114,'Chinook All Ages Proportions'!R114))</f>
        <v>#N/A</v>
      </c>
      <c r="X114" s="56" t="e">
        <f>IF(B114="Jacks Only",'Chinook Jack Proportions'!S114,IF(B114="Adults Only",'Chinook Adult Proportions'!S114,'Chinook All Ages Proportions'!S114))</f>
        <v>#N/A</v>
      </c>
      <c r="Y114" s="56" t="e">
        <f>IF($B114="Jacks Only",'Chinook Jack Proportions'!T114,IF('3. Select Chinook Method'!$B114="Adults Only",'Chinook Adult Proportions'!T114,'Chinook All Ages Proportions'!T114))</f>
        <v>#N/A</v>
      </c>
      <c r="Z114" s="56" t="e">
        <f>IF($B114="Jacks Only",'Chinook Jack Proportions'!U114,IF('3. Select Chinook Method'!$B114="Adults Only",'Chinook Adult Proportions'!U114,'Chinook All Ages Proportions'!U114))</f>
        <v>#N/A</v>
      </c>
      <c r="AA114" s="56" t="e">
        <f>IF($B114="Jacks Only",'Chinook Jack Proportions'!V114,IF('3. Select Chinook Method'!$B114="Adults Only",'Chinook Adult Proportions'!V114,'Chinook All Ages Proportions'!V114))</f>
        <v>#N/A</v>
      </c>
      <c r="AB114" s="56" t="e">
        <f>IF($B114="Jacks Only",'Chinook Jack Proportions'!W114,IF('3. Select Chinook Method'!$B114="Adults Only",'Chinook Adult Proportions'!W114,'Chinook All Ages Proportions'!W114))</f>
        <v>#N/A</v>
      </c>
      <c r="AC114" s="41">
        <f>IF(B114="Jacks Only",'Chinook Jack Proportions'!Y114,IF('3. Select Chinook Method'!B114="Adults Only",'Chinook Adult Proportions'!Y114,'Chinook All Ages Proportions'!Y114))</f>
        <v>0</v>
      </c>
      <c r="AD114" s="42" t="e">
        <f>IF(B114="Jacks Only",'Chinook Jack Proportions'!Z114,IF('3. Select Chinook Method'!B114="Adults Only",'Chinook Adult Proportions'!Z114,'Chinook All Ages Proportions'!Z114))</f>
        <v>#N/A</v>
      </c>
      <c r="AE114" s="43" t="e">
        <f>IF($B114="Jacks Only",'Chinook Jack Proportions'!AA114,IF('3. Select Chinook Method'!$B114="Adults Only",'Chinook Adult Proportions'!AA114,'Chinook All Ages Proportions'!AA114))</f>
        <v>#N/A</v>
      </c>
      <c r="AF114" s="42" t="e">
        <f>IF($B114="Jacks Only",'Chinook Jack Proportions'!AB114,IF('3. Select Chinook Method'!$B114="Adults Only",'Chinook Adult Proportions'!AB114,'Chinook All Ages Proportions'!AB114))</f>
        <v>#N/A</v>
      </c>
      <c r="AG114" s="44" t="e">
        <f>IF($B114="Jacks Only",'Chinook Jack Proportions'!AC114,IF('3. Select Chinook Method'!$B114="Adults Only",'Chinook Adult Proportions'!AC114,'Chinook All Ages Proportions'!AC114))</f>
        <v>#N/A</v>
      </c>
    </row>
    <row r="115" spans="1:33" x14ac:dyDescent="0.3">
      <c r="A115" s="5">
        <f>'1. Mixture Model Inputs'!A115</f>
        <v>45217</v>
      </c>
      <c r="B115" s="55"/>
      <c r="C115" s="60" t="e">
        <f t="shared" si="1"/>
        <v>#N/A</v>
      </c>
      <c r="D115" s="56">
        <f>'Chinook All Ages Proportions'!Y115</f>
        <v>0</v>
      </c>
      <c r="E115" s="56">
        <f>'Chinook Adult Proportions'!Y115</f>
        <v>0</v>
      </c>
      <c r="F115" s="57">
        <f>'Chinook Jack Proportions'!Y115</f>
        <v>0</v>
      </c>
      <c r="G115" s="71" t="e">
        <f>IF($B115="Jacks Only",'Chinook Jack Proportions'!C115,IF('3. Select Chinook Method'!$B115="Adults Only",'Chinook Adult Proportions'!C115,'Chinook All Ages Proportions'!C115))</f>
        <v>#N/A</v>
      </c>
      <c r="H115" s="71" t="e">
        <f>IF($B115="Jacks Only",'Chinook Jack Proportions'!D115,IF('3. Select Chinook Method'!$B115="Adults Only",'Chinook Adult Proportions'!D115,'Chinook All Ages Proportions'!D115))</f>
        <v>#N/A</v>
      </c>
      <c r="I115" s="71" t="e">
        <f>IF($B115="Jacks Only",'Chinook Jack Proportions'!E115,IF('3. Select Chinook Method'!$B115="Adults Only",'Chinook Adult Proportions'!E115,'Chinook All Ages Proportions'!E115))</f>
        <v>#N/A</v>
      </c>
      <c r="J115" s="71" t="e">
        <f>IF($B115="Jacks Only",'Chinook Jack Proportions'!F115,IF('3. Select Chinook Method'!$B115="Adults Only",'Chinook Adult Proportions'!F115,'Chinook All Ages Proportions'!F115))</f>
        <v>#N/A</v>
      </c>
      <c r="K115" s="71" t="e">
        <f>IF($B115="Jacks Only",'Chinook Jack Proportions'!G115,IF('3. Select Chinook Method'!$B115="Adults Only",'Chinook Adult Proportions'!G115,'Chinook All Ages Proportions'!G115))</f>
        <v>#N/A</v>
      </c>
      <c r="L115" s="24" t="e">
        <f>IF($B115="Jacks Only",'Chinook Jack Proportions'!H115,IF('3. Select Chinook Method'!$B115="Adults Only",'Chinook Adult Proportions'!H115,'Chinook All Ages Proportions'!H115))</f>
        <v>#N/A</v>
      </c>
      <c r="M115" s="71" t="e">
        <f>IF($B115="Jacks Only",'Chinook Jack Proportions'!I115,IF('3. Select Chinook Method'!$B115="Adults Only",'Chinook Adult Proportions'!I115,'Chinook All Ages Proportions'!I115))</f>
        <v>#N/A</v>
      </c>
      <c r="N115" s="71" t="e">
        <f>IF($B115="Jacks Only",'Chinook Jack Proportions'!J115,IF('3. Select Chinook Method'!$B115="Adults Only",'Chinook Adult Proportions'!J115,'Chinook All Ages Proportions'!J115))</f>
        <v>#N/A</v>
      </c>
      <c r="O115" s="23" t="e">
        <f>IF($B115="Jacks Only",'Chinook Jack Proportions'!K115,IF('3. Select Chinook Method'!$B115="Adults Only",'Chinook Adult Proportions'!K115,'Chinook All Ages Proportions'!K115))</f>
        <v>#N/A</v>
      </c>
      <c r="P115" s="76" t="e">
        <f>IF($B115="Jacks Only",'Chinook Jack Proportions'!L115,IF('3. Select Chinook Method'!$B115="Adults Only",'Chinook Adult Proportions'!L115,'Chinook All Ages Proportions'!L115))</f>
        <v>#N/A</v>
      </c>
      <c r="Q115" s="76" t="e">
        <f>IF($B115="Jacks Only",'Chinook Jack Proportions'!M115,IF('3. Select Chinook Method'!$B115="Adults Only",'Chinook Adult Proportions'!M115,'Chinook All Ages Proportions'!M115))</f>
        <v>#N/A</v>
      </c>
      <c r="R115" s="76" t="e">
        <f>IF($B115="Jacks Only",'Chinook Jack Proportions'!X115,IF('3. Select Chinook Method'!$B115="Adults Only",'Chinook Adult Proportions'!X115,'Chinook All Ages Proportions'!X115))</f>
        <v>#N/A</v>
      </c>
      <c r="S115" s="76" t="e">
        <f>IF($B115="Jacks Only",'Chinook Jack Proportions'!N115,IF('3. Select Chinook Method'!$B115="Adults Only",'Chinook Adult Proportions'!N115,'Chinook All Ages Proportions'!N115))</f>
        <v>#N/A</v>
      </c>
      <c r="T115" s="76" t="e">
        <f>IF($B115="Jacks Only",'Chinook Jack Proportions'!O115,IF('3. Select Chinook Method'!$B115="Adults Only",'Chinook Adult Proportions'!O115,'Chinook All Ages Proportions'!O115))</f>
        <v>#N/A</v>
      </c>
      <c r="U115" s="76" t="e">
        <f>IF($B115="Jacks Only",'Chinook Jack Proportions'!P115,IF('3. Select Chinook Method'!$B115="Adults Only",'Chinook Adult Proportions'!P115,'Chinook All Ages Proportions'!P115))</f>
        <v>#N/A</v>
      </c>
      <c r="V115" s="76" t="e">
        <f>IF($B115="Jacks Only",'Chinook Jack Proportions'!Q115,IF('3. Select Chinook Method'!$B115="Adults Only",'Chinook Adult Proportions'!Q115,'Chinook All Ages Proportions'!Q115))</f>
        <v>#N/A</v>
      </c>
      <c r="W115" s="76" t="e">
        <f>IF($B115="Jacks Only",'Chinook Jack Proportions'!R115,IF('3. Select Chinook Method'!$B115="Adults Only",'Chinook Adult Proportions'!R115,'Chinook All Ages Proportions'!R115))</f>
        <v>#N/A</v>
      </c>
      <c r="X115" s="56" t="e">
        <f>IF(B115="Jacks Only",'Chinook Jack Proportions'!S115,IF(B115="Adults Only",'Chinook Adult Proportions'!S115,'Chinook All Ages Proportions'!S115))</f>
        <v>#N/A</v>
      </c>
      <c r="Y115" s="56" t="e">
        <f>IF($B115="Jacks Only",'Chinook Jack Proportions'!T115,IF('3. Select Chinook Method'!$B115="Adults Only",'Chinook Adult Proportions'!T115,'Chinook All Ages Proportions'!T115))</f>
        <v>#N/A</v>
      </c>
      <c r="Z115" s="56" t="e">
        <f>IF($B115="Jacks Only",'Chinook Jack Proportions'!U115,IF('3. Select Chinook Method'!$B115="Adults Only",'Chinook Adult Proportions'!U115,'Chinook All Ages Proportions'!U115))</f>
        <v>#N/A</v>
      </c>
      <c r="AA115" s="56" t="e">
        <f>IF($B115="Jacks Only",'Chinook Jack Proportions'!V115,IF('3. Select Chinook Method'!$B115="Adults Only",'Chinook Adult Proportions'!V115,'Chinook All Ages Proportions'!V115))</f>
        <v>#N/A</v>
      </c>
      <c r="AB115" s="56" t="e">
        <f>IF($B115="Jacks Only",'Chinook Jack Proportions'!W115,IF('3. Select Chinook Method'!$B115="Adults Only",'Chinook Adult Proportions'!W115,'Chinook All Ages Proportions'!W115))</f>
        <v>#N/A</v>
      </c>
      <c r="AC115" s="41">
        <f>IF(B115="Jacks Only",'Chinook Jack Proportions'!Y115,IF('3. Select Chinook Method'!B115="Adults Only",'Chinook Adult Proportions'!Y115,'Chinook All Ages Proportions'!Y115))</f>
        <v>0</v>
      </c>
      <c r="AD115" s="42" t="e">
        <f>IF(B115="Jacks Only",'Chinook Jack Proportions'!Z115,IF('3. Select Chinook Method'!B115="Adults Only",'Chinook Adult Proportions'!Z115,'Chinook All Ages Proportions'!Z115))</f>
        <v>#N/A</v>
      </c>
      <c r="AE115" s="43" t="e">
        <f>IF($B115="Jacks Only",'Chinook Jack Proportions'!AA115,IF('3. Select Chinook Method'!$B115="Adults Only",'Chinook Adult Proportions'!AA115,'Chinook All Ages Proportions'!AA115))</f>
        <v>#N/A</v>
      </c>
      <c r="AF115" s="42" t="e">
        <f>IF($B115="Jacks Only",'Chinook Jack Proportions'!AB115,IF('3. Select Chinook Method'!$B115="Adults Only",'Chinook Adult Proportions'!AB115,'Chinook All Ages Proportions'!AB115))</f>
        <v>#N/A</v>
      </c>
      <c r="AG115" s="44" t="e">
        <f>IF($B115="Jacks Only",'Chinook Jack Proportions'!AC115,IF('3. Select Chinook Method'!$B115="Adults Only",'Chinook Adult Proportions'!AC115,'Chinook All Ages Proportions'!AC115))</f>
        <v>#N/A</v>
      </c>
    </row>
    <row r="116" spans="1:33" x14ac:dyDescent="0.3">
      <c r="A116" s="5">
        <f>'1. Mixture Model Inputs'!A116</f>
        <v>45218</v>
      </c>
      <c r="B116" s="55"/>
      <c r="C116" s="60" t="e">
        <f t="shared" si="1"/>
        <v>#N/A</v>
      </c>
      <c r="D116" s="56">
        <f>'Chinook All Ages Proportions'!Y116</f>
        <v>0</v>
      </c>
      <c r="E116" s="56">
        <f>'Chinook Adult Proportions'!Y116</f>
        <v>0</v>
      </c>
      <c r="F116" s="57">
        <f>'Chinook Jack Proportions'!Y116</f>
        <v>0</v>
      </c>
      <c r="G116" s="71" t="e">
        <f>IF($B116="Jacks Only",'Chinook Jack Proportions'!C116,IF('3. Select Chinook Method'!$B116="Adults Only",'Chinook Adult Proportions'!C116,'Chinook All Ages Proportions'!C116))</f>
        <v>#N/A</v>
      </c>
      <c r="H116" s="71" t="e">
        <f>IF($B116="Jacks Only",'Chinook Jack Proportions'!D116,IF('3. Select Chinook Method'!$B116="Adults Only",'Chinook Adult Proportions'!D116,'Chinook All Ages Proportions'!D116))</f>
        <v>#N/A</v>
      </c>
      <c r="I116" s="71" t="e">
        <f>IF($B116="Jacks Only",'Chinook Jack Proportions'!E116,IF('3. Select Chinook Method'!$B116="Adults Only",'Chinook Adult Proportions'!E116,'Chinook All Ages Proportions'!E116))</f>
        <v>#N/A</v>
      </c>
      <c r="J116" s="71" t="e">
        <f>IF($B116="Jacks Only",'Chinook Jack Proportions'!F116,IF('3. Select Chinook Method'!$B116="Adults Only",'Chinook Adult Proportions'!F116,'Chinook All Ages Proportions'!F116))</f>
        <v>#N/A</v>
      </c>
      <c r="K116" s="71" t="e">
        <f>IF($B116="Jacks Only",'Chinook Jack Proportions'!G116,IF('3. Select Chinook Method'!$B116="Adults Only",'Chinook Adult Proportions'!G116,'Chinook All Ages Proportions'!G116))</f>
        <v>#N/A</v>
      </c>
      <c r="L116" s="24" t="e">
        <f>IF($B116="Jacks Only",'Chinook Jack Proportions'!H116,IF('3. Select Chinook Method'!$B116="Adults Only",'Chinook Adult Proportions'!H116,'Chinook All Ages Proportions'!H116))</f>
        <v>#N/A</v>
      </c>
      <c r="M116" s="71" t="e">
        <f>IF($B116="Jacks Only",'Chinook Jack Proportions'!I116,IF('3. Select Chinook Method'!$B116="Adults Only",'Chinook Adult Proportions'!I116,'Chinook All Ages Proportions'!I116))</f>
        <v>#N/A</v>
      </c>
      <c r="N116" s="71" t="e">
        <f>IF($B116="Jacks Only",'Chinook Jack Proportions'!J116,IF('3. Select Chinook Method'!$B116="Adults Only",'Chinook Adult Proportions'!J116,'Chinook All Ages Proportions'!J116))</f>
        <v>#N/A</v>
      </c>
      <c r="O116" s="23" t="e">
        <f>IF($B116="Jacks Only",'Chinook Jack Proportions'!K116,IF('3. Select Chinook Method'!$B116="Adults Only",'Chinook Adult Proportions'!K116,'Chinook All Ages Proportions'!K116))</f>
        <v>#N/A</v>
      </c>
      <c r="P116" s="76" t="e">
        <f>IF($B116="Jacks Only",'Chinook Jack Proportions'!L116,IF('3. Select Chinook Method'!$B116="Adults Only",'Chinook Adult Proportions'!L116,'Chinook All Ages Proportions'!L116))</f>
        <v>#N/A</v>
      </c>
      <c r="Q116" s="76" t="e">
        <f>IF($B116="Jacks Only",'Chinook Jack Proportions'!M116,IF('3. Select Chinook Method'!$B116="Adults Only",'Chinook Adult Proportions'!M116,'Chinook All Ages Proportions'!M116))</f>
        <v>#N/A</v>
      </c>
      <c r="R116" s="76" t="e">
        <f>IF($B116="Jacks Only",'Chinook Jack Proportions'!X116,IF('3. Select Chinook Method'!$B116="Adults Only",'Chinook Adult Proportions'!X116,'Chinook All Ages Proportions'!X116))</f>
        <v>#N/A</v>
      </c>
      <c r="S116" s="76" t="e">
        <f>IF($B116="Jacks Only",'Chinook Jack Proportions'!N116,IF('3. Select Chinook Method'!$B116="Adults Only",'Chinook Adult Proportions'!N116,'Chinook All Ages Proportions'!N116))</f>
        <v>#N/A</v>
      </c>
      <c r="T116" s="76" t="e">
        <f>IF($B116="Jacks Only",'Chinook Jack Proportions'!O116,IF('3. Select Chinook Method'!$B116="Adults Only",'Chinook Adult Proportions'!O116,'Chinook All Ages Proportions'!O116))</f>
        <v>#N/A</v>
      </c>
      <c r="U116" s="76" t="e">
        <f>IF($B116="Jacks Only",'Chinook Jack Proportions'!P116,IF('3. Select Chinook Method'!$B116="Adults Only",'Chinook Adult Proportions'!P116,'Chinook All Ages Proportions'!P116))</f>
        <v>#N/A</v>
      </c>
      <c r="V116" s="76" t="e">
        <f>IF($B116="Jacks Only",'Chinook Jack Proportions'!Q116,IF('3. Select Chinook Method'!$B116="Adults Only",'Chinook Adult Proportions'!Q116,'Chinook All Ages Proportions'!Q116))</f>
        <v>#N/A</v>
      </c>
      <c r="W116" s="76" t="e">
        <f>IF($B116="Jacks Only",'Chinook Jack Proportions'!R116,IF('3. Select Chinook Method'!$B116="Adults Only",'Chinook Adult Proportions'!R116,'Chinook All Ages Proportions'!R116))</f>
        <v>#N/A</v>
      </c>
      <c r="X116" s="56" t="e">
        <f>IF(B116="Jacks Only",'Chinook Jack Proportions'!S116,IF(B116="Adults Only",'Chinook Adult Proportions'!S116,'Chinook All Ages Proportions'!S116))</f>
        <v>#N/A</v>
      </c>
      <c r="Y116" s="56" t="e">
        <f>IF($B116="Jacks Only",'Chinook Jack Proportions'!T116,IF('3. Select Chinook Method'!$B116="Adults Only",'Chinook Adult Proportions'!T116,'Chinook All Ages Proportions'!T116))</f>
        <v>#N/A</v>
      </c>
      <c r="Z116" s="56" t="e">
        <f>IF($B116="Jacks Only",'Chinook Jack Proportions'!U116,IF('3. Select Chinook Method'!$B116="Adults Only",'Chinook Adult Proportions'!U116,'Chinook All Ages Proportions'!U116))</f>
        <v>#N/A</v>
      </c>
      <c r="AA116" s="56" t="e">
        <f>IF($B116="Jacks Only",'Chinook Jack Proportions'!V116,IF('3. Select Chinook Method'!$B116="Adults Only",'Chinook Adult Proportions'!V116,'Chinook All Ages Proportions'!V116))</f>
        <v>#N/A</v>
      </c>
      <c r="AB116" s="56" t="e">
        <f>IF($B116="Jacks Only",'Chinook Jack Proportions'!W116,IF('3. Select Chinook Method'!$B116="Adults Only",'Chinook Adult Proportions'!W116,'Chinook All Ages Proportions'!W116))</f>
        <v>#N/A</v>
      </c>
      <c r="AC116" s="41">
        <f>IF(B116="Jacks Only",'Chinook Jack Proportions'!Y116,IF('3. Select Chinook Method'!B116="Adults Only",'Chinook Adult Proportions'!Y116,'Chinook All Ages Proportions'!Y116))</f>
        <v>0</v>
      </c>
      <c r="AD116" s="42" t="e">
        <f>IF(B116="Jacks Only",'Chinook Jack Proportions'!Z116,IF('3. Select Chinook Method'!B116="Adults Only",'Chinook Adult Proportions'!Z116,'Chinook All Ages Proportions'!Z116))</f>
        <v>#N/A</v>
      </c>
      <c r="AE116" s="43" t="e">
        <f>IF($B116="Jacks Only",'Chinook Jack Proportions'!AA116,IF('3. Select Chinook Method'!$B116="Adults Only",'Chinook Adult Proportions'!AA116,'Chinook All Ages Proportions'!AA116))</f>
        <v>#N/A</v>
      </c>
      <c r="AF116" s="42" t="e">
        <f>IF($B116="Jacks Only",'Chinook Jack Proportions'!AB116,IF('3. Select Chinook Method'!$B116="Adults Only",'Chinook Adult Proportions'!AB116,'Chinook All Ages Proportions'!AB116))</f>
        <v>#N/A</v>
      </c>
      <c r="AG116" s="44" t="e">
        <f>IF($B116="Jacks Only",'Chinook Jack Proportions'!AC116,IF('3. Select Chinook Method'!$B116="Adults Only",'Chinook Adult Proportions'!AC116,'Chinook All Ages Proportions'!AC116))</f>
        <v>#N/A</v>
      </c>
    </row>
    <row r="117" spans="1:33" x14ac:dyDescent="0.3">
      <c r="A117" s="5">
        <f>'1. Mixture Model Inputs'!A117</f>
        <v>45219</v>
      </c>
      <c r="B117" s="55"/>
      <c r="C117" s="60" t="e">
        <f t="shared" si="1"/>
        <v>#N/A</v>
      </c>
      <c r="D117" s="56">
        <f>'Chinook All Ages Proportions'!Y117</f>
        <v>0</v>
      </c>
      <c r="E117" s="56">
        <f>'Chinook Adult Proportions'!Y117</f>
        <v>0</v>
      </c>
      <c r="F117" s="57">
        <f>'Chinook Jack Proportions'!Y117</f>
        <v>0</v>
      </c>
      <c r="G117" s="71" t="e">
        <f>IF($B117="Jacks Only",'Chinook Jack Proportions'!C117,IF('3. Select Chinook Method'!$B117="Adults Only",'Chinook Adult Proportions'!C117,'Chinook All Ages Proportions'!C117))</f>
        <v>#N/A</v>
      </c>
      <c r="H117" s="71" t="e">
        <f>IF($B117="Jacks Only",'Chinook Jack Proportions'!D117,IF('3. Select Chinook Method'!$B117="Adults Only",'Chinook Adult Proportions'!D117,'Chinook All Ages Proportions'!D117))</f>
        <v>#N/A</v>
      </c>
      <c r="I117" s="71" t="e">
        <f>IF($B117="Jacks Only",'Chinook Jack Proportions'!E117,IF('3. Select Chinook Method'!$B117="Adults Only",'Chinook Adult Proportions'!E117,'Chinook All Ages Proportions'!E117))</f>
        <v>#N/A</v>
      </c>
      <c r="J117" s="71" t="e">
        <f>IF($B117="Jacks Only",'Chinook Jack Proportions'!F117,IF('3. Select Chinook Method'!$B117="Adults Only",'Chinook Adult Proportions'!F117,'Chinook All Ages Proportions'!F117))</f>
        <v>#N/A</v>
      </c>
      <c r="K117" s="71" t="e">
        <f>IF($B117="Jacks Only",'Chinook Jack Proportions'!G117,IF('3. Select Chinook Method'!$B117="Adults Only",'Chinook Adult Proportions'!G117,'Chinook All Ages Proportions'!G117))</f>
        <v>#N/A</v>
      </c>
      <c r="L117" s="24" t="e">
        <f>IF($B117="Jacks Only",'Chinook Jack Proportions'!H117,IF('3. Select Chinook Method'!$B117="Adults Only",'Chinook Adult Proportions'!H117,'Chinook All Ages Proportions'!H117))</f>
        <v>#N/A</v>
      </c>
      <c r="M117" s="71" t="e">
        <f>IF($B117="Jacks Only",'Chinook Jack Proportions'!I117,IF('3. Select Chinook Method'!$B117="Adults Only",'Chinook Adult Proportions'!I117,'Chinook All Ages Proportions'!I117))</f>
        <v>#N/A</v>
      </c>
      <c r="N117" s="71" t="e">
        <f>IF($B117="Jacks Only",'Chinook Jack Proportions'!J117,IF('3. Select Chinook Method'!$B117="Adults Only",'Chinook Adult Proportions'!J117,'Chinook All Ages Proportions'!J117))</f>
        <v>#N/A</v>
      </c>
      <c r="O117" s="23" t="e">
        <f>IF($B117="Jacks Only",'Chinook Jack Proportions'!K117,IF('3. Select Chinook Method'!$B117="Adults Only",'Chinook Adult Proportions'!K117,'Chinook All Ages Proportions'!K117))</f>
        <v>#N/A</v>
      </c>
      <c r="P117" s="76" t="e">
        <f>IF($B117="Jacks Only",'Chinook Jack Proportions'!L117,IF('3. Select Chinook Method'!$B117="Adults Only",'Chinook Adult Proportions'!L117,'Chinook All Ages Proportions'!L117))</f>
        <v>#N/A</v>
      </c>
      <c r="Q117" s="76" t="e">
        <f>IF($B117="Jacks Only",'Chinook Jack Proportions'!M117,IF('3. Select Chinook Method'!$B117="Adults Only",'Chinook Adult Proportions'!M117,'Chinook All Ages Proportions'!M117))</f>
        <v>#N/A</v>
      </c>
      <c r="R117" s="76" t="e">
        <f>IF($B117="Jacks Only",'Chinook Jack Proportions'!X117,IF('3. Select Chinook Method'!$B117="Adults Only",'Chinook Adult Proportions'!X117,'Chinook All Ages Proportions'!X117))</f>
        <v>#N/A</v>
      </c>
      <c r="S117" s="76" t="e">
        <f>IF($B117="Jacks Only",'Chinook Jack Proportions'!N117,IF('3. Select Chinook Method'!$B117="Adults Only",'Chinook Adult Proportions'!N117,'Chinook All Ages Proportions'!N117))</f>
        <v>#N/A</v>
      </c>
      <c r="T117" s="76" t="e">
        <f>IF($B117="Jacks Only",'Chinook Jack Proportions'!O117,IF('3. Select Chinook Method'!$B117="Adults Only",'Chinook Adult Proportions'!O117,'Chinook All Ages Proportions'!O117))</f>
        <v>#N/A</v>
      </c>
      <c r="U117" s="76" t="e">
        <f>IF($B117="Jacks Only",'Chinook Jack Proportions'!P117,IF('3. Select Chinook Method'!$B117="Adults Only",'Chinook Adult Proportions'!P117,'Chinook All Ages Proportions'!P117))</f>
        <v>#N/A</v>
      </c>
      <c r="V117" s="76" t="e">
        <f>IF($B117="Jacks Only",'Chinook Jack Proportions'!Q117,IF('3. Select Chinook Method'!$B117="Adults Only",'Chinook Adult Proportions'!Q117,'Chinook All Ages Proportions'!Q117))</f>
        <v>#N/A</v>
      </c>
      <c r="W117" s="76" t="e">
        <f>IF($B117="Jacks Only",'Chinook Jack Proportions'!R117,IF('3. Select Chinook Method'!$B117="Adults Only",'Chinook Adult Proportions'!R117,'Chinook All Ages Proportions'!R117))</f>
        <v>#N/A</v>
      </c>
      <c r="X117" s="56" t="e">
        <f>IF(B117="Jacks Only",'Chinook Jack Proportions'!S117,IF(B117="Adults Only",'Chinook Adult Proportions'!S117,'Chinook All Ages Proportions'!S117))</f>
        <v>#N/A</v>
      </c>
      <c r="Y117" s="56" t="e">
        <f>IF($B117="Jacks Only",'Chinook Jack Proportions'!T117,IF('3. Select Chinook Method'!$B117="Adults Only",'Chinook Adult Proportions'!T117,'Chinook All Ages Proportions'!T117))</f>
        <v>#N/A</v>
      </c>
      <c r="Z117" s="56" t="e">
        <f>IF($B117="Jacks Only",'Chinook Jack Proportions'!U117,IF('3. Select Chinook Method'!$B117="Adults Only",'Chinook Adult Proportions'!U117,'Chinook All Ages Proportions'!U117))</f>
        <v>#N/A</v>
      </c>
      <c r="AA117" s="56" t="e">
        <f>IF($B117="Jacks Only",'Chinook Jack Proportions'!V117,IF('3. Select Chinook Method'!$B117="Adults Only",'Chinook Adult Proportions'!V117,'Chinook All Ages Proportions'!V117))</f>
        <v>#N/A</v>
      </c>
      <c r="AB117" s="56" t="e">
        <f>IF($B117="Jacks Only",'Chinook Jack Proportions'!W117,IF('3. Select Chinook Method'!$B117="Adults Only",'Chinook Adult Proportions'!W117,'Chinook All Ages Proportions'!W117))</f>
        <v>#N/A</v>
      </c>
      <c r="AC117" s="41">
        <f>IF(B117="Jacks Only",'Chinook Jack Proportions'!Y117,IF('3. Select Chinook Method'!B117="Adults Only",'Chinook Adult Proportions'!Y117,'Chinook All Ages Proportions'!Y117))</f>
        <v>0</v>
      </c>
      <c r="AD117" s="42" t="e">
        <f>IF(B117="Jacks Only",'Chinook Jack Proportions'!Z117,IF('3. Select Chinook Method'!B117="Adults Only",'Chinook Adult Proportions'!Z117,'Chinook All Ages Proportions'!Z117))</f>
        <v>#N/A</v>
      </c>
      <c r="AE117" s="43" t="e">
        <f>IF($B117="Jacks Only",'Chinook Jack Proportions'!AA117,IF('3. Select Chinook Method'!$B117="Adults Only",'Chinook Adult Proportions'!AA117,'Chinook All Ages Proportions'!AA117))</f>
        <v>#N/A</v>
      </c>
      <c r="AF117" s="42" t="e">
        <f>IF($B117="Jacks Only",'Chinook Jack Proportions'!AB117,IF('3. Select Chinook Method'!$B117="Adults Only",'Chinook Adult Proportions'!AB117,'Chinook All Ages Proportions'!AB117))</f>
        <v>#N/A</v>
      </c>
      <c r="AG117" s="44" t="e">
        <f>IF($B117="Jacks Only",'Chinook Jack Proportions'!AC117,IF('3. Select Chinook Method'!$B117="Adults Only",'Chinook Adult Proportions'!AC117,'Chinook All Ages Proportions'!AC117))</f>
        <v>#N/A</v>
      </c>
    </row>
    <row r="118" spans="1:33" x14ac:dyDescent="0.3">
      <c r="A118" s="5">
        <f>'1. Mixture Model Inputs'!A118</f>
        <v>45220</v>
      </c>
      <c r="B118" s="55"/>
      <c r="C118" s="60" t="e">
        <f t="shared" si="1"/>
        <v>#N/A</v>
      </c>
      <c r="D118" s="56">
        <f>'Chinook All Ages Proportions'!Y118</f>
        <v>0</v>
      </c>
      <c r="E118" s="56">
        <f>'Chinook Adult Proportions'!Y118</f>
        <v>0</v>
      </c>
      <c r="F118" s="57">
        <f>'Chinook Jack Proportions'!Y118</f>
        <v>0</v>
      </c>
      <c r="G118" s="71" t="e">
        <f>IF($B118="Jacks Only",'Chinook Jack Proportions'!C118,IF('3. Select Chinook Method'!$B118="Adults Only",'Chinook Adult Proportions'!C118,'Chinook All Ages Proportions'!C118))</f>
        <v>#N/A</v>
      </c>
      <c r="H118" s="71" t="e">
        <f>IF($B118="Jacks Only",'Chinook Jack Proportions'!D118,IF('3. Select Chinook Method'!$B118="Adults Only",'Chinook Adult Proportions'!D118,'Chinook All Ages Proportions'!D118))</f>
        <v>#N/A</v>
      </c>
      <c r="I118" s="71" t="e">
        <f>IF($B118="Jacks Only",'Chinook Jack Proportions'!E118,IF('3. Select Chinook Method'!$B118="Adults Only",'Chinook Adult Proportions'!E118,'Chinook All Ages Proportions'!E118))</f>
        <v>#N/A</v>
      </c>
      <c r="J118" s="71" t="e">
        <f>IF($B118="Jacks Only",'Chinook Jack Proportions'!F118,IF('3. Select Chinook Method'!$B118="Adults Only",'Chinook Adult Proportions'!F118,'Chinook All Ages Proportions'!F118))</f>
        <v>#N/A</v>
      </c>
      <c r="K118" s="71" t="e">
        <f>IF($B118="Jacks Only",'Chinook Jack Proportions'!G118,IF('3. Select Chinook Method'!$B118="Adults Only",'Chinook Adult Proportions'!G118,'Chinook All Ages Proportions'!G118))</f>
        <v>#N/A</v>
      </c>
      <c r="L118" s="24">
        <f>IF($B118="Jacks Only",'Chinook Jack Proportions'!H118,IF('3. Select Chinook Method'!$B118="Adults Only",'Chinook Adult Proportions'!H118,'Chinook All Ages Proportions'!H118))</f>
        <v>0</v>
      </c>
      <c r="M118" s="71" t="e">
        <f>IF($B118="Jacks Only",'Chinook Jack Proportions'!I118,IF('3. Select Chinook Method'!$B118="Adults Only",'Chinook Adult Proportions'!I118,'Chinook All Ages Proportions'!I118))</f>
        <v>#N/A</v>
      </c>
      <c r="N118" s="71" t="e">
        <f>IF($B118="Jacks Only",'Chinook Jack Proportions'!J118,IF('3. Select Chinook Method'!$B118="Adults Only",'Chinook Adult Proportions'!J118,'Chinook All Ages Proportions'!J118))</f>
        <v>#N/A</v>
      </c>
      <c r="O118" s="23" t="e">
        <f>IF($B118="Jacks Only",'Chinook Jack Proportions'!K118,IF('3. Select Chinook Method'!$B118="Adults Only",'Chinook Adult Proportions'!K118,'Chinook All Ages Proportions'!K118))</f>
        <v>#N/A</v>
      </c>
      <c r="P118" s="76" t="e">
        <f>IF($B118="Jacks Only",'Chinook Jack Proportions'!L118,IF('3. Select Chinook Method'!$B118="Adults Only",'Chinook Adult Proportions'!L118,'Chinook All Ages Proportions'!L118))</f>
        <v>#N/A</v>
      </c>
      <c r="Q118" s="76" t="e">
        <f>IF($B118="Jacks Only",'Chinook Jack Proportions'!M118,IF('3. Select Chinook Method'!$B118="Adults Only",'Chinook Adult Proportions'!M118,'Chinook All Ages Proportions'!M118))</f>
        <v>#N/A</v>
      </c>
      <c r="R118" s="76" t="e">
        <f>IF($B118="Jacks Only",'Chinook Jack Proportions'!X118,IF('3. Select Chinook Method'!$B118="Adults Only",'Chinook Adult Proportions'!X118,'Chinook All Ages Proportions'!X118))</f>
        <v>#N/A</v>
      </c>
      <c r="S118" s="76" t="e">
        <f>IF($B118="Jacks Only",'Chinook Jack Proportions'!N118,IF('3. Select Chinook Method'!$B118="Adults Only",'Chinook Adult Proportions'!N118,'Chinook All Ages Proportions'!N118))</f>
        <v>#N/A</v>
      </c>
      <c r="T118" s="76" t="e">
        <f>IF($B118="Jacks Only",'Chinook Jack Proportions'!O118,IF('3. Select Chinook Method'!$B118="Adults Only",'Chinook Adult Proportions'!O118,'Chinook All Ages Proportions'!O118))</f>
        <v>#N/A</v>
      </c>
      <c r="U118" s="76" t="e">
        <f>IF($B118="Jacks Only",'Chinook Jack Proportions'!P118,IF('3. Select Chinook Method'!$B118="Adults Only",'Chinook Adult Proportions'!P118,'Chinook All Ages Proportions'!P118))</f>
        <v>#N/A</v>
      </c>
      <c r="V118" s="76" t="e">
        <f>IF($B118="Jacks Only",'Chinook Jack Proportions'!Q118,IF('3. Select Chinook Method'!$B118="Adults Only",'Chinook Adult Proportions'!Q118,'Chinook All Ages Proportions'!Q118))</f>
        <v>#N/A</v>
      </c>
      <c r="W118" s="76" t="e">
        <f>IF($B118="Jacks Only",'Chinook Jack Proportions'!R118,IF('3. Select Chinook Method'!$B118="Adults Only",'Chinook Adult Proportions'!R118,'Chinook All Ages Proportions'!R118))</f>
        <v>#N/A</v>
      </c>
      <c r="X118" s="56" t="e">
        <f>IF(B118="Jacks Only",'Chinook Jack Proportions'!S118,IF(B118="Adults Only",'Chinook Adult Proportions'!S118,'Chinook All Ages Proportions'!S118))</f>
        <v>#N/A</v>
      </c>
      <c r="Y118" s="56" t="e">
        <f>IF($B118="Jacks Only",'Chinook Jack Proportions'!T118,IF('3. Select Chinook Method'!$B118="Adults Only",'Chinook Adult Proportions'!T118,'Chinook All Ages Proportions'!T118))</f>
        <v>#N/A</v>
      </c>
      <c r="Z118" s="56" t="e">
        <f>IF($B118="Jacks Only",'Chinook Jack Proportions'!U118,IF('3. Select Chinook Method'!$B118="Adults Only",'Chinook Adult Proportions'!U118,'Chinook All Ages Proportions'!U118))</f>
        <v>#N/A</v>
      </c>
      <c r="AA118" s="56" t="e">
        <f>IF($B118="Jacks Only",'Chinook Jack Proportions'!V118,IF('3. Select Chinook Method'!$B118="Adults Only",'Chinook Adult Proportions'!V118,'Chinook All Ages Proportions'!V118))</f>
        <v>#N/A</v>
      </c>
      <c r="AB118" s="56" t="e">
        <f>IF($B118="Jacks Only",'Chinook Jack Proportions'!W118,IF('3. Select Chinook Method'!$B118="Adults Only",'Chinook Adult Proportions'!W118,'Chinook All Ages Proportions'!W118))</f>
        <v>#N/A</v>
      </c>
      <c r="AC118" s="41">
        <f>IF(B118="Jacks Only",'Chinook Jack Proportions'!Y118,IF('3. Select Chinook Method'!B118="Adults Only",'Chinook Adult Proportions'!Y118,'Chinook All Ages Proportions'!Y118))</f>
        <v>0</v>
      </c>
      <c r="AD118" s="42" t="e">
        <f>IF(B118="Jacks Only",'Chinook Jack Proportions'!Z118,IF('3. Select Chinook Method'!B118="Adults Only",'Chinook Adult Proportions'!Z118,'Chinook All Ages Proportions'!Z118))</f>
        <v>#N/A</v>
      </c>
      <c r="AE118" s="43" t="e">
        <f>IF($B118="Jacks Only",'Chinook Jack Proportions'!AA118,IF('3. Select Chinook Method'!$B118="Adults Only",'Chinook Adult Proportions'!AA118,'Chinook All Ages Proportions'!AA118))</f>
        <v>#N/A</v>
      </c>
      <c r="AF118" s="42" t="e">
        <f>IF($B118="Jacks Only",'Chinook Jack Proportions'!AB118,IF('3. Select Chinook Method'!$B118="Adults Only",'Chinook Adult Proportions'!AB118,'Chinook All Ages Proportions'!AB118))</f>
        <v>#N/A</v>
      </c>
      <c r="AG118" s="44" t="e">
        <f>IF($B118="Jacks Only",'Chinook Jack Proportions'!AC118,IF('3. Select Chinook Method'!$B118="Adults Only",'Chinook Adult Proportions'!AC118,'Chinook All Ages Proportions'!AC118))</f>
        <v>#N/A</v>
      </c>
    </row>
    <row r="119" spans="1:33" x14ac:dyDescent="0.3">
      <c r="A119" s="5">
        <f>'1. Mixture Model Inputs'!A119</f>
        <v>45221</v>
      </c>
      <c r="B119" s="55"/>
      <c r="C119" s="60" t="e">
        <f t="shared" si="1"/>
        <v>#N/A</v>
      </c>
      <c r="D119" s="56">
        <f>'Chinook All Ages Proportions'!Y119</f>
        <v>0</v>
      </c>
      <c r="E119" s="56">
        <f>'Chinook Adult Proportions'!Y119</f>
        <v>0</v>
      </c>
      <c r="F119" s="57">
        <f>'Chinook Jack Proportions'!Y119</f>
        <v>0</v>
      </c>
      <c r="G119" s="71" t="e">
        <f>IF($B119="Jacks Only",'Chinook Jack Proportions'!C119,IF('3. Select Chinook Method'!$B119="Adults Only",'Chinook Adult Proportions'!C119,'Chinook All Ages Proportions'!C119))</f>
        <v>#N/A</v>
      </c>
      <c r="H119" s="71" t="e">
        <f>IF($B119="Jacks Only",'Chinook Jack Proportions'!D119,IF('3. Select Chinook Method'!$B119="Adults Only",'Chinook Adult Proportions'!D119,'Chinook All Ages Proportions'!D119))</f>
        <v>#N/A</v>
      </c>
      <c r="I119" s="71" t="e">
        <f>IF($B119="Jacks Only",'Chinook Jack Proportions'!E119,IF('3. Select Chinook Method'!$B119="Adults Only",'Chinook Adult Proportions'!E119,'Chinook All Ages Proportions'!E119))</f>
        <v>#N/A</v>
      </c>
      <c r="J119" s="71" t="e">
        <f>IF($B119="Jacks Only",'Chinook Jack Proportions'!F119,IF('3. Select Chinook Method'!$B119="Adults Only",'Chinook Adult Proportions'!F119,'Chinook All Ages Proportions'!F119))</f>
        <v>#N/A</v>
      </c>
      <c r="K119" s="71" t="e">
        <f>IF($B119="Jacks Only",'Chinook Jack Proportions'!G119,IF('3. Select Chinook Method'!$B119="Adults Only",'Chinook Adult Proportions'!G119,'Chinook All Ages Proportions'!G119))</f>
        <v>#N/A</v>
      </c>
      <c r="L119" s="24">
        <f>IF($B119="Jacks Only",'Chinook Jack Proportions'!H119,IF('3. Select Chinook Method'!$B119="Adults Only",'Chinook Adult Proportions'!H119,'Chinook All Ages Proportions'!H119))</f>
        <v>0</v>
      </c>
      <c r="M119" s="71" t="e">
        <f>IF($B119="Jacks Only",'Chinook Jack Proportions'!I119,IF('3. Select Chinook Method'!$B119="Adults Only",'Chinook Adult Proportions'!I119,'Chinook All Ages Proportions'!I119))</f>
        <v>#N/A</v>
      </c>
      <c r="N119" s="71" t="e">
        <f>IF($B119="Jacks Only",'Chinook Jack Proportions'!J119,IF('3. Select Chinook Method'!$B119="Adults Only",'Chinook Adult Proportions'!J119,'Chinook All Ages Proportions'!J119))</f>
        <v>#N/A</v>
      </c>
      <c r="O119" s="23" t="e">
        <f>IF($B119="Jacks Only",'Chinook Jack Proportions'!K119,IF('3. Select Chinook Method'!$B119="Adults Only",'Chinook Adult Proportions'!K119,'Chinook All Ages Proportions'!K119))</f>
        <v>#N/A</v>
      </c>
      <c r="P119" s="76" t="e">
        <f>IF($B119="Jacks Only",'Chinook Jack Proportions'!L119,IF('3. Select Chinook Method'!$B119="Adults Only",'Chinook Adult Proportions'!L119,'Chinook All Ages Proportions'!L119))</f>
        <v>#N/A</v>
      </c>
      <c r="Q119" s="76" t="e">
        <f>IF($B119="Jacks Only",'Chinook Jack Proportions'!M119,IF('3. Select Chinook Method'!$B119="Adults Only",'Chinook Adult Proportions'!M119,'Chinook All Ages Proportions'!M119))</f>
        <v>#N/A</v>
      </c>
      <c r="R119" s="76" t="e">
        <f>IF($B119="Jacks Only",'Chinook Jack Proportions'!X119,IF('3. Select Chinook Method'!$B119="Adults Only",'Chinook Adult Proportions'!X119,'Chinook All Ages Proportions'!X119))</f>
        <v>#N/A</v>
      </c>
      <c r="S119" s="76" t="e">
        <f>IF($B119="Jacks Only",'Chinook Jack Proportions'!N119,IF('3. Select Chinook Method'!$B119="Adults Only",'Chinook Adult Proportions'!N119,'Chinook All Ages Proportions'!N119))</f>
        <v>#N/A</v>
      </c>
      <c r="T119" s="76" t="e">
        <f>IF($B119="Jacks Only",'Chinook Jack Proportions'!O119,IF('3. Select Chinook Method'!$B119="Adults Only",'Chinook Adult Proportions'!O119,'Chinook All Ages Proportions'!O119))</f>
        <v>#N/A</v>
      </c>
      <c r="U119" s="76" t="e">
        <f>IF($B119="Jacks Only",'Chinook Jack Proportions'!P119,IF('3. Select Chinook Method'!$B119="Adults Only",'Chinook Adult Proportions'!P119,'Chinook All Ages Proportions'!P119))</f>
        <v>#N/A</v>
      </c>
      <c r="V119" s="76" t="e">
        <f>IF($B119="Jacks Only",'Chinook Jack Proportions'!Q119,IF('3. Select Chinook Method'!$B119="Adults Only",'Chinook Adult Proportions'!Q119,'Chinook All Ages Proportions'!Q119))</f>
        <v>#N/A</v>
      </c>
      <c r="W119" s="76" t="e">
        <f>IF($B119="Jacks Only",'Chinook Jack Proportions'!R119,IF('3. Select Chinook Method'!$B119="Adults Only",'Chinook Adult Proportions'!R119,'Chinook All Ages Proportions'!R119))</f>
        <v>#N/A</v>
      </c>
      <c r="X119" s="56" t="e">
        <f>IF(B119="Jacks Only",'Chinook Jack Proportions'!S119,IF(B119="Adults Only",'Chinook Adult Proportions'!S119,'Chinook All Ages Proportions'!S119))</f>
        <v>#N/A</v>
      </c>
      <c r="Y119" s="56" t="e">
        <f>IF($B119="Jacks Only",'Chinook Jack Proportions'!T119,IF('3. Select Chinook Method'!$B119="Adults Only",'Chinook Adult Proportions'!T119,'Chinook All Ages Proportions'!T119))</f>
        <v>#N/A</v>
      </c>
      <c r="Z119" s="56" t="e">
        <f>IF($B119="Jacks Only",'Chinook Jack Proportions'!U119,IF('3. Select Chinook Method'!$B119="Adults Only",'Chinook Adult Proportions'!U119,'Chinook All Ages Proportions'!U119))</f>
        <v>#N/A</v>
      </c>
      <c r="AA119" s="56" t="e">
        <f>IF($B119="Jacks Only",'Chinook Jack Proportions'!V119,IF('3. Select Chinook Method'!$B119="Adults Only",'Chinook Adult Proportions'!V119,'Chinook All Ages Proportions'!V119))</f>
        <v>#N/A</v>
      </c>
      <c r="AB119" s="56" t="e">
        <f>IF($B119="Jacks Only",'Chinook Jack Proportions'!W119,IF('3. Select Chinook Method'!$B119="Adults Only",'Chinook Adult Proportions'!W119,'Chinook All Ages Proportions'!W119))</f>
        <v>#N/A</v>
      </c>
      <c r="AC119" s="41">
        <f>IF(B119="Jacks Only",'Chinook Jack Proportions'!Y119,IF('3. Select Chinook Method'!B119="Adults Only",'Chinook Adult Proportions'!Y119,'Chinook All Ages Proportions'!Y119))</f>
        <v>0</v>
      </c>
      <c r="AD119" s="42" t="e">
        <f>IF(B119="Jacks Only",'Chinook Jack Proportions'!Z119,IF('3. Select Chinook Method'!B119="Adults Only",'Chinook Adult Proportions'!Z119,'Chinook All Ages Proportions'!Z119))</f>
        <v>#N/A</v>
      </c>
      <c r="AE119" s="43" t="e">
        <f>IF($B119="Jacks Only",'Chinook Jack Proportions'!AA119,IF('3. Select Chinook Method'!$B119="Adults Only",'Chinook Adult Proportions'!AA119,'Chinook All Ages Proportions'!AA119))</f>
        <v>#N/A</v>
      </c>
      <c r="AF119" s="42" t="e">
        <f>IF($B119="Jacks Only",'Chinook Jack Proportions'!AB119,IF('3. Select Chinook Method'!$B119="Adults Only",'Chinook Adult Proportions'!AB119,'Chinook All Ages Proportions'!AB119))</f>
        <v>#N/A</v>
      </c>
      <c r="AG119" s="44" t="e">
        <f>IF($B119="Jacks Only",'Chinook Jack Proportions'!AC119,IF('3. Select Chinook Method'!$B119="Adults Only",'Chinook Adult Proportions'!AC119,'Chinook All Ages Proportions'!AC119))</f>
        <v>#N/A</v>
      </c>
    </row>
    <row r="120" spans="1:33" x14ac:dyDescent="0.3">
      <c r="A120" s="5">
        <f>'1. Mixture Model Inputs'!A120</f>
        <v>45222</v>
      </c>
      <c r="B120" s="55"/>
      <c r="C120" s="60" t="e">
        <f t="shared" si="1"/>
        <v>#N/A</v>
      </c>
      <c r="D120" s="56">
        <f>'Chinook All Ages Proportions'!Y120</f>
        <v>0</v>
      </c>
      <c r="E120" s="56">
        <f>'Chinook Adult Proportions'!Y120</f>
        <v>0</v>
      </c>
      <c r="F120" s="57">
        <f>'Chinook Jack Proportions'!Y120</f>
        <v>0</v>
      </c>
      <c r="G120" s="71" t="e">
        <f>IF($B120="Jacks Only",'Chinook Jack Proportions'!C120,IF('3. Select Chinook Method'!$B120="Adults Only",'Chinook Adult Proportions'!C120,'Chinook All Ages Proportions'!C120))</f>
        <v>#N/A</v>
      </c>
      <c r="H120" s="71" t="e">
        <f>IF($B120="Jacks Only",'Chinook Jack Proportions'!D120,IF('3. Select Chinook Method'!$B120="Adults Only",'Chinook Adult Proportions'!D120,'Chinook All Ages Proportions'!D120))</f>
        <v>#N/A</v>
      </c>
      <c r="I120" s="71" t="e">
        <f>IF($B120="Jacks Only",'Chinook Jack Proportions'!E120,IF('3. Select Chinook Method'!$B120="Adults Only",'Chinook Adult Proportions'!E120,'Chinook All Ages Proportions'!E120))</f>
        <v>#N/A</v>
      </c>
      <c r="J120" s="71" t="e">
        <f>IF($B120="Jacks Only",'Chinook Jack Proportions'!F120,IF('3. Select Chinook Method'!$B120="Adults Only",'Chinook Adult Proportions'!F120,'Chinook All Ages Proportions'!F120))</f>
        <v>#N/A</v>
      </c>
      <c r="K120" s="71" t="e">
        <f>IF($B120="Jacks Only",'Chinook Jack Proportions'!G120,IF('3. Select Chinook Method'!$B120="Adults Only",'Chinook Adult Proportions'!G120,'Chinook All Ages Proportions'!G120))</f>
        <v>#N/A</v>
      </c>
      <c r="L120" s="24">
        <f>IF($B120="Jacks Only",'Chinook Jack Proportions'!H120,IF('3. Select Chinook Method'!$B120="Adults Only",'Chinook Adult Proportions'!H120,'Chinook All Ages Proportions'!H120))</f>
        <v>0</v>
      </c>
      <c r="M120" s="71" t="e">
        <f>IF($B120="Jacks Only",'Chinook Jack Proportions'!I120,IF('3. Select Chinook Method'!$B120="Adults Only",'Chinook Adult Proportions'!I120,'Chinook All Ages Proportions'!I120))</f>
        <v>#N/A</v>
      </c>
      <c r="N120" s="71" t="e">
        <f>IF($B120="Jacks Only",'Chinook Jack Proportions'!J120,IF('3. Select Chinook Method'!$B120="Adults Only",'Chinook Adult Proportions'!J120,'Chinook All Ages Proportions'!J120))</f>
        <v>#N/A</v>
      </c>
      <c r="O120" s="23" t="e">
        <f>IF($B120="Jacks Only",'Chinook Jack Proportions'!K120,IF('3. Select Chinook Method'!$B120="Adults Only",'Chinook Adult Proportions'!K120,'Chinook All Ages Proportions'!K120))</f>
        <v>#N/A</v>
      </c>
      <c r="P120" s="76" t="e">
        <f>IF($B120="Jacks Only",'Chinook Jack Proportions'!L120,IF('3. Select Chinook Method'!$B120="Adults Only",'Chinook Adult Proportions'!L120,'Chinook All Ages Proportions'!L120))</f>
        <v>#N/A</v>
      </c>
      <c r="Q120" s="76" t="e">
        <f>IF($B120="Jacks Only",'Chinook Jack Proportions'!M120,IF('3. Select Chinook Method'!$B120="Adults Only",'Chinook Adult Proportions'!M120,'Chinook All Ages Proportions'!M120))</f>
        <v>#N/A</v>
      </c>
      <c r="R120" s="76" t="e">
        <f>IF($B120="Jacks Only",'Chinook Jack Proportions'!X120,IF('3. Select Chinook Method'!$B120="Adults Only",'Chinook Adult Proportions'!X120,'Chinook All Ages Proportions'!X120))</f>
        <v>#N/A</v>
      </c>
      <c r="S120" s="76" t="e">
        <f>IF($B120="Jacks Only",'Chinook Jack Proportions'!N120,IF('3. Select Chinook Method'!$B120="Adults Only",'Chinook Adult Proportions'!N120,'Chinook All Ages Proportions'!N120))</f>
        <v>#N/A</v>
      </c>
      <c r="T120" s="76" t="e">
        <f>IF($B120="Jacks Only",'Chinook Jack Proportions'!O120,IF('3. Select Chinook Method'!$B120="Adults Only",'Chinook Adult Proportions'!O120,'Chinook All Ages Proportions'!O120))</f>
        <v>#N/A</v>
      </c>
      <c r="U120" s="76" t="e">
        <f>IF($B120="Jacks Only",'Chinook Jack Proportions'!P120,IF('3. Select Chinook Method'!$B120="Adults Only",'Chinook Adult Proportions'!P120,'Chinook All Ages Proportions'!P120))</f>
        <v>#N/A</v>
      </c>
      <c r="V120" s="76" t="e">
        <f>IF($B120="Jacks Only",'Chinook Jack Proportions'!Q120,IF('3. Select Chinook Method'!$B120="Adults Only",'Chinook Adult Proportions'!Q120,'Chinook All Ages Proportions'!Q120))</f>
        <v>#N/A</v>
      </c>
      <c r="W120" s="76" t="e">
        <f>IF($B120="Jacks Only",'Chinook Jack Proportions'!R120,IF('3. Select Chinook Method'!$B120="Adults Only",'Chinook Adult Proportions'!R120,'Chinook All Ages Proportions'!R120))</f>
        <v>#N/A</v>
      </c>
      <c r="X120" s="56" t="e">
        <f>IF(B120="Jacks Only",'Chinook Jack Proportions'!S120,IF(B120="Adults Only",'Chinook Adult Proportions'!S120,'Chinook All Ages Proportions'!S120))</f>
        <v>#N/A</v>
      </c>
      <c r="Y120" s="56" t="e">
        <f>IF($B120="Jacks Only",'Chinook Jack Proportions'!T120,IF('3. Select Chinook Method'!$B120="Adults Only",'Chinook Adult Proportions'!T120,'Chinook All Ages Proportions'!T120))</f>
        <v>#N/A</v>
      </c>
      <c r="Z120" s="56" t="e">
        <f>IF($B120="Jacks Only",'Chinook Jack Proportions'!U120,IF('3. Select Chinook Method'!$B120="Adults Only",'Chinook Adult Proportions'!U120,'Chinook All Ages Proportions'!U120))</f>
        <v>#N/A</v>
      </c>
      <c r="AA120" s="56" t="e">
        <f>IF($B120="Jacks Only",'Chinook Jack Proportions'!V120,IF('3. Select Chinook Method'!$B120="Adults Only",'Chinook Adult Proportions'!V120,'Chinook All Ages Proportions'!V120))</f>
        <v>#N/A</v>
      </c>
      <c r="AB120" s="56" t="e">
        <f>IF($B120="Jacks Only",'Chinook Jack Proportions'!W120,IF('3. Select Chinook Method'!$B120="Adults Only",'Chinook Adult Proportions'!W120,'Chinook All Ages Proportions'!W120))</f>
        <v>#N/A</v>
      </c>
      <c r="AC120" s="41">
        <f>IF(B120="Jacks Only",'Chinook Jack Proportions'!Y120,IF('3. Select Chinook Method'!B120="Adults Only",'Chinook Adult Proportions'!Y120,'Chinook All Ages Proportions'!Y120))</f>
        <v>0</v>
      </c>
      <c r="AD120" s="42" t="e">
        <f>IF(B120="Jacks Only",'Chinook Jack Proportions'!Z120,IF('3. Select Chinook Method'!B120="Adults Only",'Chinook Adult Proportions'!Z120,'Chinook All Ages Proportions'!Z120))</f>
        <v>#N/A</v>
      </c>
      <c r="AE120" s="43" t="e">
        <f>IF($B120="Jacks Only",'Chinook Jack Proportions'!AA120,IF('3. Select Chinook Method'!$B120="Adults Only",'Chinook Adult Proportions'!AA120,'Chinook All Ages Proportions'!AA120))</f>
        <v>#N/A</v>
      </c>
      <c r="AF120" s="42" t="e">
        <f>IF($B120="Jacks Only",'Chinook Jack Proportions'!AB120,IF('3. Select Chinook Method'!$B120="Adults Only",'Chinook Adult Proportions'!AB120,'Chinook All Ages Proportions'!AB120))</f>
        <v>#N/A</v>
      </c>
      <c r="AG120" s="44" t="e">
        <f>IF($B120="Jacks Only",'Chinook Jack Proportions'!AC120,IF('3. Select Chinook Method'!$B120="Adults Only",'Chinook Adult Proportions'!AC120,'Chinook All Ages Proportions'!AC120))</f>
        <v>#N/A</v>
      </c>
    </row>
    <row r="121" spans="1:33" x14ac:dyDescent="0.3">
      <c r="A121" s="5">
        <f>'1. Mixture Model Inputs'!A121</f>
        <v>45223</v>
      </c>
      <c r="B121" s="55"/>
      <c r="C121" s="60" t="e">
        <f t="shared" si="1"/>
        <v>#N/A</v>
      </c>
      <c r="D121" s="56">
        <f>'Chinook All Ages Proportions'!Y121</f>
        <v>0</v>
      </c>
      <c r="E121" s="56">
        <f>'Chinook Adult Proportions'!Y121</f>
        <v>0</v>
      </c>
      <c r="F121" s="57">
        <f>'Chinook Jack Proportions'!Y121</f>
        <v>0</v>
      </c>
      <c r="G121" s="71" t="e">
        <f>IF($B121="Jacks Only",'Chinook Jack Proportions'!C121,IF('3. Select Chinook Method'!$B121="Adults Only",'Chinook Adult Proportions'!C121,'Chinook All Ages Proportions'!C121))</f>
        <v>#N/A</v>
      </c>
      <c r="H121" s="71" t="e">
        <f>IF($B121="Jacks Only",'Chinook Jack Proportions'!D121,IF('3. Select Chinook Method'!$B121="Adults Only",'Chinook Adult Proportions'!D121,'Chinook All Ages Proportions'!D121))</f>
        <v>#N/A</v>
      </c>
      <c r="I121" s="71" t="e">
        <f>IF($B121="Jacks Only",'Chinook Jack Proportions'!E121,IF('3. Select Chinook Method'!$B121="Adults Only",'Chinook Adult Proportions'!E121,'Chinook All Ages Proportions'!E121))</f>
        <v>#N/A</v>
      </c>
      <c r="J121" s="71" t="e">
        <f>IF($B121="Jacks Only",'Chinook Jack Proportions'!F121,IF('3. Select Chinook Method'!$B121="Adults Only",'Chinook Adult Proportions'!F121,'Chinook All Ages Proportions'!F121))</f>
        <v>#N/A</v>
      </c>
      <c r="K121" s="71" t="e">
        <f>IF($B121="Jacks Only",'Chinook Jack Proportions'!G121,IF('3. Select Chinook Method'!$B121="Adults Only",'Chinook Adult Proportions'!G121,'Chinook All Ages Proportions'!G121))</f>
        <v>#N/A</v>
      </c>
      <c r="L121" s="24">
        <f>IF($B121="Jacks Only",'Chinook Jack Proportions'!H121,IF('3. Select Chinook Method'!$B121="Adults Only",'Chinook Adult Proportions'!H121,'Chinook All Ages Proportions'!H121))</f>
        <v>0</v>
      </c>
      <c r="M121" s="71" t="e">
        <f>IF($B121="Jacks Only",'Chinook Jack Proportions'!I121,IF('3. Select Chinook Method'!$B121="Adults Only",'Chinook Adult Proportions'!I121,'Chinook All Ages Proportions'!I121))</f>
        <v>#N/A</v>
      </c>
      <c r="N121" s="71" t="e">
        <f>IF($B121="Jacks Only",'Chinook Jack Proportions'!J121,IF('3. Select Chinook Method'!$B121="Adults Only",'Chinook Adult Proportions'!J121,'Chinook All Ages Proportions'!J121))</f>
        <v>#N/A</v>
      </c>
      <c r="O121" s="23" t="e">
        <f>IF($B121="Jacks Only",'Chinook Jack Proportions'!K121,IF('3. Select Chinook Method'!$B121="Adults Only",'Chinook Adult Proportions'!K121,'Chinook All Ages Proportions'!K121))</f>
        <v>#N/A</v>
      </c>
      <c r="P121" s="76" t="e">
        <f>IF($B121="Jacks Only",'Chinook Jack Proportions'!L121,IF('3. Select Chinook Method'!$B121="Adults Only",'Chinook Adult Proportions'!L121,'Chinook All Ages Proportions'!L121))</f>
        <v>#N/A</v>
      </c>
      <c r="Q121" s="76" t="e">
        <f>IF($B121="Jacks Only",'Chinook Jack Proportions'!M121,IF('3. Select Chinook Method'!$B121="Adults Only",'Chinook Adult Proportions'!M121,'Chinook All Ages Proportions'!M121))</f>
        <v>#N/A</v>
      </c>
      <c r="R121" s="76" t="e">
        <f>IF($B121="Jacks Only",'Chinook Jack Proportions'!X121,IF('3. Select Chinook Method'!$B121="Adults Only",'Chinook Adult Proportions'!X121,'Chinook All Ages Proportions'!X121))</f>
        <v>#N/A</v>
      </c>
      <c r="S121" s="76" t="e">
        <f>IF($B121="Jacks Only",'Chinook Jack Proportions'!N121,IF('3. Select Chinook Method'!$B121="Adults Only",'Chinook Adult Proportions'!N121,'Chinook All Ages Proportions'!N121))</f>
        <v>#N/A</v>
      </c>
      <c r="T121" s="76" t="e">
        <f>IF($B121="Jacks Only",'Chinook Jack Proportions'!O121,IF('3. Select Chinook Method'!$B121="Adults Only",'Chinook Adult Proportions'!O121,'Chinook All Ages Proportions'!O121))</f>
        <v>#N/A</v>
      </c>
      <c r="U121" s="76" t="e">
        <f>IF($B121="Jacks Only",'Chinook Jack Proportions'!P121,IF('3. Select Chinook Method'!$B121="Adults Only",'Chinook Adult Proportions'!P121,'Chinook All Ages Proportions'!P121))</f>
        <v>#N/A</v>
      </c>
      <c r="V121" s="76" t="e">
        <f>IF($B121="Jacks Only",'Chinook Jack Proportions'!Q121,IF('3. Select Chinook Method'!$B121="Adults Only",'Chinook Adult Proportions'!Q121,'Chinook All Ages Proportions'!Q121))</f>
        <v>#N/A</v>
      </c>
      <c r="W121" s="76" t="e">
        <f>IF($B121="Jacks Only",'Chinook Jack Proportions'!R121,IF('3. Select Chinook Method'!$B121="Adults Only",'Chinook Adult Proportions'!R121,'Chinook All Ages Proportions'!R121))</f>
        <v>#N/A</v>
      </c>
      <c r="X121" s="56" t="e">
        <f>IF(B121="Jacks Only",'Chinook Jack Proportions'!S121,IF(B121="Adults Only",'Chinook Adult Proportions'!S121,'Chinook All Ages Proportions'!S121))</f>
        <v>#N/A</v>
      </c>
      <c r="Y121" s="56" t="e">
        <f>IF($B121="Jacks Only",'Chinook Jack Proportions'!T121,IF('3. Select Chinook Method'!$B121="Adults Only",'Chinook Adult Proportions'!T121,'Chinook All Ages Proportions'!T121))</f>
        <v>#N/A</v>
      </c>
      <c r="Z121" s="56" t="e">
        <f>IF($B121="Jacks Only",'Chinook Jack Proportions'!U121,IF('3. Select Chinook Method'!$B121="Adults Only",'Chinook Adult Proportions'!U121,'Chinook All Ages Proportions'!U121))</f>
        <v>#N/A</v>
      </c>
      <c r="AA121" s="56" t="e">
        <f>IF($B121="Jacks Only",'Chinook Jack Proportions'!V121,IF('3. Select Chinook Method'!$B121="Adults Only",'Chinook Adult Proportions'!V121,'Chinook All Ages Proportions'!V121))</f>
        <v>#N/A</v>
      </c>
      <c r="AB121" s="56" t="e">
        <f>IF($B121="Jacks Only",'Chinook Jack Proportions'!W121,IF('3. Select Chinook Method'!$B121="Adults Only",'Chinook Adult Proportions'!W121,'Chinook All Ages Proportions'!W121))</f>
        <v>#N/A</v>
      </c>
      <c r="AC121" s="41">
        <f>IF(B121="Jacks Only",'Chinook Jack Proportions'!Y121,IF('3. Select Chinook Method'!B121="Adults Only",'Chinook Adult Proportions'!Y121,'Chinook All Ages Proportions'!Y121))</f>
        <v>0</v>
      </c>
      <c r="AD121" s="42" t="e">
        <f>IF(B121="Jacks Only",'Chinook Jack Proportions'!Z121,IF('3. Select Chinook Method'!B121="Adults Only",'Chinook Adult Proportions'!Z121,'Chinook All Ages Proportions'!Z121))</f>
        <v>#N/A</v>
      </c>
      <c r="AE121" s="43" t="e">
        <f>IF($B121="Jacks Only",'Chinook Jack Proportions'!AA121,IF('3. Select Chinook Method'!$B121="Adults Only",'Chinook Adult Proportions'!AA121,'Chinook All Ages Proportions'!AA121))</f>
        <v>#N/A</v>
      </c>
      <c r="AF121" s="42" t="e">
        <f>IF($B121="Jacks Only",'Chinook Jack Proportions'!AB121,IF('3. Select Chinook Method'!$B121="Adults Only",'Chinook Adult Proportions'!AB121,'Chinook All Ages Proportions'!AB121))</f>
        <v>#N/A</v>
      </c>
      <c r="AG121" s="44" t="e">
        <f>IF($B121="Jacks Only",'Chinook Jack Proportions'!AC121,IF('3. Select Chinook Method'!$B121="Adults Only",'Chinook Adult Proportions'!AC121,'Chinook All Ages Proportions'!AC121))</f>
        <v>#N/A</v>
      </c>
    </row>
    <row r="122" spans="1:33" x14ac:dyDescent="0.3">
      <c r="A122" s="5">
        <f>'1. Mixture Model Inputs'!A122</f>
        <v>45224</v>
      </c>
      <c r="B122" s="55"/>
      <c r="C122" s="60" t="e">
        <f t="shared" si="1"/>
        <v>#N/A</v>
      </c>
      <c r="D122" s="56">
        <f>'Chinook All Ages Proportions'!Y122</f>
        <v>0</v>
      </c>
      <c r="E122" s="56">
        <f>'Chinook Adult Proportions'!Y122</f>
        <v>0</v>
      </c>
      <c r="F122" s="57">
        <f>'Chinook Jack Proportions'!Y122</f>
        <v>0</v>
      </c>
      <c r="G122" s="71" t="e">
        <f>IF($B122="Jacks Only",'Chinook Jack Proportions'!C122,IF('3. Select Chinook Method'!$B122="Adults Only",'Chinook Adult Proportions'!C122,'Chinook All Ages Proportions'!C122))</f>
        <v>#N/A</v>
      </c>
      <c r="H122" s="71" t="e">
        <f>IF($B122="Jacks Only",'Chinook Jack Proportions'!D122,IF('3. Select Chinook Method'!$B122="Adults Only",'Chinook Adult Proportions'!D122,'Chinook All Ages Proportions'!D122))</f>
        <v>#N/A</v>
      </c>
      <c r="I122" s="71" t="e">
        <f>IF($B122="Jacks Only",'Chinook Jack Proportions'!E122,IF('3. Select Chinook Method'!$B122="Adults Only",'Chinook Adult Proportions'!E122,'Chinook All Ages Proportions'!E122))</f>
        <v>#N/A</v>
      </c>
      <c r="J122" s="71" t="e">
        <f>IF($B122="Jacks Only",'Chinook Jack Proportions'!F122,IF('3. Select Chinook Method'!$B122="Adults Only",'Chinook Adult Proportions'!F122,'Chinook All Ages Proportions'!F122))</f>
        <v>#N/A</v>
      </c>
      <c r="K122" s="71" t="e">
        <f>IF($B122="Jacks Only",'Chinook Jack Proportions'!G122,IF('3. Select Chinook Method'!$B122="Adults Only",'Chinook Adult Proportions'!G122,'Chinook All Ages Proportions'!G122))</f>
        <v>#N/A</v>
      </c>
      <c r="L122" s="24">
        <f>IF($B122="Jacks Only",'Chinook Jack Proportions'!H122,IF('3. Select Chinook Method'!$B122="Adults Only",'Chinook Adult Proportions'!H122,'Chinook All Ages Proportions'!H122))</f>
        <v>0</v>
      </c>
      <c r="M122" s="71" t="e">
        <f>IF($B122="Jacks Only",'Chinook Jack Proportions'!I122,IF('3. Select Chinook Method'!$B122="Adults Only",'Chinook Adult Proportions'!I122,'Chinook All Ages Proportions'!I122))</f>
        <v>#N/A</v>
      </c>
      <c r="N122" s="71" t="e">
        <f>IF($B122="Jacks Only",'Chinook Jack Proportions'!J122,IF('3. Select Chinook Method'!$B122="Adults Only",'Chinook Adult Proportions'!J122,'Chinook All Ages Proportions'!J122))</f>
        <v>#N/A</v>
      </c>
      <c r="O122" s="23" t="e">
        <f>IF($B122="Jacks Only",'Chinook Jack Proportions'!K122,IF('3. Select Chinook Method'!$B122="Adults Only",'Chinook Adult Proportions'!K122,'Chinook All Ages Proportions'!K122))</f>
        <v>#N/A</v>
      </c>
      <c r="P122" s="76" t="e">
        <f>IF($B122="Jacks Only",'Chinook Jack Proportions'!L122,IF('3. Select Chinook Method'!$B122="Adults Only",'Chinook Adult Proportions'!L122,'Chinook All Ages Proportions'!L122))</f>
        <v>#N/A</v>
      </c>
      <c r="Q122" s="76" t="e">
        <f>IF($B122="Jacks Only",'Chinook Jack Proportions'!M122,IF('3. Select Chinook Method'!$B122="Adults Only",'Chinook Adult Proportions'!M122,'Chinook All Ages Proportions'!M122))</f>
        <v>#N/A</v>
      </c>
      <c r="R122" s="76" t="e">
        <f>IF($B122="Jacks Only",'Chinook Jack Proportions'!X122,IF('3. Select Chinook Method'!$B122="Adults Only",'Chinook Adult Proportions'!X122,'Chinook All Ages Proportions'!X122))</f>
        <v>#N/A</v>
      </c>
      <c r="S122" s="76" t="e">
        <f>IF($B122="Jacks Only",'Chinook Jack Proportions'!N122,IF('3. Select Chinook Method'!$B122="Adults Only",'Chinook Adult Proportions'!N122,'Chinook All Ages Proportions'!N122))</f>
        <v>#N/A</v>
      </c>
      <c r="T122" s="76" t="e">
        <f>IF($B122="Jacks Only",'Chinook Jack Proportions'!O122,IF('3. Select Chinook Method'!$B122="Adults Only",'Chinook Adult Proportions'!O122,'Chinook All Ages Proportions'!O122))</f>
        <v>#N/A</v>
      </c>
      <c r="U122" s="76" t="e">
        <f>IF($B122="Jacks Only",'Chinook Jack Proportions'!P122,IF('3. Select Chinook Method'!$B122="Adults Only",'Chinook Adult Proportions'!P122,'Chinook All Ages Proportions'!P122))</f>
        <v>#N/A</v>
      </c>
      <c r="V122" s="76" t="e">
        <f>IF($B122="Jacks Only",'Chinook Jack Proportions'!Q122,IF('3. Select Chinook Method'!$B122="Adults Only",'Chinook Adult Proportions'!Q122,'Chinook All Ages Proportions'!Q122))</f>
        <v>#N/A</v>
      </c>
      <c r="W122" s="76" t="e">
        <f>IF($B122="Jacks Only",'Chinook Jack Proportions'!R122,IF('3. Select Chinook Method'!$B122="Adults Only",'Chinook Adult Proportions'!R122,'Chinook All Ages Proportions'!R122))</f>
        <v>#N/A</v>
      </c>
      <c r="X122" s="56" t="e">
        <f>IF(B122="Jacks Only",'Chinook Jack Proportions'!S122,IF(B122="Adults Only",'Chinook Adult Proportions'!S122,'Chinook All Ages Proportions'!S122))</f>
        <v>#N/A</v>
      </c>
      <c r="Y122" s="56" t="e">
        <f>IF($B122="Jacks Only",'Chinook Jack Proportions'!T122,IF('3. Select Chinook Method'!$B122="Adults Only",'Chinook Adult Proportions'!T122,'Chinook All Ages Proportions'!T122))</f>
        <v>#N/A</v>
      </c>
      <c r="Z122" s="56" t="e">
        <f>IF($B122="Jacks Only",'Chinook Jack Proportions'!U122,IF('3. Select Chinook Method'!$B122="Adults Only",'Chinook Adult Proportions'!U122,'Chinook All Ages Proportions'!U122))</f>
        <v>#N/A</v>
      </c>
      <c r="AA122" s="56" t="e">
        <f>IF($B122="Jacks Only",'Chinook Jack Proportions'!V122,IF('3. Select Chinook Method'!$B122="Adults Only",'Chinook Adult Proportions'!V122,'Chinook All Ages Proportions'!V122))</f>
        <v>#N/A</v>
      </c>
      <c r="AB122" s="56" t="e">
        <f>IF($B122="Jacks Only",'Chinook Jack Proportions'!W122,IF('3. Select Chinook Method'!$B122="Adults Only",'Chinook Adult Proportions'!W122,'Chinook All Ages Proportions'!W122))</f>
        <v>#N/A</v>
      </c>
      <c r="AC122" s="41">
        <f>IF(B122="Jacks Only",'Chinook Jack Proportions'!Y122,IF('3. Select Chinook Method'!B122="Adults Only",'Chinook Adult Proportions'!Y122,'Chinook All Ages Proportions'!Y122))</f>
        <v>0</v>
      </c>
      <c r="AD122" s="42" t="e">
        <f>IF(B122="Jacks Only",'Chinook Jack Proportions'!Z122,IF('3. Select Chinook Method'!B122="Adults Only",'Chinook Adult Proportions'!Z122,'Chinook All Ages Proportions'!Z122))</f>
        <v>#N/A</v>
      </c>
      <c r="AE122" s="43" t="e">
        <f>IF($B122="Jacks Only",'Chinook Jack Proportions'!AA122,IF('3. Select Chinook Method'!$B122="Adults Only",'Chinook Adult Proportions'!AA122,'Chinook All Ages Proportions'!AA122))</f>
        <v>#N/A</v>
      </c>
      <c r="AF122" s="42" t="e">
        <f>IF($B122="Jacks Only",'Chinook Jack Proportions'!AB122,IF('3. Select Chinook Method'!$B122="Adults Only",'Chinook Adult Proportions'!AB122,'Chinook All Ages Proportions'!AB122))</f>
        <v>#N/A</v>
      </c>
      <c r="AG122" s="44" t="e">
        <f>IF($B122="Jacks Only",'Chinook Jack Proportions'!AC122,IF('3. Select Chinook Method'!$B122="Adults Only",'Chinook Adult Proportions'!AC122,'Chinook All Ages Proportions'!AC122))</f>
        <v>#N/A</v>
      </c>
    </row>
    <row r="123" spans="1:33" x14ac:dyDescent="0.3">
      <c r="A123" s="5">
        <f>'1. Mixture Model Inputs'!A123</f>
        <v>45225</v>
      </c>
      <c r="B123" s="55"/>
      <c r="C123" s="60" t="e">
        <f t="shared" si="1"/>
        <v>#N/A</v>
      </c>
      <c r="D123" s="56">
        <f>'Chinook All Ages Proportions'!Y123</f>
        <v>0</v>
      </c>
      <c r="E123" s="56">
        <f>'Chinook Adult Proportions'!Y123</f>
        <v>0</v>
      </c>
      <c r="F123" s="57">
        <f>'Chinook Jack Proportions'!Y123</f>
        <v>0</v>
      </c>
      <c r="G123" s="71" t="e">
        <f>IF($B123="Jacks Only",'Chinook Jack Proportions'!C123,IF('3. Select Chinook Method'!$B123="Adults Only",'Chinook Adult Proportions'!C123,'Chinook All Ages Proportions'!C123))</f>
        <v>#N/A</v>
      </c>
      <c r="H123" s="71" t="e">
        <f>IF($B123="Jacks Only",'Chinook Jack Proportions'!D123,IF('3. Select Chinook Method'!$B123="Adults Only",'Chinook Adult Proportions'!D123,'Chinook All Ages Proportions'!D123))</f>
        <v>#N/A</v>
      </c>
      <c r="I123" s="71" t="e">
        <f>IF($B123="Jacks Only",'Chinook Jack Proportions'!E123,IF('3. Select Chinook Method'!$B123="Adults Only",'Chinook Adult Proportions'!E123,'Chinook All Ages Proportions'!E123))</f>
        <v>#N/A</v>
      </c>
      <c r="J123" s="71" t="e">
        <f>IF($B123="Jacks Only",'Chinook Jack Proportions'!F123,IF('3. Select Chinook Method'!$B123="Adults Only",'Chinook Adult Proportions'!F123,'Chinook All Ages Proportions'!F123))</f>
        <v>#N/A</v>
      </c>
      <c r="K123" s="71" t="e">
        <f>IF($B123="Jacks Only",'Chinook Jack Proportions'!G123,IF('3. Select Chinook Method'!$B123="Adults Only",'Chinook Adult Proportions'!G123,'Chinook All Ages Proportions'!G123))</f>
        <v>#N/A</v>
      </c>
      <c r="L123" s="24">
        <f>IF($B123="Jacks Only",'Chinook Jack Proportions'!H123,IF('3. Select Chinook Method'!$B123="Adults Only",'Chinook Adult Proportions'!H123,'Chinook All Ages Proportions'!H123))</f>
        <v>0</v>
      </c>
      <c r="M123" s="71" t="e">
        <f>IF($B123="Jacks Only",'Chinook Jack Proportions'!I123,IF('3. Select Chinook Method'!$B123="Adults Only",'Chinook Adult Proportions'!I123,'Chinook All Ages Proportions'!I123))</f>
        <v>#N/A</v>
      </c>
      <c r="N123" s="71" t="e">
        <f>IF($B123="Jacks Only",'Chinook Jack Proportions'!J123,IF('3. Select Chinook Method'!$B123="Adults Only",'Chinook Adult Proportions'!J123,'Chinook All Ages Proportions'!J123))</f>
        <v>#N/A</v>
      </c>
      <c r="O123" s="23" t="e">
        <f>IF($B123="Jacks Only",'Chinook Jack Proportions'!K123,IF('3. Select Chinook Method'!$B123="Adults Only",'Chinook Adult Proportions'!K123,'Chinook All Ages Proportions'!K123))</f>
        <v>#N/A</v>
      </c>
      <c r="P123" s="76" t="e">
        <f>IF($B123="Jacks Only",'Chinook Jack Proportions'!L123,IF('3. Select Chinook Method'!$B123="Adults Only",'Chinook Adult Proportions'!L123,'Chinook All Ages Proportions'!L123))</f>
        <v>#N/A</v>
      </c>
      <c r="Q123" s="76" t="e">
        <f>IF($B123="Jacks Only",'Chinook Jack Proportions'!M123,IF('3. Select Chinook Method'!$B123="Adults Only",'Chinook Adult Proportions'!M123,'Chinook All Ages Proportions'!M123))</f>
        <v>#N/A</v>
      </c>
      <c r="R123" s="76" t="e">
        <f>IF($B123="Jacks Only",'Chinook Jack Proportions'!X123,IF('3. Select Chinook Method'!$B123="Adults Only",'Chinook Adult Proportions'!X123,'Chinook All Ages Proportions'!X123))</f>
        <v>#N/A</v>
      </c>
      <c r="S123" s="76" t="e">
        <f>IF($B123="Jacks Only",'Chinook Jack Proportions'!N123,IF('3. Select Chinook Method'!$B123="Adults Only",'Chinook Adult Proportions'!N123,'Chinook All Ages Proportions'!N123))</f>
        <v>#N/A</v>
      </c>
      <c r="T123" s="76" t="e">
        <f>IF($B123="Jacks Only",'Chinook Jack Proportions'!O123,IF('3. Select Chinook Method'!$B123="Adults Only",'Chinook Adult Proportions'!O123,'Chinook All Ages Proportions'!O123))</f>
        <v>#N/A</v>
      </c>
      <c r="U123" s="76" t="e">
        <f>IF($B123="Jacks Only",'Chinook Jack Proportions'!P123,IF('3. Select Chinook Method'!$B123="Adults Only",'Chinook Adult Proportions'!P123,'Chinook All Ages Proportions'!P123))</f>
        <v>#N/A</v>
      </c>
      <c r="V123" s="76" t="e">
        <f>IF($B123="Jacks Only",'Chinook Jack Proportions'!Q123,IF('3. Select Chinook Method'!$B123="Adults Only",'Chinook Adult Proportions'!Q123,'Chinook All Ages Proportions'!Q123))</f>
        <v>#N/A</v>
      </c>
      <c r="W123" s="76" t="e">
        <f>IF($B123="Jacks Only",'Chinook Jack Proportions'!R123,IF('3. Select Chinook Method'!$B123="Adults Only",'Chinook Adult Proportions'!R123,'Chinook All Ages Proportions'!R123))</f>
        <v>#N/A</v>
      </c>
      <c r="X123" s="56" t="e">
        <f>IF(B123="Jacks Only",'Chinook Jack Proportions'!S123,IF(B123="Adults Only",'Chinook Adult Proportions'!S123,'Chinook All Ages Proportions'!S123))</f>
        <v>#N/A</v>
      </c>
      <c r="Y123" s="56" t="e">
        <f>IF($B123="Jacks Only",'Chinook Jack Proportions'!T123,IF('3. Select Chinook Method'!$B123="Adults Only",'Chinook Adult Proportions'!T123,'Chinook All Ages Proportions'!T123))</f>
        <v>#N/A</v>
      </c>
      <c r="Z123" s="56" t="e">
        <f>IF($B123="Jacks Only",'Chinook Jack Proportions'!U123,IF('3. Select Chinook Method'!$B123="Adults Only",'Chinook Adult Proportions'!U123,'Chinook All Ages Proportions'!U123))</f>
        <v>#N/A</v>
      </c>
      <c r="AA123" s="56" t="e">
        <f>IF($B123="Jacks Only",'Chinook Jack Proportions'!V123,IF('3. Select Chinook Method'!$B123="Adults Only",'Chinook Adult Proportions'!V123,'Chinook All Ages Proportions'!V123))</f>
        <v>#N/A</v>
      </c>
      <c r="AB123" s="56" t="e">
        <f>IF($B123="Jacks Only",'Chinook Jack Proportions'!W123,IF('3. Select Chinook Method'!$B123="Adults Only",'Chinook Adult Proportions'!W123,'Chinook All Ages Proportions'!W123))</f>
        <v>#N/A</v>
      </c>
      <c r="AC123" s="41">
        <f>IF(B123="Jacks Only",'Chinook Jack Proportions'!Y123,IF('3. Select Chinook Method'!B123="Adults Only",'Chinook Adult Proportions'!Y123,'Chinook All Ages Proportions'!Y123))</f>
        <v>0</v>
      </c>
      <c r="AD123" s="42" t="e">
        <f>IF(B123="Jacks Only",'Chinook Jack Proportions'!Z123,IF('3. Select Chinook Method'!B123="Adults Only",'Chinook Adult Proportions'!Z123,'Chinook All Ages Proportions'!Z123))</f>
        <v>#N/A</v>
      </c>
      <c r="AE123" s="43" t="e">
        <f>IF($B123="Jacks Only",'Chinook Jack Proportions'!AA123,IF('3. Select Chinook Method'!$B123="Adults Only",'Chinook Adult Proportions'!AA123,'Chinook All Ages Proportions'!AA123))</f>
        <v>#N/A</v>
      </c>
      <c r="AF123" s="42" t="e">
        <f>IF($B123="Jacks Only",'Chinook Jack Proportions'!AB123,IF('3. Select Chinook Method'!$B123="Adults Only",'Chinook Adult Proportions'!AB123,'Chinook All Ages Proportions'!AB123))</f>
        <v>#N/A</v>
      </c>
      <c r="AG123" s="44" t="e">
        <f>IF($B123="Jacks Only",'Chinook Jack Proportions'!AC123,IF('3. Select Chinook Method'!$B123="Adults Only",'Chinook Adult Proportions'!AC123,'Chinook All Ages Proportions'!AC123))</f>
        <v>#N/A</v>
      </c>
    </row>
    <row r="124" spans="1:33" x14ac:dyDescent="0.3">
      <c r="A124" s="5">
        <f>'1. Mixture Model Inputs'!A124</f>
        <v>45226</v>
      </c>
      <c r="B124" s="55"/>
      <c r="C124" s="60" t="e">
        <f t="shared" si="1"/>
        <v>#N/A</v>
      </c>
      <c r="D124" s="56">
        <f>'Chinook All Ages Proportions'!Y124</f>
        <v>0</v>
      </c>
      <c r="E124" s="56">
        <f>'Chinook Adult Proportions'!Y124</f>
        <v>0</v>
      </c>
      <c r="F124" s="57">
        <f>'Chinook Jack Proportions'!Y124</f>
        <v>0</v>
      </c>
      <c r="G124" s="71" t="e">
        <f>IF($B124="Jacks Only",'Chinook Jack Proportions'!C124,IF('3. Select Chinook Method'!$B124="Adults Only",'Chinook Adult Proportions'!C124,'Chinook All Ages Proportions'!C124))</f>
        <v>#N/A</v>
      </c>
      <c r="H124" s="71" t="e">
        <f>IF($B124="Jacks Only",'Chinook Jack Proportions'!D124,IF('3. Select Chinook Method'!$B124="Adults Only",'Chinook Adult Proportions'!D124,'Chinook All Ages Proportions'!D124))</f>
        <v>#N/A</v>
      </c>
      <c r="I124" s="71" t="e">
        <f>IF($B124="Jacks Only",'Chinook Jack Proportions'!E124,IF('3. Select Chinook Method'!$B124="Adults Only",'Chinook Adult Proportions'!E124,'Chinook All Ages Proportions'!E124))</f>
        <v>#N/A</v>
      </c>
      <c r="J124" s="71" t="e">
        <f>IF($B124="Jacks Only",'Chinook Jack Proportions'!F124,IF('3. Select Chinook Method'!$B124="Adults Only",'Chinook Adult Proportions'!F124,'Chinook All Ages Proportions'!F124))</f>
        <v>#N/A</v>
      </c>
      <c r="K124" s="71" t="e">
        <f>IF($B124="Jacks Only",'Chinook Jack Proportions'!G124,IF('3. Select Chinook Method'!$B124="Adults Only",'Chinook Adult Proportions'!G124,'Chinook All Ages Proportions'!G124))</f>
        <v>#N/A</v>
      </c>
      <c r="L124" s="24">
        <f>IF($B124="Jacks Only",'Chinook Jack Proportions'!H124,IF('3. Select Chinook Method'!$B124="Adults Only",'Chinook Adult Proportions'!H124,'Chinook All Ages Proportions'!H124))</f>
        <v>0</v>
      </c>
      <c r="M124" s="71" t="e">
        <f>IF($B124="Jacks Only",'Chinook Jack Proportions'!I124,IF('3. Select Chinook Method'!$B124="Adults Only",'Chinook Adult Proportions'!I124,'Chinook All Ages Proportions'!I124))</f>
        <v>#N/A</v>
      </c>
      <c r="N124" s="71" t="e">
        <f>IF($B124="Jacks Only",'Chinook Jack Proportions'!J124,IF('3. Select Chinook Method'!$B124="Adults Only",'Chinook Adult Proportions'!J124,'Chinook All Ages Proportions'!J124))</f>
        <v>#N/A</v>
      </c>
      <c r="O124" s="23" t="e">
        <f>IF($B124="Jacks Only",'Chinook Jack Proportions'!K124,IF('3. Select Chinook Method'!$B124="Adults Only",'Chinook Adult Proportions'!K124,'Chinook All Ages Proportions'!K124))</f>
        <v>#N/A</v>
      </c>
      <c r="P124" s="76" t="e">
        <f>IF($B124="Jacks Only",'Chinook Jack Proportions'!L124,IF('3. Select Chinook Method'!$B124="Adults Only",'Chinook Adult Proportions'!L124,'Chinook All Ages Proportions'!L124))</f>
        <v>#N/A</v>
      </c>
      <c r="Q124" s="76" t="e">
        <f>IF($B124="Jacks Only",'Chinook Jack Proportions'!M124,IF('3. Select Chinook Method'!$B124="Adults Only",'Chinook Adult Proportions'!M124,'Chinook All Ages Proportions'!M124))</f>
        <v>#N/A</v>
      </c>
      <c r="R124" s="76" t="e">
        <f>IF($B124="Jacks Only",'Chinook Jack Proportions'!X124,IF('3. Select Chinook Method'!$B124="Adults Only",'Chinook Adult Proportions'!X124,'Chinook All Ages Proportions'!X124))</f>
        <v>#N/A</v>
      </c>
      <c r="S124" s="76" t="e">
        <f>IF($B124="Jacks Only",'Chinook Jack Proportions'!N124,IF('3. Select Chinook Method'!$B124="Adults Only",'Chinook Adult Proportions'!N124,'Chinook All Ages Proportions'!N124))</f>
        <v>#N/A</v>
      </c>
      <c r="T124" s="76" t="e">
        <f>IF($B124="Jacks Only",'Chinook Jack Proportions'!O124,IF('3. Select Chinook Method'!$B124="Adults Only",'Chinook Adult Proportions'!O124,'Chinook All Ages Proportions'!O124))</f>
        <v>#N/A</v>
      </c>
      <c r="U124" s="76" t="e">
        <f>IF($B124="Jacks Only",'Chinook Jack Proportions'!P124,IF('3. Select Chinook Method'!$B124="Adults Only",'Chinook Adult Proportions'!P124,'Chinook All Ages Proportions'!P124))</f>
        <v>#N/A</v>
      </c>
      <c r="V124" s="76" t="e">
        <f>IF($B124="Jacks Only",'Chinook Jack Proportions'!Q124,IF('3. Select Chinook Method'!$B124="Adults Only",'Chinook Adult Proportions'!Q124,'Chinook All Ages Proportions'!Q124))</f>
        <v>#N/A</v>
      </c>
      <c r="W124" s="76" t="e">
        <f>IF($B124="Jacks Only",'Chinook Jack Proportions'!R124,IF('3. Select Chinook Method'!$B124="Adults Only",'Chinook Adult Proportions'!R124,'Chinook All Ages Proportions'!R124))</f>
        <v>#N/A</v>
      </c>
      <c r="X124" s="56" t="e">
        <f>IF(B124="Jacks Only",'Chinook Jack Proportions'!S124,IF(B124="Adults Only",'Chinook Adult Proportions'!S124,'Chinook All Ages Proportions'!S124))</f>
        <v>#N/A</v>
      </c>
      <c r="Y124" s="56" t="e">
        <f>IF($B124="Jacks Only",'Chinook Jack Proportions'!T124,IF('3. Select Chinook Method'!$B124="Adults Only",'Chinook Adult Proportions'!T124,'Chinook All Ages Proportions'!T124))</f>
        <v>#N/A</v>
      </c>
      <c r="Z124" s="56" t="e">
        <f>IF($B124="Jacks Only",'Chinook Jack Proportions'!U124,IF('3. Select Chinook Method'!$B124="Adults Only",'Chinook Adult Proportions'!U124,'Chinook All Ages Proportions'!U124))</f>
        <v>#N/A</v>
      </c>
      <c r="AA124" s="56" t="e">
        <f>IF($B124="Jacks Only",'Chinook Jack Proportions'!V124,IF('3. Select Chinook Method'!$B124="Adults Only",'Chinook Adult Proportions'!V124,'Chinook All Ages Proportions'!V124))</f>
        <v>#N/A</v>
      </c>
      <c r="AB124" s="56" t="e">
        <f>IF($B124="Jacks Only",'Chinook Jack Proportions'!W124,IF('3. Select Chinook Method'!$B124="Adults Only",'Chinook Adult Proportions'!W124,'Chinook All Ages Proportions'!W124))</f>
        <v>#N/A</v>
      </c>
      <c r="AC124" s="41">
        <f>IF(B124="Jacks Only",'Chinook Jack Proportions'!Y124,IF('3. Select Chinook Method'!B124="Adults Only",'Chinook Adult Proportions'!Y124,'Chinook All Ages Proportions'!Y124))</f>
        <v>0</v>
      </c>
      <c r="AD124" s="42" t="e">
        <f>IF(B124="Jacks Only",'Chinook Jack Proportions'!Z124,IF('3. Select Chinook Method'!B124="Adults Only",'Chinook Adult Proportions'!Z124,'Chinook All Ages Proportions'!Z124))</f>
        <v>#N/A</v>
      </c>
      <c r="AE124" s="43" t="e">
        <f>IF($B124="Jacks Only",'Chinook Jack Proportions'!AA124,IF('3. Select Chinook Method'!$B124="Adults Only",'Chinook Adult Proportions'!AA124,'Chinook All Ages Proportions'!AA124))</f>
        <v>#N/A</v>
      </c>
      <c r="AF124" s="42" t="e">
        <f>IF($B124="Jacks Only",'Chinook Jack Proportions'!AB124,IF('3. Select Chinook Method'!$B124="Adults Only",'Chinook Adult Proportions'!AB124,'Chinook All Ages Proportions'!AB124))</f>
        <v>#N/A</v>
      </c>
      <c r="AG124" s="44" t="e">
        <f>IF($B124="Jacks Only",'Chinook Jack Proportions'!AC124,IF('3. Select Chinook Method'!$B124="Adults Only",'Chinook Adult Proportions'!AC124,'Chinook All Ages Proportions'!AC124))</f>
        <v>#N/A</v>
      </c>
    </row>
    <row r="125" spans="1:33" x14ac:dyDescent="0.3">
      <c r="A125" s="5">
        <f>'1. Mixture Model Inputs'!A125</f>
        <v>45227</v>
      </c>
      <c r="B125" s="55"/>
      <c r="C125" s="60" t="e">
        <f t="shared" si="1"/>
        <v>#N/A</v>
      </c>
      <c r="D125" s="56">
        <f>'Chinook All Ages Proportions'!Y125</f>
        <v>0</v>
      </c>
      <c r="E125" s="56">
        <f>'Chinook Adult Proportions'!Y125</f>
        <v>0</v>
      </c>
      <c r="F125" s="57">
        <f>'Chinook Jack Proportions'!Y125</f>
        <v>0</v>
      </c>
      <c r="G125" s="71" t="e">
        <f>IF($B125="Jacks Only",'Chinook Jack Proportions'!C125,IF('3. Select Chinook Method'!$B125="Adults Only",'Chinook Adult Proportions'!C125,'Chinook All Ages Proportions'!C125))</f>
        <v>#N/A</v>
      </c>
      <c r="H125" s="71" t="e">
        <f>IF($B125="Jacks Only",'Chinook Jack Proportions'!D125,IF('3. Select Chinook Method'!$B125="Adults Only",'Chinook Adult Proportions'!D125,'Chinook All Ages Proportions'!D125))</f>
        <v>#N/A</v>
      </c>
      <c r="I125" s="71" t="e">
        <f>IF($B125="Jacks Only",'Chinook Jack Proportions'!E125,IF('3. Select Chinook Method'!$B125="Adults Only",'Chinook Adult Proportions'!E125,'Chinook All Ages Proportions'!E125))</f>
        <v>#N/A</v>
      </c>
      <c r="J125" s="71" t="e">
        <f>IF($B125="Jacks Only",'Chinook Jack Proportions'!F125,IF('3. Select Chinook Method'!$B125="Adults Only",'Chinook Adult Proportions'!F125,'Chinook All Ages Proportions'!F125))</f>
        <v>#N/A</v>
      </c>
      <c r="K125" s="71" t="e">
        <f>IF($B125="Jacks Only",'Chinook Jack Proportions'!G125,IF('3. Select Chinook Method'!$B125="Adults Only",'Chinook Adult Proportions'!G125,'Chinook All Ages Proportions'!G125))</f>
        <v>#N/A</v>
      </c>
      <c r="L125" s="24">
        <f>IF($B125="Jacks Only",'Chinook Jack Proportions'!H125,IF('3. Select Chinook Method'!$B125="Adults Only",'Chinook Adult Proportions'!H125,'Chinook All Ages Proportions'!H125))</f>
        <v>0</v>
      </c>
      <c r="M125" s="71" t="e">
        <f>IF($B125="Jacks Only",'Chinook Jack Proportions'!I125,IF('3. Select Chinook Method'!$B125="Adults Only",'Chinook Adult Proportions'!I125,'Chinook All Ages Proportions'!I125))</f>
        <v>#N/A</v>
      </c>
      <c r="N125" s="71" t="e">
        <f>IF($B125="Jacks Only",'Chinook Jack Proportions'!J125,IF('3. Select Chinook Method'!$B125="Adults Only",'Chinook Adult Proportions'!J125,'Chinook All Ages Proportions'!J125))</f>
        <v>#N/A</v>
      </c>
      <c r="O125" s="23" t="e">
        <f>IF($B125="Jacks Only",'Chinook Jack Proportions'!K125,IF('3. Select Chinook Method'!$B125="Adults Only",'Chinook Adult Proportions'!K125,'Chinook All Ages Proportions'!K125))</f>
        <v>#N/A</v>
      </c>
      <c r="P125" s="76" t="e">
        <f>IF($B125="Jacks Only",'Chinook Jack Proportions'!L125,IF('3. Select Chinook Method'!$B125="Adults Only",'Chinook Adult Proportions'!L125,'Chinook All Ages Proportions'!L125))</f>
        <v>#N/A</v>
      </c>
      <c r="Q125" s="76" t="e">
        <f>IF($B125="Jacks Only",'Chinook Jack Proportions'!M125,IF('3. Select Chinook Method'!$B125="Adults Only",'Chinook Adult Proportions'!M125,'Chinook All Ages Proportions'!M125))</f>
        <v>#N/A</v>
      </c>
      <c r="R125" s="76" t="e">
        <f>IF($B125="Jacks Only",'Chinook Jack Proportions'!X125,IF('3. Select Chinook Method'!$B125="Adults Only",'Chinook Adult Proportions'!X125,'Chinook All Ages Proportions'!X125))</f>
        <v>#N/A</v>
      </c>
      <c r="S125" s="76" t="e">
        <f>IF($B125="Jacks Only",'Chinook Jack Proportions'!N125,IF('3. Select Chinook Method'!$B125="Adults Only",'Chinook Adult Proportions'!N125,'Chinook All Ages Proportions'!N125))</f>
        <v>#N/A</v>
      </c>
      <c r="T125" s="76" t="e">
        <f>IF($B125="Jacks Only",'Chinook Jack Proportions'!O125,IF('3. Select Chinook Method'!$B125="Adults Only",'Chinook Adult Proportions'!O125,'Chinook All Ages Proportions'!O125))</f>
        <v>#N/A</v>
      </c>
      <c r="U125" s="76" t="e">
        <f>IF($B125="Jacks Only",'Chinook Jack Proportions'!P125,IF('3. Select Chinook Method'!$B125="Adults Only",'Chinook Adult Proportions'!P125,'Chinook All Ages Proportions'!P125))</f>
        <v>#N/A</v>
      </c>
      <c r="V125" s="76" t="e">
        <f>IF($B125="Jacks Only",'Chinook Jack Proportions'!Q125,IF('3. Select Chinook Method'!$B125="Adults Only",'Chinook Adult Proportions'!Q125,'Chinook All Ages Proportions'!Q125))</f>
        <v>#N/A</v>
      </c>
      <c r="W125" s="76" t="e">
        <f>IF($B125="Jacks Only",'Chinook Jack Proportions'!R125,IF('3. Select Chinook Method'!$B125="Adults Only",'Chinook Adult Proportions'!R125,'Chinook All Ages Proportions'!R125))</f>
        <v>#N/A</v>
      </c>
      <c r="X125" s="56" t="e">
        <f>IF(B125="Jacks Only",'Chinook Jack Proportions'!S125,IF(B125="Adults Only",'Chinook Adult Proportions'!S125,'Chinook All Ages Proportions'!S125))</f>
        <v>#N/A</v>
      </c>
      <c r="Y125" s="56" t="e">
        <f>IF($B125="Jacks Only",'Chinook Jack Proportions'!T125,IF('3. Select Chinook Method'!$B125="Adults Only",'Chinook Adult Proportions'!T125,'Chinook All Ages Proportions'!T125))</f>
        <v>#N/A</v>
      </c>
      <c r="Z125" s="56" t="e">
        <f>IF($B125="Jacks Only",'Chinook Jack Proportions'!U125,IF('3. Select Chinook Method'!$B125="Adults Only",'Chinook Adult Proportions'!U125,'Chinook All Ages Proportions'!U125))</f>
        <v>#N/A</v>
      </c>
      <c r="AA125" s="56" t="e">
        <f>IF($B125="Jacks Only",'Chinook Jack Proportions'!V125,IF('3. Select Chinook Method'!$B125="Adults Only",'Chinook Adult Proportions'!V125,'Chinook All Ages Proportions'!V125))</f>
        <v>#N/A</v>
      </c>
      <c r="AB125" s="56" t="e">
        <f>IF($B125="Jacks Only",'Chinook Jack Proportions'!W125,IF('3. Select Chinook Method'!$B125="Adults Only",'Chinook Adult Proportions'!W125,'Chinook All Ages Proportions'!W125))</f>
        <v>#N/A</v>
      </c>
      <c r="AC125" s="41">
        <f>IF(B125="Jacks Only",'Chinook Jack Proportions'!Y125,IF('3. Select Chinook Method'!B125="Adults Only",'Chinook Adult Proportions'!Y125,'Chinook All Ages Proportions'!Y125))</f>
        <v>0</v>
      </c>
      <c r="AD125" s="42" t="e">
        <f>IF(B125="Jacks Only",'Chinook Jack Proportions'!Z125,IF('3. Select Chinook Method'!B125="Adults Only",'Chinook Adult Proportions'!Z125,'Chinook All Ages Proportions'!Z125))</f>
        <v>#N/A</v>
      </c>
      <c r="AE125" s="43" t="e">
        <f>IF($B125="Jacks Only",'Chinook Jack Proportions'!AA125,IF('3. Select Chinook Method'!$B125="Adults Only",'Chinook Adult Proportions'!AA125,'Chinook All Ages Proportions'!AA125))</f>
        <v>#N/A</v>
      </c>
      <c r="AF125" s="42" t="e">
        <f>IF($B125="Jacks Only",'Chinook Jack Proportions'!AB125,IF('3. Select Chinook Method'!$B125="Adults Only",'Chinook Adult Proportions'!AB125,'Chinook All Ages Proportions'!AB125))</f>
        <v>#N/A</v>
      </c>
      <c r="AG125" s="44" t="e">
        <f>IF($B125="Jacks Only",'Chinook Jack Proportions'!AC125,IF('3. Select Chinook Method'!$B125="Adults Only",'Chinook Adult Proportions'!AC125,'Chinook All Ages Proportions'!AC125))</f>
        <v>#N/A</v>
      </c>
    </row>
    <row r="126" spans="1:33" x14ac:dyDescent="0.3">
      <c r="A126" s="5">
        <f>'1. Mixture Model Inputs'!A126</f>
        <v>45228</v>
      </c>
      <c r="B126" s="55"/>
      <c r="C126" s="60" t="e">
        <f t="shared" si="1"/>
        <v>#N/A</v>
      </c>
      <c r="D126" s="56">
        <f>'Chinook All Ages Proportions'!Y126</f>
        <v>0</v>
      </c>
      <c r="E126" s="56">
        <f>'Chinook Adult Proportions'!Y126</f>
        <v>0</v>
      </c>
      <c r="F126" s="57">
        <f>'Chinook Jack Proportions'!Y126</f>
        <v>0</v>
      </c>
      <c r="G126" s="71" t="e">
        <f>IF($B126="Jacks Only",'Chinook Jack Proportions'!C126,IF('3. Select Chinook Method'!$B126="Adults Only",'Chinook Adult Proportions'!C126,'Chinook All Ages Proportions'!C126))</f>
        <v>#N/A</v>
      </c>
      <c r="H126" s="71" t="e">
        <f>IF($B126="Jacks Only",'Chinook Jack Proportions'!D126,IF('3. Select Chinook Method'!$B126="Adults Only",'Chinook Adult Proportions'!D126,'Chinook All Ages Proportions'!D126))</f>
        <v>#N/A</v>
      </c>
      <c r="I126" s="71" t="e">
        <f>IF($B126="Jacks Only",'Chinook Jack Proportions'!E126,IF('3. Select Chinook Method'!$B126="Adults Only",'Chinook Adult Proportions'!E126,'Chinook All Ages Proportions'!E126))</f>
        <v>#N/A</v>
      </c>
      <c r="J126" s="71" t="e">
        <f>IF($B126="Jacks Only",'Chinook Jack Proportions'!F126,IF('3. Select Chinook Method'!$B126="Adults Only",'Chinook Adult Proportions'!F126,'Chinook All Ages Proportions'!F126))</f>
        <v>#N/A</v>
      </c>
      <c r="K126" s="71" t="e">
        <f>IF($B126="Jacks Only",'Chinook Jack Proportions'!G126,IF('3. Select Chinook Method'!$B126="Adults Only",'Chinook Adult Proportions'!G126,'Chinook All Ages Proportions'!G126))</f>
        <v>#N/A</v>
      </c>
      <c r="L126" s="24">
        <f>IF($B126="Jacks Only",'Chinook Jack Proportions'!H126,IF('3. Select Chinook Method'!$B126="Adults Only",'Chinook Adult Proportions'!H126,'Chinook All Ages Proportions'!H126))</f>
        <v>0</v>
      </c>
      <c r="M126" s="71" t="e">
        <f>IF($B126="Jacks Only",'Chinook Jack Proportions'!I126,IF('3. Select Chinook Method'!$B126="Adults Only",'Chinook Adult Proportions'!I126,'Chinook All Ages Proportions'!I126))</f>
        <v>#N/A</v>
      </c>
      <c r="N126" s="71" t="e">
        <f>IF($B126="Jacks Only",'Chinook Jack Proportions'!J126,IF('3. Select Chinook Method'!$B126="Adults Only",'Chinook Adult Proportions'!J126,'Chinook All Ages Proportions'!J126))</f>
        <v>#N/A</v>
      </c>
      <c r="O126" s="23" t="e">
        <f>IF($B126="Jacks Only",'Chinook Jack Proportions'!K126,IF('3. Select Chinook Method'!$B126="Adults Only",'Chinook Adult Proportions'!K126,'Chinook All Ages Proportions'!K126))</f>
        <v>#N/A</v>
      </c>
      <c r="P126" s="76" t="e">
        <f>IF($B126="Jacks Only",'Chinook Jack Proportions'!L126,IF('3. Select Chinook Method'!$B126="Adults Only",'Chinook Adult Proportions'!L126,'Chinook All Ages Proportions'!L126))</f>
        <v>#N/A</v>
      </c>
      <c r="Q126" s="76" t="e">
        <f>IF($B126="Jacks Only",'Chinook Jack Proportions'!M126,IF('3. Select Chinook Method'!$B126="Adults Only",'Chinook Adult Proportions'!M126,'Chinook All Ages Proportions'!M126))</f>
        <v>#N/A</v>
      </c>
      <c r="R126" s="76" t="e">
        <f>IF($B126="Jacks Only",'Chinook Jack Proportions'!X126,IF('3. Select Chinook Method'!$B126="Adults Only",'Chinook Adult Proportions'!X126,'Chinook All Ages Proportions'!X126))</f>
        <v>#N/A</v>
      </c>
      <c r="S126" s="76" t="e">
        <f>IF($B126="Jacks Only",'Chinook Jack Proportions'!N126,IF('3. Select Chinook Method'!$B126="Adults Only",'Chinook Adult Proportions'!N126,'Chinook All Ages Proportions'!N126))</f>
        <v>#N/A</v>
      </c>
      <c r="T126" s="76" t="e">
        <f>IF($B126="Jacks Only",'Chinook Jack Proportions'!O126,IF('3. Select Chinook Method'!$B126="Adults Only",'Chinook Adult Proportions'!O126,'Chinook All Ages Proportions'!O126))</f>
        <v>#N/A</v>
      </c>
      <c r="U126" s="76" t="e">
        <f>IF($B126="Jacks Only",'Chinook Jack Proportions'!P126,IF('3. Select Chinook Method'!$B126="Adults Only",'Chinook Adult Proportions'!P126,'Chinook All Ages Proportions'!P126))</f>
        <v>#N/A</v>
      </c>
      <c r="V126" s="76" t="e">
        <f>IF($B126="Jacks Only",'Chinook Jack Proportions'!Q126,IF('3. Select Chinook Method'!$B126="Adults Only",'Chinook Adult Proportions'!Q126,'Chinook All Ages Proportions'!Q126))</f>
        <v>#N/A</v>
      </c>
      <c r="W126" s="76" t="e">
        <f>IF($B126="Jacks Only",'Chinook Jack Proportions'!R126,IF('3. Select Chinook Method'!$B126="Adults Only",'Chinook Adult Proportions'!R126,'Chinook All Ages Proportions'!R126))</f>
        <v>#N/A</v>
      </c>
      <c r="X126" s="56" t="e">
        <f>IF(B126="Jacks Only",'Chinook Jack Proportions'!S126,IF(B126="Adults Only",'Chinook Adult Proportions'!S126,'Chinook All Ages Proportions'!S126))</f>
        <v>#N/A</v>
      </c>
      <c r="Y126" s="56" t="e">
        <f>IF($B126="Jacks Only",'Chinook Jack Proportions'!T126,IF('3. Select Chinook Method'!$B126="Adults Only",'Chinook Adult Proportions'!T126,'Chinook All Ages Proportions'!T126))</f>
        <v>#N/A</v>
      </c>
      <c r="Z126" s="56" t="e">
        <f>IF($B126="Jacks Only",'Chinook Jack Proportions'!U126,IF('3. Select Chinook Method'!$B126="Adults Only",'Chinook Adult Proportions'!U126,'Chinook All Ages Proportions'!U126))</f>
        <v>#N/A</v>
      </c>
      <c r="AA126" s="56" t="e">
        <f>IF($B126="Jacks Only",'Chinook Jack Proportions'!V126,IF('3. Select Chinook Method'!$B126="Adults Only",'Chinook Adult Proportions'!V126,'Chinook All Ages Proportions'!V126))</f>
        <v>#N/A</v>
      </c>
      <c r="AB126" s="56" t="e">
        <f>IF($B126="Jacks Only",'Chinook Jack Proportions'!W126,IF('3. Select Chinook Method'!$B126="Adults Only",'Chinook Adult Proportions'!W126,'Chinook All Ages Proportions'!W126))</f>
        <v>#N/A</v>
      </c>
      <c r="AC126" s="41">
        <f>IF(B126="Jacks Only",'Chinook Jack Proportions'!Y126,IF('3. Select Chinook Method'!B126="Adults Only",'Chinook Adult Proportions'!Y126,'Chinook All Ages Proportions'!Y126))</f>
        <v>0</v>
      </c>
      <c r="AD126" s="42" t="e">
        <f>IF(B126="Jacks Only",'Chinook Jack Proportions'!Z126,IF('3. Select Chinook Method'!B126="Adults Only",'Chinook Adult Proportions'!Z126,'Chinook All Ages Proportions'!Z126))</f>
        <v>#N/A</v>
      </c>
      <c r="AE126" s="43" t="e">
        <f>IF($B126="Jacks Only",'Chinook Jack Proportions'!AA126,IF('3. Select Chinook Method'!$B126="Adults Only",'Chinook Adult Proportions'!AA126,'Chinook All Ages Proportions'!AA126))</f>
        <v>#N/A</v>
      </c>
      <c r="AF126" s="42" t="e">
        <f>IF($B126="Jacks Only",'Chinook Jack Proportions'!AB126,IF('3. Select Chinook Method'!$B126="Adults Only",'Chinook Adult Proportions'!AB126,'Chinook All Ages Proportions'!AB126))</f>
        <v>#N/A</v>
      </c>
      <c r="AG126" s="44" t="e">
        <f>IF($B126="Jacks Only",'Chinook Jack Proportions'!AC126,IF('3. Select Chinook Method'!$B126="Adults Only",'Chinook Adult Proportions'!AC126,'Chinook All Ages Proportions'!AC126))</f>
        <v>#N/A</v>
      </c>
    </row>
    <row r="127" spans="1:33" x14ac:dyDescent="0.3">
      <c r="A127" s="5">
        <f>'1. Mixture Model Inputs'!A127</f>
        <v>45229</v>
      </c>
      <c r="B127" s="55"/>
      <c r="C127" s="60" t="e">
        <f t="shared" si="1"/>
        <v>#N/A</v>
      </c>
      <c r="D127" s="56">
        <f>'Chinook All Ages Proportions'!Y127</f>
        <v>0</v>
      </c>
      <c r="E127" s="56">
        <f>'Chinook Adult Proportions'!Y127</f>
        <v>0</v>
      </c>
      <c r="F127" s="57">
        <f>'Chinook Jack Proportions'!Y127</f>
        <v>0</v>
      </c>
      <c r="G127" s="71" t="e">
        <f>IF($B127="Jacks Only",'Chinook Jack Proportions'!C127,IF('3. Select Chinook Method'!$B127="Adults Only",'Chinook Adult Proportions'!C127,'Chinook All Ages Proportions'!C127))</f>
        <v>#N/A</v>
      </c>
      <c r="H127" s="71" t="e">
        <f>IF($B127="Jacks Only",'Chinook Jack Proportions'!D127,IF('3. Select Chinook Method'!$B127="Adults Only",'Chinook Adult Proportions'!D127,'Chinook All Ages Proportions'!D127))</f>
        <v>#N/A</v>
      </c>
      <c r="I127" s="71" t="e">
        <f>IF($B127="Jacks Only",'Chinook Jack Proportions'!E127,IF('3. Select Chinook Method'!$B127="Adults Only",'Chinook Adult Proportions'!E127,'Chinook All Ages Proportions'!E127))</f>
        <v>#N/A</v>
      </c>
      <c r="J127" s="71" t="e">
        <f>IF($B127="Jacks Only",'Chinook Jack Proportions'!F127,IF('3. Select Chinook Method'!$B127="Adults Only",'Chinook Adult Proportions'!F127,'Chinook All Ages Proportions'!F127))</f>
        <v>#N/A</v>
      </c>
      <c r="K127" s="71" t="e">
        <f>IF($B127="Jacks Only",'Chinook Jack Proportions'!G127,IF('3. Select Chinook Method'!$B127="Adults Only",'Chinook Adult Proportions'!G127,'Chinook All Ages Proportions'!G127))</f>
        <v>#N/A</v>
      </c>
      <c r="L127" s="24">
        <f>IF($B127="Jacks Only",'Chinook Jack Proportions'!H127,IF('3. Select Chinook Method'!$B127="Adults Only",'Chinook Adult Proportions'!H127,'Chinook All Ages Proportions'!H127))</f>
        <v>0</v>
      </c>
      <c r="M127" s="71" t="e">
        <f>IF($B127="Jacks Only",'Chinook Jack Proportions'!I127,IF('3. Select Chinook Method'!$B127="Adults Only",'Chinook Adult Proportions'!I127,'Chinook All Ages Proportions'!I127))</f>
        <v>#N/A</v>
      </c>
      <c r="N127" s="71" t="e">
        <f>IF($B127="Jacks Only",'Chinook Jack Proportions'!J127,IF('3. Select Chinook Method'!$B127="Adults Only",'Chinook Adult Proportions'!J127,'Chinook All Ages Proportions'!J127))</f>
        <v>#N/A</v>
      </c>
      <c r="O127" s="23" t="e">
        <f>IF($B127="Jacks Only",'Chinook Jack Proportions'!K127,IF('3. Select Chinook Method'!$B127="Adults Only",'Chinook Adult Proportions'!K127,'Chinook All Ages Proportions'!K127))</f>
        <v>#N/A</v>
      </c>
      <c r="P127" s="76" t="e">
        <f>IF($B127="Jacks Only",'Chinook Jack Proportions'!L127,IF('3. Select Chinook Method'!$B127="Adults Only",'Chinook Adult Proportions'!L127,'Chinook All Ages Proportions'!L127))</f>
        <v>#N/A</v>
      </c>
      <c r="Q127" s="76" t="e">
        <f>IF($B127="Jacks Only",'Chinook Jack Proportions'!M127,IF('3. Select Chinook Method'!$B127="Adults Only",'Chinook Adult Proportions'!M127,'Chinook All Ages Proportions'!M127))</f>
        <v>#N/A</v>
      </c>
      <c r="R127" s="76" t="e">
        <f>IF($B127="Jacks Only",'Chinook Jack Proportions'!X127,IF('3. Select Chinook Method'!$B127="Adults Only",'Chinook Adult Proportions'!X127,'Chinook All Ages Proportions'!X127))</f>
        <v>#N/A</v>
      </c>
      <c r="S127" s="76" t="e">
        <f>IF($B127="Jacks Only",'Chinook Jack Proportions'!N127,IF('3. Select Chinook Method'!$B127="Adults Only",'Chinook Adult Proportions'!N127,'Chinook All Ages Proportions'!N127))</f>
        <v>#N/A</v>
      </c>
      <c r="T127" s="76" t="e">
        <f>IF($B127="Jacks Only",'Chinook Jack Proportions'!O127,IF('3. Select Chinook Method'!$B127="Adults Only",'Chinook Adult Proportions'!O127,'Chinook All Ages Proportions'!O127))</f>
        <v>#N/A</v>
      </c>
      <c r="U127" s="76" t="e">
        <f>IF($B127="Jacks Only",'Chinook Jack Proportions'!P127,IF('3. Select Chinook Method'!$B127="Adults Only",'Chinook Adult Proportions'!P127,'Chinook All Ages Proportions'!P127))</f>
        <v>#N/A</v>
      </c>
      <c r="V127" s="76" t="e">
        <f>IF($B127="Jacks Only",'Chinook Jack Proportions'!Q127,IF('3. Select Chinook Method'!$B127="Adults Only",'Chinook Adult Proportions'!Q127,'Chinook All Ages Proportions'!Q127))</f>
        <v>#N/A</v>
      </c>
      <c r="W127" s="76" t="e">
        <f>IF($B127="Jacks Only",'Chinook Jack Proportions'!R127,IF('3. Select Chinook Method'!$B127="Adults Only",'Chinook Adult Proportions'!R127,'Chinook All Ages Proportions'!R127))</f>
        <v>#N/A</v>
      </c>
      <c r="X127" s="56" t="e">
        <f>IF(B127="Jacks Only",'Chinook Jack Proportions'!S127,IF(B127="Adults Only",'Chinook Adult Proportions'!S127,'Chinook All Ages Proportions'!S127))</f>
        <v>#N/A</v>
      </c>
      <c r="Y127" s="56" t="e">
        <f>IF($B127="Jacks Only",'Chinook Jack Proportions'!T127,IF('3. Select Chinook Method'!$B127="Adults Only",'Chinook Adult Proportions'!T127,'Chinook All Ages Proportions'!T127))</f>
        <v>#N/A</v>
      </c>
      <c r="Z127" s="56" t="e">
        <f>IF($B127="Jacks Only",'Chinook Jack Proportions'!U127,IF('3. Select Chinook Method'!$B127="Adults Only",'Chinook Adult Proportions'!U127,'Chinook All Ages Proportions'!U127))</f>
        <v>#N/A</v>
      </c>
      <c r="AA127" s="56" t="e">
        <f>IF($B127="Jacks Only",'Chinook Jack Proportions'!V127,IF('3. Select Chinook Method'!$B127="Adults Only",'Chinook Adult Proportions'!V127,'Chinook All Ages Proportions'!V127))</f>
        <v>#N/A</v>
      </c>
      <c r="AB127" s="56" t="e">
        <f>IF($B127="Jacks Only",'Chinook Jack Proportions'!W127,IF('3. Select Chinook Method'!$B127="Adults Only",'Chinook Adult Proportions'!W127,'Chinook All Ages Proportions'!W127))</f>
        <v>#N/A</v>
      </c>
      <c r="AC127" s="41">
        <f>IF(B127="Jacks Only",'Chinook Jack Proportions'!Y127,IF('3. Select Chinook Method'!B127="Adults Only",'Chinook Adult Proportions'!Y127,'Chinook All Ages Proportions'!Y127))</f>
        <v>0</v>
      </c>
      <c r="AD127" s="42" t="e">
        <f>IF(B127="Jacks Only",'Chinook Jack Proportions'!Z127,IF('3. Select Chinook Method'!B127="Adults Only",'Chinook Adult Proportions'!Z127,'Chinook All Ages Proportions'!Z127))</f>
        <v>#N/A</v>
      </c>
      <c r="AE127" s="43" t="e">
        <f>IF($B127="Jacks Only",'Chinook Jack Proportions'!AA127,IF('3. Select Chinook Method'!$B127="Adults Only",'Chinook Adult Proportions'!AA127,'Chinook All Ages Proportions'!AA127))</f>
        <v>#N/A</v>
      </c>
      <c r="AF127" s="42" t="e">
        <f>IF($B127="Jacks Only",'Chinook Jack Proportions'!AB127,IF('3. Select Chinook Method'!$B127="Adults Only",'Chinook Adult Proportions'!AB127,'Chinook All Ages Proportions'!AB127))</f>
        <v>#N/A</v>
      </c>
      <c r="AG127" s="44" t="e">
        <f>IF($B127="Jacks Only",'Chinook Jack Proportions'!AC127,IF('3. Select Chinook Method'!$B127="Adults Only",'Chinook Adult Proportions'!AC127,'Chinook All Ages Proportions'!AC127))</f>
        <v>#N/A</v>
      </c>
    </row>
    <row r="128" spans="1:33" ht="15" thickBot="1" x14ac:dyDescent="0.35">
      <c r="A128" s="6">
        <f>'1. Mixture Model Inputs'!A128</f>
        <v>45230</v>
      </c>
      <c r="B128" s="58"/>
      <c r="C128" s="61" t="e">
        <f t="shared" si="1"/>
        <v>#N/A</v>
      </c>
      <c r="D128" s="40">
        <f>'Chinook All Ages Proportions'!Y128</f>
        <v>0</v>
      </c>
      <c r="E128" s="40">
        <f>'Chinook Adult Proportions'!Y128</f>
        <v>0</v>
      </c>
      <c r="F128" s="59">
        <f>'Chinook Jack Proportions'!Y128</f>
        <v>0</v>
      </c>
      <c r="G128" s="35" t="e">
        <f>IF($B128="Jacks Only",'Chinook Jack Proportions'!C128,IF('3. Select Chinook Method'!$B128="Adults Only",'Chinook Adult Proportions'!C128,'Chinook All Ages Proportions'!C128))</f>
        <v>#N/A</v>
      </c>
      <c r="H128" s="36" t="e">
        <f>IF($B128="Jacks Only",'Chinook Jack Proportions'!D128,IF('3. Select Chinook Method'!$B128="Adults Only",'Chinook Adult Proportions'!D128,'Chinook All Ages Proportions'!D128))</f>
        <v>#N/A</v>
      </c>
      <c r="I128" s="36" t="e">
        <f>IF($B128="Jacks Only",'Chinook Jack Proportions'!E128,IF('3. Select Chinook Method'!$B128="Adults Only",'Chinook Adult Proportions'!E128,'Chinook All Ages Proportions'!E128))</f>
        <v>#N/A</v>
      </c>
      <c r="J128" s="36" t="e">
        <f>IF($B128="Jacks Only",'Chinook Jack Proportions'!F128,IF('3. Select Chinook Method'!$B128="Adults Only",'Chinook Adult Proportions'!F128,'Chinook All Ages Proportions'!F128))</f>
        <v>#N/A</v>
      </c>
      <c r="K128" s="36" t="e">
        <f>IF($B128="Jacks Only",'Chinook Jack Proportions'!G128,IF('3. Select Chinook Method'!$B128="Adults Only",'Chinook Adult Proportions'!G128,'Chinook All Ages Proportions'!G128))</f>
        <v>#N/A</v>
      </c>
      <c r="L128" s="37">
        <f>IF($B128="Jacks Only",'Chinook Jack Proportions'!H128,IF('3. Select Chinook Method'!$B128="Adults Only",'Chinook Adult Proportions'!H128,'Chinook All Ages Proportions'!H128))</f>
        <v>0</v>
      </c>
      <c r="M128" s="36" t="e">
        <f>IF($B128="Jacks Only",'Chinook Jack Proportions'!I128,IF('3. Select Chinook Method'!$B128="Adults Only",'Chinook Adult Proportions'!I128,'Chinook All Ages Proportions'!I128))</f>
        <v>#N/A</v>
      </c>
      <c r="N128" s="36" t="e">
        <f>IF($B128="Jacks Only",'Chinook Jack Proportions'!J128,IF('3. Select Chinook Method'!$B128="Adults Only",'Chinook Adult Proportions'!J128,'Chinook All Ages Proportions'!J128))</f>
        <v>#N/A</v>
      </c>
      <c r="O128" s="38" t="e">
        <f>IF($B128="Jacks Only",'Chinook Jack Proportions'!K128,IF('3. Select Chinook Method'!$B128="Adults Only",'Chinook Adult Proportions'!K128,'Chinook All Ages Proportions'!K128))</f>
        <v>#N/A</v>
      </c>
      <c r="P128" s="39" t="e">
        <f>IF($B128="Jacks Only",'Chinook Jack Proportions'!L128,IF('3. Select Chinook Method'!$B128="Adults Only",'Chinook Adult Proportions'!L128,'Chinook All Ages Proportions'!L128))</f>
        <v>#N/A</v>
      </c>
      <c r="Q128" s="39" t="e">
        <f>IF($B128="Jacks Only",'Chinook Jack Proportions'!M128,IF('3. Select Chinook Method'!$B128="Adults Only",'Chinook Adult Proportions'!M128,'Chinook All Ages Proportions'!M128))</f>
        <v>#N/A</v>
      </c>
      <c r="R128" s="39" t="e">
        <f>IF($B128="Jacks Only",'Chinook Jack Proportions'!X128,IF('3. Select Chinook Method'!$B128="Adults Only",'Chinook Adult Proportions'!X128,'Chinook All Ages Proportions'!X128))</f>
        <v>#N/A</v>
      </c>
      <c r="S128" s="39" t="e">
        <f>IF($B128="Jacks Only",'Chinook Jack Proportions'!N128,IF('3. Select Chinook Method'!$B128="Adults Only",'Chinook Adult Proportions'!N128,'Chinook All Ages Proportions'!N128))</f>
        <v>#N/A</v>
      </c>
      <c r="T128" s="39" t="e">
        <f>IF($B128="Jacks Only",'Chinook Jack Proportions'!O128,IF('3. Select Chinook Method'!$B128="Adults Only",'Chinook Adult Proportions'!O128,'Chinook All Ages Proportions'!O128))</f>
        <v>#N/A</v>
      </c>
      <c r="U128" s="39" t="e">
        <f>IF($B128="Jacks Only",'Chinook Jack Proportions'!P128,IF('3. Select Chinook Method'!$B128="Adults Only",'Chinook Adult Proportions'!P128,'Chinook All Ages Proportions'!P128))</f>
        <v>#N/A</v>
      </c>
      <c r="V128" s="39" t="e">
        <f>IF($B128="Jacks Only",'Chinook Jack Proportions'!Q128,IF('3. Select Chinook Method'!$B128="Adults Only",'Chinook Adult Proportions'!Q128,'Chinook All Ages Proportions'!Q128))</f>
        <v>#N/A</v>
      </c>
      <c r="W128" s="39" t="e">
        <f>IF($B128="Jacks Only",'Chinook Jack Proportions'!R128,IF('3. Select Chinook Method'!$B128="Adults Only",'Chinook Adult Proportions'!R128,'Chinook All Ages Proportions'!R128))</f>
        <v>#N/A</v>
      </c>
      <c r="X128" s="40" t="e">
        <f>IF(B128="Jacks Only",'Chinook Jack Proportions'!S128,IF(B128="Adults Only",'Chinook Adult Proportions'!S128,'Chinook All Ages Proportions'!S128))</f>
        <v>#N/A</v>
      </c>
      <c r="Y128" s="40" t="e">
        <f>IF($B128="Jacks Only",'Chinook Jack Proportions'!T128,IF('3. Select Chinook Method'!$B128="Adults Only",'Chinook Adult Proportions'!T128,'Chinook All Ages Proportions'!T128))</f>
        <v>#N/A</v>
      </c>
      <c r="Z128" s="40" t="e">
        <f>IF($B128="Jacks Only",'Chinook Jack Proportions'!U128,IF('3. Select Chinook Method'!$B128="Adults Only",'Chinook Adult Proportions'!U128,'Chinook All Ages Proportions'!U128))</f>
        <v>#N/A</v>
      </c>
      <c r="AA128" s="40" t="e">
        <f>IF($B128="Jacks Only",'Chinook Jack Proportions'!V128,IF('3. Select Chinook Method'!$B128="Adults Only",'Chinook Adult Proportions'!V128,'Chinook All Ages Proportions'!V128))</f>
        <v>#N/A</v>
      </c>
      <c r="AB128" s="40" t="e">
        <f>IF($B128="Jacks Only",'Chinook Jack Proportions'!W128,IF('3. Select Chinook Method'!$B128="Adults Only",'Chinook Adult Proportions'!W128,'Chinook All Ages Proportions'!W128))</f>
        <v>#N/A</v>
      </c>
      <c r="AC128" s="46">
        <f>IF(B128="Jacks Only",'Chinook Jack Proportions'!Y128,IF('3. Select Chinook Method'!B128="Adults Only",'Chinook Adult Proportions'!Y128,'Chinook All Ages Proportions'!Y128))</f>
        <v>0</v>
      </c>
      <c r="AD128" s="220" t="e">
        <f>IF(B128="Jacks Only",'Chinook Jack Proportions'!Z128,IF('3. Select Chinook Method'!B128="Adults Only",'Chinook Adult Proportions'!Z128,'Chinook All Ages Proportions'!Z128))</f>
        <v>#N/A</v>
      </c>
      <c r="AE128" s="48" t="e">
        <f>IF($B128="Jacks Only",'Chinook Jack Proportions'!AA128,IF('3. Select Chinook Method'!$B128="Adults Only",'Chinook Adult Proportions'!AA128,'Chinook All Ages Proportions'!AA128))</f>
        <v>#N/A</v>
      </c>
      <c r="AF128" s="47" t="e">
        <f>IF($B128="Jacks Only",'Chinook Jack Proportions'!AB128,IF('3. Select Chinook Method'!$B128="Adults Only",'Chinook Adult Proportions'!AB128,'Chinook All Ages Proportions'!AB128))</f>
        <v>#N/A</v>
      </c>
      <c r="AG128" s="45" t="e">
        <f>IF($B128="Jacks Only",'Chinook Jack Proportions'!AC128,IF('3. Select Chinook Method'!$B128="Adults Only",'Chinook Adult Proportions'!AC128,'Chinook All Ages Proportions'!AC128))</f>
        <v>#N/A</v>
      </c>
    </row>
  </sheetData>
  <mergeCells count="10">
    <mergeCell ref="A4:A5"/>
    <mergeCell ref="B4:B5"/>
    <mergeCell ref="D4:F4"/>
    <mergeCell ref="C4:C5"/>
    <mergeCell ref="AC3:AG3"/>
    <mergeCell ref="G4:O4"/>
    <mergeCell ref="P4:AB4"/>
    <mergeCell ref="AC4:AC5"/>
    <mergeCell ref="AD4:AD5"/>
    <mergeCell ref="AE4:AG4"/>
  </mergeCells>
  <phoneticPr fontId="2" type="noConversion"/>
  <conditionalFormatting sqref="G6:AG128">
    <cfRule type="expression" dxfId="28" priority="1">
      <formula>ISNA(G6)</formula>
    </cfRule>
  </conditionalFormatting>
  <dataValidations count="1">
    <dataValidation type="list" allowBlank="1" showInputMessage="1" showErrorMessage="1" sqref="B6:B128" xr:uid="{FB2EF016-2360-4111-9026-50D1C6879514}">
      <formula1>$D$5:$F$5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FF99-C2D8-4316-9B5B-269B692A9D1B}">
  <sheetPr>
    <tabColor theme="1"/>
  </sheetPr>
  <dimension ref="A1:J95"/>
  <sheetViews>
    <sheetView workbookViewId="0">
      <pane ySplit="2" topLeftCell="A45" activePane="bottomLeft" state="frozen"/>
      <selection pane="bottomLeft" activeCell="E62" sqref="E62"/>
    </sheetView>
  </sheetViews>
  <sheetFormatPr defaultRowHeight="14.4" x14ac:dyDescent="0.3"/>
  <cols>
    <col min="1" max="1" width="12.33203125" customWidth="1"/>
    <col min="2" max="2" width="13.88671875" bestFit="1" customWidth="1"/>
    <col min="3" max="3" width="10.33203125" bestFit="1" customWidth="1"/>
    <col min="4" max="4" width="13.88671875" bestFit="1" customWidth="1"/>
    <col min="5" max="5" width="10" bestFit="1" customWidth="1"/>
    <col min="6" max="7" width="7.6640625" style="123" bestFit="1" customWidth="1"/>
    <col min="10" max="10" width="11.33203125" bestFit="1" customWidth="1"/>
  </cols>
  <sheetData>
    <row r="1" spans="1:10" ht="18" x14ac:dyDescent="0.35">
      <c r="A1" s="277" t="s">
        <v>0</v>
      </c>
      <c r="B1" s="274" t="s">
        <v>121</v>
      </c>
      <c r="C1" s="275"/>
      <c r="D1" s="275"/>
      <c r="E1" s="276"/>
      <c r="F1" s="271" t="s">
        <v>120</v>
      </c>
      <c r="G1" s="271" t="s">
        <v>124</v>
      </c>
      <c r="H1" s="271" t="s">
        <v>143</v>
      </c>
      <c r="I1" s="271" t="s">
        <v>144</v>
      </c>
      <c r="J1" s="273" t="s">
        <v>156</v>
      </c>
    </row>
    <row r="2" spans="1:10" ht="15" thickBot="1" x14ac:dyDescent="0.35">
      <c r="A2" s="278"/>
      <c r="B2" s="147" t="s">
        <v>116</v>
      </c>
      <c r="C2" s="148" t="s">
        <v>117</v>
      </c>
      <c r="D2" s="148" t="s">
        <v>118</v>
      </c>
      <c r="E2" s="149" t="s">
        <v>119</v>
      </c>
      <c r="F2" s="272"/>
      <c r="G2" s="272"/>
      <c r="H2" s="272"/>
      <c r="I2" s="272"/>
      <c r="J2" s="273"/>
    </row>
    <row r="3" spans="1:10" x14ac:dyDescent="0.3">
      <c r="A3" s="125">
        <v>45102</v>
      </c>
      <c r="B3" s="114" t="e">
        <v>#N/A</v>
      </c>
      <c r="C3" s="185"/>
      <c r="D3" s="114" t="e">
        <v>#N/A</v>
      </c>
      <c r="E3" s="114" t="e">
        <v>#N/A</v>
      </c>
      <c r="F3" s="140" t="e">
        <f>C3/(B3+C3+D3+E3)</f>
        <v>#N/A</v>
      </c>
      <c r="G3" s="140" t="e">
        <f>B3/(B3+C3+D3+E3)</f>
        <v>#N/A</v>
      </c>
      <c r="H3" s="140" t="e">
        <f>D3/(B3+C3+D3+E3)</f>
        <v>#N/A</v>
      </c>
      <c r="I3" s="140" t="e">
        <f>E3/(B3+C3+D3+E3)</f>
        <v>#N/A</v>
      </c>
      <c r="J3" t="e">
        <f>SUM(B3:E3)</f>
        <v>#N/A</v>
      </c>
    </row>
    <row r="4" spans="1:10" x14ac:dyDescent="0.3">
      <c r="A4" s="125">
        <f>$A3+1</f>
        <v>45103</v>
      </c>
      <c r="B4" s="114" t="e">
        <v>#N/A</v>
      </c>
      <c r="C4" s="185"/>
      <c r="D4" s="114" t="e">
        <v>#N/A</v>
      </c>
      <c r="E4" s="114" t="e">
        <v>#N/A</v>
      </c>
      <c r="F4" s="140" t="e">
        <f t="shared" ref="F4:F14" si="0">C4/(B4+C4+D4+E4)</f>
        <v>#N/A</v>
      </c>
      <c r="G4" s="140" t="e">
        <f t="shared" ref="G4:G67" si="1">B4/(B4+C4+D4+E4)</f>
        <v>#N/A</v>
      </c>
      <c r="H4" s="140" t="e">
        <f t="shared" ref="H4:H67" si="2">D4/(B4+C4+D4+E4)</f>
        <v>#N/A</v>
      </c>
      <c r="I4" s="140" t="e">
        <f t="shared" ref="I4:I67" si="3">E4/(B4+C4+D4+E4)</f>
        <v>#N/A</v>
      </c>
      <c r="J4" t="e">
        <f t="shared" ref="J4:J67" si="4">SUM(B4:E4)</f>
        <v>#N/A</v>
      </c>
    </row>
    <row r="5" spans="1:10" x14ac:dyDescent="0.3">
      <c r="A5" s="125">
        <f t="shared" ref="A5:A68" si="5">$A4+1</f>
        <v>45104</v>
      </c>
      <c r="B5" s="114">
        <v>1</v>
      </c>
      <c r="C5" s="186"/>
      <c r="D5" s="55">
        <v>5</v>
      </c>
      <c r="E5" s="115">
        <v>0</v>
      </c>
      <c r="F5" s="140">
        <f t="shared" si="0"/>
        <v>0</v>
      </c>
      <c r="G5" s="140">
        <f t="shared" si="1"/>
        <v>0.16666666666666666</v>
      </c>
      <c r="H5" s="140">
        <f t="shared" si="2"/>
        <v>0.83333333333333337</v>
      </c>
      <c r="I5" s="140">
        <f t="shared" si="3"/>
        <v>0</v>
      </c>
      <c r="J5">
        <f t="shared" si="4"/>
        <v>6</v>
      </c>
    </row>
    <row r="6" spans="1:10" x14ac:dyDescent="0.3">
      <c r="A6" s="125">
        <f t="shared" si="5"/>
        <v>45105</v>
      </c>
      <c r="B6" s="114">
        <v>1</v>
      </c>
      <c r="C6" s="186"/>
      <c r="D6" s="55">
        <v>5</v>
      </c>
      <c r="E6" s="115">
        <v>2</v>
      </c>
      <c r="F6" s="140">
        <f t="shared" si="0"/>
        <v>0</v>
      </c>
      <c r="G6" s="140">
        <f t="shared" si="1"/>
        <v>0.125</v>
      </c>
      <c r="H6" s="140">
        <f t="shared" si="2"/>
        <v>0.625</v>
      </c>
      <c r="I6" s="140">
        <f t="shared" si="3"/>
        <v>0.25</v>
      </c>
      <c r="J6">
        <f t="shared" si="4"/>
        <v>8</v>
      </c>
    </row>
    <row r="7" spans="1:10" x14ac:dyDescent="0.3">
      <c r="A7" s="125">
        <f t="shared" si="5"/>
        <v>45106</v>
      </c>
      <c r="B7" s="114">
        <v>3</v>
      </c>
      <c r="C7" s="186"/>
      <c r="D7" s="55">
        <v>7</v>
      </c>
      <c r="E7" s="115">
        <v>4</v>
      </c>
      <c r="F7" s="140">
        <f t="shared" si="0"/>
        <v>0</v>
      </c>
      <c r="G7" s="140">
        <f t="shared" si="1"/>
        <v>0.21428571428571427</v>
      </c>
      <c r="H7" s="140">
        <f t="shared" si="2"/>
        <v>0.5</v>
      </c>
      <c r="I7" s="140">
        <f t="shared" si="3"/>
        <v>0.2857142857142857</v>
      </c>
      <c r="J7">
        <f t="shared" si="4"/>
        <v>14</v>
      </c>
    </row>
    <row r="8" spans="1:10" x14ac:dyDescent="0.3">
      <c r="A8" s="125">
        <f t="shared" si="5"/>
        <v>45107</v>
      </c>
      <c r="B8" s="114">
        <v>4</v>
      </c>
      <c r="C8" s="185"/>
      <c r="D8" s="114">
        <v>1</v>
      </c>
      <c r="E8" s="114">
        <v>0</v>
      </c>
      <c r="F8" s="140">
        <f t="shared" si="0"/>
        <v>0</v>
      </c>
      <c r="G8" s="140">
        <f t="shared" si="1"/>
        <v>0.8</v>
      </c>
      <c r="H8" s="140">
        <f t="shared" si="2"/>
        <v>0.2</v>
      </c>
      <c r="I8" s="140">
        <f t="shared" si="3"/>
        <v>0</v>
      </c>
      <c r="J8">
        <f t="shared" si="4"/>
        <v>5</v>
      </c>
    </row>
    <row r="9" spans="1:10" x14ac:dyDescent="0.3">
      <c r="A9" s="125">
        <f t="shared" si="5"/>
        <v>45108</v>
      </c>
      <c r="B9" s="114">
        <v>6</v>
      </c>
      <c r="C9" s="185"/>
      <c r="D9" s="114">
        <v>1</v>
      </c>
      <c r="E9" s="114">
        <v>0</v>
      </c>
      <c r="F9" s="140">
        <f t="shared" si="0"/>
        <v>0</v>
      </c>
      <c r="G9" s="140">
        <f t="shared" si="1"/>
        <v>0.8571428571428571</v>
      </c>
      <c r="H9" s="140">
        <f t="shared" si="2"/>
        <v>0.14285714285714285</v>
      </c>
      <c r="I9" s="140">
        <f t="shared" si="3"/>
        <v>0</v>
      </c>
      <c r="J9">
        <f t="shared" si="4"/>
        <v>7</v>
      </c>
    </row>
    <row r="10" spans="1:10" x14ac:dyDescent="0.3">
      <c r="A10" s="125">
        <f t="shared" si="5"/>
        <v>45109</v>
      </c>
      <c r="B10" s="114">
        <v>4</v>
      </c>
      <c r="C10" s="185"/>
      <c r="D10" s="114">
        <v>4</v>
      </c>
      <c r="E10" s="114">
        <v>1</v>
      </c>
      <c r="F10" s="140">
        <f t="shared" si="0"/>
        <v>0</v>
      </c>
      <c r="G10" s="140">
        <f t="shared" si="1"/>
        <v>0.44444444444444442</v>
      </c>
      <c r="H10" s="140">
        <f t="shared" si="2"/>
        <v>0.44444444444444442</v>
      </c>
      <c r="I10" s="140">
        <f t="shared" si="3"/>
        <v>0.1111111111111111</v>
      </c>
      <c r="J10">
        <f t="shared" si="4"/>
        <v>9</v>
      </c>
    </row>
    <row r="11" spans="1:10" x14ac:dyDescent="0.3">
      <c r="A11" s="125">
        <f t="shared" si="5"/>
        <v>45110</v>
      </c>
      <c r="B11" s="114">
        <v>6</v>
      </c>
      <c r="C11" s="186"/>
      <c r="D11" s="55">
        <v>1</v>
      </c>
      <c r="E11" s="115">
        <v>0</v>
      </c>
      <c r="F11" s="140">
        <f t="shared" si="0"/>
        <v>0</v>
      </c>
      <c r="G11" s="140">
        <f t="shared" si="1"/>
        <v>0.8571428571428571</v>
      </c>
      <c r="H11" s="140">
        <f t="shared" si="2"/>
        <v>0.14285714285714285</v>
      </c>
      <c r="I11" s="140">
        <f t="shared" si="3"/>
        <v>0</v>
      </c>
      <c r="J11">
        <f t="shared" si="4"/>
        <v>7</v>
      </c>
    </row>
    <row r="12" spans="1:10" x14ac:dyDescent="0.3">
      <c r="A12" s="125">
        <f t="shared" si="5"/>
        <v>45111</v>
      </c>
      <c r="B12" s="114">
        <v>4</v>
      </c>
      <c r="C12" s="186"/>
      <c r="D12" s="55">
        <v>2</v>
      </c>
      <c r="E12" s="115">
        <v>0</v>
      </c>
      <c r="F12" s="140">
        <f t="shared" si="0"/>
        <v>0</v>
      </c>
      <c r="G12" s="140">
        <f t="shared" si="1"/>
        <v>0.66666666666666663</v>
      </c>
      <c r="H12" s="140">
        <f t="shared" si="2"/>
        <v>0.33333333333333331</v>
      </c>
      <c r="I12" s="140">
        <f t="shared" si="3"/>
        <v>0</v>
      </c>
      <c r="J12">
        <f t="shared" si="4"/>
        <v>6</v>
      </c>
    </row>
    <row r="13" spans="1:10" x14ac:dyDescent="0.3">
      <c r="A13" s="125">
        <f t="shared" si="5"/>
        <v>45112</v>
      </c>
      <c r="B13" s="114">
        <v>11</v>
      </c>
      <c r="C13" s="186"/>
      <c r="D13" s="55">
        <v>3</v>
      </c>
      <c r="E13" s="115">
        <v>3</v>
      </c>
      <c r="F13" s="140">
        <f t="shared" si="0"/>
        <v>0</v>
      </c>
      <c r="G13" s="140">
        <f t="shared" si="1"/>
        <v>0.6470588235294118</v>
      </c>
      <c r="H13" s="140">
        <f t="shared" si="2"/>
        <v>0.17647058823529413</v>
      </c>
      <c r="I13" s="140">
        <f t="shared" si="3"/>
        <v>0.17647058823529413</v>
      </c>
      <c r="J13">
        <f t="shared" si="4"/>
        <v>17</v>
      </c>
    </row>
    <row r="14" spans="1:10" x14ac:dyDescent="0.3">
      <c r="A14" s="125">
        <f t="shared" si="5"/>
        <v>45113</v>
      </c>
      <c r="B14" s="114">
        <v>10</v>
      </c>
      <c r="C14" s="186"/>
      <c r="D14" s="55">
        <v>2</v>
      </c>
      <c r="E14" s="115">
        <v>1</v>
      </c>
      <c r="F14" s="140">
        <f t="shared" si="0"/>
        <v>0</v>
      </c>
      <c r="G14" s="140">
        <f t="shared" si="1"/>
        <v>0.76923076923076927</v>
      </c>
      <c r="H14" s="140">
        <f t="shared" si="2"/>
        <v>0.15384615384615385</v>
      </c>
      <c r="I14" s="140">
        <f t="shared" si="3"/>
        <v>7.6923076923076927E-2</v>
      </c>
      <c r="J14">
        <f t="shared" si="4"/>
        <v>13</v>
      </c>
    </row>
    <row r="15" spans="1:10" x14ac:dyDescent="0.3">
      <c r="A15" s="125">
        <f t="shared" si="5"/>
        <v>45114</v>
      </c>
      <c r="B15" s="114">
        <v>7</v>
      </c>
      <c r="C15" s="186"/>
      <c r="D15" s="55">
        <v>3</v>
      </c>
      <c r="E15" s="115">
        <v>1</v>
      </c>
      <c r="F15" s="140">
        <f>C15/(B15+C15+D15+E15)</f>
        <v>0</v>
      </c>
      <c r="G15" s="140">
        <f t="shared" si="1"/>
        <v>0.63636363636363635</v>
      </c>
      <c r="H15" s="140">
        <f t="shared" si="2"/>
        <v>0.27272727272727271</v>
      </c>
      <c r="I15" s="140">
        <f t="shared" si="3"/>
        <v>9.0909090909090912E-2</v>
      </c>
      <c r="J15">
        <f t="shared" si="4"/>
        <v>11</v>
      </c>
    </row>
    <row r="16" spans="1:10" x14ac:dyDescent="0.3">
      <c r="A16" s="125">
        <f t="shared" si="5"/>
        <v>45115</v>
      </c>
      <c r="B16" s="114">
        <v>3</v>
      </c>
      <c r="C16" s="186"/>
      <c r="D16" s="114">
        <v>5</v>
      </c>
      <c r="E16" s="114">
        <v>3</v>
      </c>
      <c r="F16" s="140">
        <f t="shared" ref="F16:F79" si="6">C16/(B16+C16+D16+E16)</f>
        <v>0</v>
      </c>
      <c r="G16" s="140">
        <f t="shared" si="1"/>
        <v>0.27272727272727271</v>
      </c>
      <c r="H16" s="140">
        <f t="shared" si="2"/>
        <v>0.45454545454545453</v>
      </c>
      <c r="I16" s="140">
        <f t="shared" si="3"/>
        <v>0.27272727272727271</v>
      </c>
      <c r="J16">
        <f t="shared" si="4"/>
        <v>11</v>
      </c>
    </row>
    <row r="17" spans="1:10" x14ac:dyDescent="0.3">
      <c r="A17" s="125">
        <f t="shared" si="5"/>
        <v>45116</v>
      </c>
      <c r="B17" s="114">
        <v>4</v>
      </c>
      <c r="C17" s="186"/>
      <c r="D17" s="114">
        <v>2</v>
      </c>
      <c r="E17" s="114">
        <v>1</v>
      </c>
      <c r="F17" s="140">
        <f t="shared" si="6"/>
        <v>0</v>
      </c>
      <c r="G17" s="140">
        <f t="shared" si="1"/>
        <v>0.5714285714285714</v>
      </c>
      <c r="H17" s="140">
        <f t="shared" si="2"/>
        <v>0.2857142857142857</v>
      </c>
      <c r="I17" s="140">
        <f t="shared" si="3"/>
        <v>0.14285714285714285</v>
      </c>
      <c r="J17">
        <f t="shared" si="4"/>
        <v>7</v>
      </c>
    </row>
    <row r="18" spans="1:10" x14ac:dyDescent="0.3">
      <c r="A18" s="125">
        <f t="shared" si="5"/>
        <v>45117</v>
      </c>
      <c r="B18" s="114">
        <v>13</v>
      </c>
      <c r="C18" s="186"/>
      <c r="D18" s="55">
        <v>2</v>
      </c>
      <c r="E18" s="115">
        <v>2</v>
      </c>
      <c r="F18" s="140">
        <f t="shared" si="6"/>
        <v>0</v>
      </c>
      <c r="G18" s="140">
        <f t="shared" si="1"/>
        <v>0.76470588235294112</v>
      </c>
      <c r="H18" s="140">
        <f t="shared" si="2"/>
        <v>0.11764705882352941</v>
      </c>
      <c r="I18" s="140">
        <f t="shared" si="3"/>
        <v>0.11764705882352941</v>
      </c>
      <c r="J18">
        <f t="shared" si="4"/>
        <v>17</v>
      </c>
    </row>
    <row r="19" spans="1:10" x14ac:dyDescent="0.3">
      <c r="A19" s="125">
        <f t="shared" si="5"/>
        <v>45118</v>
      </c>
      <c r="B19" s="114">
        <v>9</v>
      </c>
      <c r="C19" s="186"/>
      <c r="D19" s="55">
        <v>2</v>
      </c>
      <c r="E19" s="115">
        <v>0</v>
      </c>
      <c r="F19" s="140">
        <f t="shared" si="6"/>
        <v>0</v>
      </c>
      <c r="G19" s="140">
        <f t="shared" si="1"/>
        <v>0.81818181818181823</v>
      </c>
      <c r="H19" s="140">
        <f t="shared" si="2"/>
        <v>0.18181818181818182</v>
      </c>
      <c r="I19" s="140">
        <f t="shared" si="3"/>
        <v>0</v>
      </c>
      <c r="J19">
        <f t="shared" si="4"/>
        <v>11</v>
      </c>
    </row>
    <row r="20" spans="1:10" x14ac:dyDescent="0.3">
      <c r="A20" s="125">
        <f t="shared" si="5"/>
        <v>45119</v>
      </c>
      <c r="B20" s="114">
        <v>10</v>
      </c>
      <c r="C20" s="186"/>
      <c r="D20" s="55">
        <v>0</v>
      </c>
      <c r="E20" s="115">
        <v>3</v>
      </c>
      <c r="F20" s="140">
        <f t="shared" si="6"/>
        <v>0</v>
      </c>
      <c r="G20" s="140">
        <f t="shared" si="1"/>
        <v>0.76923076923076927</v>
      </c>
      <c r="H20" s="140">
        <f t="shared" si="2"/>
        <v>0</v>
      </c>
      <c r="I20" s="140">
        <f t="shared" si="3"/>
        <v>0.23076923076923078</v>
      </c>
      <c r="J20">
        <f t="shared" si="4"/>
        <v>13</v>
      </c>
    </row>
    <row r="21" spans="1:10" x14ac:dyDescent="0.3">
      <c r="A21" s="125">
        <f t="shared" si="5"/>
        <v>45120</v>
      </c>
      <c r="B21" s="114">
        <v>6</v>
      </c>
      <c r="C21" s="186"/>
      <c r="D21" s="55">
        <v>1</v>
      </c>
      <c r="E21" s="115">
        <v>0</v>
      </c>
      <c r="F21" s="140">
        <f t="shared" si="6"/>
        <v>0</v>
      </c>
      <c r="G21" s="140">
        <f t="shared" si="1"/>
        <v>0.8571428571428571</v>
      </c>
      <c r="H21" s="140">
        <f t="shared" si="2"/>
        <v>0.14285714285714285</v>
      </c>
      <c r="I21" s="140">
        <f t="shared" si="3"/>
        <v>0</v>
      </c>
      <c r="J21">
        <f t="shared" si="4"/>
        <v>7</v>
      </c>
    </row>
    <row r="22" spans="1:10" x14ac:dyDescent="0.3">
      <c r="A22" s="125">
        <f t="shared" si="5"/>
        <v>45121</v>
      </c>
      <c r="B22" s="114">
        <v>6</v>
      </c>
      <c r="C22" s="186"/>
      <c r="D22" s="55">
        <v>3</v>
      </c>
      <c r="E22" s="115">
        <v>0</v>
      </c>
      <c r="F22" s="140">
        <f t="shared" si="6"/>
        <v>0</v>
      </c>
      <c r="G22" s="140">
        <f t="shared" si="1"/>
        <v>0.66666666666666663</v>
      </c>
      <c r="H22" s="140">
        <f t="shared" si="2"/>
        <v>0.33333333333333331</v>
      </c>
      <c r="I22" s="140">
        <f t="shared" si="3"/>
        <v>0</v>
      </c>
      <c r="J22">
        <f t="shared" si="4"/>
        <v>9</v>
      </c>
    </row>
    <row r="23" spans="1:10" x14ac:dyDescent="0.3">
      <c r="A23" s="125">
        <f t="shared" si="5"/>
        <v>45122</v>
      </c>
      <c r="B23" s="114">
        <v>18</v>
      </c>
      <c r="C23" s="186"/>
      <c r="D23" s="114">
        <v>3</v>
      </c>
      <c r="E23" s="114">
        <v>2</v>
      </c>
      <c r="F23" s="140">
        <f t="shared" si="6"/>
        <v>0</v>
      </c>
      <c r="G23" s="140">
        <f t="shared" si="1"/>
        <v>0.78260869565217395</v>
      </c>
      <c r="H23" s="140">
        <f t="shared" si="2"/>
        <v>0.13043478260869565</v>
      </c>
      <c r="I23" s="140">
        <f t="shared" si="3"/>
        <v>8.6956521739130432E-2</v>
      </c>
      <c r="J23">
        <f t="shared" si="4"/>
        <v>23</v>
      </c>
    </row>
    <row r="24" spans="1:10" x14ac:dyDescent="0.3">
      <c r="A24" s="125">
        <f t="shared" si="5"/>
        <v>45123</v>
      </c>
      <c r="B24" s="114">
        <v>14</v>
      </c>
      <c r="C24" s="186"/>
      <c r="D24" s="114">
        <v>2</v>
      </c>
      <c r="E24" s="114">
        <v>1</v>
      </c>
      <c r="F24" s="140">
        <f t="shared" si="6"/>
        <v>0</v>
      </c>
      <c r="G24" s="140">
        <f t="shared" si="1"/>
        <v>0.82352941176470584</v>
      </c>
      <c r="H24" s="140">
        <f t="shared" si="2"/>
        <v>0.11764705882352941</v>
      </c>
      <c r="I24" s="140">
        <f t="shared" si="3"/>
        <v>5.8823529411764705E-2</v>
      </c>
      <c r="J24">
        <f t="shared" si="4"/>
        <v>17</v>
      </c>
    </row>
    <row r="25" spans="1:10" x14ac:dyDescent="0.3">
      <c r="A25" s="125">
        <f t="shared" si="5"/>
        <v>45124</v>
      </c>
      <c r="B25" s="197">
        <v>15</v>
      </c>
      <c r="C25" s="198"/>
      <c r="D25" s="199">
        <v>1</v>
      </c>
      <c r="E25" s="200">
        <v>2</v>
      </c>
      <c r="F25" s="140">
        <f t="shared" si="6"/>
        <v>0</v>
      </c>
      <c r="G25" s="140">
        <f t="shared" si="1"/>
        <v>0.83333333333333337</v>
      </c>
      <c r="H25" s="140">
        <f t="shared" si="2"/>
        <v>5.5555555555555552E-2</v>
      </c>
      <c r="I25" s="140">
        <f t="shared" si="3"/>
        <v>0.1111111111111111</v>
      </c>
      <c r="J25">
        <f t="shared" si="4"/>
        <v>18</v>
      </c>
    </row>
    <row r="26" spans="1:10" x14ac:dyDescent="0.3">
      <c r="A26" s="125">
        <f t="shared" si="5"/>
        <v>45125</v>
      </c>
      <c r="B26" s="197">
        <v>20</v>
      </c>
      <c r="C26" s="198"/>
      <c r="D26" s="199">
        <v>2</v>
      </c>
      <c r="E26" s="200">
        <v>2</v>
      </c>
      <c r="F26" s="140">
        <f t="shared" si="6"/>
        <v>0</v>
      </c>
      <c r="G26" s="140">
        <f t="shared" si="1"/>
        <v>0.83333333333333337</v>
      </c>
      <c r="H26" s="140">
        <f t="shared" si="2"/>
        <v>8.3333333333333329E-2</v>
      </c>
      <c r="I26" s="140">
        <f t="shared" si="3"/>
        <v>8.3333333333333329E-2</v>
      </c>
      <c r="J26">
        <f t="shared" si="4"/>
        <v>24</v>
      </c>
    </row>
    <row r="27" spans="1:10" x14ac:dyDescent="0.3">
      <c r="A27" s="125">
        <f t="shared" si="5"/>
        <v>45126</v>
      </c>
      <c r="B27" s="197">
        <v>22</v>
      </c>
      <c r="C27" s="198"/>
      <c r="D27" s="199">
        <v>3</v>
      </c>
      <c r="E27" s="200">
        <v>5</v>
      </c>
      <c r="F27" s="140">
        <f t="shared" si="6"/>
        <v>0</v>
      </c>
      <c r="G27" s="140">
        <f t="shared" si="1"/>
        <v>0.73333333333333328</v>
      </c>
      <c r="H27" s="140">
        <f t="shared" si="2"/>
        <v>0.1</v>
      </c>
      <c r="I27" s="140">
        <f t="shared" si="3"/>
        <v>0.16666666666666666</v>
      </c>
      <c r="J27">
        <f t="shared" si="4"/>
        <v>30</v>
      </c>
    </row>
    <row r="28" spans="1:10" x14ac:dyDescent="0.3">
      <c r="A28" s="125">
        <f t="shared" si="5"/>
        <v>45127</v>
      </c>
      <c r="B28" s="137">
        <v>13</v>
      </c>
      <c r="C28" s="187"/>
      <c r="D28" s="138">
        <v>6</v>
      </c>
      <c r="E28" s="139">
        <v>2</v>
      </c>
      <c r="F28" s="140">
        <f t="shared" si="6"/>
        <v>0</v>
      </c>
      <c r="G28" s="140">
        <f t="shared" si="1"/>
        <v>0.61904761904761907</v>
      </c>
      <c r="H28" s="140">
        <f t="shared" si="2"/>
        <v>0.2857142857142857</v>
      </c>
      <c r="I28" s="140">
        <f t="shared" si="3"/>
        <v>9.5238095238095233E-2</v>
      </c>
      <c r="J28">
        <f t="shared" si="4"/>
        <v>21</v>
      </c>
    </row>
    <row r="29" spans="1:10" x14ac:dyDescent="0.3">
      <c r="A29" s="125">
        <f t="shared" si="5"/>
        <v>45128</v>
      </c>
      <c r="B29" s="114">
        <v>7</v>
      </c>
      <c r="C29" s="187"/>
      <c r="D29" s="114">
        <v>2</v>
      </c>
      <c r="E29" s="114">
        <v>3</v>
      </c>
      <c r="F29" s="140">
        <f t="shared" si="6"/>
        <v>0</v>
      </c>
      <c r="G29" s="140">
        <f t="shared" si="1"/>
        <v>0.58333333333333337</v>
      </c>
      <c r="H29" s="140">
        <f t="shared" si="2"/>
        <v>0.16666666666666666</v>
      </c>
      <c r="I29" s="140">
        <f t="shared" si="3"/>
        <v>0.25</v>
      </c>
      <c r="J29">
        <f t="shared" si="4"/>
        <v>12</v>
      </c>
    </row>
    <row r="30" spans="1:10" x14ac:dyDescent="0.3">
      <c r="A30" s="125">
        <f t="shared" si="5"/>
        <v>45129</v>
      </c>
      <c r="B30" s="114" t="e">
        <v>#N/A</v>
      </c>
      <c r="C30" s="187"/>
      <c r="D30" s="114" t="e">
        <v>#N/A</v>
      </c>
      <c r="E30" s="114" t="e">
        <v>#N/A</v>
      </c>
      <c r="F30" s="140" t="e">
        <f t="shared" si="6"/>
        <v>#N/A</v>
      </c>
      <c r="G30" s="140" t="e">
        <f t="shared" si="1"/>
        <v>#N/A</v>
      </c>
      <c r="H30" s="140" t="e">
        <f t="shared" si="2"/>
        <v>#N/A</v>
      </c>
      <c r="I30" s="140" t="e">
        <f t="shared" si="3"/>
        <v>#N/A</v>
      </c>
      <c r="J30" t="e">
        <f t="shared" si="4"/>
        <v>#N/A</v>
      </c>
    </row>
    <row r="31" spans="1:10" x14ac:dyDescent="0.3">
      <c r="A31" s="125">
        <f t="shared" si="5"/>
        <v>45130</v>
      </c>
      <c r="B31" s="114" t="e">
        <v>#N/A</v>
      </c>
      <c r="C31" s="187"/>
      <c r="D31" s="114" t="e">
        <v>#N/A</v>
      </c>
      <c r="E31" s="114" t="e">
        <v>#N/A</v>
      </c>
      <c r="F31" s="140" t="e">
        <f t="shared" si="6"/>
        <v>#N/A</v>
      </c>
      <c r="G31" s="140" t="e">
        <f t="shared" si="1"/>
        <v>#N/A</v>
      </c>
      <c r="H31" s="140" t="e">
        <f t="shared" si="2"/>
        <v>#N/A</v>
      </c>
      <c r="I31" s="140" t="e">
        <f t="shared" si="3"/>
        <v>#N/A</v>
      </c>
      <c r="J31" t="e">
        <f t="shared" si="4"/>
        <v>#N/A</v>
      </c>
    </row>
    <row r="32" spans="1:10" x14ac:dyDescent="0.3">
      <c r="A32" s="125">
        <f t="shared" si="5"/>
        <v>45131</v>
      </c>
      <c r="B32" s="114">
        <v>13</v>
      </c>
      <c r="C32" s="186"/>
      <c r="D32" s="55">
        <v>1</v>
      </c>
      <c r="E32" s="115">
        <v>6</v>
      </c>
      <c r="F32" s="140">
        <f t="shared" si="6"/>
        <v>0</v>
      </c>
      <c r="G32" s="140">
        <f t="shared" si="1"/>
        <v>0.65</v>
      </c>
      <c r="H32" s="140">
        <f t="shared" si="2"/>
        <v>0.05</v>
      </c>
      <c r="I32" s="140">
        <f t="shared" si="3"/>
        <v>0.3</v>
      </c>
      <c r="J32">
        <f t="shared" si="4"/>
        <v>20</v>
      </c>
    </row>
    <row r="33" spans="1:10" x14ac:dyDescent="0.3">
      <c r="A33" s="125">
        <f t="shared" si="5"/>
        <v>45132</v>
      </c>
      <c r="B33" s="114">
        <v>16</v>
      </c>
      <c r="C33" s="186"/>
      <c r="D33" s="55">
        <v>1</v>
      </c>
      <c r="E33" s="115">
        <v>6</v>
      </c>
      <c r="F33" s="140">
        <f t="shared" si="6"/>
        <v>0</v>
      </c>
      <c r="G33" s="140">
        <f t="shared" si="1"/>
        <v>0.69565217391304346</v>
      </c>
      <c r="H33" s="140">
        <f t="shared" si="2"/>
        <v>4.3478260869565216E-2</v>
      </c>
      <c r="I33" s="140">
        <f t="shared" si="3"/>
        <v>0.2608695652173913</v>
      </c>
      <c r="J33">
        <f t="shared" si="4"/>
        <v>23</v>
      </c>
    </row>
    <row r="34" spans="1:10" x14ac:dyDescent="0.3">
      <c r="A34" s="125">
        <f t="shared" si="5"/>
        <v>45133</v>
      </c>
      <c r="B34" s="114">
        <v>16</v>
      </c>
      <c r="C34" s="186"/>
      <c r="D34" s="55">
        <v>4</v>
      </c>
      <c r="E34" s="115">
        <v>7</v>
      </c>
      <c r="F34" s="140">
        <f t="shared" si="6"/>
        <v>0</v>
      </c>
      <c r="G34" s="140">
        <f t="shared" si="1"/>
        <v>0.59259259259259256</v>
      </c>
      <c r="H34" s="140">
        <f t="shared" si="2"/>
        <v>0.14814814814814814</v>
      </c>
      <c r="I34" s="140">
        <f t="shared" si="3"/>
        <v>0.25925925925925924</v>
      </c>
      <c r="J34">
        <f t="shared" si="4"/>
        <v>27</v>
      </c>
    </row>
    <row r="35" spans="1:10" x14ac:dyDescent="0.3">
      <c r="A35" s="125">
        <f t="shared" si="5"/>
        <v>45134</v>
      </c>
      <c r="B35" s="114"/>
      <c r="C35" s="186"/>
      <c r="D35" s="114"/>
      <c r="E35" s="114"/>
      <c r="F35" s="140" t="e">
        <f t="shared" si="6"/>
        <v>#DIV/0!</v>
      </c>
      <c r="G35" s="140" t="e">
        <f t="shared" si="1"/>
        <v>#DIV/0!</v>
      </c>
      <c r="H35" s="140" t="e">
        <f t="shared" si="2"/>
        <v>#DIV/0!</v>
      </c>
      <c r="I35" s="140" t="e">
        <f t="shared" si="3"/>
        <v>#DIV/0!</v>
      </c>
      <c r="J35">
        <f t="shared" si="4"/>
        <v>0</v>
      </c>
    </row>
    <row r="36" spans="1:10" x14ac:dyDescent="0.3">
      <c r="A36" s="125">
        <f t="shared" si="5"/>
        <v>45135</v>
      </c>
      <c r="B36" s="114"/>
      <c r="C36" s="186"/>
      <c r="D36" s="114"/>
      <c r="E36" s="114"/>
      <c r="F36" s="140" t="e">
        <f t="shared" si="6"/>
        <v>#DIV/0!</v>
      </c>
      <c r="G36" s="140" t="e">
        <f t="shared" si="1"/>
        <v>#DIV/0!</v>
      </c>
      <c r="H36" s="140" t="e">
        <f t="shared" si="2"/>
        <v>#DIV/0!</v>
      </c>
      <c r="I36" s="140" t="e">
        <f t="shared" si="3"/>
        <v>#DIV/0!</v>
      </c>
      <c r="J36">
        <f t="shared" si="4"/>
        <v>0</v>
      </c>
    </row>
    <row r="37" spans="1:10" x14ac:dyDescent="0.3">
      <c r="A37" s="125">
        <f t="shared" si="5"/>
        <v>45136</v>
      </c>
      <c r="B37" s="114"/>
      <c r="C37" s="186"/>
      <c r="D37" s="114"/>
      <c r="E37" s="114"/>
      <c r="F37" s="140" t="e">
        <f t="shared" si="6"/>
        <v>#DIV/0!</v>
      </c>
      <c r="G37" s="140" t="e">
        <f t="shared" si="1"/>
        <v>#DIV/0!</v>
      </c>
      <c r="H37" s="140" t="e">
        <f t="shared" si="2"/>
        <v>#DIV/0!</v>
      </c>
      <c r="I37" s="140" t="e">
        <f t="shared" si="3"/>
        <v>#DIV/0!</v>
      </c>
      <c r="J37">
        <f t="shared" si="4"/>
        <v>0</v>
      </c>
    </row>
    <row r="38" spans="1:10" x14ac:dyDescent="0.3">
      <c r="A38" s="125">
        <f t="shared" si="5"/>
        <v>45137</v>
      </c>
      <c r="B38" s="114"/>
      <c r="C38" s="186"/>
      <c r="D38" s="114"/>
      <c r="E38" s="114"/>
      <c r="F38" s="140" t="e">
        <f t="shared" si="6"/>
        <v>#DIV/0!</v>
      </c>
      <c r="G38" s="140" t="e">
        <f t="shared" si="1"/>
        <v>#DIV/0!</v>
      </c>
      <c r="H38" s="140" t="e">
        <f t="shared" si="2"/>
        <v>#DIV/0!</v>
      </c>
      <c r="I38" s="140" t="e">
        <f t="shared" si="3"/>
        <v>#DIV/0!</v>
      </c>
      <c r="J38">
        <f t="shared" si="4"/>
        <v>0</v>
      </c>
    </row>
    <row r="39" spans="1:10" x14ac:dyDescent="0.3">
      <c r="A39" s="125">
        <f t="shared" si="5"/>
        <v>45138</v>
      </c>
      <c r="B39" s="114"/>
      <c r="C39" s="186"/>
      <c r="D39" s="114"/>
      <c r="E39" s="114"/>
      <c r="F39" s="140" t="e">
        <f t="shared" si="6"/>
        <v>#DIV/0!</v>
      </c>
      <c r="G39" s="140" t="e">
        <f t="shared" si="1"/>
        <v>#DIV/0!</v>
      </c>
      <c r="H39" s="140" t="e">
        <f t="shared" si="2"/>
        <v>#DIV/0!</v>
      </c>
      <c r="I39" s="140" t="e">
        <f t="shared" si="3"/>
        <v>#DIV/0!</v>
      </c>
      <c r="J39">
        <f t="shared" si="4"/>
        <v>0</v>
      </c>
    </row>
    <row r="40" spans="1:10" x14ac:dyDescent="0.3">
      <c r="A40" s="125">
        <f t="shared" si="5"/>
        <v>45139</v>
      </c>
      <c r="B40" s="114"/>
      <c r="C40" s="186"/>
      <c r="D40" s="114"/>
      <c r="E40" s="114"/>
      <c r="F40" s="140" t="e">
        <f t="shared" si="6"/>
        <v>#DIV/0!</v>
      </c>
      <c r="G40" s="140" t="e">
        <f t="shared" si="1"/>
        <v>#DIV/0!</v>
      </c>
      <c r="H40" s="140" t="e">
        <f t="shared" si="2"/>
        <v>#DIV/0!</v>
      </c>
      <c r="I40" s="140" t="e">
        <f t="shared" si="3"/>
        <v>#DIV/0!</v>
      </c>
      <c r="J40">
        <f t="shared" si="4"/>
        <v>0</v>
      </c>
    </row>
    <row r="41" spans="1:10" x14ac:dyDescent="0.3">
      <c r="A41" s="125">
        <f t="shared" si="5"/>
        <v>45140</v>
      </c>
      <c r="B41" s="114"/>
      <c r="C41" s="186"/>
      <c r="D41" s="114"/>
      <c r="E41" s="114"/>
      <c r="F41" s="140" t="e">
        <f t="shared" si="6"/>
        <v>#DIV/0!</v>
      </c>
      <c r="G41" s="140" t="e">
        <f t="shared" si="1"/>
        <v>#DIV/0!</v>
      </c>
      <c r="H41" s="140" t="e">
        <f t="shared" si="2"/>
        <v>#DIV/0!</v>
      </c>
      <c r="I41" s="140" t="e">
        <f t="shared" si="3"/>
        <v>#DIV/0!</v>
      </c>
      <c r="J41">
        <f t="shared" si="4"/>
        <v>0</v>
      </c>
    </row>
    <row r="42" spans="1:10" x14ac:dyDescent="0.3">
      <c r="A42" s="125">
        <f t="shared" si="5"/>
        <v>45141</v>
      </c>
      <c r="B42" s="114"/>
      <c r="C42" s="186"/>
      <c r="D42" s="114"/>
      <c r="E42" s="114"/>
      <c r="F42" s="140" t="e">
        <f t="shared" si="6"/>
        <v>#DIV/0!</v>
      </c>
      <c r="G42" s="140" t="e">
        <f t="shared" si="1"/>
        <v>#DIV/0!</v>
      </c>
      <c r="H42" s="140" t="e">
        <f t="shared" si="2"/>
        <v>#DIV/0!</v>
      </c>
      <c r="I42" s="140" t="e">
        <f t="shared" si="3"/>
        <v>#DIV/0!</v>
      </c>
      <c r="J42">
        <f t="shared" si="4"/>
        <v>0</v>
      </c>
    </row>
    <row r="43" spans="1:10" x14ac:dyDescent="0.3">
      <c r="A43" s="125">
        <f t="shared" si="5"/>
        <v>45142</v>
      </c>
      <c r="B43" s="114"/>
      <c r="C43" s="186"/>
      <c r="D43" s="114"/>
      <c r="E43" s="114"/>
      <c r="F43" s="140" t="e">
        <f t="shared" si="6"/>
        <v>#DIV/0!</v>
      </c>
      <c r="G43" s="140" t="e">
        <f t="shared" si="1"/>
        <v>#DIV/0!</v>
      </c>
      <c r="H43" s="140" t="e">
        <f t="shared" si="2"/>
        <v>#DIV/0!</v>
      </c>
      <c r="I43" s="140" t="e">
        <f t="shared" si="3"/>
        <v>#DIV/0!</v>
      </c>
      <c r="J43">
        <f t="shared" si="4"/>
        <v>0</v>
      </c>
    </row>
    <row r="44" spans="1:10" x14ac:dyDescent="0.3">
      <c r="A44" s="125">
        <f t="shared" si="5"/>
        <v>45143</v>
      </c>
      <c r="B44" s="114"/>
      <c r="C44" s="186"/>
      <c r="D44" s="114"/>
      <c r="E44" s="114"/>
      <c r="F44" s="140" t="e">
        <f t="shared" si="6"/>
        <v>#DIV/0!</v>
      </c>
      <c r="G44" s="140" t="e">
        <f t="shared" si="1"/>
        <v>#DIV/0!</v>
      </c>
      <c r="H44" s="140" t="e">
        <f t="shared" si="2"/>
        <v>#DIV/0!</v>
      </c>
      <c r="I44" s="140" t="e">
        <f t="shared" si="3"/>
        <v>#DIV/0!</v>
      </c>
      <c r="J44">
        <f t="shared" si="4"/>
        <v>0</v>
      </c>
    </row>
    <row r="45" spans="1:10" x14ac:dyDescent="0.3">
      <c r="A45" s="125">
        <f t="shared" si="5"/>
        <v>45144</v>
      </c>
      <c r="B45" s="114"/>
      <c r="C45" s="186"/>
      <c r="D45" s="114"/>
      <c r="E45" s="114"/>
      <c r="F45" s="140" t="e">
        <f t="shared" si="6"/>
        <v>#DIV/0!</v>
      </c>
      <c r="G45" s="140" t="e">
        <f t="shared" si="1"/>
        <v>#DIV/0!</v>
      </c>
      <c r="H45" s="140" t="e">
        <f t="shared" si="2"/>
        <v>#DIV/0!</v>
      </c>
      <c r="I45" s="140" t="e">
        <f t="shared" si="3"/>
        <v>#DIV/0!</v>
      </c>
      <c r="J45">
        <f t="shared" si="4"/>
        <v>0</v>
      </c>
    </row>
    <row r="46" spans="1:10" x14ac:dyDescent="0.3">
      <c r="A46" s="125">
        <f t="shared" si="5"/>
        <v>45145</v>
      </c>
      <c r="B46" s="114"/>
      <c r="C46" s="186"/>
      <c r="D46" s="114"/>
      <c r="E46" s="114"/>
      <c r="F46" s="140" t="e">
        <f t="shared" si="6"/>
        <v>#DIV/0!</v>
      </c>
      <c r="G46" s="140" t="e">
        <f t="shared" si="1"/>
        <v>#DIV/0!</v>
      </c>
      <c r="H46" s="140" t="e">
        <f t="shared" si="2"/>
        <v>#DIV/0!</v>
      </c>
      <c r="I46" s="140" t="e">
        <f t="shared" si="3"/>
        <v>#DIV/0!</v>
      </c>
      <c r="J46">
        <f t="shared" si="4"/>
        <v>0</v>
      </c>
    </row>
    <row r="47" spans="1:10" x14ac:dyDescent="0.3">
      <c r="A47" s="125">
        <f t="shared" si="5"/>
        <v>45146</v>
      </c>
      <c r="B47" s="114"/>
      <c r="C47" s="186"/>
      <c r="D47" s="114"/>
      <c r="E47" s="114"/>
      <c r="F47" s="140" t="e">
        <f t="shared" si="6"/>
        <v>#DIV/0!</v>
      </c>
      <c r="G47" s="140" t="e">
        <f t="shared" si="1"/>
        <v>#DIV/0!</v>
      </c>
      <c r="H47" s="140" t="e">
        <f t="shared" si="2"/>
        <v>#DIV/0!</v>
      </c>
      <c r="I47" s="140" t="e">
        <f t="shared" si="3"/>
        <v>#DIV/0!</v>
      </c>
      <c r="J47">
        <f t="shared" si="4"/>
        <v>0</v>
      </c>
    </row>
    <row r="48" spans="1:10" x14ac:dyDescent="0.3">
      <c r="A48" s="125">
        <f t="shared" si="5"/>
        <v>45147</v>
      </c>
      <c r="B48" s="114">
        <v>19</v>
      </c>
      <c r="C48" s="204">
        <v>1</v>
      </c>
      <c r="D48" s="114">
        <v>0</v>
      </c>
      <c r="E48" s="114"/>
      <c r="F48" s="140">
        <f t="shared" si="6"/>
        <v>0.05</v>
      </c>
      <c r="G48" s="140">
        <f t="shared" si="1"/>
        <v>0.95</v>
      </c>
      <c r="H48" s="140">
        <f t="shared" si="2"/>
        <v>0</v>
      </c>
      <c r="I48" s="140">
        <f t="shared" si="3"/>
        <v>0</v>
      </c>
      <c r="J48">
        <f t="shared" si="4"/>
        <v>20</v>
      </c>
    </row>
    <row r="49" spans="1:10" x14ac:dyDescent="0.3">
      <c r="A49" s="125">
        <f t="shared" si="5"/>
        <v>45148</v>
      </c>
      <c r="B49" s="114">
        <v>34</v>
      </c>
      <c r="C49" s="204">
        <v>1</v>
      </c>
      <c r="D49" s="114">
        <v>1</v>
      </c>
      <c r="E49" s="114"/>
      <c r="F49" s="140">
        <f t="shared" si="6"/>
        <v>2.7777777777777776E-2</v>
      </c>
      <c r="G49" s="140">
        <f t="shared" si="1"/>
        <v>0.94444444444444442</v>
      </c>
      <c r="H49" s="140">
        <f t="shared" si="2"/>
        <v>2.7777777777777776E-2</v>
      </c>
      <c r="I49" s="140">
        <f t="shared" si="3"/>
        <v>0</v>
      </c>
      <c r="J49">
        <f t="shared" si="4"/>
        <v>36</v>
      </c>
    </row>
    <row r="50" spans="1:10" x14ac:dyDescent="0.3">
      <c r="A50" s="125">
        <f t="shared" si="5"/>
        <v>45149</v>
      </c>
      <c r="B50" s="114" t="e">
        <v>#N/A</v>
      </c>
      <c r="C50" s="114" t="e">
        <v>#N/A</v>
      </c>
      <c r="D50" s="114" t="e">
        <v>#N/A</v>
      </c>
      <c r="E50" s="114" t="e">
        <v>#N/A</v>
      </c>
      <c r="F50" s="140" t="e">
        <f t="shared" si="6"/>
        <v>#N/A</v>
      </c>
      <c r="G50" s="140" t="e">
        <f t="shared" si="1"/>
        <v>#N/A</v>
      </c>
      <c r="H50" s="140" t="e">
        <f t="shared" si="2"/>
        <v>#N/A</v>
      </c>
      <c r="I50" s="140" t="e">
        <f t="shared" si="3"/>
        <v>#N/A</v>
      </c>
      <c r="J50" t="e">
        <f t="shared" si="4"/>
        <v>#N/A</v>
      </c>
    </row>
    <row r="51" spans="1:10" x14ac:dyDescent="0.3">
      <c r="A51" s="125">
        <f t="shared" si="5"/>
        <v>45150</v>
      </c>
      <c r="B51" s="114">
        <v>45</v>
      </c>
      <c r="C51" s="204">
        <v>1</v>
      </c>
      <c r="D51" s="55">
        <v>4</v>
      </c>
      <c r="E51" s="115"/>
      <c r="F51" s="140">
        <f t="shared" si="6"/>
        <v>0.02</v>
      </c>
      <c r="G51" s="140">
        <f t="shared" si="1"/>
        <v>0.9</v>
      </c>
      <c r="H51" s="140">
        <f t="shared" si="2"/>
        <v>0.08</v>
      </c>
      <c r="I51" s="140">
        <f t="shared" si="3"/>
        <v>0</v>
      </c>
      <c r="J51">
        <f t="shared" si="4"/>
        <v>50</v>
      </c>
    </row>
    <row r="52" spans="1:10" x14ac:dyDescent="0.3">
      <c r="A52" s="125">
        <f t="shared" si="5"/>
        <v>45151</v>
      </c>
      <c r="B52" s="114">
        <v>49</v>
      </c>
      <c r="C52" s="204">
        <v>2</v>
      </c>
      <c r="D52" s="114">
        <v>11</v>
      </c>
      <c r="E52" s="114"/>
      <c r="F52" s="140">
        <f t="shared" si="6"/>
        <v>3.2258064516129031E-2</v>
      </c>
      <c r="G52" s="140">
        <f t="shared" si="1"/>
        <v>0.79032258064516125</v>
      </c>
      <c r="H52" s="140">
        <f t="shared" si="2"/>
        <v>0.17741935483870969</v>
      </c>
      <c r="I52" s="140">
        <f t="shared" si="3"/>
        <v>0</v>
      </c>
      <c r="J52">
        <f t="shared" si="4"/>
        <v>62</v>
      </c>
    </row>
    <row r="53" spans="1:10" x14ac:dyDescent="0.3">
      <c r="A53" s="125">
        <f t="shared" si="5"/>
        <v>45152</v>
      </c>
      <c r="B53" s="114">
        <v>48</v>
      </c>
      <c r="C53" s="204">
        <v>1</v>
      </c>
      <c r="D53" s="114">
        <v>11</v>
      </c>
      <c r="E53" s="114"/>
      <c r="F53" s="140">
        <f t="shared" si="6"/>
        <v>1.6666666666666666E-2</v>
      </c>
      <c r="G53" s="140">
        <f t="shared" si="1"/>
        <v>0.8</v>
      </c>
      <c r="H53" s="140">
        <f t="shared" si="2"/>
        <v>0.18333333333333332</v>
      </c>
      <c r="I53" s="140">
        <f t="shared" si="3"/>
        <v>0</v>
      </c>
      <c r="J53">
        <f t="shared" si="4"/>
        <v>60</v>
      </c>
    </row>
    <row r="54" spans="1:10" x14ac:dyDescent="0.3">
      <c r="A54" s="125">
        <f t="shared" si="5"/>
        <v>45153</v>
      </c>
      <c r="B54" s="114">
        <v>87</v>
      </c>
      <c r="C54" s="204">
        <v>3</v>
      </c>
      <c r="D54" s="114">
        <v>13</v>
      </c>
      <c r="E54" s="114"/>
      <c r="F54" s="140">
        <f t="shared" si="6"/>
        <v>2.9126213592233011E-2</v>
      </c>
      <c r="G54" s="140">
        <f t="shared" si="1"/>
        <v>0.84466019417475724</v>
      </c>
      <c r="H54" s="140">
        <f t="shared" si="2"/>
        <v>0.12621359223300971</v>
      </c>
      <c r="I54" s="140">
        <f t="shared" si="3"/>
        <v>0</v>
      </c>
      <c r="J54">
        <f t="shared" si="4"/>
        <v>103</v>
      </c>
    </row>
    <row r="55" spans="1:10" x14ac:dyDescent="0.3">
      <c r="A55" s="125">
        <f t="shared" si="5"/>
        <v>45154</v>
      </c>
      <c r="B55" s="114">
        <v>123</v>
      </c>
      <c r="C55" s="204">
        <v>5</v>
      </c>
      <c r="D55" s="114">
        <v>12</v>
      </c>
      <c r="E55" s="114"/>
      <c r="F55" s="140">
        <f t="shared" si="6"/>
        <v>3.5714285714285712E-2</v>
      </c>
      <c r="G55" s="140">
        <f t="shared" si="1"/>
        <v>0.87857142857142856</v>
      </c>
      <c r="H55" s="140">
        <f t="shared" si="2"/>
        <v>8.5714285714285715E-2</v>
      </c>
      <c r="I55" s="140">
        <f t="shared" si="3"/>
        <v>0</v>
      </c>
      <c r="J55">
        <f t="shared" si="4"/>
        <v>140</v>
      </c>
    </row>
    <row r="56" spans="1:10" x14ac:dyDescent="0.3">
      <c r="A56" s="125">
        <f t="shared" si="5"/>
        <v>45155</v>
      </c>
      <c r="B56" s="114">
        <v>174</v>
      </c>
      <c r="C56" s="204">
        <v>1</v>
      </c>
      <c r="D56" s="114">
        <v>5</v>
      </c>
      <c r="E56" s="114"/>
      <c r="F56" s="140">
        <f t="shared" si="6"/>
        <v>5.5555555555555558E-3</v>
      </c>
      <c r="G56" s="140">
        <f t="shared" si="1"/>
        <v>0.96666666666666667</v>
      </c>
      <c r="H56" s="140">
        <f t="shared" si="2"/>
        <v>2.7777777777777776E-2</v>
      </c>
      <c r="I56" s="140">
        <f t="shared" si="3"/>
        <v>0</v>
      </c>
      <c r="J56">
        <f t="shared" si="4"/>
        <v>180</v>
      </c>
    </row>
    <row r="57" spans="1:10" x14ac:dyDescent="0.3">
      <c r="A57" s="125">
        <f t="shared" si="5"/>
        <v>45156</v>
      </c>
      <c r="B57" s="114" t="e">
        <v>#N/A</v>
      </c>
      <c r="C57" s="114" t="e">
        <v>#N/A</v>
      </c>
      <c r="D57" s="114" t="e">
        <v>#N/A</v>
      </c>
      <c r="E57" s="114" t="e">
        <v>#N/A</v>
      </c>
      <c r="F57" s="140" t="e">
        <f t="shared" si="6"/>
        <v>#N/A</v>
      </c>
      <c r="G57" s="140" t="e">
        <f t="shared" si="1"/>
        <v>#N/A</v>
      </c>
      <c r="H57" s="140" t="e">
        <f t="shared" si="2"/>
        <v>#N/A</v>
      </c>
      <c r="I57" s="140" t="e">
        <f t="shared" si="3"/>
        <v>#N/A</v>
      </c>
      <c r="J57" t="e">
        <f t="shared" si="4"/>
        <v>#N/A</v>
      </c>
    </row>
    <row r="58" spans="1:10" x14ac:dyDescent="0.3">
      <c r="A58" s="125">
        <f t="shared" si="5"/>
        <v>45157</v>
      </c>
      <c r="B58" s="114" t="e">
        <v>#N/A</v>
      </c>
      <c r="C58" s="114" t="e">
        <v>#N/A</v>
      </c>
      <c r="D58" s="114" t="e">
        <v>#N/A</v>
      </c>
      <c r="E58" s="114" t="e">
        <v>#N/A</v>
      </c>
      <c r="F58" s="140" t="e">
        <f t="shared" si="6"/>
        <v>#N/A</v>
      </c>
      <c r="G58" s="140" t="e">
        <f t="shared" si="1"/>
        <v>#N/A</v>
      </c>
      <c r="H58" s="140" t="e">
        <f t="shared" si="2"/>
        <v>#N/A</v>
      </c>
      <c r="I58" s="140" t="e">
        <f t="shared" si="3"/>
        <v>#N/A</v>
      </c>
      <c r="J58" t="e">
        <f t="shared" si="4"/>
        <v>#N/A</v>
      </c>
    </row>
    <row r="59" spans="1:10" x14ac:dyDescent="0.3">
      <c r="A59" s="125">
        <f t="shared" si="5"/>
        <v>45158</v>
      </c>
      <c r="B59" s="114">
        <v>94</v>
      </c>
      <c r="C59" s="204">
        <v>18</v>
      </c>
      <c r="D59" s="114">
        <v>17</v>
      </c>
      <c r="E59" s="114"/>
      <c r="F59" s="140">
        <f t="shared" si="6"/>
        <v>0.13953488372093023</v>
      </c>
      <c r="G59" s="140">
        <f t="shared" si="1"/>
        <v>0.72868217054263562</v>
      </c>
      <c r="H59" s="140">
        <f t="shared" si="2"/>
        <v>0.13178294573643412</v>
      </c>
      <c r="I59" s="140">
        <f t="shared" si="3"/>
        <v>0</v>
      </c>
      <c r="J59">
        <f t="shared" si="4"/>
        <v>129</v>
      </c>
    </row>
    <row r="60" spans="1:10" x14ac:dyDescent="0.3">
      <c r="A60" s="125">
        <f t="shared" si="5"/>
        <v>45159</v>
      </c>
      <c r="B60" s="114">
        <v>66</v>
      </c>
      <c r="C60" s="204">
        <v>65</v>
      </c>
      <c r="D60" s="55">
        <v>36</v>
      </c>
      <c r="E60" s="115"/>
      <c r="F60" s="140">
        <f t="shared" si="6"/>
        <v>0.38922155688622756</v>
      </c>
      <c r="G60" s="140">
        <f t="shared" si="1"/>
        <v>0.39520958083832336</v>
      </c>
      <c r="H60" s="140">
        <f t="shared" si="2"/>
        <v>0.21556886227544911</v>
      </c>
      <c r="I60" s="140">
        <f t="shared" si="3"/>
        <v>0</v>
      </c>
      <c r="J60">
        <f t="shared" si="4"/>
        <v>167</v>
      </c>
    </row>
    <row r="61" spans="1:10" x14ac:dyDescent="0.3">
      <c r="A61" s="125">
        <f t="shared" si="5"/>
        <v>45160</v>
      </c>
      <c r="B61" s="114">
        <v>53</v>
      </c>
      <c r="C61" s="204">
        <v>165</v>
      </c>
      <c r="D61" s="114">
        <v>41</v>
      </c>
      <c r="E61" s="114"/>
      <c r="F61" s="140">
        <f t="shared" si="6"/>
        <v>0.63706563706563701</v>
      </c>
      <c r="G61" s="140">
        <f t="shared" si="1"/>
        <v>0.20463320463320464</v>
      </c>
      <c r="H61" s="140">
        <f t="shared" si="2"/>
        <v>0.15830115830115829</v>
      </c>
      <c r="I61" s="140">
        <f t="shared" si="3"/>
        <v>0</v>
      </c>
      <c r="J61">
        <f t="shared" si="4"/>
        <v>259</v>
      </c>
    </row>
    <row r="62" spans="1:10" x14ac:dyDescent="0.3">
      <c r="A62" s="125">
        <f t="shared" si="5"/>
        <v>45161</v>
      </c>
      <c r="B62" s="114">
        <v>1</v>
      </c>
      <c r="C62" s="204">
        <v>66</v>
      </c>
      <c r="D62" s="114">
        <v>5</v>
      </c>
      <c r="E62" s="114"/>
      <c r="F62" s="140">
        <f t="shared" si="6"/>
        <v>0.91666666666666663</v>
      </c>
      <c r="G62" s="140">
        <f t="shared" si="1"/>
        <v>1.3888888888888888E-2</v>
      </c>
      <c r="H62" s="140">
        <f t="shared" si="2"/>
        <v>6.9444444444444448E-2</v>
      </c>
      <c r="I62" s="140">
        <f t="shared" si="3"/>
        <v>0</v>
      </c>
      <c r="J62">
        <f t="shared" si="4"/>
        <v>72</v>
      </c>
    </row>
    <row r="63" spans="1:10" x14ac:dyDescent="0.3">
      <c r="A63" s="125">
        <f t="shared" si="5"/>
        <v>45162</v>
      </c>
      <c r="B63" s="114"/>
      <c r="C63" s="186"/>
      <c r="D63" s="114"/>
      <c r="E63" s="114"/>
      <c r="F63" s="140" t="e">
        <f t="shared" si="6"/>
        <v>#DIV/0!</v>
      </c>
      <c r="G63" s="140" t="e">
        <f t="shared" si="1"/>
        <v>#DIV/0!</v>
      </c>
      <c r="H63" s="140" t="e">
        <f t="shared" si="2"/>
        <v>#DIV/0!</v>
      </c>
      <c r="I63" s="140" t="e">
        <f t="shared" si="3"/>
        <v>#DIV/0!</v>
      </c>
      <c r="J63">
        <f t="shared" si="4"/>
        <v>0</v>
      </c>
    </row>
    <row r="64" spans="1:10" x14ac:dyDescent="0.3">
      <c r="A64" s="125">
        <f t="shared" si="5"/>
        <v>45163</v>
      </c>
      <c r="B64" s="114"/>
      <c r="C64" s="186"/>
      <c r="D64" s="55"/>
      <c r="E64" s="115"/>
      <c r="F64" s="140" t="e">
        <f t="shared" si="6"/>
        <v>#DIV/0!</v>
      </c>
      <c r="G64" s="140" t="e">
        <f t="shared" si="1"/>
        <v>#DIV/0!</v>
      </c>
      <c r="H64" s="140" t="e">
        <f t="shared" si="2"/>
        <v>#DIV/0!</v>
      </c>
      <c r="I64" s="140" t="e">
        <f t="shared" si="3"/>
        <v>#DIV/0!</v>
      </c>
      <c r="J64">
        <f t="shared" si="4"/>
        <v>0</v>
      </c>
    </row>
    <row r="65" spans="1:10" x14ac:dyDescent="0.3">
      <c r="A65" s="125">
        <f t="shared" si="5"/>
        <v>45164</v>
      </c>
      <c r="B65" s="114"/>
      <c r="C65" s="186"/>
      <c r="D65" s="55"/>
      <c r="E65" s="115"/>
      <c r="F65" s="140" t="e">
        <f t="shared" si="6"/>
        <v>#DIV/0!</v>
      </c>
      <c r="G65" s="140" t="e">
        <f t="shared" si="1"/>
        <v>#DIV/0!</v>
      </c>
      <c r="H65" s="140" t="e">
        <f t="shared" si="2"/>
        <v>#DIV/0!</v>
      </c>
      <c r="I65" s="140" t="e">
        <f t="shared" si="3"/>
        <v>#DIV/0!</v>
      </c>
      <c r="J65">
        <f t="shared" si="4"/>
        <v>0</v>
      </c>
    </row>
    <row r="66" spans="1:10" x14ac:dyDescent="0.3">
      <c r="A66" s="125">
        <f t="shared" si="5"/>
        <v>45165</v>
      </c>
      <c r="B66" s="114"/>
      <c r="C66" s="186"/>
      <c r="D66" s="55"/>
      <c r="E66" s="115"/>
      <c r="F66" s="140" t="e">
        <f t="shared" si="6"/>
        <v>#DIV/0!</v>
      </c>
      <c r="G66" s="140" t="e">
        <f t="shared" si="1"/>
        <v>#DIV/0!</v>
      </c>
      <c r="H66" s="140" t="e">
        <f t="shared" si="2"/>
        <v>#DIV/0!</v>
      </c>
      <c r="I66" s="140" t="e">
        <f t="shared" si="3"/>
        <v>#DIV/0!</v>
      </c>
      <c r="J66">
        <f t="shared" si="4"/>
        <v>0</v>
      </c>
    </row>
    <row r="67" spans="1:10" x14ac:dyDescent="0.3">
      <c r="A67" s="125">
        <f t="shared" si="5"/>
        <v>45166</v>
      </c>
      <c r="B67" s="114"/>
      <c r="C67" s="186"/>
      <c r="D67" s="55"/>
      <c r="E67" s="115"/>
      <c r="F67" s="140" t="e">
        <f t="shared" si="6"/>
        <v>#DIV/0!</v>
      </c>
      <c r="G67" s="140" t="e">
        <f t="shared" si="1"/>
        <v>#DIV/0!</v>
      </c>
      <c r="H67" s="140" t="e">
        <f t="shared" si="2"/>
        <v>#DIV/0!</v>
      </c>
      <c r="I67" s="140" t="e">
        <f t="shared" si="3"/>
        <v>#DIV/0!</v>
      </c>
      <c r="J67">
        <f t="shared" si="4"/>
        <v>0</v>
      </c>
    </row>
    <row r="68" spans="1:10" x14ac:dyDescent="0.3">
      <c r="A68" s="125">
        <f t="shared" si="5"/>
        <v>45167</v>
      </c>
      <c r="B68" s="114"/>
      <c r="C68" s="186"/>
      <c r="D68" s="55"/>
      <c r="E68" s="115"/>
      <c r="F68" s="140" t="e">
        <f t="shared" si="6"/>
        <v>#DIV/0!</v>
      </c>
      <c r="G68" s="140" t="e">
        <f t="shared" ref="G68:G95" si="7">B68/(B68+C68+D68+E68)</f>
        <v>#DIV/0!</v>
      </c>
      <c r="H68" s="140" t="e">
        <f t="shared" ref="H68:H95" si="8">D68/(B68+C68+D68+E68)</f>
        <v>#DIV/0!</v>
      </c>
      <c r="I68" s="140" t="e">
        <f t="shared" ref="I68:I95" si="9">E68/(B68+C68+D68+E68)</f>
        <v>#DIV/0!</v>
      </c>
      <c r="J68">
        <f t="shared" ref="J68:J95" si="10">SUM(B68:E68)</f>
        <v>0</v>
      </c>
    </row>
    <row r="69" spans="1:10" x14ac:dyDescent="0.3">
      <c r="A69" s="125">
        <f t="shared" ref="A69:A95" si="11">$A68+1</f>
        <v>45168</v>
      </c>
      <c r="B69" s="114"/>
      <c r="C69" s="186"/>
      <c r="D69" s="55"/>
      <c r="E69" s="115"/>
      <c r="F69" s="140" t="e">
        <f t="shared" si="6"/>
        <v>#DIV/0!</v>
      </c>
      <c r="G69" s="140" t="e">
        <f t="shared" si="7"/>
        <v>#DIV/0!</v>
      </c>
      <c r="H69" s="140" t="e">
        <f t="shared" si="8"/>
        <v>#DIV/0!</v>
      </c>
      <c r="I69" s="140" t="e">
        <f t="shared" si="9"/>
        <v>#DIV/0!</v>
      </c>
      <c r="J69">
        <f t="shared" si="10"/>
        <v>0</v>
      </c>
    </row>
    <row r="70" spans="1:10" x14ac:dyDescent="0.3">
      <c r="A70" s="125">
        <f t="shared" si="11"/>
        <v>45169</v>
      </c>
      <c r="B70" s="114"/>
      <c r="C70" s="186"/>
      <c r="D70" s="55"/>
      <c r="E70" s="115"/>
      <c r="F70" s="140" t="e">
        <f t="shared" si="6"/>
        <v>#DIV/0!</v>
      </c>
      <c r="G70" s="140" t="e">
        <f t="shared" si="7"/>
        <v>#DIV/0!</v>
      </c>
      <c r="H70" s="140" t="e">
        <f t="shared" si="8"/>
        <v>#DIV/0!</v>
      </c>
      <c r="I70" s="140" t="e">
        <f t="shared" si="9"/>
        <v>#DIV/0!</v>
      </c>
      <c r="J70">
        <f t="shared" si="10"/>
        <v>0</v>
      </c>
    </row>
    <row r="71" spans="1:10" x14ac:dyDescent="0.3">
      <c r="A71" s="125">
        <f t="shared" si="11"/>
        <v>45170</v>
      </c>
      <c r="B71" s="114"/>
      <c r="C71" s="186"/>
      <c r="D71" s="55"/>
      <c r="E71" s="115"/>
      <c r="F71" s="140" t="e">
        <f t="shared" si="6"/>
        <v>#DIV/0!</v>
      </c>
      <c r="G71" s="140" t="e">
        <f t="shared" si="7"/>
        <v>#DIV/0!</v>
      </c>
      <c r="H71" s="140" t="e">
        <f t="shared" si="8"/>
        <v>#DIV/0!</v>
      </c>
      <c r="I71" s="140" t="e">
        <f t="shared" si="9"/>
        <v>#DIV/0!</v>
      </c>
      <c r="J71">
        <f t="shared" si="10"/>
        <v>0</v>
      </c>
    </row>
    <row r="72" spans="1:10" x14ac:dyDescent="0.3">
      <c r="A72" s="125">
        <f t="shared" si="11"/>
        <v>45171</v>
      </c>
      <c r="B72" s="114"/>
      <c r="C72" s="186"/>
      <c r="D72" s="55"/>
      <c r="E72" s="115"/>
      <c r="F72" s="140" t="e">
        <f t="shared" si="6"/>
        <v>#DIV/0!</v>
      </c>
      <c r="G72" s="140" t="e">
        <f t="shared" si="7"/>
        <v>#DIV/0!</v>
      </c>
      <c r="H72" s="140" t="e">
        <f t="shared" si="8"/>
        <v>#DIV/0!</v>
      </c>
      <c r="I72" s="140" t="e">
        <f t="shared" si="9"/>
        <v>#DIV/0!</v>
      </c>
      <c r="J72">
        <f t="shared" si="10"/>
        <v>0</v>
      </c>
    </row>
    <row r="73" spans="1:10" x14ac:dyDescent="0.3">
      <c r="A73" s="125">
        <f t="shared" si="11"/>
        <v>45172</v>
      </c>
      <c r="B73" s="114"/>
      <c r="C73" s="186"/>
      <c r="D73" s="55"/>
      <c r="E73" s="115"/>
      <c r="F73" s="140" t="e">
        <f t="shared" si="6"/>
        <v>#DIV/0!</v>
      </c>
      <c r="G73" s="140" t="e">
        <f t="shared" si="7"/>
        <v>#DIV/0!</v>
      </c>
      <c r="H73" s="140" t="e">
        <f t="shared" si="8"/>
        <v>#DIV/0!</v>
      </c>
      <c r="I73" s="140" t="e">
        <f t="shared" si="9"/>
        <v>#DIV/0!</v>
      </c>
      <c r="J73">
        <f t="shared" si="10"/>
        <v>0</v>
      </c>
    </row>
    <row r="74" spans="1:10" x14ac:dyDescent="0.3">
      <c r="A74" s="125">
        <f t="shared" si="11"/>
        <v>45173</v>
      </c>
      <c r="B74" s="114"/>
      <c r="C74" s="186"/>
      <c r="D74" s="55"/>
      <c r="E74" s="115"/>
      <c r="F74" s="140" t="e">
        <f t="shared" si="6"/>
        <v>#DIV/0!</v>
      </c>
      <c r="G74" s="140" t="e">
        <f t="shared" si="7"/>
        <v>#DIV/0!</v>
      </c>
      <c r="H74" s="140" t="e">
        <f t="shared" si="8"/>
        <v>#DIV/0!</v>
      </c>
      <c r="I74" s="140" t="e">
        <f t="shared" si="9"/>
        <v>#DIV/0!</v>
      </c>
      <c r="J74">
        <f t="shared" si="10"/>
        <v>0</v>
      </c>
    </row>
    <row r="75" spans="1:10" x14ac:dyDescent="0.3">
      <c r="A75" s="125">
        <f t="shared" si="11"/>
        <v>45174</v>
      </c>
      <c r="B75" s="114"/>
      <c r="C75" s="186"/>
      <c r="D75" s="55"/>
      <c r="E75" s="115"/>
      <c r="F75" s="140" t="e">
        <f t="shared" si="6"/>
        <v>#DIV/0!</v>
      </c>
      <c r="G75" s="140" t="e">
        <f t="shared" si="7"/>
        <v>#DIV/0!</v>
      </c>
      <c r="H75" s="140" t="e">
        <f t="shared" si="8"/>
        <v>#DIV/0!</v>
      </c>
      <c r="I75" s="140" t="e">
        <f t="shared" si="9"/>
        <v>#DIV/0!</v>
      </c>
      <c r="J75">
        <f t="shared" si="10"/>
        <v>0</v>
      </c>
    </row>
    <row r="76" spans="1:10" x14ac:dyDescent="0.3">
      <c r="A76" s="125">
        <f t="shared" si="11"/>
        <v>45175</v>
      </c>
      <c r="B76" s="114"/>
      <c r="C76" s="186"/>
      <c r="D76" s="55"/>
      <c r="E76" s="115"/>
      <c r="F76" s="140" t="e">
        <f t="shared" si="6"/>
        <v>#DIV/0!</v>
      </c>
      <c r="G76" s="140" t="e">
        <f t="shared" si="7"/>
        <v>#DIV/0!</v>
      </c>
      <c r="H76" s="140" t="e">
        <f t="shared" si="8"/>
        <v>#DIV/0!</v>
      </c>
      <c r="I76" s="140" t="e">
        <f t="shared" si="9"/>
        <v>#DIV/0!</v>
      </c>
      <c r="J76">
        <f t="shared" si="10"/>
        <v>0</v>
      </c>
    </row>
    <row r="77" spans="1:10" x14ac:dyDescent="0.3">
      <c r="A77" s="125">
        <f t="shared" si="11"/>
        <v>45176</v>
      </c>
      <c r="B77" s="114"/>
      <c r="C77" s="186"/>
      <c r="D77" s="55"/>
      <c r="E77" s="115"/>
      <c r="F77" s="140" t="e">
        <f t="shared" si="6"/>
        <v>#DIV/0!</v>
      </c>
      <c r="G77" s="140" t="e">
        <f t="shared" si="7"/>
        <v>#DIV/0!</v>
      </c>
      <c r="H77" s="140" t="e">
        <f t="shared" si="8"/>
        <v>#DIV/0!</v>
      </c>
      <c r="I77" s="140" t="e">
        <f t="shared" si="9"/>
        <v>#DIV/0!</v>
      </c>
      <c r="J77">
        <f t="shared" si="10"/>
        <v>0</v>
      </c>
    </row>
    <row r="78" spans="1:10" x14ac:dyDescent="0.3">
      <c r="A78" s="125">
        <f t="shared" si="11"/>
        <v>45177</v>
      </c>
      <c r="B78" s="114"/>
      <c r="C78" s="186"/>
      <c r="D78" s="55"/>
      <c r="E78" s="115"/>
      <c r="F78" s="140" t="e">
        <f t="shared" si="6"/>
        <v>#DIV/0!</v>
      </c>
      <c r="G78" s="140" t="e">
        <f t="shared" si="7"/>
        <v>#DIV/0!</v>
      </c>
      <c r="H78" s="140" t="e">
        <f t="shared" si="8"/>
        <v>#DIV/0!</v>
      </c>
      <c r="I78" s="140" t="e">
        <f t="shared" si="9"/>
        <v>#DIV/0!</v>
      </c>
      <c r="J78">
        <f t="shared" si="10"/>
        <v>0</v>
      </c>
    </row>
    <row r="79" spans="1:10" x14ac:dyDescent="0.3">
      <c r="A79" s="125">
        <f t="shared" si="11"/>
        <v>45178</v>
      </c>
      <c r="B79" s="114"/>
      <c r="C79" s="186"/>
      <c r="D79" s="55"/>
      <c r="E79" s="115"/>
      <c r="F79" s="140" t="e">
        <f t="shared" si="6"/>
        <v>#DIV/0!</v>
      </c>
      <c r="G79" s="140" t="e">
        <f t="shared" si="7"/>
        <v>#DIV/0!</v>
      </c>
      <c r="H79" s="140" t="e">
        <f t="shared" si="8"/>
        <v>#DIV/0!</v>
      </c>
      <c r="I79" s="140" t="e">
        <f t="shared" si="9"/>
        <v>#DIV/0!</v>
      </c>
      <c r="J79">
        <f t="shared" si="10"/>
        <v>0</v>
      </c>
    </row>
    <row r="80" spans="1:10" x14ac:dyDescent="0.3">
      <c r="A80" s="125">
        <f t="shared" si="11"/>
        <v>45179</v>
      </c>
      <c r="B80" s="114"/>
      <c r="C80" s="186"/>
      <c r="D80" s="55"/>
      <c r="E80" s="115"/>
      <c r="F80" s="140" t="e">
        <f t="shared" ref="F80:F94" si="12">C80/(B80+C80+D80+E80)</f>
        <v>#DIV/0!</v>
      </c>
      <c r="G80" s="140" t="e">
        <f t="shared" si="7"/>
        <v>#DIV/0!</v>
      </c>
      <c r="H80" s="140" t="e">
        <f t="shared" si="8"/>
        <v>#DIV/0!</v>
      </c>
      <c r="I80" s="140" t="e">
        <f t="shared" si="9"/>
        <v>#DIV/0!</v>
      </c>
      <c r="J80">
        <f t="shared" si="10"/>
        <v>0</v>
      </c>
    </row>
    <row r="81" spans="1:10" x14ac:dyDescent="0.3">
      <c r="A81" s="125">
        <f t="shared" si="11"/>
        <v>45180</v>
      </c>
      <c r="B81" s="114"/>
      <c r="C81" s="186"/>
      <c r="D81" s="55"/>
      <c r="E81" s="115"/>
      <c r="F81" s="140" t="e">
        <f t="shared" si="12"/>
        <v>#DIV/0!</v>
      </c>
      <c r="G81" s="140" t="e">
        <f t="shared" si="7"/>
        <v>#DIV/0!</v>
      </c>
      <c r="H81" s="140" t="e">
        <f t="shared" si="8"/>
        <v>#DIV/0!</v>
      </c>
      <c r="I81" s="140" t="e">
        <f t="shared" si="9"/>
        <v>#DIV/0!</v>
      </c>
      <c r="J81">
        <f t="shared" si="10"/>
        <v>0</v>
      </c>
    </row>
    <row r="82" spans="1:10" x14ac:dyDescent="0.3">
      <c r="A82" s="125">
        <f t="shared" si="11"/>
        <v>45181</v>
      </c>
      <c r="B82" s="114"/>
      <c r="C82" s="186"/>
      <c r="D82" s="55"/>
      <c r="E82" s="115"/>
      <c r="F82" s="140" t="e">
        <f t="shared" si="12"/>
        <v>#DIV/0!</v>
      </c>
      <c r="G82" s="140" t="e">
        <f t="shared" si="7"/>
        <v>#DIV/0!</v>
      </c>
      <c r="H82" s="140" t="e">
        <f t="shared" si="8"/>
        <v>#DIV/0!</v>
      </c>
      <c r="I82" s="140" t="e">
        <f t="shared" si="9"/>
        <v>#DIV/0!</v>
      </c>
      <c r="J82">
        <f t="shared" si="10"/>
        <v>0</v>
      </c>
    </row>
    <row r="83" spans="1:10" x14ac:dyDescent="0.3">
      <c r="A83" s="125">
        <f t="shared" si="11"/>
        <v>45182</v>
      </c>
      <c r="B83" s="114"/>
      <c r="C83" s="186"/>
      <c r="D83" s="55"/>
      <c r="E83" s="115"/>
      <c r="F83" s="140" t="e">
        <f t="shared" si="12"/>
        <v>#DIV/0!</v>
      </c>
      <c r="G83" s="140" t="e">
        <f t="shared" si="7"/>
        <v>#DIV/0!</v>
      </c>
      <c r="H83" s="140" t="e">
        <f t="shared" si="8"/>
        <v>#DIV/0!</v>
      </c>
      <c r="I83" s="140" t="e">
        <f t="shared" si="9"/>
        <v>#DIV/0!</v>
      </c>
      <c r="J83">
        <f t="shared" si="10"/>
        <v>0</v>
      </c>
    </row>
    <row r="84" spans="1:10" x14ac:dyDescent="0.3">
      <c r="A84" s="125">
        <f t="shared" si="11"/>
        <v>45183</v>
      </c>
      <c r="B84" s="114"/>
      <c r="C84" s="186"/>
      <c r="D84" s="55"/>
      <c r="E84" s="115"/>
      <c r="F84" s="140" t="e">
        <f t="shared" si="12"/>
        <v>#DIV/0!</v>
      </c>
      <c r="G84" s="140" t="e">
        <f t="shared" si="7"/>
        <v>#DIV/0!</v>
      </c>
      <c r="H84" s="140" t="e">
        <f t="shared" si="8"/>
        <v>#DIV/0!</v>
      </c>
      <c r="I84" s="140" t="e">
        <f t="shared" si="9"/>
        <v>#DIV/0!</v>
      </c>
      <c r="J84">
        <f t="shared" si="10"/>
        <v>0</v>
      </c>
    </row>
    <row r="85" spans="1:10" x14ac:dyDescent="0.3">
      <c r="A85" s="125">
        <f t="shared" si="11"/>
        <v>45184</v>
      </c>
      <c r="B85" s="114"/>
      <c r="C85" s="186"/>
      <c r="D85" s="55"/>
      <c r="E85" s="115"/>
      <c r="F85" s="140" t="e">
        <f t="shared" si="12"/>
        <v>#DIV/0!</v>
      </c>
      <c r="G85" s="140" t="e">
        <f t="shared" si="7"/>
        <v>#DIV/0!</v>
      </c>
      <c r="H85" s="140" t="e">
        <f t="shared" si="8"/>
        <v>#DIV/0!</v>
      </c>
      <c r="I85" s="140" t="e">
        <f t="shared" si="9"/>
        <v>#DIV/0!</v>
      </c>
      <c r="J85">
        <f t="shared" si="10"/>
        <v>0</v>
      </c>
    </row>
    <row r="86" spans="1:10" x14ac:dyDescent="0.3">
      <c r="A86" s="125">
        <f t="shared" si="11"/>
        <v>45185</v>
      </c>
      <c r="B86" s="114"/>
      <c r="C86" s="186"/>
      <c r="D86" s="55"/>
      <c r="E86" s="115"/>
      <c r="F86" s="140" t="e">
        <f t="shared" si="12"/>
        <v>#DIV/0!</v>
      </c>
      <c r="G86" s="140" t="e">
        <f t="shared" si="7"/>
        <v>#DIV/0!</v>
      </c>
      <c r="H86" s="140" t="e">
        <f t="shared" si="8"/>
        <v>#DIV/0!</v>
      </c>
      <c r="I86" s="140" t="e">
        <f t="shared" si="9"/>
        <v>#DIV/0!</v>
      </c>
      <c r="J86">
        <f t="shared" si="10"/>
        <v>0</v>
      </c>
    </row>
    <row r="87" spans="1:10" x14ac:dyDescent="0.3">
      <c r="A87" s="125">
        <f t="shared" si="11"/>
        <v>45186</v>
      </c>
      <c r="B87" s="114"/>
      <c r="C87" s="186"/>
      <c r="D87" s="55"/>
      <c r="E87" s="115"/>
      <c r="F87" s="140" t="e">
        <f t="shared" si="12"/>
        <v>#DIV/0!</v>
      </c>
      <c r="G87" s="140" t="e">
        <f t="shared" si="7"/>
        <v>#DIV/0!</v>
      </c>
      <c r="H87" s="140" t="e">
        <f t="shared" si="8"/>
        <v>#DIV/0!</v>
      </c>
      <c r="I87" s="140" t="e">
        <f t="shared" si="9"/>
        <v>#DIV/0!</v>
      </c>
      <c r="J87">
        <f t="shared" si="10"/>
        <v>0</v>
      </c>
    </row>
    <row r="88" spans="1:10" x14ac:dyDescent="0.3">
      <c r="A88" s="125">
        <f t="shared" si="11"/>
        <v>45187</v>
      </c>
      <c r="B88" s="114"/>
      <c r="C88" s="186"/>
      <c r="D88" s="55"/>
      <c r="E88" s="115"/>
      <c r="F88" s="140" t="e">
        <f t="shared" si="12"/>
        <v>#DIV/0!</v>
      </c>
      <c r="G88" s="140" t="e">
        <f t="shared" si="7"/>
        <v>#DIV/0!</v>
      </c>
      <c r="H88" s="140" t="e">
        <f t="shared" si="8"/>
        <v>#DIV/0!</v>
      </c>
      <c r="I88" s="140" t="e">
        <f t="shared" si="9"/>
        <v>#DIV/0!</v>
      </c>
      <c r="J88">
        <f t="shared" si="10"/>
        <v>0</v>
      </c>
    </row>
    <row r="89" spans="1:10" x14ac:dyDescent="0.3">
      <c r="A89" s="125">
        <f t="shared" si="11"/>
        <v>45188</v>
      </c>
      <c r="B89" s="114"/>
      <c r="C89" s="186"/>
      <c r="D89" s="55"/>
      <c r="E89" s="115"/>
      <c r="F89" s="140" t="e">
        <f t="shared" si="12"/>
        <v>#DIV/0!</v>
      </c>
      <c r="G89" s="140" t="e">
        <f t="shared" si="7"/>
        <v>#DIV/0!</v>
      </c>
      <c r="H89" s="140" t="e">
        <f t="shared" si="8"/>
        <v>#DIV/0!</v>
      </c>
      <c r="I89" s="140" t="e">
        <f t="shared" si="9"/>
        <v>#DIV/0!</v>
      </c>
      <c r="J89">
        <f t="shared" si="10"/>
        <v>0</v>
      </c>
    </row>
    <row r="90" spans="1:10" x14ac:dyDescent="0.3">
      <c r="A90" s="125">
        <f t="shared" si="11"/>
        <v>45189</v>
      </c>
      <c r="B90" s="114"/>
      <c r="C90" s="186"/>
      <c r="D90" s="55"/>
      <c r="E90" s="115"/>
      <c r="F90" s="140" t="e">
        <f t="shared" si="12"/>
        <v>#DIV/0!</v>
      </c>
      <c r="G90" s="140" t="e">
        <f t="shared" si="7"/>
        <v>#DIV/0!</v>
      </c>
      <c r="H90" s="140" t="e">
        <f t="shared" si="8"/>
        <v>#DIV/0!</v>
      </c>
      <c r="I90" s="140" t="e">
        <f t="shared" si="9"/>
        <v>#DIV/0!</v>
      </c>
      <c r="J90">
        <f t="shared" si="10"/>
        <v>0</v>
      </c>
    </row>
    <row r="91" spans="1:10" x14ac:dyDescent="0.3">
      <c r="A91" s="125">
        <f t="shared" si="11"/>
        <v>45190</v>
      </c>
      <c r="B91" s="114"/>
      <c r="C91" s="186"/>
      <c r="D91" s="55"/>
      <c r="E91" s="115"/>
      <c r="F91" s="140" t="e">
        <f t="shared" si="12"/>
        <v>#DIV/0!</v>
      </c>
      <c r="G91" s="140" t="e">
        <f t="shared" si="7"/>
        <v>#DIV/0!</v>
      </c>
      <c r="H91" s="140" t="e">
        <f t="shared" si="8"/>
        <v>#DIV/0!</v>
      </c>
      <c r="I91" s="140" t="e">
        <f t="shared" si="9"/>
        <v>#DIV/0!</v>
      </c>
      <c r="J91">
        <f t="shared" si="10"/>
        <v>0</v>
      </c>
    </row>
    <row r="92" spans="1:10" x14ac:dyDescent="0.3">
      <c r="A92" s="125">
        <f t="shared" si="11"/>
        <v>45191</v>
      </c>
      <c r="B92" s="114"/>
      <c r="C92" s="186"/>
      <c r="D92" s="55"/>
      <c r="E92" s="115"/>
      <c r="F92" s="140" t="e">
        <f t="shared" si="12"/>
        <v>#DIV/0!</v>
      </c>
      <c r="G92" s="140" t="e">
        <f t="shared" si="7"/>
        <v>#DIV/0!</v>
      </c>
      <c r="H92" s="140" t="e">
        <f t="shared" si="8"/>
        <v>#DIV/0!</v>
      </c>
      <c r="I92" s="140" t="e">
        <f t="shared" si="9"/>
        <v>#DIV/0!</v>
      </c>
      <c r="J92">
        <f t="shared" si="10"/>
        <v>0</v>
      </c>
    </row>
    <row r="93" spans="1:10" x14ac:dyDescent="0.3">
      <c r="A93" s="125">
        <f t="shared" si="11"/>
        <v>45192</v>
      </c>
      <c r="B93" s="114"/>
      <c r="C93" s="186"/>
      <c r="D93" s="55"/>
      <c r="E93" s="115"/>
      <c r="F93" s="140" t="e">
        <f t="shared" si="12"/>
        <v>#DIV/0!</v>
      </c>
      <c r="G93" s="140" t="e">
        <f t="shared" si="7"/>
        <v>#DIV/0!</v>
      </c>
      <c r="H93" s="140" t="e">
        <f t="shared" si="8"/>
        <v>#DIV/0!</v>
      </c>
      <c r="I93" s="140" t="e">
        <f t="shared" si="9"/>
        <v>#DIV/0!</v>
      </c>
      <c r="J93">
        <f t="shared" si="10"/>
        <v>0</v>
      </c>
    </row>
    <row r="94" spans="1:10" x14ac:dyDescent="0.3">
      <c r="A94" s="125">
        <f t="shared" si="11"/>
        <v>45193</v>
      </c>
      <c r="B94" s="114"/>
      <c r="C94" s="186"/>
      <c r="D94" s="55"/>
      <c r="E94" s="115"/>
      <c r="F94" s="140" t="e">
        <f t="shared" si="12"/>
        <v>#DIV/0!</v>
      </c>
      <c r="G94" s="140" t="e">
        <f t="shared" si="7"/>
        <v>#DIV/0!</v>
      </c>
      <c r="H94" s="140" t="e">
        <f t="shared" si="8"/>
        <v>#DIV/0!</v>
      </c>
      <c r="I94" s="140" t="e">
        <f t="shared" si="9"/>
        <v>#DIV/0!</v>
      </c>
      <c r="J94">
        <f t="shared" si="10"/>
        <v>0</v>
      </c>
    </row>
    <row r="95" spans="1:10" ht="15" thickBot="1" x14ac:dyDescent="0.35">
      <c r="A95" s="126">
        <f t="shared" si="11"/>
        <v>45194</v>
      </c>
      <c r="B95" s="116"/>
      <c r="C95" s="188"/>
      <c r="D95" s="58"/>
      <c r="E95" s="117"/>
      <c r="F95" s="141" t="e">
        <f>C95/(B95+C95+D95+E95)</f>
        <v>#DIV/0!</v>
      </c>
      <c r="G95" s="141" t="e">
        <f t="shared" si="7"/>
        <v>#DIV/0!</v>
      </c>
      <c r="H95" s="141" t="e">
        <f t="shared" si="8"/>
        <v>#DIV/0!</v>
      </c>
      <c r="I95" s="141" t="e">
        <f t="shared" si="9"/>
        <v>#DIV/0!</v>
      </c>
      <c r="J95" s="189">
        <f t="shared" si="10"/>
        <v>0</v>
      </c>
    </row>
  </sheetData>
  <mergeCells count="7">
    <mergeCell ref="I1:I2"/>
    <mergeCell ref="J1:J2"/>
    <mergeCell ref="B1:E1"/>
    <mergeCell ref="F1:F2"/>
    <mergeCell ref="A1:A2"/>
    <mergeCell ref="G1:G2"/>
    <mergeCell ref="H1:H2"/>
  </mergeCells>
  <conditionalFormatting sqref="F3:I95">
    <cfRule type="expression" dxfId="27" priority="1">
      <formula>ISNA(F3)</formula>
    </cfRule>
    <cfRule type="expression" dxfId="26" priority="2">
      <formula>ISNA(F3)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17D9-E9F5-4F4E-AA88-40CEA2F073B6}">
  <sheetPr>
    <tabColor theme="1"/>
  </sheetPr>
  <dimension ref="A1:Y95"/>
  <sheetViews>
    <sheetView topLeftCell="A47" workbookViewId="0">
      <selection activeCell="O60" sqref="O60"/>
    </sheetView>
  </sheetViews>
  <sheetFormatPr defaultRowHeight="14.4" x14ac:dyDescent="0.3"/>
  <cols>
    <col min="1" max="1" width="15.6640625" style="1" customWidth="1"/>
    <col min="2" max="2" width="16.109375" bestFit="1" customWidth="1"/>
    <col min="3" max="3" width="6.6640625" bestFit="1" customWidth="1"/>
    <col min="4" max="4" width="8.33203125" bestFit="1" customWidth="1"/>
    <col min="5" max="5" width="7.33203125" bestFit="1" customWidth="1"/>
    <col min="6" max="6" width="20.44140625" customWidth="1"/>
    <col min="7" max="7" width="7.5546875" style="123" customWidth="1"/>
    <col min="8" max="8" width="9.5546875" style="123" customWidth="1"/>
    <col min="9" max="9" width="8.44140625" style="123" customWidth="1"/>
    <col min="10" max="10" width="12" customWidth="1"/>
    <col min="11" max="11" width="23.6640625" bestFit="1" customWidth="1"/>
    <col min="12" max="12" width="7.5546875" style="123" bestFit="1" customWidth="1"/>
    <col min="13" max="13" width="9.5546875" style="123" bestFit="1" customWidth="1"/>
    <col min="14" max="14" width="8.44140625" style="123" bestFit="1" customWidth="1"/>
    <col min="15" max="15" width="12" customWidth="1"/>
    <col min="16" max="16" width="23.6640625" bestFit="1" customWidth="1"/>
    <col min="17" max="17" width="6.6640625" bestFit="1" customWidth="1"/>
    <col min="18" max="18" width="9.88671875" bestFit="1" customWidth="1"/>
    <col min="19" max="19" width="8.6640625" bestFit="1" customWidth="1"/>
    <col min="20" max="20" width="14.6640625" customWidth="1"/>
    <col min="21" max="21" width="20" bestFit="1" customWidth="1"/>
  </cols>
  <sheetData>
    <row r="1" spans="1:25" ht="21" customHeight="1" x14ac:dyDescent="0.3">
      <c r="A1" s="284" t="s">
        <v>107</v>
      </c>
      <c r="B1" s="279" t="s">
        <v>122</v>
      </c>
      <c r="C1" s="280"/>
      <c r="D1" s="280"/>
      <c r="E1" s="281"/>
      <c r="F1" s="279" t="s">
        <v>125</v>
      </c>
      <c r="G1" s="280"/>
      <c r="H1" s="280"/>
      <c r="I1" s="281"/>
      <c r="J1" s="282" t="s">
        <v>123</v>
      </c>
      <c r="K1" s="279" t="s">
        <v>126</v>
      </c>
      <c r="L1" s="280"/>
      <c r="M1" s="280"/>
      <c r="N1" s="281"/>
      <c r="O1" s="282" t="s">
        <v>131</v>
      </c>
      <c r="P1" s="279" t="s">
        <v>145</v>
      </c>
      <c r="Q1" s="280"/>
      <c r="R1" s="280"/>
      <c r="S1" s="281"/>
      <c r="T1" s="282" t="s">
        <v>155</v>
      </c>
      <c r="U1" s="279" t="s">
        <v>149</v>
      </c>
      <c r="V1" s="280"/>
      <c r="W1" s="280"/>
      <c r="X1" s="281"/>
      <c r="Y1" s="282" t="s">
        <v>154</v>
      </c>
    </row>
    <row r="2" spans="1:25" ht="29.4" customHeight="1" x14ac:dyDescent="0.3">
      <c r="A2" s="285"/>
      <c r="B2" s="150" t="s">
        <v>108</v>
      </c>
      <c r="C2" s="151" t="s">
        <v>109</v>
      </c>
      <c r="D2" s="151" t="s">
        <v>115</v>
      </c>
      <c r="E2" s="152" t="s">
        <v>110</v>
      </c>
      <c r="F2" s="153" t="s">
        <v>111</v>
      </c>
      <c r="G2" s="154" t="s">
        <v>112</v>
      </c>
      <c r="H2" s="154" t="s">
        <v>113</v>
      </c>
      <c r="I2" s="155" t="s">
        <v>114</v>
      </c>
      <c r="J2" s="283"/>
      <c r="K2" s="153" t="s">
        <v>127</v>
      </c>
      <c r="L2" s="154" t="s">
        <v>128</v>
      </c>
      <c r="M2" s="154" t="s">
        <v>129</v>
      </c>
      <c r="N2" s="155" t="s">
        <v>130</v>
      </c>
      <c r="O2" s="283"/>
      <c r="P2" s="153" t="s">
        <v>127</v>
      </c>
      <c r="Q2" s="154" t="s">
        <v>146</v>
      </c>
      <c r="R2" s="154" t="s">
        <v>147</v>
      </c>
      <c r="S2" s="155" t="s">
        <v>148</v>
      </c>
      <c r="T2" s="283"/>
      <c r="U2" s="153" t="s">
        <v>150</v>
      </c>
      <c r="V2" s="154" t="s">
        <v>151</v>
      </c>
      <c r="W2" s="154" t="s">
        <v>152</v>
      </c>
      <c r="X2" s="155" t="s">
        <v>153</v>
      </c>
      <c r="Y2" s="283"/>
    </row>
    <row r="3" spans="1:25" x14ac:dyDescent="0.3">
      <c r="A3" s="1">
        <f>'FW Catch'!$A$3</f>
        <v>45102</v>
      </c>
      <c r="B3" s="127" t="e">
        <f>INDEX('[1]Passage Estimates'!$D$6:$D$128, MATCH($A3, '[1]Passage Estimates'!$A$6:$A$128,0))</f>
        <v>#N/A</v>
      </c>
      <c r="C3" s="128" t="e">
        <f>INDEX('2. Salmon Passage by Bin'!$K$6:$K$128, MATCH('FW Summary'!$A3,'2. Salmon Passage by Bin'!$A$6:$A$128,0))</f>
        <v>#N/A</v>
      </c>
      <c r="D3" s="76" t="e">
        <f>INDEX('2. Salmon Passage by Bin'!$E$6:$E$128, MATCH('FW Summary'!$A3, '2. Salmon Passage by Bin'!$A$6:$A$128,0))+INDEX('2. Salmon Passage by Bin'!$F$6:$F$128, MATCH('FW Summary'!$A3, '2. Salmon Passage by Bin'!$A$6:$A$128,0))+INDEX('2. Salmon Passage by Bin'!$G$6:$G$128, MATCH('FW Summary'!$A3, '2. Salmon Passage by Bin'!$A$6:$A$128,0))+INDEX('2. Salmon Passage by Bin'!$H$6:$H$128, MATCH('FW Summary'!$A3, '2. Salmon Passage by Bin'!$A$6:$A$128,0))+_xlfn.IFNA(INDEX('2. Salmon Passage by Bin'!$I$6:$I$128, MATCH('FW Summary'!$A3, '2. Salmon Passage by Bin'!$A$6:$A$128,0)),0)+_xlfn.IFNA(INDEX('2. Salmon Passage by Bin'!$J$6:$J$128, MATCH('FW Summary'!$A3, '2. Salmon Passage by Bin'!$A$6:$A$128,0)),0)</f>
        <v>#N/A</v>
      </c>
      <c r="E3" s="129" t="e">
        <f>INDEX('2. Salmon Passage by Bin'!$M$6:$M$128, MATCH('FW Summary'!$A3, '2. Salmon Passage by Bin'!$A$6:$A$128,0))+INDEX('2. Salmon Passage by Bin'!$N$6:$N$128, MATCH('FW Summary'!$A3, '2. Salmon Passage by Bin'!$A$6:$A$128,0))+INDEX('2. Salmon Passage by Bin'!$O$6:$O$128, MATCH('FW Summary'!$A3, '2. Salmon Passage by Bin'!$A$6:$A$128,0))</f>
        <v>#N/A</v>
      </c>
      <c r="F3" s="130" t="e">
        <f t="shared" ref="F3:F34" si="0">B3-J3</f>
        <v>#N/A</v>
      </c>
      <c r="G3" s="145" t="e">
        <f t="shared" ref="G3:G34" si="1">J3/B3</f>
        <v>#N/A</v>
      </c>
      <c r="H3" s="71" t="e">
        <f>INDEX('FW Catch'!F3:F95, MATCH('FW Summary'!A3, 'FW Catch'!A3:A95))</f>
        <v>#N/A</v>
      </c>
      <c r="I3" s="142" t="e">
        <f>INDEX('Pink Proportion'!$S$6:$S$128, MATCH('FW Summary'!A3, 'Pink Proportion'!$A$6:$A$128))/C3</f>
        <v>#N/A</v>
      </c>
      <c r="J3" s="131" t="e">
        <f>IFERROR(((D3+E3)*H3)+(C3*I3), #N/A)</f>
        <v>#N/A</v>
      </c>
      <c r="K3" s="130" t="e">
        <f>B3-O3</f>
        <v>#N/A</v>
      </c>
      <c r="L3" s="145" t="e">
        <f>O3/B3</f>
        <v>#N/A</v>
      </c>
      <c r="M3" s="71" t="e">
        <f>INDEX('FW Catch'!G3:G95, MATCH('FW Summary'!A3, 'FW Catch'!A3:A95))</f>
        <v>#N/A</v>
      </c>
      <c r="N3" s="17" t="str">
        <f>INDEX(WhonSpComp!AN5:AN132, MATCH('FW Summary'!A3, WhonSpComp!A5:A132,0))</f>
        <v/>
      </c>
      <c r="O3" s="131" t="e">
        <f>IFERROR(((D3+E3)*M3)+(C3*N3), #N/A)</f>
        <v>#N/A</v>
      </c>
      <c r="P3" s="130" t="e">
        <f>B3-T3</f>
        <v>#N/A</v>
      </c>
      <c r="Q3" s="145" t="e">
        <f>T3/B3</f>
        <v>#N/A</v>
      </c>
      <c r="R3" s="71" t="e">
        <f>INDEX('FW Catch'!H3:H95, MATCH('FW Summary'!A3, 'FW Catch'!A3:A95))</f>
        <v>#N/A</v>
      </c>
      <c r="S3" s="17" t="str">
        <f>INDEX(WhonSpComp!AT5:AT132, MATCH('FW Summary'!A3, WhonSpComp!A5:A132,0))</f>
        <v/>
      </c>
      <c r="T3" s="131" t="e">
        <f>IFERROR(((D3+E3)*R3)+(C3*S3), #N/A)</f>
        <v>#N/A</v>
      </c>
      <c r="U3" s="130" t="e">
        <f>B3-Y3</f>
        <v>#N/A</v>
      </c>
      <c r="V3" s="145" t="e">
        <f>Y3/B3</f>
        <v>#N/A</v>
      </c>
      <c r="W3" s="71" t="e">
        <f>INDEX('FW Catch'!I3:I95, MATCH('FW Summary'!A3, 'FW Catch'!A3:A95))</f>
        <v>#N/A</v>
      </c>
      <c r="X3" s="17" t="str">
        <f>INDEX(WhonSpComp!AV5:AV132, MATCH('FW Summary'!A3, WhonSpComp!A5:A132,0))</f>
        <v/>
      </c>
      <c r="Y3" s="131" t="e">
        <f>IFERROR(((D3+E3)*W3)+(C3*X3), #N/A)</f>
        <v>#N/A</v>
      </c>
    </row>
    <row r="4" spans="1:25" x14ac:dyDescent="0.3">
      <c r="A4" s="1">
        <f>A3+1</f>
        <v>45103</v>
      </c>
      <c r="B4" s="127" t="e">
        <f>INDEX('[1]Passage Estimates'!$D$6:$D$128, MATCH($A4, '[1]Passage Estimates'!$A$6:$A$128,0))</f>
        <v>#N/A</v>
      </c>
      <c r="C4" s="128" t="e">
        <f>INDEX('2. Salmon Passage by Bin'!$K$6:$K$128, MATCH('FW Summary'!$A4,'2. Salmon Passage by Bin'!$A$6:$A$128,0))</f>
        <v>#N/A</v>
      </c>
      <c r="D4" s="76" t="e">
        <f>INDEX('2. Salmon Passage by Bin'!$E$6:$E$128, MATCH('FW Summary'!$A4, '2. Salmon Passage by Bin'!$A$6:$A$128,0))+INDEX('2. Salmon Passage by Bin'!$F$6:$F$128, MATCH('FW Summary'!$A4, '2. Salmon Passage by Bin'!$A$6:$A$128,0))+INDEX('2. Salmon Passage by Bin'!$G$6:$G$128, MATCH('FW Summary'!$A4, '2. Salmon Passage by Bin'!$A$6:$A$128,0))+INDEX('2. Salmon Passage by Bin'!$H$6:$H$128, MATCH('FW Summary'!$A4, '2. Salmon Passage by Bin'!$A$6:$A$128,0))+_xlfn.IFNA(INDEX('2. Salmon Passage by Bin'!$I$6:$I$128, MATCH('FW Summary'!$A4, '2. Salmon Passage by Bin'!$A$6:$A$128,0)),0)+_xlfn.IFNA(INDEX('2. Salmon Passage by Bin'!$J$6:$J$128, MATCH('FW Summary'!$A4, '2. Salmon Passage by Bin'!$A$6:$A$128,0)),0)</f>
        <v>#N/A</v>
      </c>
      <c r="E4" s="129" t="e">
        <f>INDEX('2. Salmon Passage by Bin'!$M$6:$M$128, MATCH('FW Summary'!$A4, '2. Salmon Passage by Bin'!$A$6:$A$128,0))+INDEX('2. Salmon Passage by Bin'!$N$6:$N$128, MATCH('FW Summary'!$A4, '2. Salmon Passage by Bin'!$A$6:$A$128,0))+INDEX('2. Salmon Passage by Bin'!$O$6:$O$128, MATCH('FW Summary'!$A4, '2. Salmon Passage by Bin'!$A$6:$A$128,0))</f>
        <v>#N/A</v>
      </c>
      <c r="F4" s="130" t="e">
        <f t="shared" si="0"/>
        <v>#N/A</v>
      </c>
      <c r="G4" s="145" t="e">
        <f t="shared" si="1"/>
        <v>#N/A</v>
      </c>
      <c r="H4" s="71" t="e">
        <f>INDEX('FW Catch'!F4:F96, MATCH('FW Summary'!A4, 'FW Catch'!A4:A96))</f>
        <v>#N/A</v>
      </c>
      <c r="I4" s="142" t="e">
        <f>INDEX('Pink Proportion'!$S$6:$S$128, MATCH('FW Summary'!A4, 'Pink Proportion'!$A$6:$A$128))/C4</f>
        <v>#N/A</v>
      </c>
      <c r="J4" s="131" t="e">
        <f t="shared" ref="J4:J31" si="2">IFERROR(((D4+E4)*H4)+(C4*I4), #N/A)</f>
        <v>#N/A</v>
      </c>
      <c r="K4" s="130" t="e">
        <f t="shared" ref="K4:K67" si="3">B4-O4</f>
        <v>#N/A</v>
      </c>
      <c r="L4" s="145" t="e">
        <f t="shared" ref="L4:L67" si="4">O4/B4</f>
        <v>#N/A</v>
      </c>
      <c r="M4" s="71" t="e">
        <f>INDEX('FW Catch'!G4:G96, MATCH('FW Summary'!A4, 'FW Catch'!A4:A96))</f>
        <v>#N/A</v>
      </c>
      <c r="N4" s="17">
        <f>INDEX(WhonSpComp!AN6:AN133, MATCH('FW Summary'!A4, WhonSpComp!A6:A133,0))</f>
        <v>0</v>
      </c>
      <c r="O4" s="131" t="e">
        <f t="shared" ref="O4:O67" si="5">IFERROR(((D4+E4)*M4)+(C4*N4), #N/A)</f>
        <v>#N/A</v>
      </c>
      <c r="P4" s="130" t="e">
        <f t="shared" ref="P4:P67" si="6">B4-T4</f>
        <v>#N/A</v>
      </c>
      <c r="Q4" s="145" t="e">
        <f t="shared" ref="Q4:Q67" si="7">T4/B4</f>
        <v>#N/A</v>
      </c>
      <c r="R4" s="71" t="e">
        <f>INDEX('FW Catch'!H4:H96, MATCH('FW Summary'!A4, 'FW Catch'!A4:A96))</f>
        <v>#N/A</v>
      </c>
      <c r="S4" s="17">
        <f>INDEX(WhonSpComp!AT6:AT133, MATCH('FW Summary'!A4, WhonSpComp!A6:A133,0))</f>
        <v>1</v>
      </c>
      <c r="T4" s="131" t="e">
        <f t="shared" ref="T4:T67" si="8">IFERROR(((D4+E4)*R4)+(C4*S4), #N/A)</f>
        <v>#N/A</v>
      </c>
      <c r="U4" s="130" t="e">
        <f t="shared" ref="U4:U67" si="9">B4-Y4</f>
        <v>#N/A</v>
      </c>
      <c r="V4" s="145" t="e">
        <f t="shared" ref="V4:V67" si="10">Y4/B4</f>
        <v>#N/A</v>
      </c>
      <c r="W4" s="71" t="e">
        <f>INDEX('FW Catch'!I4:I96, MATCH('FW Summary'!A4, 'FW Catch'!A4:A96))</f>
        <v>#N/A</v>
      </c>
      <c r="X4" s="17">
        <f>INDEX(WhonSpComp!AV6:AV133, MATCH('FW Summary'!A4, WhonSpComp!A6:A133,0))</f>
        <v>0</v>
      </c>
      <c r="Y4" s="131" t="e">
        <f t="shared" ref="Y4:Y67" si="11">IFERROR(((D4+E4)*W4)+(C4*X4), #N/A)</f>
        <v>#N/A</v>
      </c>
    </row>
    <row r="5" spans="1:25" x14ac:dyDescent="0.3">
      <c r="A5" s="1">
        <f t="shared" ref="A5:A68" si="12">A4+1</f>
        <v>45104</v>
      </c>
      <c r="B5" s="127" t="e">
        <f>INDEX('[1]Passage Estimates'!$D$6:$D$128, MATCH($A5, '[1]Passage Estimates'!$A$6:$A$128,0))</f>
        <v>#N/A</v>
      </c>
      <c r="C5" s="128" t="e">
        <f>INDEX('2. Salmon Passage by Bin'!$K$6:$K$128, MATCH('FW Summary'!$A5,'2. Salmon Passage by Bin'!$A$6:$A$128,0))</f>
        <v>#N/A</v>
      </c>
      <c r="D5" s="76" t="e">
        <f>INDEX('2. Salmon Passage by Bin'!$E$6:$E$128, MATCH('FW Summary'!$A5, '2. Salmon Passage by Bin'!$A$6:$A$128,0))+INDEX('2. Salmon Passage by Bin'!$F$6:$F$128, MATCH('FW Summary'!$A5, '2. Salmon Passage by Bin'!$A$6:$A$128,0))+INDEX('2. Salmon Passage by Bin'!$G$6:$G$128, MATCH('FW Summary'!$A5, '2. Salmon Passage by Bin'!$A$6:$A$128,0))+INDEX('2. Salmon Passage by Bin'!$H$6:$H$128, MATCH('FW Summary'!$A5, '2. Salmon Passage by Bin'!$A$6:$A$128,0))+_xlfn.IFNA(INDEX('2. Salmon Passage by Bin'!$I$6:$I$128, MATCH('FW Summary'!$A5, '2. Salmon Passage by Bin'!$A$6:$A$128,0)),0)+_xlfn.IFNA(INDEX('2. Salmon Passage by Bin'!$J$6:$J$128, MATCH('FW Summary'!$A5, '2. Salmon Passage by Bin'!$A$6:$A$128,0)),0)</f>
        <v>#N/A</v>
      </c>
      <c r="E5" s="129" t="e">
        <f>INDEX('2. Salmon Passage by Bin'!$M$6:$M$128, MATCH('FW Summary'!$A5, '2. Salmon Passage by Bin'!$A$6:$A$128,0))+INDEX('2. Salmon Passage by Bin'!$N$6:$N$128, MATCH('FW Summary'!$A5, '2. Salmon Passage by Bin'!$A$6:$A$128,0))+INDEX('2. Salmon Passage by Bin'!$O$6:$O$128, MATCH('FW Summary'!$A5, '2. Salmon Passage by Bin'!$A$6:$A$128,0))</f>
        <v>#N/A</v>
      </c>
      <c r="F5" s="130" t="e">
        <f t="shared" si="0"/>
        <v>#N/A</v>
      </c>
      <c r="G5" s="145" t="e">
        <f t="shared" si="1"/>
        <v>#N/A</v>
      </c>
      <c r="H5" s="71">
        <f>INDEX('FW Catch'!F5:F97, MATCH('FW Summary'!A5, 'FW Catch'!A5:A97))</f>
        <v>0</v>
      </c>
      <c r="I5" s="142" t="e">
        <f>INDEX('Pink Proportion'!$S$6:$S$128, MATCH('FW Summary'!A5, 'Pink Proportion'!$A$6:$A$128))/C5</f>
        <v>#N/A</v>
      </c>
      <c r="J5" s="131" t="e">
        <f t="shared" si="2"/>
        <v>#N/A</v>
      </c>
      <c r="K5" s="130" t="e">
        <f t="shared" si="3"/>
        <v>#N/A</v>
      </c>
      <c r="L5" s="145" t="e">
        <f t="shared" si="4"/>
        <v>#N/A</v>
      </c>
      <c r="M5" s="71">
        <f>INDEX('FW Catch'!G5:G97, MATCH('FW Summary'!A5, 'FW Catch'!A5:A97))</f>
        <v>0.16666666666666666</v>
      </c>
      <c r="N5" s="17">
        <f>INDEX(WhonSpComp!AN7:AN134, MATCH('FW Summary'!A5, WhonSpComp!A7:A134,0))</f>
        <v>0</v>
      </c>
      <c r="O5" s="131" t="e">
        <f t="shared" si="5"/>
        <v>#N/A</v>
      </c>
      <c r="P5" s="130" t="e">
        <f t="shared" si="6"/>
        <v>#N/A</v>
      </c>
      <c r="Q5" s="145" t="e">
        <f t="shared" si="7"/>
        <v>#N/A</v>
      </c>
      <c r="R5" s="71">
        <f>INDEX('FW Catch'!H5:H97, MATCH('FW Summary'!A5, 'FW Catch'!A5:A97))</f>
        <v>0.83333333333333337</v>
      </c>
      <c r="S5" s="17">
        <f>INDEX(WhonSpComp!AT7:AT134, MATCH('FW Summary'!A5, WhonSpComp!A7:A134,0))</f>
        <v>0</v>
      </c>
      <c r="T5" s="131" t="e">
        <f t="shared" si="8"/>
        <v>#N/A</v>
      </c>
      <c r="U5" s="130" t="e">
        <f t="shared" si="9"/>
        <v>#N/A</v>
      </c>
      <c r="V5" s="145" t="e">
        <f t="shared" si="10"/>
        <v>#N/A</v>
      </c>
      <c r="W5" s="71">
        <f>INDEX('FW Catch'!I5:I97, MATCH('FW Summary'!A5, 'FW Catch'!A5:A97))</f>
        <v>0</v>
      </c>
      <c r="X5" s="17">
        <f>INDEX(WhonSpComp!AV7:AV134, MATCH('FW Summary'!A5, WhonSpComp!A7:A134,0))</f>
        <v>0</v>
      </c>
      <c r="Y5" s="131" t="e">
        <f t="shared" si="11"/>
        <v>#N/A</v>
      </c>
    </row>
    <row r="6" spans="1:25" x14ac:dyDescent="0.3">
      <c r="A6" s="1">
        <f t="shared" si="12"/>
        <v>45105</v>
      </c>
      <c r="B6" s="127" t="e">
        <f>INDEX('[1]Passage Estimates'!$D$6:$D$128, MATCH($A6, '[1]Passage Estimates'!$A$6:$A$128,0))</f>
        <v>#N/A</v>
      </c>
      <c r="C6" s="128" t="e">
        <f>INDEX('2. Salmon Passage by Bin'!$K$6:$K$128, MATCH('FW Summary'!$A6,'2. Salmon Passage by Bin'!$A$6:$A$128,0))</f>
        <v>#N/A</v>
      </c>
      <c r="D6" s="76" t="e">
        <f>INDEX('2. Salmon Passage by Bin'!$E$6:$E$128, MATCH('FW Summary'!$A6, '2. Salmon Passage by Bin'!$A$6:$A$128,0))+INDEX('2. Salmon Passage by Bin'!$F$6:$F$128, MATCH('FW Summary'!$A6, '2. Salmon Passage by Bin'!$A$6:$A$128,0))+INDEX('2. Salmon Passage by Bin'!$G$6:$G$128, MATCH('FW Summary'!$A6, '2. Salmon Passage by Bin'!$A$6:$A$128,0))+INDEX('2. Salmon Passage by Bin'!$H$6:$H$128, MATCH('FW Summary'!$A6, '2. Salmon Passage by Bin'!$A$6:$A$128,0))+_xlfn.IFNA(INDEX('2. Salmon Passage by Bin'!$I$6:$I$128, MATCH('FW Summary'!$A6, '2. Salmon Passage by Bin'!$A$6:$A$128,0)),0)+_xlfn.IFNA(INDEX('2. Salmon Passage by Bin'!$J$6:$J$128, MATCH('FW Summary'!$A6, '2. Salmon Passage by Bin'!$A$6:$A$128,0)),0)</f>
        <v>#N/A</v>
      </c>
      <c r="E6" s="129" t="e">
        <f>INDEX('2. Salmon Passage by Bin'!$M$6:$M$128, MATCH('FW Summary'!$A6, '2. Salmon Passage by Bin'!$A$6:$A$128,0))+INDEX('2. Salmon Passage by Bin'!$N$6:$N$128, MATCH('FW Summary'!$A6, '2. Salmon Passage by Bin'!$A$6:$A$128,0))+INDEX('2. Salmon Passage by Bin'!$O$6:$O$128, MATCH('FW Summary'!$A6, '2. Salmon Passage by Bin'!$A$6:$A$128,0))</f>
        <v>#N/A</v>
      </c>
      <c r="F6" s="130" t="e">
        <f t="shared" si="0"/>
        <v>#N/A</v>
      </c>
      <c r="G6" s="145" t="e">
        <f t="shared" si="1"/>
        <v>#N/A</v>
      </c>
      <c r="H6" s="71">
        <f>INDEX('FW Catch'!F6:F98, MATCH('FW Summary'!A6, 'FW Catch'!A6:A98))</f>
        <v>0</v>
      </c>
      <c r="I6" s="142" t="e">
        <f>INDEX('Pink Proportion'!$S$6:$S$128, MATCH('FW Summary'!A6, 'Pink Proportion'!$A$6:$A$128))/C6</f>
        <v>#N/A</v>
      </c>
      <c r="J6" s="131" t="e">
        <f t="shared" si="2"/>
        <v>#N/A</v>
      </c>
      <c r="K6" s="130" t="e">
        <f t="shared" si="3"/>
        <v>#N/A</v>
      </c>
      <c r="L6" s="145" t="e">
        <f t="shared" si="4"/>
        <v>#N/A</v>
      </c>
      <c r="M6" s="71">
        <f>INDEX('FW Catch'!G6:G98, MATCH('FW Summary'!A6, 'FW Catch'!A6:A98))</f>
        <v>0.125</v>
      </c>
      <c r="N6" s="17">
        <f>INDEX(WhonSpComp!AN8:AN135, MATCH('FW Summary'!A6, WhonSpComp!A8:A135,0))</f>
        <v>0</v>
      </c>
      <c r="O6" s="131" t="e">
        <f t="shared" si="5"/>
        <v>#N/A</v>
      </c>
      <c r="P6" s="130" t="e">
        <f t="shared" si="6"/>
        <v>#N/A</v>
      </c>
      <c r="Q6" s="145" t="e">
        <f t="shared" si="7"/>
        <v>#N/A</v>
      </c>
      <c r="R6" s="71">
        <f>INDEX('FW Catch'!H6:H98, MATCH('FW Summary'!A6, 'FW Catch'!A6:A98))</f>
        <v>0.625</v>
      </c>
      <c r="S6" s="17">
        <f>INDEX(WhonSpComp!AT8:AT135, MATCH('FW Summary'!A6, WhonSpComp!A8:A135,0))</f>
        <v>0</v>
      </c>
      <c r="T6" s="131" t="e">
        <f t="shared" si="8"/>
        <v>#N/A</v>
      </c>
      <c r="U6" s="130" t="e">
        <f t="shared" si="9"/>
        <v>#N/A</v>
      </c>
      <c r="V6" s="145" t="e">
        <f t="shared" si="10"/>
        <v>#N/A</v>
      </c>
      <c r="W6" s="71">
        <f>INDEX('FW Catch'!I6:I98, MATCH('FW Summary'!A6, 'FW Catch'!A6:A98))</f>
        <v>0.25</v>
      </c>
      <c r="X6" s="17">
        <f>INDEX(WhonSpComp!AV8:AV135, MATCH('FW Summary'!A6, WhonSpComp!A8:A135,0))</f>
        <v>0</v>
      </c>
      <c r="Y6" s="131" t="e">
        <f t="shared" si="11"/>
        <v>#N/A</v>
      </c>
    </row>
    <row r="7" spans="1:25" x14ac:dyDescent="0.3">
      <c r="A7" s="1">
        <f t="shared" si="12"/>
        <v>45106</v>
      </c>
      <c r="B7" s="127" t="e">
        <f>INDEX('[1]Passage Estimates'!$D$6:$D$128, MATCH($A7, '[1]Passage Estimates'!$A$6:$A$128,0))</f>
        <v>#N/A</v>
      </c>
      <c r="C7" s="128" t="e">
        <f>INDEX('2. Salmon Passage by Bin'!$K$6:$K$128, MATCH('FW Summary'!$A7,'2. Salmon Passage by Bin'!$A$6:$A$128,0))</f>
        <v>#N/A</v>
      </c>
      <c r="D7" s="76" t="e">
        <f>INDEX('2. Salmon Passage by Bin'!$E$6:$E$128, MATCH('FW Summary'!$A7, '2. Salmon Passage by Bin'!$A$6:$A$128,0))+INDEX('2. Salmon Passage by Bin'!$F$6:$F$128, MATCH('FW Summary'!$A7, '2. Salmon Passage by Bin'!$A$6:$A$128,0))+INDEX('2. Salmon Passage by Bin'!$G$6:$G$128, MATCH('FW Summary'!$A7, '2. Salmon Passage by Bin'!$A$6:$A$128,0))+INDEX('2. Salmon Passage by Bin'!$H$6:$H$128, MATCH('FW Summary'!$A7, '2. Salmon Passage by Bin'!$A$6:$A$128,0))+_xlfn.IFNA(INDEX('2. Salmon Passage by Bin'!$I$6:$I$128, MATCH('FW Summary'!$A7, '2. Salmon Passage by Bin'!$A$6:$A$128,0)),0)+_xlfn.IFNA(INDEX('2. Salmon Passage by Bin'!$J$6:$J$128, MATCH('FW Summary'!$A7, '2. Salmon Passage by Bin'!$A$6:$A$128,0)),0)</f>
        <v>#N/A</v>
      </c>
      <c r="E7" s="129" t="e">
        <f>INDEX('2. Salmon Passage by Bin'!$M$6:$M$128, MATCH('FW Summary'!$A7, '2. Salmon Passage by Bin'!$A$6:$A$128,0))+INDEX('2. Salmon Passage by Bin'!$N$6:$N$128, MATCH('FW Summary'!$A7, '2. Salmon Passage by Bin'!$A$6:$A$128,0))+INDEX('2. Salmon Passage by Bin'!$O$6:$O$128, MATCH('FW Summary'!$A7, '2. Salmon Passage by Bin'!$A$6:$A$128,0))</f>
        <v>#N/A</v>
      </c>
      <c r="F7" s="130" t="e">
        <f t="shared" si="0"/>
        <v>#N/A</v>
      </c>
      <c r="G7" s="145" t="e">
        <f t="shared" si="1"/>
        <v>#N/A</v>
      </c>
      <c r="H7" s="71">
        <f>INDEX('FW Catch'!F7:F99, MATCH('FW Summary'!A7, 'FW Catch'!A7:A99))</f>
        <v>0</v>
      </c>
      <c r="I7" s="142" t="e">
        <f>INDEX('Pink Proportion'!$S$6:$S$128, MATCH('FW Summary'!A7, 'Pink Proportion'!$A$6:$A$128))/C7</f>
        <v>#N/A</v>
      </c>
      <c r="J7" s="131" t="e">
        <f t="shared" si="2"/>
        <v>#N/A</v>
      </c>
      <c r="K7" s="130" t="e">
        <f t="shared" si="3"/>
        <v>#N/A</v>
      </c>
      <c r="L7" s="145" t="e">
        <f t="shared" si="4"/>
        <v>#N/A</v>
      </c>
      <c r="M7" s="71">
        <f>INDEX('FW Catch'!G7:G99, MATCH('FW Summary'!A7, 'FW Catch'!A7:A99))</f>
        <v>0.21428571428571427</v>
      </c>
      <c r="N7" s="17">
        <f>INDEX(WhonSpComp!AN9:AN136, MATCH('FW Summary'!A7, WhonSpComp!A9:A136,0))</f>
        <v>0</v>
      </c>
      <c r="O7" s="131" t="e">
        <f t="shared" si="5"/>
        <v>#N/A</v>
      </c>
      <c r="P7" s="130" t="e">
        <f t="shared" si="6"/>
        <v>#N/A</v>
      </c>
      <c r="Q7" s="145" t="e">
        <f t="shared" si="7"/>
        <v>#N/A</v>
      </c>
      <c r="R7" s="71">
        <f>INDEX('FW Catch'!H7:H99, MATCH('FW Summary'!A7, 'FW Catch'!A7:A99))</f>
        <v>0.5</v>
      </c>
      <c r="S7" s="17">
        <f>INDEX(WhonSpComp!AT9:AT136, MATCH('FW Summary'!A7, WhonSpComp!A9:A136,0))</f>
        <v>1</v>
      </c>
      <c r="T7" s="131" t="e">
        <f t="shared" si="8"/>
        <v>#N/A</v>
      </c>
      <c r="U7" s="130" t="e">
        <f t="shared" si="9"/>
        <v>#N/A</v>
      </c>
      <c r="V7" s="145" t="e">
        <f t="shared" si="10"/>
        <v>#N/A</v>
      </c>
      <c r="W7" s="71">
        <f>INDEX('FW Catch'!I7:I99, MATCH('FW Summary'!A7, 'FW Catch'!A7:A99))</f>
        <v>0.2857142857142857</v>
      </c>
      <c r="X7" s="17">
        <f>INDEX(WhonSpComp!AV9:AV136, MATCH('FW Summary'!A7, WhonSpComp!A9:A136,0))</f>
        <v>0</v>
      </c>
      <c r="Y7" s="131" t="e">
        <f t="shared" si="11"/>
        <v>#N/A</v>
      </c>
    </row>
    <row r="8" spans="1:25" x14ac:dyDescent="0.3">
      <c r="A8" s="1">
        <f t="shared" si="12"/>
        <v>45107</v>
      </c>
      <c r="B8" s="127" t="e">
        <f>INDEX('[1]Passage Estimates'!$D$6:$D$128, MATCH($A8, '[1]Passage Estimates'!$A$6:$A$128,0))</f>
        <v>#N/A</v>
      </c>
      <c r="C8" s="128" t="e">
        <f>INDEX('2. Salmon Passage by Bin'!$K$6:$K$128, MATCH('FW Summary'!$A8,'2. Salmon Passage by Bin'!$A$6:$A$128,0))</f>
        <v>#N/A</v>
      </c>
      <c r="D8" s="76" t="e">
        <f>INDEX('2. Salmon Passage by Bin'!$E$6:$E$128, MATCH('FW Summary'!$A8, '2. Salmon Passage by Bin'!$A$6:$A$128,0))+INDEX('2. Salmon Passage by Bin'!$F$6:$F$128, MATCH('FW Summary'!$A8, '2. Salmon Passage by Bin'!$A$6:$A$128,0))+INDEX('2. Salmon Passage by Bin'!$G$6:$G$128, MATCH('FW Summary'!$A8, '2. Salmon Passage by Bin'!$A$6:$A$128,0))+INDEX('2. Salmon Passage by Bin'!$H$6:$H$128, MATCH('FW Summary'!$A8, '2. Salmon Passage by Bin'!$A$6:$A$128,0))+_xlfn.IFNA(INDEX('2. Salmon Passage by Bin'!$I$6:$I$128, MATCH('FW Summary'!$A8, '2. Salmon Passage by Bin'!$A$6:$A$128,0)),0)+_xlfn.IFNA(INDEX('2. Salmon Passage by Bin'!$J$6:$J$128, MATCH('FW Summary'!$A8, '2. Salmon Passage by Bin'!$A$6:$A$128,0)),0)</f>
        <v>#N/A</v>
      </c>
      <c r="E8" s="129" t="e">
        <f>INDEX('2. Salmon Passage by Bin'!$M$6:$M$128, MATCH('FW Summary'!$A8, '2. Salmon Passage by Bin'!$A$6:$A$128,0))+INDEX('2. Salmon Passage by Bin'!$N$6:$N$128, MATCH('FW Summary'!$A8, '2. Salmon Passage by Bin'!$A$6:$A$128,0))+INDEX('2. Salmon Passage by Bin'!$O$6:$O$128, MATCH('FW Summary'!$A8, '2. Salmon Passage by Bin'!$A$6:$A$128,0))</f>
        <v>#N/A</v>
      </c>
      <c r="F8" s="130" t="e">
        <f t="shared" si="0"/>
        <v>#N/A</v>
      </c>
      <c r="G8" s="145" t="e">
        <f t="shared" si="1"/>
        <v>#N/A</v>
      </c>
      <c r="H8" s="71">
        <f>INDEX('FW Catch'!F8:F100, MATCH('FW Summary'!A8, 'FW Catch'!A8:A100))</f>
        <v>0</v>
      </c>
      <c r="I8" s="142" t="e">
        <f>INDEX('Pink Proportion'!$S$6:$S$128, MATCH('FW Summary'!A8, 'Pink Proportion'!$A$6:$A$128))/C8</f>
        <v>#N/A</v>
      </c>
      <c r="J8" s="131" t="e">
        <f t="shared" si="2"/>
        <v>#N/A</v>
      </c>
      <c r="K8" s="130" t="e">
        <f t="shared" si="3"/>
        <v>#N/A</v>
      </c>
      <c r="L8" s="145" t="e">
        <f t="shared" si="4"/>
        <v>#N/A</v>
      </c>
      <c r="M8" s="71">
        <f>INDEX('FW Catch'!G8:G100, MATCH('FW Summary'!A8, 'FW Catch'!A8:A100))</f>
        <v>0.8</v>
      </c>
      <c r="N8" s="17">
        <f>INDEX(WhonSpComp!AN10:AN137, MATCH('FW Summary'!A8, WhonSpComp!A10:A137,0))</f>
        <v>0</v>
      </c>
      <c r="O8" s="131" t="e">
        <f t="shared" si="5"/>
        <v>#N/A</v>
      </c>
      <c r="P8" s="130" t="e">
        <f t="shared" si="6"/>
        <v>#N/A</v>
      </c>
      <c r="Q8" s="145" t="e">
        <f t="shared" si="7"/>
        <v>#N/A</v>
      </c>
      <c r="R8" s="71">
        <f>INDEX('FW Catch'!H8:H100, MATCH('FW Summary'!A8, 'FW Catch'!A8:A100))</f>
        <v>0.2</v>
      </c>
      <c r="S8" s="17">
        <f>INDEX(WhonSpComp!AT10:AT137, MATCH('FW Summary'!A8, WhonSpComp!A10:A137,0))</f>
        <v>0</v>
      </c>
      <c r="T8" s="131" t="e">
        <f t="shared" si="8"/>
        <v>#N/A</v>
      </c>
      <c r="U8" s="130" t="e">
        <f t="shared" si="9"/>
        <v>#N/A</v>
      </c>
      <c r="V8" s="145" t="e">
        <f t="shared" si="10"/>
        <v>#N/A</v>
      </c>
      <c r="W8" s="71">
        <f>INDEX('FW Catch'!I8:I100, MATCH('FW Summary'!A8, 'FW Catch'!A8:A100))</f>
        <v>0</v>
      </c>
      <c r="X8" s="17">
        <f>INDEX(WhonSpComp!AV10:AV137, MATCH('FW Summary'!A8, WhonSpComp!A10:A137,0))</f>
        <v>0</v>
      </c>
      <c r="Y8" s="131" t="e">
        <f t="shared" si="11"/>
        <v>#N/A</v>
      </c>
    </row>
    <row r="9" spans="1:25" x14ac:dyDescent="0.3">
      <c r="A9" s="1">
        <f t="shared" si="12"/>
        <v>45108</v>
      </c>
      <c r="B9" s="127">
        <f>'[1]Passage Estimates'!$D$6</f>
        <v>4498.2283169963957</v>
      </c>
      <c r="C9" s="128">
        <f>INDEX('2. Salmon Passage by Bin'!$K$6:$K$128, MATCH('FW Summary'!$A9,'2. Salmon Passage by Bin'!$A$6:$A$128,0))</f>
        <v>2610.4800000000009</v>
      </c>
      <c r="D9" s="76">
        <f>INDEX('2. Salmon Passage by Bin'!$E$6:$E$128, MATCH('FW Summary'!$A9, '2. Salmon Passage by Bin'!$A$6:$A$128,0))+INDEX('2. Salmon Passage by Bin'!$F$6:$F$128, MATCH('FW Summary'!$A9, '2. Salmon Passage by Bin'!$A$6:$A$128,0))+INDEX('2. Salmon Passage by Bin'!$G$6:$G$128, MATCH('FW Summary'!$A9, '2. Salmon Passage by Bin'!$A$6:$A$128,0))+INDEX('2. Salmon Passage by Bin'!$H$6:$H$128, MATCH('FW Summary'!$A9, '2. Salmon Passage by Bin'!$A$6:$A$128,0))+_xlfn.IFNA(INDEX('2. Salmon Passage by Bin'!$I$6:$I$128, MATCH('FW Summary'!$A9, '2. Salmon Passage by Bin'!$A$6:$A$128,0)),0)+_xlfn.IFNA(INDEX('2. Salmon Passage by Bin'!$J$6:$J$128, MATCH('FW Summary'!$A9, '2. Salmon Passage by Bin'!$A$6:$A$128,0)),0)</f>
        <v>1204.3200000000002</v>
      </c>
      <c r="E9" s="129">
        <f>INDEX('2. Salmon Passage by Bin'!$M$6:$M$128, MATCH('FW Summary'!$A9, '2. Salmon Passage by Bin'!$A$6:$A$128,0))+INDEX('2. Salmon Passage by Bin'!$N$6:$N$128, MATCH('FW Summary'!$A9, '2. Salmon Passage by Bin'!$A$6:$A$128,0))+INDEX('2. Salmon Passage by Bin'!$O$6:$O$128, MATCH('FW Summary'!$A9, '2. Salmon Passage by Bin'!$A$6:$A$128,0))</f>
        <v>679.57741052532072</v>
      </c>
      <c r="F9" s="130">
        <f t="shared" si="0"/>
        <v>4498.2283169963957</v>
      </c>
      <c r="G9" s="145">
        <f t="shared" si="1"/>
        <v>0</v>
      </c>
      <c r="H9" s="71">
        <f>INDEX('FW Catch'!F9:F101, MATCH('FW Summary'!A9, 'FW Catch'!A9:A101))</f>
        <v>0</v>
      </c>
      <c r="I9" s="142">
        <f>INDEX('Pink Proportion'!$S$6:$S$128, MATCH('FW Summary'!A9, 'Pink Proportion'!$A$6:$A$128))/C9</f>
        <v>0</v>
      </c>
      <c r="J9" s="131">
        <f t="shared" si="2"/>
        <v>0</v>
      </c>
      <c r="K9" s="130">
        <f t="shared" si="3"/>
        <v>1578.2191079746917</v>
      </c>
      <c r="L9" s="145">
        <f t="shared" si="4"/>
        <v>0.64914650907970883</v>
      </c>
      <c r="M9" s="71">
        <f>INDEX('FW Catch'!G9:G101, MATCH('FW Summary'!A9, 'FW Catch'!A9:A101))</f>
        <v>0.8571428571428571</v>
      </c>
      <c r="N9" s="17">
        <f>INDEX(WhonSpComp!AN11:AN138, MATCH('FW Summary'!A9, WhonSpComp!A11:A138,0))</f>
        <v>0.5</v>
      </c>
      <c r="O9" s="131">
        <f>IFERROR(((D9+E9)*M9)+(C9*N9), #N/A)</f>
        <v>2920.009209021704</v>
      </c>
      <c r="P9" s="130">
        <f t="shared" si="6"/>
        <v>2923.8601154927783</v>
      </c>
      <c r="Q9" s="145">
        <f t="shared" si="7"/>
        <v>0.34999739687621534</v>
      </c>
      <c r="R9" s="71">
        <f>INDEX('FW Catch'!H9:H101, MATCH('FW Summary'!A9, 'FW Catch'!A9:A101))</f>
        <v>0.14285714285714285</v>
      </c>
      <c r="S9" s="17">
        <f>INDEX(WhonSpComp!AT11:AT138, MATCH('FW Summary'!A9, WhonSpComp!A11:A138,0))</f>
        <v>0.5</v>
      </c>
      <c r="T9" s="131">
        <f t="shared" si="8"/>
        <v>1574.3682015036177</v>
      </c>
      <c r="U9" s="130">
        <f t="shared" si="9"/>
        <v>4498.2283169963957</v>
      </c>
      <c r="V9" s="145">
        <f t="shared" si="10"/>
        <v>0</v>
      </c>
      <c r="W9" s="71">
        <f>INDEX('FW Catch'!I9:I101, MATCH('FW Summary'!A9, 'FW Catch'!A9:A101))</f>
        <v>0</v>
      </c>
      <c r="X9" s="17">
        <f>INDEX(WhonSpComp!AV11:AV138, MATCH('FW Summary'!A9, WhonSpComp!A11:A138,0))</f>
        <v>0</v>
      </c>
      <c r="Y9" s="131">
        <f t="shared" si="11"/>
        <v>0</v>
      </c>
    </row>
    <row r="10" spans="1:25" x14ac:dyDescent="0.3">
      <c r="A10" s="1">
        <f t="shared" si="12"/>
        <v>45109</v>
      </c>
      <c r="B10" s="127">
        <f>INDEX('[1]Passage Estimates'!$D$6:$D$128, MATCH($A10, '[1]Passage Estimates'!$A$6:$A$128,0))</f>
        <v>3888.529032091682</v>
      </c>
      <c r="C10" s="128">
        <f>INDEX('2. Salmon Passage by Bin'!$K$6:$K$128, MATCH('FW Summary'!$A10,'2. Salmon Passage by Bin'!$A$6:$A$128,0))</f>
        <v>1914.4800000000009</v>
      </c>
      <c r="D10" s="76">
        <f>INDEX('2. Salmon Passage by Bin'!$E$6:$E$128, MATCH('FW Summary'!$A10, '2. Salmon Passage by Bin'!$A$6:$A$128,0))+INDEX('2. Salmon Passage by Bin'!$F$6:$F$128, MATCH('FW Summary'!$A10, '2. Salmon Passage by Bin'!$A$6:$A$128,0))+INDEX('2. Salmon Passage by Bin'!$G$6:$G$128, MATCH('FW Summary'!$A10, '2. Salmon Passage by Bin'!$A$6:$A$128,0))+INDEX('2. Salmon Passage by Bin'!$H$6:$H$128, MATCH('FW Summary'!$A10, '2. Salmon Passage by Bin'!$A$6:$A$128,0))+_xlfn.IFNA(INDEX('2. Salmon Passage by Bin'!$I$6:$I$128, MATCH('FW Summary'!$A10, '2. Salmon Passage by Bin'!$A$6:$A$128,0)),0)+_xlfn.IFNA(INDEX('2. Salmon Passage by Bin'!$J$6:$J$128, MATCH('FW Summary'!$A10, '2. Salmon Passage by Bin'!$A$6:$A$128,0)),0)</f>
        <v>1353.84</v>
      </c>
      <c r="E10" s="129">
        <f>INDEX('2. Salmon Passage by Bin'!$M$6:$M$128, MATCH('FW Summary'!$A10, '2. Salmon Passage by Bin'!$A$6:$A$128,0))+INDEX('2. Salmon Passage by Bin'!$N$6:$N$128, MATCH('FW Summary'!$A10, '2. Salmon Passage by Bin'!$A$6:$A$128,0))+INDEX('2. Salmon Passage by Bin'!$O$6:$O$128, MATCH('FW Summary'!$A10, '2. Salmon Passage by Bin'!$A$6:$A$128,0))</f>
        <v>616.92792210937591</v>
      </c>
      <c r="F10" s="130">
        <f t="shared" si="0"/>
        <v>3888.529032091682</v>
      </c>
      <c r="G10" s="145">
        <f t="shared" si="1"/>
        <v>0</v>
      </c>
      <c r="H10" s="71">
        <f>INDEX('FW Catch'!F10:F102, MATCH('FW Summary'!A10, 'FW Catch'!A10:A102))</f>
        <v>0</v>
      </c>
      <c r="I10" s="142">
        <f>INDEX('Pink Proportion'!$S$6:$S$128, MATCH('FW Summary'!A10, 'Pink Proportion'!$A$6:$A$128))/C10</f>
        <v>0</v>
      </c>
      <c r="J10" s="131">
        <f t="shared" si="2"/>
        <v>0</v>
      </c>
      <c r="K10" s="130">
        <f t="shared" si="3"/>
        <v>3012.6321778208485</v>
      </c>
      <c r="L10" s="145">
        <f t="shared" si="4"/>
        <v>0.22525146322481723</v>
      </c>
      <c r="M10" s="71">
        <f>INDEX('FW Catch'!G10:G102, MATCH('FW Summary'!A10, 'FW Catch'!A10:A102))</f>
        <v>0.44444444444444442</v>
      </c>
      <c r="N10" s="17">
        <f>INDEX(WhonSpComp!AN12:AN139, MATCH('FW Summary'!A10, WhonSpComp!A12:A139,0))</f>
        <v>0</v>
      </c>
      <c r="O10" s="131">
        <f t="shared" si="5"/>
        <v>875.89685427083361</v>
      </c>
      <c r="P10" s="130">
        <f t="shared" si="6"/>
        <v>1098.1521778208476</v>
      </c>
      <c r="Q10" s="145">
        <f t="shared" si="7"/>
        <v>0.71759187889356213</v>
      </c>
      <c r="R10" s="71">
        <f>INDEX('FW Catch'!H10:H102, MATCH('FW Summary'!A10, 'FW Catch'!A10:A102))</f>
        <v>0.44444444444444442</v>
      </c>
      <c r="S10" s="17">
        <f>INDEX(WhonSpComp!AT12:AT139, MATCH('FW Summary'!A10, WhonSpComp!A12:A139,0))</f>
        <v>1</v>
      </c>
      <c r="T10" s="131">
        <f t="shared" si="8"/>
        <v>2790.3768542708344</v>
      </c>
      <c r="U10" s="130">
        <f t="shared" si="9"/>
        <v>3669.5548185239736</v>
      </c>
      <c r="V10" s="145">
        <f t="shared" si="10"/>
        <v>5.6312865806204308E-2</v>
      </c>
      <c r="W10" s="71">
        <f>INDEX('FW Catch'!I10:I102, MATCH('FW Summary'!A10, 'FW Catch'!A10:A102))</f>
        <v>0.1111111111111111</v>
      </c>
      <c r="X10" s="17">
        <f>INDEX(WhonSpComp!AV12:AV139, MATCH('FW Summary'!A10, WhonSpComp!A12:A139,0))</f>
        <v>0</v>
      </c>
      <c r="Y10" s="131">
        <f t="shared" si="11"/>
        <v>218.9742135677084</v>
      </c>
    </row>
    <row r="11" spans="1:25" x14ac:dyDescent="0.3">
      <c r="A11" s="1">
        <f t="shared" si="12"/>
        <v>45110</v>
      </c>
      <c r="B11" s="127">
        <f>INDEX('[1]Passage Estimates'!$D$6:$D$128, MATCH($A11, '[1]Passage Estimates'!$A$6:$A$128,0))</f>
        <v>2437.8880024659256</v>
      </c>
      <c r="C11" s="128">
        <f>INDEX('2. Salmon Passage by Bin'!$K$6:$K$128, MATCH('FW Summary'!$A11,'2. Salmon Passage by Bin'!$A$6:$A$128,0))</f>
        <v>1223.5200000000009</v>
      </c>
      <c r="D11" s="76">
        <f>INDEX('2. Salmon Passage by Bin'!$E$6:$E$128, MATCH('FW Summary'!$A11, '2. Salmon Passage by Bin'!$A$6:$A$128,0))+INDEX('2. Salmon Passage by Bin'!$F$6:$F$128, MATCH('FW Summary'!$A11, '2. Salmon Passage by Bin'!$A$6:$A$128,0))+INDEX('2. Salmon Passage by Bin'!$G$6:$G$128, MATCH('FW Summary'!$A11, '2. Salmon Passage by Bin'!$A$6:$A$128,0))+INDEX('2. Salmon Passage by Bin'!$H$6:$H$128, MATCH('FW Summary'!$A11, '2. Salmon Passage by Bin'!$A$6:$A$128,0))+_xlfn.IFNA(INDEX('2. Salmon Passage by Bin'!$I$6:$I$128, MATCH('FW Summary'!$A11, '2. Salmon Passage by Bin'!$A$6:$A$128,0)),0)+_xlfn.IFNA(INDEX('2. Salmon Passage by Bin'!$J$6:$J$128, MATCH('FW Summary'!$A11, '2. Salmon Passage by Bin'!$A$6:$A$128,0)),0)</f>
        <v>934.31999999999994</v>
      </c>
      <c r="E11" s="129">
        <f>INDEX('2. Salmon Passage by Bin'!$M$6:$M$128, MATCH('FW Summary'!$A11, '2. Salmon Passage by Bin'!$A$6:$A$128,0))+INDEX('2. Salmon Passage by Bin'!$N$6:$N$128, MATCH('FW Summary'!$A11, '2. Salmon Passage by Bin'!$A$6:$A$128,0))+INDEX('2. Salmon Passage by Bin'!$O$6:$O$128, MATCH('FW Summary'!$A11, '2. Salmon Passage by Bin'!$A$6:$A$128,0))</f>
        <v>276.75542007109402</v>
      </c>
      <c r="F11" s="130">
        <f t="shared" si="0"/>
        <v>2437.8880024659256</v>
      </c>
      <c r="G11" s="145">
        <f t="shared" si="1"/>
        <v>0</v>
      </c>
      <c r="H11" s="71">
        <f>INDEX('FW Catch'!F11:F103, MATCH('FW Summary'!A11, 'FW Catch'!A11:A103))</f>
        <v>0</v>
      </c>
      <c r="I11" s="142">
        <f>INDEX('Pink Proportion'!$S$6:$S$128, MATCH('FW Summary'!A11, 'Pink Proportion'!$A$6:$A$128))/C11</f>
        <v>0</v>
      </c>
      <c r="J11" s="131">
        <f t="shared" si="2"/>
        <v>0</v>
      </c>
      <c r="K11" s="130">
        <f t="shared" si="3"/>
        <v>1399.8233566907022</v>
      </c>
      <c r="L11" s="145">
        <f t="shared" si="4"/>
        <v>0.4258048953541837</v>
      </c>
      <c r="M11" s="71">
        <f>INDEX('FW Catch'!G11:G103, MATCH('FW Summary'!A11, 'FW Catch'!A11:A103))</f>
        <v>0.8571428571428571</v>
      </c>
      <c r="N11" s="17">
        <f>INDEX(WhonSpComp!AN13:AN140, MATCH('FW Summary'!A11, WhonSpComp!A13:A140,0))</f>
        <v>0</v>
      </c>
      <c r="O11" s="131">
        <f t="shared" si="5"/>
        <v>1038.0646457752234</v>
      </c>
      <c r="P11" s="130">
        <f t="shared" si="6"/>
        <v>1041.3572281700542</v>
      </c>
      <c r="Q11" s="145">
        <f t="shared" si="7"/>
        <v>0.57284451659931857</v>
      </c>
      <c r="R11" s="71">
        <f>INDEX('FW Catch'!H11:H103, MATCH('FW Summary'!A11, 'FW Catch'!A11:A103))</f>
        <v>0.14285714285714285</v>
      </c>
      <c r="S11" s="17">
        <f>INDEX(WhonSpComp!AT13:AT140, MATCH('FW Summary'!A11, WhonSpComp!A13:A140,0))</f>
        <v>1</v>
      </c>
      <c r="T11" s="131">
        <f t="shared" si="8"/>
        <v>1396.5307742958714</v>
      </c>
      <c r="U11" s="130">
        <f t="shared" si="9"/>
        <v>2437.8880024659256</v>
      </c>
      <c r="V11" s="145">
        <f t="shared" si="10"/>
        <v>0</v>
      </c>
      <c r="W11" s="71">
        <f>INDEX('FW Catch'!I11:I103, MATCH('FW Summary'!A11, 'FW Catch'!A11:A103))</f>
        <v>0</v>
      </c>
      <c r="X11" s="17">
        <f>INDEX(WhonSpComp!AV13:AV140, MATCH('FW Summary'!A11, WhonSpComp!A13:A140,0))</f>
        <v>0</v>
      </c>
      <c r="Y11" s="131">
        <f t="shared" si="11"/>
        <v>0</v>
      </c>
    </row>
    <row r="12" spans="1:25" x14ac:dyDescent="0.3">
      <c r="A12" s="1">
        <f t="shared" si="12"/>
        <v>45111</v>
      </c>
      <c r="B12" s="127">
        <f>INDEX('[1]Passage Estimates'!$D$6:$D$128, MATCH($A12, '[1]Passage Estimates'!$A$6:$A$128,0))</f>
        <v>3118.1713865188922</v>
      </c>
      <c r="C12" s="128">
        <f>INDEX('2. Salmon Passage by Bin'!$K$6:$K$128, MATCH('FW Summary'!$A12,'2. Salmon Passage by Bin'!$A$6:$A$128,0))</f>
        <v>963.11999999999989</v>
      </c>
      <c r="D12" s="76">
        <f>INDEX('2. Salmon Passage by Bin'!$E$6:$E$128, MATCH('FW Summary'!$A12, '2. Salmon Passage by Bin'!$A$6:$A$128,0))+INDEX('2. Salmon Passage by Bin'!$F$6:$F$128, MATCH('FW Summary'!$A12, '2. Salmon Passage by Bin'!$A$6:$A$128,0))+INDEX('2. Salmon Passage by Bin'!$G$6:$G$128, MATCH('FW Summary'!$A12, '2. Salmon Passage by Bin'!$A$6:$A$128,0))+INDEX('2. Salmon Passage by Bin'!$H$6:$H$128, MATCH('FW Summary'!$A12, '2. Salmon Passage by Bin'!$A$6:$A$128,0))+_xlfn.IFNA(INDEX('2. Salmon Passage by Bin'!$I$6:$I$128, MATCH('FW Summary'!$A12, '2. Salmon Passage by Bin'!$A$6:$A$128,0)),0)+_xlfn.IFNA(INDEX('2. Salmon Passage by Bin'!$J$6:$J$128, MATCH('FW Summary'!$A12, '2. Salmon Passage by Bin'!$A$6:$A$128,0)),0)</f>
        <v>1137.8400000000001</v>
      </c>
      <c r="E12" s="129">
        <f>INDEX('2. Salmon Passage by Bin'!$M$6:$M$128, MATCH('FW Summary'!$A12, '2. Salmon Passage by Bin'!$A$6:$A$128,0))+INDEX('2. Salmon Passage by Bin'!$N$6:$N$128, MATCH('FW Summary'!$A12, '2. Salmon Passage by Bin'!$A$6:$A$128,0))+INDEX('2. Salmon Passage by Bin'!$O$6:$O$128, MATCH('FW Summary'!$A12, '2. Salmon Passage by Bin'!$A$6:$A$128,0))</f>
        <v>1010.6338700042483</v>
      </c>
      <c r="F12" s="130">
        <f t="shared" si="0"/>
        <v>3118.1713865188922</v>
      </c>
      <c r="G12" s="145">
        <f t="shared" si="1"/>
        <v>0</v>
      </c>
      <c r="H12" s="71">
        <f>INDEX('FW Catch'!F12:F104, MATCH('FW Summary'!A12, 'FW Catch'!A12:A104))</f>
        <v>0</v>
      </c>
      <c r="I12" s="142">
        <f>INDEX('Pink Proportion'!$S$6:$S$128, MATCH('FW Summary'!A12, 'Pink Proportion'!$A$6:$A$128))/C12</f>
        <v>0</v>
      </c>
      <c r="J12" s="131">
        <f t="shared" si="2"/>
        <v>0</v>
      </c>
      <c r="K12" s="130">
        <f t="shared" si="3"/>
        <v>1364.8154731827267</v>
      </c>
      <c r="L12" s="145">
        <f t="shared" si="4"/>
        <v>0.56230261136915938</v>
      </c>
      <c r="M12" s="71">
        <f>INDEX('FW Catch'!G12:G104, MATCH('FW Summary'!A12, 'FW Catch'!A12:A104))</f>
        <v>0.66666666666666663</v>
      </c>
      <c r="N12" s="17">
        <f>INDEX(WhonSpComp!AN14:AN141, MATCH('FW Summary'!A12, WhonSpComp!A14:A141,0))</f>
        <v>0.33333333333333331</v>
      </c>
      <c r="O12" s="131">
        <f t="shared" si="5"/>
        <v>1753.3559133361655</v>
      </c>
      <c r="P12" s="130">
        <f t="shared" si="6"/>
        <v>1759.9334298508095</v>
      </c>
      <c r="Q12" s="145">
        <f t="shared" si="7"/>
        <v>0.43558797394533577</v>
      </c>
      <c r="R12" s="71">
        <f>INDEX('FW Catch'!H12:H104, MATCH('FW Summary'!A12, 'FW Catch'!A12:A104))</f>
        <v>0.33333333333333331</v>
      </c>
      <c r="S12" s="17">
        <f>INDEX(WhonSpComp!AT14:AT141, MATCH('FW Summary'!A12, WhonSpComp!A14:A141,0))</f>
        <v>0.66666666666666663</v>
      </c>
      <c r="T12" s="131">
        <f t="shared" si="8"/>
        <v>1358.2379566680827</v>
      </c>
      <c r="U12" s="130">
        <f t="shared" si="9"/>
        <v>3118.1713865188922</v>
      </c>
      <c r="V12" s="145">
        <f t="shared" si="10"/>
        <v>0</v>
      </c>
      <c r="W12" s="71">
        <f>INDEX('FW Catch'!I12:I104, MATCH('FW Summary'!A12, 'FW Catch'!A12:A104))</f>
        <v>0</v>
      </c>
      <c r="X12" s="17">
        <f>INDEX(WhonSpComp!AV14:AV141, MATCH('FW Summary'!A12, WhonSpComp!A14:A141,0))</f>
        <v>0</v>
      </c>
      <c r="Y12" s="131">
        <f t="shared" si="11"/>
        <v>0</v>
      </c>
    </row>
    <row r="13" spans="1:25" x14ac:dyDescent="0.3">
      <c r="A13" s="1">
        <f t="shared" si="12"/>
        <v>45112</v>
      </c>
      <c r="B13" s="127">
        <f>INDEX('[1]Passage Estimates'!$D$6:$D$128, MATCH($A13, '[1]Passage Estimates'!$A$6:$A$128,0))</f>
        <v>6167.8626078819561</v>
      </c>
      <c r="C13" s="128">
        <f>INDEX('2. Salmon Passage by Bin'!$K$6:$K$128, MATCH('FW Summary'!$A13,'2. Salmon Passage by Bin'!$A$6:$A$128,0))</f>
        <v>2753.76</v>
      </c>
      <c r="D13" s="76">
        <f>INDEX('2. Salmon Passage by Bin'!$E$6:$E$128, MATCH('FW Summary'!$A13, '2. Salmon Passage by Bin'!$A$6:$A$128,0))+INDEX('2. Salmon Passage by Bin'!$F$6:$F$128, MATCH('FW Summary'!$A13, '2. Salmon Passage by Bin'!$A$6:$A$128,0))+INDEX('2. Salmon Passage by Bin'!$G$6:$G$128, MATCH('FW Summary'!$A13, '2. Salmon Passage by Bin'!$A$6:$A$128,0))+INDEX('2. Salmon Passage by Bin'!$H$6:$H$128, MATCH('FW Summary'!$A13, '2. Salmon Passage by Bin'!$A$6:$A$128,0))+_xlfn.IFNA(INDEX('2. Salmon Passage by Bin'!$I$6:$I$128, MATCH('FW Summary'!$A13, '2. Salmon Passage by Bin'!$A$6:$A$128,0)),0)+_xlfn.IFNA(INDEX('2. Salmon Passage by Bin'!$J$6:$J$128, MATCH('FW Summary'!$A13, '2. Salmon Passage by Bin'!$A$6:$A$128,0)),0)</f>
        <v>2246.4995519999998</v>
      </c>
      <c r="E13" s="129">
        <f>INDEX('2. Salmon Passage by Bin'!$M$6:$M$128, MATCH('FW Summary'!$A13, '2. Salmon Passage by Bin'!$A$6:$A$128,0))+INDEX('2. Salmon Passage by Bin'!$N$6:$N$128, MATCH('FW Summary'!$A13, '2. Salmon Passage by Bin'!$A$6:$A$128,0))+INDEX('2. Salmon Passage by Bin'!$O$6:$O$128, MATCH('FW Summary'!$A13, '2. Salmon Passage by Bin'!$A$6:$A$128,0))</f>
        <v>1157.9088672978723</v>
      </c>
      <c r="F13" s="130">
        <f t="shared" si="0"/>
        <v>6167.8626078819561</v>
      </c>
      <c r="G13" s="145">
        <f t="shared" si="1"/>
        <v>0</v>
      </c>
      <c r="H13" s="71">
        <f>INDEX('FW Catch'!F13:F105, MATCH('FW Summary'!A13, 'FW Catch'!A13:A105))</f>
        <v>0</v>
      </c>
      <c r="I13" s="142">
        <f>INDEX('Pink Proportion'!$S$6:$S$128, MATCH('FW Summary'!A13, 'Pink Proportion'!$A$6:$A$128))/C13</f>
        <v>0</v>
      </c>
      <c r="J13" s="131">
        <f t="shared" si="2"/>
        <v>0</v>
      </c>
      <c r="K13" s="130">
        <f t="shared" si="3"/>
        <v>2129.1701012774506</v>
      </c>
      <c r="L13" s="145">
        <f t="shared" si="4"/>
        <v>0.65479612036808854</v>
      </c>
      <c r="M13" s="71">
        <f>INDEX('FW Catch'!G13:G105, MATCH('FW Summary'!A13, 'FW Catch'!A13:A105))</f>
        <v>0.6470588235294118</v>
      </c>
      <c r="N13" s="17">
        <f>INDEX(WhonSpComp!AN15:AN142, MATCH('FW Summary'!A13, WhonSpComp!A15:A142,0))</f>
        <v>0.66666666666666663</v>
      </c>
      <c r="O13" s="131">
        <f t="shared" si="5"/>
        <v>4038.6925066045055</v>
      </c>
      <c r="P13" s="130">
        <f t="shared" si="6"/>
        <v>4649.1646515352732</v>
      </c>
      <c r="Q13" s="145">
        <f t="shared" si="7"/>
        <v>0.24622759177643294</v>
      </c>
      <c r="R13" s="71">
        <f>INDEX('FW Catch'!H13:H105, MATCH('FW Summary'!A13, 'FW Catch'!A13:A105))</f>
        <v>0.17647058823529413</v>
      </c>
      <c r="S13" s="17">
        <f>INDEX(WhonSpComp!AT15:AT142, MATCH('FW Summary'!A13, WhonSpComp!A15:A142,0))</f>
        <v>0.33333333333333331</v>
      </c>
      <c r="T13" s="131">
        <f t="shared" si="8"/>
        <v>1518.6979563466834</v>
      </c>
      <c r="U13" s="130">
        <f t="shared" si="9"/>
        <v>5567.0846515352732</v>
      </c>
      <c r="V13" s="145">
        <f t="shared" si="10"/>
        <v>9.7404562089133576E-2</v>
      </c>
      <c r="W13" s="71">
        <f>INDEX('FW Catch'!I13:I105, MATCH('FW Summary'!A13, 'FW Catch'!A13:A105))</f>
        <v>0.17647058823529413</v>
      </c>
      <c r="X13" s="17">
        <f>INDEX(WhonSpComp!AV15:AV142, MATCH('FW Summary'!A13, WhonSpComp!A15:A142,0))</f>
        <v>0</v>
      </c>
      <c r="Y13" s="131">
        <f t="shared" si="11"/>
        <v>600.77795634668337</v>
      </c>
    </row>
    <row r="14" spans="1:25" s="136" customFormat="1" x14ac:dyDescent="0.3">
      <c r="A14" s="135">
        <f t="shared" si="12"/>
        <v>45113</v>
      </c>
      <c r="B14" s="127">
        <f>INDEX('[1]Passage Estimates'!$D$6:$D$128, MATCH($A14, '[1]Passage Estimates'!$A$6:$A$128,0))</f>
        <v>4785.7199999999984</v>
      </c>
      <c r="C14" s="128">
        <f>INDEX('2. Salmon Passage by Bin'!$K$6:$K$128, MATCH('FW Summary'!$A14,'2. Salmon Passage by Bin'!$A$6:$A$128,0))</f>
        <v>2532.2399999999989</v>
      </c>
      <c r="D14" s="76">
        <f>INDEX('2. Salmon Passage by Bin'!$E$6:$E$128, MATCH('FW Summary'!$A14, '2. Salmon Passage by Bin'!$A$6:$A$128,0))+INDEX('2. Salmon Passage by Bin'!$F$6:$F$128, MATCH('FW Summary'!$A14, '2. Salmon Passage by Bin'!$A$6:$A$128,0))+INDEX('2. Salmon Passage by Bin'!$G$6:$G$128, MATCH('FW Summary'!$A14, '2. Salmon Passage by Bin'!$A$6:$A$128,0))+INDEX('2. Salmon Passage by Bin'!$H$6:$H$128, MATCH('FW Summary'!$A14, '2. Salmon Passage by Bin'!$A$6:$A$128,0))+_xlfn.IFNA(INDEX('2. Salmon Passage by Bin'!$I$6:$I$128, MATCH('FW Summary'!$A14, '2. Salmon Passage by Bin'!$A$6:$A$128,0)),0)+_xlfn.IFNA(INDEX('2. Salmon Passage by Bin'!$J$6:$J$128, MATCH('FW Summary'!$A14, '2. Salmon Passage by Bin'!$A$6:$A$128,0)),0)</f>
        <v>2010.4799999999998</v>
      </c>
      <c r="E14" s="129">
        <f>INDEX('2. Salmon Passage by Bin'!$M$6:$M$128, MATCH('FW Summary'!$A14, '2. Salmon Passage by Bin'!$A$6:$A$128,0))+INDEX('2. Salmon Passage by Bin'!$N$6:$N$128, MATCH('FW Summary'!$A14, '2. Salmon Passage by Bin'!$A$6:$A$128,0))+INDEX('2. Salmon Passage by Bin'!$O$6:$O$128, MATCH('FW Summary'!$A14, '2. Salmon Passage by Bin'!$A$6:$A$128,0))</f>
        <v>329</v>
      </c>
      <c r="F14" s="130">
        <f t="shared" si="0"/>
        <v>4785.7199999999984</v>
      </c>
      <c r="G14" s="145">
        <f t="shared" si="1"/>
        <v>0</v>
      </c>
      <c r="H14" s="17">
        <f>INDEX('FW Catch'!F14:F106, MATCH('FW Summary'!A14, 'FW Catch'!A14:A106))</f>
        <v>0</v>
      </c>
      <c r="I14" s="143">
        <f>INDEX('Pink Proportion'!$S$6:$S$128, MATCH('FW Summary'!A14, 'Pink Proportion'!$A$6:$A$128))/C14</f>
        <v>0</v>
      </c>
      <c r="J14" s="131">
        <f t="shared" si="2"/>
        <v>0</v>
      </c>
      <c r="K14" s="130">
        <f t="shared" si="3"/>
        <v>2986.119999999999</v>
      </c>
      <c r="L14" s="145">
        <f t="shared" si="4"/>
        <v>0.37603537189806346</v>
      </c>
      <c r="M14" s="71">
        <f>INDEX('FW Catch'!G14:G106, MATCH('FW Summary'!A14, 'FW Catch'!A14:A106))</f>
        <v>0.76923076923076927</v>
      </c>
      <c r="N14" s="17">
        <f>INDEX(WhonSpComp!AN16:AN143, MATCH('FW Summary'!A14, WhonSpComp!A16:A143,0))</f>
        <v>0</v>
      </c>
      <c r="O14" s="131">
        <f t="shared" si="5"/>
        <v>1799.5999999999997</v>
      </c>
      <c r="P14" s="130">
        <f t="shared" si="6"/>
        <v>4425.7999999999984</v>
      </c>
      <c r="Q14" s="145">
        <f t="shared" si="7"/>
        <v>7.5207074379612701E-2</v>
      </c>
      <c r="R14" s="71">
        <f>INDEX('FW Catch'!H14:H106, MATCH('FW Summary'!A14, 'FW Catch'!A14:A106))</f>
        <v>0.15384615384615385</v>
      </c>
      <c r="S14" s="17">
        <f>INDEX(WhonSpComp!AT16:AT143, MATCH('FW Summary'!A14, WhonSpComp!A16:A143,0))</f>
        <v>0</v>
      </c>
      <c r="T14" s="131">
        <f t="shared" si="8"/>
        <v>359.91999999999996</v>
      </c>
      <c r="U14" s="130">
        <f t="shared" si="9"/>
        <v>4605.7599999999984</v>
      </c>
      <c r="V14" s="145">
        <f t="shared" si="10"/>
        <v>3.7603537189806351E-2</v>
      </c>
      <c r="W14" s="71">
        <f>INDEX('FW Catch'!I14:I106, MATCH('FW Summary'!A14, 'FW Catch'!A14:A106))</f>
        <v>7.6923076923076927E-2</v>
      </c>
      <c r="X14" s="17">
        <f>INDEX(WhonSpComp!AV16:AV143, MATCH('FW Summary'!A14, WhonSpComp!A16:A143,0))</f>
        <v>0</v>
      </c>
      <c r="Y14" s="131">
        <f t="shared" si="11"/>
        <v>179.95999999999998</v>
      </c>
    </row>
    <row r="15" spans="1:25" x14ac:dyDescent="0.3">
      <c r="A15" s="1">
        <f t="shared" si="12"/>
        <v>45114</v>
      </c>
      <c r="B15" s="127">
        <f>INDEX('[1]Passage Estimates'!$D$6:$D$128, MATCH($A15, '[1]Passage Estimates'!$A$6:$A$128,0))</f>
        <v>5730.28</v>
      </c>
      <c r="C15" s="128">
        <f>INDEX('2. Salmon Passage by Bin'!$K$6:$K$128, MATCH('FW Summary'!$A15,'2. Salmon Passage by Bin'!$A$6:$A$128,0))</f>
        <v>2294.88</v>
      </c>
      <c r="D15" s="76">
        <f>INDEX('2. Salmon Passage by Bin'!$E$6:$E$128, MATCH('FW Summary'!$A15, '2. Salmon Passage by Bin'!$A$6:$A$128,0))+INDEX('2. Salmon Passage by Bin'!$F$6:$F$128, MATCH('FW Summary'!$A15, '2. Salmon Passage by Bin'!$A$6:$A$128,0))+INDEX('2. Salmon Passage by Bin'!$G$6:$G$128, MATCH('FW Summary'!$A15, '2. Salmon Passage by Bin'!$A$6:$A$128,0))+INDEX('2. Salmon Passage by Bin'!$H$6:$H$128, MATCH('FW Summary'!$A15, '2. Salmon Passage by Bin'!$A$6:$A$128,0))+_xlfn.IFNA(INDEX('2. Salmon Passage by Bin'!$I$6:$I$128, MATCH('FW Summary'!$A15, '2. Salmon Passage by Bin'!$A$6:$A$128,0)),0)+_xlfn.IFNA(INDEX('2. Salmon Passage by Bin'!$J$6:$J$128, MATCH('FW Summary'!$A15, '2. Salmon Passage by Bin'!$A$6:$A$128,0)),0)</f>
        <v>2102.3999999999996</v>
      </c>
      <c r="E15" s="129">
        <f>INDEX('2. Salmon Passage by Bin'!$M$6:$M$128, MATCH('FW Summary'!$A15, '2. Salmon Passage by Bin'!$A$6:$A$128,0))+INDEX('2. Salmon Passage by Bin'!$N$6:$N$128, MATCH('FW Summary'!$A15, '2. Salmon Passage by Bin'!$A$6:$A$128,0))+INDEX('2. Salmon Passage by Bin'!$O$6:$O$128, MATCH('FW Summary'!$A15, '2. Salmon Passage by Bin'!$A$6:$A$128,0))</f>
        <v>1224</v>
      </c>
      <c r="F15" s="130">
        <f t="shared" si="0"/>
        <v>5730.28</v>
      </c>
      <c r="G15" s="145">
        <f t="shared" si="1"/>
        <v>0</v>
      </c>
      <c r="H15" s="71">
        <f>INDEX('FW Catch'!F15:F107, MATCH('FW Summary'!A15, 'FW Catch'!A15:A107))</f>
        <v>0</v>
      </c>
      <c r="I15" s="142">
        <f>INDEX('Pink Proportion'!$S$6:$S$128, MATCH('FW Summary'!A15, 'Pink Proportion'!$A$6:$A$128))/C15</f>
        <v>0</v>
      </c>
      <c r="J15" s="131">
        <f t="shared" si="2"/>
        <v>0</v>
      </c>
      <c r="K15" s="130">
        <f t="shared" si="3"/>
        <v>3613.48</v>
      </c>
      <c r="L15" s="145">
        <f t="shared" si="4"/>
        <v>0.36940603251499049</v>
      </c>
      <c r="M15" s="71">
        <f>INDEX('FW Catch'!G15:G107, MATCH('FW Summary'!A15, 'FW Catch'!A15:A107))</f>
        <v>0.63636363636363635</v>
      </c>
      <c r="N15" s="17">
        <f>INDEX(WhonSpComp!AN17:AN144, MATCH('FW Summary'!A15, WhonSpComp!A17:A144,0))</f>
        <v>0</v>
      </c>
      <c r="O15" s="131">
        <f t="shared" si="5"/>
        <v>2116.7999999999997</v>
      </c>
      <c r="P15" s="130">
        <f t="shared" si="6"/>
        <v>2528.1999999999998</v>
      </c>
      <c r="Q15" s="145">
        <f t="shared" si="7"/>
        <v>0.55879991902664439</v>
      </c>
      <c r="R15" s="71">
        <f>INDEX('FW Catch'!H15:H107, MATCH('FW Summary'!A15, 'FW Catch'!A15:A107))</f>
        <v>0.27272727272727271</v>
      </c>
      <c r="S15" s="17">
        <f>INDEX(WhonSpComp!AT17:AT144, MATCH('FW Summary'!A15, WhonSpComp!A17:A144,0))</f>
        <v>1</v>
      </c>
      <c r="T15" s="131">
        <f t="shared" si="8"/>
        <v>3202.08</v>
      </c>
      <c r="U15" s="130">
        <f t="shared" si="9"/>
        <v>5427.88</v>
      </c>
      <c r="V15" s="145">
        <f t="shared" si="10"/>
        <v>5.2772290359284359E-2</v>
      </c>
      <c r="W15" s="71">
        <f>INDEX('FW Catch'!I15:I107, MATCH('FW Summary'!A15, 'FW Catch'!A15:A107))</f>
        <v>9.0909090909090912E-2</v>
      </c>
      <c r="X15" s="17">
        <f>INDEX(WhonSpComp!AV17:AV144, MATCH('FW Summary'!A15, WhonSpComp!A17:A144,0))</f>
        <v>0</v>
      </c>
      <c r="Y15" s="131">
        <f t="shared" si="11"/>
        <v>302.39999999999998</v>
      </c>
    </row>
    <row r="16" spans="1:25" x14ac:dyDescent="0.3">
      <c r="A16" s="1">
        <f t="shared" si="12"/>
        <v>45115</v>
      </c>
      <c r="B16" s="127">
        <f>INDEX('[1]Passage Estimates'!$D$6:$D$128, MATCH($A16, '[1]Passage Estimates'!$A$6:$A$128,0))</f>
        <v>5636.4400000000023</v>
      </c>
      <c r="C16" s="128">
        <f>INDEX('2. Salmon Passage by Bin'!$K$6:$K$128, MATCH('FW Summary'!$A16,'2. Salmon Passage by Bin'!$A$6:$A$128,0))</f>
        <v>2562.2400000000011</v>
      </c>
      <c r="D16" s="76">
        <f>INDEX('2. Salmon Passage by Bin'!$E$6:$E$128, MATCH('FW Summary'!$A16, '2. Salmon Passage by Bin'!$A$6:$A$128,0))+INDEX('2. Salmon Passage by Bin'!$F$6:$F$128, MATCH('FW Summary'!$A16, '2. Salmon Passage by Bin'!$A$6:$A$128,0))+INDEX('2. Salmon Passage by Bin'!$G$6:$G$128, MATCH('FW Summary'!$A16, '2. Salmon Passage by Bin'!$A$6:$A$128,0))+INDEX('2. Salmon Passage by Bin'!$H$6:$H$128, MATCH('FW Summary'!$A16, '2. Salmon Passage by Bin'!$A$6:$A$128,0))+_xlfn.IFNA(INDEX('2. Salmon Passage by Bin'!$I$6:$I$128, MATCH('FW Summary'!$A16, '2. Salmon Passage by Bin'!$A$6:$A$128,0)),0)+_xlfn.IFNA(INDEX('2. Salmon Passage by Bin'!$J$6:$J$128, MATCH('FW Summary'!$A16, '2. Salmon Passage by Bin'!$A$6:$A$128,0)),0)</f>
        <v>2227.1999999999998</v>
      </c>
      <c r="E16" s="129">
        <f>INDEX('2. Salmon Passage by Bin'!$M$6:$M$128, MATCH('FW Summary'!$A16, '2. Salmon Passage by Bin'!$A$6:$A$128,0))+INDEX('2. Salmon Passage by Bin'!$N$6:$N$128, MATCH('FW Summary'!$A16, '2. Salmon Passage by Bin'!$A$6:$A$128,0))+INDEX('2. Salmon Passage by Bin'!$O$6:$O$128, MATCH('FW Summary'!$A16, '2. Salmon Passage by Bin'!$A$6:$A$128,0))</f>
        <v>839</v>
      </c>
      <c r="F16" s="130">
        <f t="shared" si="0"/>
        <v>5636.4400000000023</v>
      </c>
      <c r="G16" s="145">
        <f t="shared" si="1"/>
        <v>0</v>
      </c>
      <c r="H16" s="71">
        <f>INDEX('FW Catch'!F16:F108, MATCH('FW Summary'!A16, 'FW Catch'!A16:A108))</f>
        <v>0</v>
      </c>
      <c r="I16" s="142">
        <f>INDEX('Pink Proportion'!$S$6:$S$128, MATCH('FW Summary'!A16, 'Pink Proportion'!$A$6:$A$128))/C16</f>
        <v>0</v>
      </c>
      <c r="J16" s="131">
        <f t="shared" si="2"/>
        <v>0</v>
      </c>
      <c r="K16" s="130">
        <f t="shared" si="3"/>
        <v>4800.2036363636389</v>
      </c>
      <c r="L16" s="145">
        <f t="shared" si="4"/>
        <v>0.14836250605636947</v>
      </c>
      <c r="M16" s="71">
        <f>INDEX('FW Catch'!G16:G108, MATCH('FW Summary'!A16, 'FW Catch'!A16:A108))</f>
        <v>0.27272727272727271</v>
      </c>
      <c r="N16" s="17">
        <f>INDEX(WhonSpComp!AN18:AN145, MATCH('FW Summary'!A16, WhonSpComp!A18:A145,0))</f>
        <v>0</v>
      </c>
      <c r="O16" s="131">
        <f t="shared" si="5"/>
        <v>836.23636363636354</v>
      </c>
      <c r="P16" s="130">
        <f t="shared" si="6"/>
        <v>1680.4727272727287</v>
      </c>
      <c r="Q16" s="145">
        <f t="shared" si="7"/>
        <v>0.7018556522782593</v>
      </c>
      <c r="R16" s="71">
        <f>INDEX('FW Catch'!H16:H108, MATCH('FW Summary'!A16, 'FW Catch'!A16:A108))</f>
        <v>0.45454545454545453</v>
      </c>
      <c r="S16" s="17">
        <f>INDEX(WhonSpComp!AT18:AT145, MATCH('FW Summary'!A16, WhonSpComp!A18:A145,0))</f>
        <v>1</v>
      </c>
      <c r="T16" s="131">
        <f t="shared" si="8"/>
        <v>3955.9672727272737</v>
      </c>
      <c r="U16" s="130">
        <f t="shared" si="9"/>
        <v>4800.2036363636389</v>
      </c>
      <c r="V16" s="145">
        <f t="shared" si="10"/>
        <v>0.14836250605636947</v>
      </c>
      <c r="W16" s="71">
        <f>INDEX('FW Catch'!I16:I108, MATCH('FW Summary'!A16, 'FW Catch'!A16:A108))</f>
        <v>0.27272727272727271</v>
      </c>
      <c r="X16" s="17">
        <f>INDEX(WhonSpComp!AV18:AV145, MATCH('FW Summary'!A16, WhonSpComp!A18:A145,0))</f>
        <v>0</v>
      </c>
      <c r="Y16" s="131">
        <f t="shared" si="11"/>
        <v>836.23636363636354</v>
      </c>
    </row>
    <row r="17" spans="1:25" x14ac:dyDescent="0.3">
      <c r="A17" s="1">
        <f t="shared" si="12"/>
        <v>45116</v>
      </c>
      <c r="B17" s="127">
        <f>INDEX('[1]Passage Estimates'!$D$6:$D$128, MATCH($A17, '[1]Passage Estimates'!$A$6:$A$128,0))</f>
        <v>6104.5599999999995</v>
      </c>
      <c r="C17" s="128">
        <f>INDEX('2. Salmon Passage by Bin'!$K$6:$K$128, MATCH('FW Summary'!$A17,'2. Salmon Passage by Bin'!$A$6:$A$128,0))</f>
        <v>2378.88</v>
      </c>
      <c r="D17" s="76">
        <f>INDEX('2. Salmon Passage by Bin'!$E$6:$E$128, MATCH('FW Summary'!$A17, '2. Salmon Passage by Bin'!$A$6:$A$128,0))+INDEX('2. Salmon Passage by Bin'!$F$6:$F$128, MATCH('FW Summary'!$A17, '2. Salmon Passage by Bin'!$A$6:$A$128,0))+INDEX('2. Salmon Passage by Bin'!$G$6:$G$128, MATCH('FW Summary'!$A17, '2. Salmon Passage by Bin'!$A$6:$A$128,0))+INDEX('2. Salmon Passage by Bin'!$H$6:$H$128, MATCH('FW Summary'!$A17, '2. Salmon Passage by Bin'!$A$6:$A$128,0))+_xlfn.IFNA(INDEX('2. Salmon Passage by Bin'!$I$6:$I$128, MATCH('FW Summary'!$A17, '2. Salmon Passage by Bin'!$A$6:$A$128,0)),0)+_xlfn.IFNA(INDEX('2. Salmon Passage by Bin'!$J$6:$J$128, MATCH('FW Summary'!$A17, '2. Salmon Passage by Bin'!$A$6:$A$128,0)),0)</f>
        <v>2719.6799999999994</v>
      </c>
      <c r="E17" s="129">
        <f>INDEX('2. Salmon Passage by Bin'!$M$6:$M$128, MATCH('FW Summary'!$A17, '2. Salmon Passage by Bin'!$A$6:$A$128,0))+INDEX('2. Salmon Passage by Bin'!$N$6:$N$128, MATCH('FW Summary'!$A17, '2. Salmon Passage by Bin'!$A$6:$A$128,0))+INDEX('2. Salmon Passage by Bin'!$O$6:$O$128, MATCH('FW Summary'!$A17, '2. Salmon Passage by Bin'!$A$6:$A$128,0))</f>
        <v>998</v>
      </c>
      <c r="F17" s="130">
        <f t="shared" si="0"/>
        <v>6104.5599999999995</v>
      </c>
      <c r="G17" s="145">
        <f t="shared" si="1"/>
        <v>0</v>
      </c>
      <c r="H17" s="71">
        <f>INDEX('FW Catch'!F17:F109, MATCH('FW Summary'!A17, 'FW Catch'!A17:A109))</f>
        <v>0</v>
      </c>
      <c r="I17" s="142">
        <f>INDEX('Pink Proportion'!$S$6:$S$128, MATCH('FW Summary'!A17, 'Pink Proportion'!$A$6:$A$128))/C17</f>
        <v>0</v>
      </c>
      <c r="J17" s="131">
        <f t="shared" si="2"/>
        <v>0</v>
      </c>
      <c r="K17" s="130">
        <f t="shared" si="3"/>
        <v>3980.1714285714284</v>
      </c>
      <c r="L17" s="145">
        <f t="shared" si="4"/>
        <v>0.34800027707624648</v>
      </c>
      <c r="M17" s="71">
        <f>INDEX('FW Catch'!G17:G109, MATCH('FW Summary'!A17, 'FW Catch'!A17:A109))</f>
        <v>0.5714285714285714</v>
      </c>
      <c r="N17" s="17">
        <f>INDEX(WhonSpComp!AN19:AN146, MATCH('FW Summary'!A17, WhonSpComp!A19:A146,0))</f>
        <v>0</v>
      </c>
      <c r="O17" s="131">
        <f t="shared" si="5"/>
        <v>2124.3885714285711</v>
      </c>
      <c r="P17" s="130">
        <f t="shared" si="6"/>
        <v>2663.4857142857136</v>
      </c>
      <c r="Q17" s="145">
        <f t="shared" si="7"/>
        <v>0.56368915789414575</v>
      </c>
      <c r="R17" s="71">
        <f>INDEX('FW Catch'!H17:H109, MATCH('FW Summary'!A17, 'FW Catch'!A17:A109))</f>
        <v>0.2857142857142857</v>
      </c>
      <c r="S17" s="17">
        <f>INDEX(WhonSpComp!AT19:AT146, MATCH('FW Summary'!A17, WhonSpComp!A19:A146,0))</f>
        <v>1</v>
      </c>
      <c r="T17" s="131">
        <f t="shared" si="8"/>
        <v>3441.0742857142859</v>
      </c>
      <c r="U17" s="130">
        <f t="shared" si="9"/>
        <v>5573.4628571428566</v>
      </c>
      <c r="V17" s="145">
        <f t="shared" si="10"/>
        <v>8.700006926906162E-2</v>
      </c>
      <c r="W17" s="71">
        <f>INDEX('FW Catch'!I17:I109, MATCH('FW Summary'!A17, 'FW Catch'!A17:A109))</f>
        <v>0.14285714285714285</v>
      </c>
      <c r="X17" s="17">
        <f>INDEX(WhonSpComp!AV19:AV146, MATCH('FW Summary'!A17, WhonSpComp!A19:A146,0))</f>
        <v>0</v>
      </c>
      <c r="Y17" s="131">
        <f t="shared" si="11"/>
        <v>531.09714285714279</v>
      </c>
    </row>
    <row r="18" spans="1:25" x14ac:dyDescent="0.3">
      <c r="A18" s="1">
        <f t="shared" si="12"/>
        <v>45117</v>
      </c>
      <c r="B18" s="127">
        <f>INDEX('[1]Passage Estimates'!$D$6:$D$128, MATCH($A18, '[1]Passage Estimates'!$A$6:$A$128,0))</f>
        <v>6559.119999999999</v>
      </c>
      <c r="C18" s="128">
        <f>INDEX('2. Salmon Passage by Bin'!$K$6:$K$128, MATCH('FW Summary'!$A18,'2. Salmon Passage by Bin'!$A$6:$A$128,0))</f>
        <v>1661.0400000000002</v>
      </c>
      <c r="D18" s="76">
        <f>INDEX('2. Salmon Passage by Bin'!$E$6:$E$128, MATCH('FW Summary'!$A18, '2. Salmon Passage by Bin'!$A$6:$A$128,0))+INDEX('2. Salmon Passage by Bin'!$F$6:$F$128, MATCH('FW Summary'!$A18, '2. Salmon Passage by Bin'!$A$6:$A$128,0))+INDEX('2. Salmon Passage by Bin'!$G$6:$G$128, MATCH('FW Summary'!$A18, '2. Salmon Passage by Bin'!$A$6:$A$128,0))+INDEX('2. Salmon Passage by Bin'!$H$6:$H$128, MATCH('FW Summary'!$A18, '2. Salmon Passage by Bin'!$A$6:$A$128,0))+_xlfn.IFNA(INDEX('2. Salmon Passage by Bin'!$I$6:$I$128, MATCH('FW Summary'!$A18, '2. Salmon Passage by Bin'!$A$6:$A$128,0)),0)+_xlfn.IFNA(INDEX('2. Salmon Passage by Bin'!$J$6:$J$128, MATCH('FW Summary'!$A18, '2. Salmon Passage by Bin'!$A$6:$A$128,0)),0)</f>
        <v>3586.08</v>
      </c>
      <c r="E18" s="129">
        <f>INDEX('2. Salmon Passage by Bin'!$M$6:$M$128, MATCH('FW Summary'!$A18, '2. Salmon Passage by Bin'!$A$6:$A$128,0))+INDEX('2. Salmon Passage by Bin'!$N$6:$N$128, MATCH('FW Summary'!$A18, '2. Salmon Passage by Bin'!$A$6:$A$128,0))+INDEX('2. Salmon Passage by Bin'!$O$6:$O$128, MATCH('FW Summary'!$A18, '2. Salmon Passage by Bin'!$A$6:$A$128,0))</f>
        <v>1362</v>
      </c>
      <c r="F18" s="130">
        <f t="shared" si="0"/>
        <v>6559.119999999999</v>
      </c>
      <c r="G18" s="145">
        <f t="shared" si="1"/>
        <v>0</v>
      </c>
      <c r="H18" s="71">
        <f>INDEX('FW Catch'!F18:F110, MATCH('FW Summary'!A18, 'FW Catch'!A18:A110))</f>
        <v>0</v>
      </c>
      <c r="I18" s="142">
        <f>INDEX('Pink Proportion'!$S$6:$S$128, MATCH('FW Summary'!A18, 'Pink Proportion'!$A$6:$A$128))/C18</f>
        <v>0</v>
      </c>
      <c r="J18" s="131">
        <f t="shared" si="2"/>
        <v>0</v>
      </c>
      <c r="K18" s="130">
        <f t="shared" si="3"/>
        <v>2775.2941176470581</v>
      </c>
      <c r="L18" s="145">
        <f t="shared" si="4"/>
        <v>0.57688011232496761</v>
      </c>
      <c r="M18" s="71">
        <f>INDEX('FW Catch'!G18:G110, MATCH('FW Summary'!A18, 'FW Catch'!A18:A110))</f>
        <v>0.76470588235294112</v>
      </c>
      <c r="N18" s="17">
        <f>INDEX(WhonSpComp!AN20:AN147, MATCH('FW Summary'!A18, WhonSpComp!A20:A147,0))</f>
        <v>0</v>
      </c>
      <c r="O18" s="131">
        <f t="shared" si="5"/>
        <v>3783.8258823529409</v>
      </c>
      <c r="P18" s="130">
        <f t="shared" si="6"/>
        <v>4315.9529411764688</v>
      </c>
      <c r="Q18" s="145">
        <f t="shared" si="7"/>
        <v>0.34199207497705941</v>
      </c>
      <c r="R18" s="71">
        <f>INDEX('FW Catch'!H18:H110, MATCH('FW Summary'!A18, 'FW Catch'!A18:A110))</f>
        <v>0.11764705882352941</v>
      </c>
      <c r="S18" s="17">
        <f>INDEX(WhonSpComp!AT20:AT147, MATCH('FW Summary'!A18, WhonSpComp!A20:A147,0))</f>
        <v>1</v>
      </c>
      <c r="T18" s="131">
        <f t="shared" si="8"/>
        <v>2243.1670588235297</v>
      </c>
      <c r="U18" s="130">
        <f t="shared" si="9"/>
        <v>5976.9929411764697</v>
      </c>
      <c r="V18" s="145">
        <f t="shared" si="10"/>
        <v>8.875078651153348E-2</v>
      </c>
      <c r="W18" s="71">
        <f>INDEX('FW Catch'!I18:I110, MATCH('FW Summary'!A18, 'FW Catch'!A18:A110))</f>
        <v>0.11764705882352941</v>
      </c>
      <c r="X18" s="17">
        <f>INDEX(WhonSpComp!AV20:AV147, MATCH('FW Summary'!A18, WhonSpComp!A20:A147,0))</f>
        <v>0</v>
      </c>
      <c r="Y18" s="131">
        <f t="shared" si="11"/>
        <v>582.12705882352941</v>
      </c>
    </row>
    <row r="19" spans="1:25" x14ac:dyDescent="0.3">
      <c r="A19" s="1">
        <f t="shared" si="12"/>
        <v>45118</v>
      </c>
      <c r="B19" s="127">
        <f>INDEX('[1]Passage Estimates'!$D$6:$D$128, MATCH($A19, '[1]Passage Estimates'!$A$6:$A$128,0))</f>
        <v>4732.0800000000008</v>
      </c>
      <c r="C19" s="128">
        <f>INDEX('2. Salmon Passage by Bin'!$K$6:$K$128, MATCH('FW Summary'!$A19,'2. Salmon Passage by Bin'!$A$6:$A$128,0))</f>
        <v>1585.200000000001</v>
      </c>
      <c r="D19" s="76">
        <f>INDEX('2. Salmon Passage by Bin'!$E$6:$E$128, MATCH('FW Summary'!$A19, '2. Salmon Passage by Bin'!$A$6:$A$128,0))+INDEX('2. Salmon Passage by Bin'!$F$6:$F$128, MATCH('FW Summary'!$A19, '2. Salmon Passage by Bin'!$A$6:$A$128,0))+INDEX('2. Salmon Passage by Bin'!$G$6:$G$128, MATCH('FW Summary'!$A19, '2. Salmon Passage by Bin'!$A$6:$A$128,0))+INDEX('2. Salmon Passage by Bin'!$H$6:$H$128, MATCH('FW Summary'!$A19, '2. Salmon Passage by Bin'!$A$6:$A$128,0))+_xlfn.IFNA(INDEX('2. Salmon Passage by Bin'!$I$6:$I$128, MATCH('FW Summary'!$A19, '2. Salmon Passage by Bin'!$A$6:$A$128,0)),0)+_xlfn.IFNA(INDEX('2. Salmon Passage by Bin'!$J$6:$J$128, MATCH('FW Summary'!$A19, '2. Salmon Passage by Bin'!$A$6:$A$128,0)),0)</f>
        <v>2969.9999999999995</v>
      </c>
      <c r="E19" s="129">
        <f>INDEX('2. Salmon Passage by Bin'!$M$6:$M$128, MATCH('FW Summary'!$A19, '2. Salmon Passage by Bin'!$A$6:$A$128,0))+INDEX('2. Salmon Passage by Bin'!$N$6:$N$128, MATCH('FW Summary'!$A19, '2. Salmon Passage by Bin'!$A$6:$A$128,0))+INDEX('2. Salmon Passage by Bin'!$O$6:$O$128, MATCH('FW Summary'!$A19, '2. Salmon Passage by Bin'!$A$6:$A$128,0))</f>
        <v>195.12</v>
      </c>
      <c r="F19" s="130">
        <f t="shared" si="0"/>
        <v>4732.0800000000008</v>
      </c>
      <c r="G19" s="145">
        <f t="shared" si="1"/>
        <v>0</v>
      </c>
      <c r="H19" s="71">
        <f>INDEX('FW Catch'!F19:F111, MATCH('FW Summary'!A19, 'FW Catch'!A19:A111))</f>
        <v>0</v>
      </c>
      <c r="I19" s="142">
        <f>INDEX('Pink Proportion'!$S$6:$S$128, MATCH('FW Summary'!A19, 'Pink Proportion'!$A$6:$A$128))/C19</f>
        <v>0</v>
      </c>
      <c r="J19" s="131">
        <f t="shared" si="2"/>
        <v>0</v>
      </c>
      <c r="K19" s="130">
        <f t="shared" si="3"/>
        <v>557.23636363636342</v>
      </c>
      <c r="L19" s="145">
        <f t="shared" si="4"/>
        <v>0.88224282690986555</v>
      </c>
      <c r="M19" s="71">
        <f>INDEX('FW Catch'!G19:G111, MATCH('FW Summary'!A19, 'FW Catch'!A19:A111))</f>
        <v>0.81818181818181823</v>
      </c>
      <c r="N19" s="17">
        <f>INDEX(WhonSpComp!AN21:AN148, MATCH('FW Summary'!A19, WhonSpComp!A21:A148,0))</f>
        <v>1</v>
      </c>
      <c r="O19" s="131">
        <f t="shared" si="5"/>
        <v>4174.8436363636374</v>
      </c>
      <c r="P19" s="130">
        <f t="shared" si="6"/>
        <v>4156.6036363636376</v>
      </c>
      <c r="Q19" s="145">
        <f t="shared" si="7"/>
        <v>0.1216117148561232</v>
      </c>
      <c r="R19" s="71">
        <f>INDEX('FW Catch'!H19:H111, MATCH('FW Summary'!A19, 'FW Catch'!A19:A111))</f>
        <v>0.18181818181818182</v>
      </c>
      <c r="S19" s="17">
        <f>INDEX(WhonSpComp!AT21:AT148, MATCH('FW Summary'!A19, WhonSpComp!A21:A148,0))</f>
        <v>0</v>
      </c>
      <c r="T19" s="131">
        <f t="shared" si="8"/>
        <v>575.47636363636354</v>
      </c>
      <c r="U19" s="130">
        <f t="shared" si="9"/>
        <v>4732.0800000000008</v>
      </c>
      <c r="V19" s="145">
        <f t="shared" si="10"/>
        <v>0</v>
      </c>
      <c r="W19" s="71">
        <f>INDEX('FW Catch'!I19:I111, MATCH('FW Summary'!A19, 'FW Catch'!A19:A111))</f>
        <v>0</v>
      </c>
      <c r="X19" s="17">
        <f>INDEX(WhonSpComp!AV21:AV148, MATCH('FW Summary'!A19, WhonSpComp!A21:A148,0))</f>
        <v>0</v>
      </c>
      <c r="Y19" s="131">
        <f t="shared" si="11"/>
        <v>0</v>
      </c>
    </row>
    <row r="20" spans="1:25" x14ac:dyDescent="0.3">
      <c r="A20" s="1">
        <f t="shared" si="12"/>
        <v>45119</v>
      </c>
      <c r="B20" s="127">
        <f>INDEX('[1]Passage Estimates'!$D$6:$D$128, MATCH($A20, '[1]Passage Estimates'!$A$6:$A$128,0))</f>
        <v>4913.9781818181809</v>
      </c>
      <c r="C20" s="128">
        <f>INDEX('2. Salmon Passage by Bin'!$K$6:$K$128, MATCH('FW Summary'!$A20,'2. Salmon Passage by Bin'!$A$6:$A$128,0))</f>
        <v>2266.3199999999993</v>
      </c>
      <c r="D20" s="76">
        <f>INDEX('2. Salmon Passage by Bin'!$E$6:$E$128, MATCH('FW Summary'!$A20, '2. Salmon Passage by Bin'!$A$6:$A$128,0))+INDEX('2. Salmon Passage by Bin'!$F$6:$F$128, MATCH('FW Summary'!$A20, '2. Salmon Passage by Bin'!$A$6:$A$128,0))+INDEX('2. Salmon Passage by Bin'!$G$6:$G$128, MATCH('FW Summary'!$A20, '2. Salmon Passage by Bin'!$A$6:$A$128,0))+INDEX('2. Salmon Passage by Bin'!$H$6:$H$128, MATCH('FW Summary'!$A20, '2. Salmon Passage by Bin'!$A$6:$A$128,0))+_xlfn.IFNA(INDEX('2. Salmon Passage by Bin'!$I$6:$I$128, MATCH('FW Summary'!$A20, '2. Salmon Passage by Bin'!$A$6:$A$128,0)),0)+_xlfn.IFNA(INDEX('2. Salmon Passage by Bin'!$J$6:$J$128, MATCH('FW Summary'!$A20, '2. Salmon Passage by Bin'!$A$6:$A$128,0)),0)</f>
        <v>2680.0581818181818</v>
      </c>
      <c r="E20" s="129">
        <f>INDEX('2. Salmon Passage by Bin'!$M$6:$M$128, MATCH('FW Summary'!$A20, '2. Salmon Passage by Bin'!$A$6:$A$128,0))+INDEX('2. Salmon Passage by Bin'!$N$6:$N$128, MATCH('FW Summary'!$A20, '2. Salmon Passage by Bin'!$A$6:$A$128,0))+INDEX('2. Salmon Passage by Bin'!$O$6:$O$128, MATCH('FW Summary'!$A20, '2. Salmon Passage by Bin'!$A$6:$A$128,0))</f>
        <v>39.600000000000009</v>
      </c>
      <c r="F20" s="130">
        <f t="shared" si="0"/>
        <v>4913.9781818181809</v>
      </c>
      <c r="G20" s="145">
        <f t="shared" si="1"/>
        <v>0</v>
      </c>
      <c r="H20" s="71">
        <f>INDEX('FW Catch'!F20:F112, MATCH('FW Summary'!A20, 'FW Catch'!A20:A112))</f>
        <v>0</v>
      </c>
      <c r="I20" s="142">
        <f>INDEX('Pink Proportion'!$S$6:$S$128, MATCH('FW Summary'!A20, 'Pink Proportion'!$A$6:$A$128))/C20</f>
        <v>0</v>
      </c>
      <c r="J20" s="131">
        <f t="shared" si="2"/>
        <v>0</v>
      </c>
      <c r="K20" s="130">
        <f t="shared" si="3"/>
        <v>2821.9334265734255</v>
      </c>
      <c r="L20" s="145">
        <f t="shared" si="4"/>
        <v>0.42573342368213263</v>
      </c>
      <c r="M20" s="71">
        <f>INDEX('FW Catch'!G20:G112, MATCH('FW Summary'!A20, 'FW Catch'!A20:A112))</f>
        <v>0.76923076923076927</v>
      </c>
      <c r="N20" s="17">
        <f>INDEX(WhonSpComp!AN22:AN149, MATCH('FW Summary'!A20, WhonSpComp!A22:A149,0))</f>
        <v>0</v>
      </c>
      <c r="O20" s="131">
        <f t="shared" si="5"/>
        <v>2092.0447552447554</v>
      </c>
      <c r="P20" s="130">
        <f t="shared" si="6"/>
        <v>4913.9781818181809</v>
      </c>
      <c r="Q20" s="145">
        <f t="shared" si="7"/>
        <v>0</v>
      </c>
      <c r="R20" s="71">
        <f>INDEX('FW Catch'!H20:H112, MATCH('FW Summary'!A20, 'FW Catch'!A20:A112))</f>
        <v>0</v>
      </c>
      <c r="S20" s="17">
        <f>INDEX(WhonSpComp!AT22:AT149, MATCH('FW Summary'!A20, WhonSpComp!A22:A149,0))</f>
        <v>0</v>
      </c>
      <c r="T20" s="131">
        <f t="shared" si="8"/>
        <v>0</v>
      </c>
      <c r="U20" s="130">
        <f t="shared" si="9"/>
        <v>4286.3647552447546</v>
      </c>
      <c r="V20" s="145">
        <f t="shared" si="10"/>
        <v>0.12772002710463978</v>
      </c>
      <c r="W20" s="71">
        <f>INDEX('FW Catch'!I20:I112, MATCH('FW Summary'!A20, 'FW Catch'!A20:A112))</f>
        <v>0.23076923076923078</v>
      </c>
      <c r="X20" s="17">
        <f>INDEX(WhonSpComp!AV22:AV149, MATCH('FW Summary'!A20, WhonSpComp!A22:A149,0))</f>
        <v>0</v>
      </c>
      <c r="Y20" s="131">
        <f t="shared" si="11"/>
        <v>627.61342657342652</v>
      </c>
    </row>
    <row r="21" spans="1:25" x14ac:dyDescent="0.3">
      <c r="A21" s="1">
        <f t="shared" si="12"/>
        <v>45120</v>
      </c>
      <c r="B21" s="127">
        <f>INDEX('[1]Passage Estimates'!$D$6:$D$128, MATCH($A21, '[1]Passage Estimates'!$A$6:$A$128,0))</f>
        <v>5730.9599999999991</v>
      </c>
      <c r="C21" s="128">
        <f>INDEX('2. Salmon Passage by Bin'!$K$6:$K$128, MATCH('FW Summary'!$A21,'2. Salmon Passage by Bin'!$A$6:$A$128,0))</f>
        <v>1901.7599999999995</v>
      </c>
      <c r="D21" s="76">
        <f>INDEX('2. Salmon Passage by Bin'!$E$6:$E$128, MATCH('FW Summary'!$A21, '2. Salmon Passage by Bin'!$A$6:$A$128,0))+INDEX('2. Salmon Passage by Bin'!$F$6:$F$128, MATCH('FW Summary'!$A21, '2. Salmon Passage by Bin'!$A$6:$A$128,0))+INDEX('2. Salmon Passage by Bin'!$G$6:$G$128, MATCH('FW Summary'!$A21, '2. Salmon Passage by Bin'!$A$6:$A$128,0))+INDEX('2. Salmon Passage by Bin'!$H$6:$H$128, MATCH('FW Summary'!$A21, '2. Salmon Passage by Bin'!$A$6:$A$128,0))+_xlfn.IFNA(INDEX('2. Salmon Passage by Bin'!$I$6:$I$128, MATCH('FW Summary'!$A21, '2. Salmon Passage by Bin'!$A$6:$A$128,0)),0)+_xlfn.IFNA(INDEX('2. Salmon Passage by Bin'!$J$6:$J$128, MATCH('FW Summary'!$A21, '2. Salmon Passage by Bin'!$A$6:$A$128,0)),0)</f>
        <v>3362.4</v>
      </c>
      <c r="E21" s="129">
        <f>INDEX('2. Salmon Passage by Bin'!$M$6:$M$128, MATCH('FW Summary'!$A21, '2. Salmon Passage by Bin'!$A$6:$A$128,0))+INDEX('2. Salmon Passage by Bin'!$N$6:$N$128, MATCH('FW Summary'!$A21, '2. Salmon Passage by Bin'!$A$6:$A$128,0))+INDEX('2. Salmon Passage by Bin'!$O$6:$O$128, MATCH('FW Summary'!$A21, '2. Salmon Passage by Bin'!$A$6:$A$128,0))</f>
        <v>447.6</v>
      </c>
      <c r="F21" s="130">
        <f t="shared" si="0"/>
        <v>5730.9599999999991</v>
      </c>
      <c r="G21" s="145">
        <f t="shared" si="1"/>
        <v>0</v>
      </c>
      <c r="H21" s="71">
        <f>INDEX('FW Catch'!F21:F113, MATCH('FW Summary'!A21, 'FW Catch'!A21:A113))</f>
        <v>0</v>
      </c>
      <c r="I21" s="142">
        <f>INDEX('Pink Proportion'!$S$6:$S$128, MATCH('FW Summary'!A21, 'Pink Proportion'!$A$6:$A$128))/C21</f>
        <v>0</v>
      </c>
      <c r="J21" s="131">
        <f t="shared" si="2"/>
        <v>0</v>
      </c>
      <c r="K21" s="130">
        <f t="shared" si="3"/>
        <v>563.48571428571449</v>
      </c>
      <c r="L21" s="145">
        <f t="shared" si="4"/>
        <v>0.90167690678599843</v>
      </c>
      <c r="M21" s="71">
        <f>INDEX('FW Catch'!G21:G113, MATCH('FW Summary'!A21, 'FW Catch'!A21:A113))</f>
        <v>0.8571428571428571</v>
      </c>
      <c r="N21" s="17">
        <f>INDEX(WhonSpComp!AN23:AN150, MATCH('FW Summary'!A21, WhonSpComp!A23:A150,0))</f>
        <v>1</v>
      </c>
      <c r="O21" s="131">
        <f t="shared" si="5"/>
        <v>5167.4742857142846</v>
      </c>
      <c r="P21" s="130">
        <f t="shared" si="6"/>
        <v>5186.6742857142854</v>
      </c>
      <c r="Q21" s="145">
        <f t="shared" si="7"/>
        <v>9.4972869167768453E-2</v>
      </c>
      <c r="R21" s="71">
        <f>INDEX('FW Catch'!H21:H113, MATCH('FW Summary'!A21, 'FW Catch'!A21:A113))</f>
        <v>0.14285714285714285</v>
      </c>
      <c r="S21" s="17">
        <f>INDEX(WhonSpComp!AT23:AT150, MATCH('FW Summary'!A21, WhonSpComp!A23:A150,0))</f>
        <v>0</v>
      </c>
      <c r="T21" s="131">
        <f t="shared" si="8"/>
        <v>544.28571428571422</v>
      </c>
      <c r="U21" s="130">
        <f t="shared" si="9"/>
        <v>5730.9599999999991</v>
      </c>
      <c r="V21" s="145">
        <f t="shared" si="10"/>
        <v>0</v>
      </c>
      <c r="W21" s="71">
        <f>INDEX('FW Catch'!I21:I113, MATCH('FW Summary'!A21, 'FW Catch'!A21:A113))</f>
        <v>0</v>
      </c>
      <c r="X21" s="17">
        <f>INDEX(WhonSpComp!AV23:AV150, MATCH('FW Summary'!A21, WhonSpComp!A23:A150,0))</f>
        <v>0</v>
      </c>
      <c r="Y21" s="131">
        <f t="shared" si="11"/>
        <v>0</v>
      </c>
    </row>
    <row r="22" spans="1:25" x14ac:dyDescent="0.3">
      <c r="A22" s="1">
        <f t="shared" si="12"/>
        <v>45121</v>
      </c>
      <c r="B22" s="127">
        <f>INDEX('[1]Passage Estimates'!$D$6:$D$128, MATCH($A22, '[1]Passage Estimates'!$A$6:$A$128,0))</f>
        <v>4502.6400000000003</v>
      </c>
      <c r="C22" s="128">
        <f>INDEX('2. Salmon Passage by Bin'!$K$6:$K$128, MATCH('FW Summary'!$A22,'2. Salmon Passage by Bin'!$A$6:$A$128,0))</f>
        <v>1285.6800000000005</v>
      </c>
      <c r="D22" s="76">
        <f>INDEX('2. Salmon Passage by Bin'!$E$6:$E$128, MATCH('FW Summary'!$A22, '2. Salmon Passage by Bin'!$A$6:$A$128,0))+INDEX('2. Salmon Passage by Bin'!$F$6:$F$128, MATCH('FW Summary'!$A22, '2. Salmon Passage by Bin'!$A$6:$A$128,0))+INDEX('2. Salmon Passage by Bin'!$G$6:$G$128, MATCH('FW Summary'!$A22, '2. Salmon Passage by Bin'!$A$6:$A$128,0))+INDEX('2. Salmon Passage by Bin'!$H$6:$H$128, MATCH('FW Summary'!$A22, '2. Salmon Passage by Bin'!$A$6:$A$128,0))+_xlfn.IFNA(INDEX('2. Salmon Passage by Bin'!$I$6:$I$128, MATCH('FW Summary'!$A22, '2. Salmon Passage by Bin'!$A$6:$A$128,0)),0)+_xlfn.IFNA(INDEX('2. Salmon Passage by Bin'!$J$6:$J$128, MATCH('FW Summary'!$A22, '2. Salmon Passage by Bin'!$A$6:$A$128,0)),0)</f>
        <v>2819.5199999999995</v>
      </c>
      <c r="E22" s="129">
        <f>INDEX('2. Salmon Passage by Bin'!$M$6:$M$128, MATCH('FW Summary'!$A22, '2. Salmon Passage by Bin'!$A$6:$A$128,0))+INDEX('2. Salmon Passage by Bin'!$N$6:$N$128, MATCH('FW Summary'!$A22, '2. Salmon Passage by Bin'!$A$6:$A$128,0))+INDEX('2. Salmon Passage by Bin'!$O$6:$O$128, MATCH('FW Summary'!$A22, '2. Salmon Passage by Bin'!$A$6:$A$128,0))</f>
        <v>389.28</v>
      </c>
      <c r="F22" s="130">
        <f t="shared" si="0"/>
        <v>4502.6400000000003</v>
      </c>
      <c r="G22" s="145">
        <f t="shared" si="1"/>
        <v>0</v>
      </c>
      <c r="H22" s="71">
        <f>INDEX('FW Catch'!F22:F114, MATCH('FW Summary'!A22, 'FW Catch'!A22:A114))</f>
        <v>0</v>
      </c>
      <c r="I22" s="142">
        <f>INDEX('Pink Proportion'!$S$6:$S$128, MATCH('FW Summary'!A22, 'Pink Proportion'!$A$6:$A$128))/C22</f>
        <v>0</v>
      </c>
      <c r="J22" s="131">
        <f t="shared" si="2"/>
        <v>0</v>
      </c>
      <c r="K22" s="130">
        <f t="shared" si="3"/>
        <v>1567.5428571428579</v>
      </c>
      <c r="L22" s="145">
        <f t="shared" si="4"/>
        <v>0.65186138417842476</v>
      </c>
      <c r="M22" s="71">
        <f>INDEX('FW Catch'!G22:G114, MATCH('FW Summary'!A22, 'FW Catch'!A22:A114))</f>
        <v>0.66666666666666663</v>
      </c>
      <c r="N22" s="17">
        <f>INDEX(WhonSpComp!AN24:AN151, MATCH('FW Summary'!A22, WhonSpComp!A24:A151,0))</f>
        <v>0.61904761904761907</v>
      </c>
      <c r="O22" s="131">
        <f t="shared" si="5"/>
        <v>2935.0971428571424</v>
      </c>
      <c r="P22" s="130">
        <f t="shared" si="6"/>
        <v>3004.4800000000005</v>
      </c>
      <c r="Q22" s="145">
        <f t="shared" si="7"/>
        <v>0.33272924328838188</v>
      </c>
      <c r="R22" s="71">
        <f>INDEX('FW Catch'!H22:H114, MATCH('FW Summary'!A22, 'FW Catch'!A22:A114))</f>
        <v>0.33333333333333331</v>
      </c>
      <c r="S22" s="17">
        <f>INDEX(WhonSpComp!AT24:AT151, MATCH('FW Summary'!A22, WhonSpComp!A24:A151,0))</f>
        <v>0.33333333333333331</v>
      </c>
      <c r="T22" s="131">
        <f t="shared" si="8"/>
        <v>1498.1599999999999</v>
      </c>
      <c r="U22" s="130">
        <f t="shared" si="9"/>
        <v>4441.4171428571435</v>
      </c>
      <c r="V22" s="145">
        <f t="shared" si="10"/>
        <v>1.3597102398339011E-2</v>
      </c>
      <c r="W22" s="71">
        <f>INDEX('FW Catch'!I22:I114, MATCH('FW Summary'!A22, 'FW Catch'!A22:A114))</f>
        <v>0</v>
      </c>
      <c r="X22" s="17">
        <f>INDEX(WhonSpComp!AV24:AV151, MATCH('FW Summary'!A22, WhonSpComp!A24:A151,0))</f>
        <v>4.7619047619047616E-2</v>
      </c>
      <c r="Y22" s="131">
        <f t="shared" si="11"/>
        <v>61.222857142857166</v>
      </c>
    </row>
    <row r="23" spans="1:25" x14ac:dyDescent="0.3">
      <c r="A23" s="1">
        <f t="shared" si="12"/>
        <v>45122</v>
      </c>
      <c r="B23" s="127">
        <f>INDEX('[1]Passage Estimates'!$D$6:$D$128, MATCH($A23, '[1]Passage Estimates'!$A$6:$A$128,0))</f>
        <v>4335.3599999999997</v>
      </c>
      <c r="C23" s="128">
        <f>INDEX('2. Salmon Passage by Bin'!$K$6:$K$128, MATCH('FW Summary'!$A23,'2. Salmon Passage by Bin'!$A$6:$A$128,0))</f>
        <v>735.11999999999989</v>
      </c>
      <c r="D23" s="76">
        <f>INDEX('2. Salmon Passage by Bin'!$E$6:$E$128, MATCH('FW Summary'!$A23, '2. Salmon Passage by Bin'!$A$6:$A$128,0))+INDEX('2. Salmon Passage by Bin'!$F$6:$F$128, MATCH('FW Summary'!$A23, '2. Salmon Passage by Bin'!$A$6:$A$128,0))+INDEX('2. Salmon Passage by Bin'!$G$6:$G$128, MATCH('FW Summary'!$A23, '2. Salmon Passage by Bin'!$A$6:$A$128,0))+INDEX('2. Salmon Passage by Bin'!$H$6:$H$128, MATCH('FW Summary'!$A23, '2. Salmon Passage by Bin'!$A$6:$A$128,0))+_xlfn.IFNA(INDEX('2. Salmon Passage by Bin'!$I$6:$I$128, MATCH('FW Summary'!$A23, '2. Salmon Passage by Bin'!$A$6:$A$128,0)),0)+_xlfn.IFNA(INDEX('2. Salmon Passage by Bin'!$J$6:$J$128, MATCH('FW Summary'!$A23, '2. Salmon Passage by Bin'!$A$6:$A$128,0)),0)</f>
        <v>2949.6</v>
      </c>
      <c r="E23" s="129">
        <f>INDEX('2. Salmon Passage by Bin'!$M$6:$M$128, MATCH('FW Summary'!$A23, '2. Salmon Passage by Bin'!$A$6:$A$128,0))+INDEX('2. Salmon Passage by Bin'!$N$6:$N$128, MATCH('FW Summary'!$A23, '2. Salmon Passage by Bin'!$A$6:$A$128,0))+INDEX('2. Salmon Passage by Bin'!$O$6:$O$128, MATCH('FW Summary'!$A23, '2. Salmon Passage by Bin'!$A$6:$A$128,0))</f>
        <v>840.72</v>
      </c>
      <c r="F23" s="130">
        <f t="shared" si="0"/>
        <v>4335.3599999999997</v>
      </c>
      <c r="G23" s="145">
        <f t="shared" si="1"/>
        <v>0</v>
      </c>
      <c r="H23" s="71">
        <f>INDEX('FW Catch'!F23:F115, MATCH('FW Summary'!A23, 'FW Catch'!A23:A115))</f>
        <v>0</v>
      </c>
      <c r="I23" s="142">
        <f>INDEX('Pink Proportion'!$S$6:$S$128, MATCH('FW Summary'!A23, 'Pink Proportion'!$A$6:$A$128))/C23</f>
        <v>0</v>
      </c>
      <c r="J23" s="131">
        <f t="shared" si="2"/>
        <v>0</v>
      </c>
      <c r="K23" s="130">
        <f t="shared" si="3"/>
        <v>934.63351778656079</v>
      </c>
      <c r="L23" s="145">
        <f t="shared" si="4"/>
        <v>0.7844161689487007</v>
      </c>
      <c r="M23" s="71">
        <f>INDEX('FW Catch'!G23:G115, MATCH('FW Summary'!A23, 'FW Catch'!A23:A115))</f>
        <v>0.78260869565217395</v>
      </c>
      <c r="N23" s="17">
        <f>INDEX(WhonSpComp!AN25:AN152, MATCH('FW Summary'!A23, WhonSpComp!A25:A152,0))</f>
        <v>0.59090909090909094</v>
      </c>
      <c r="O23" s="131">
        <f t="shared" si="5"/>
        <v>3400.7264822134389</v>
      </c>
      <c r="P23" s="130">
        <f t="shared" si="6"/>
        <v>3540.2395256916993</v>
      </c>
      <c r="Q23" s="145">
        <f t="shared" si="7"/>
        <v>0.18340356378900494</v>
      </c>
      <c r="R23" s="71">
        <f>INDEX('FW Catch'!H23:H115, MATCH('FW Summary'!A23, 'FW Catch'!A23:A115))</f>
        <v>0.13043478260869565</v>
      </c>
      <c r="S23" s="17">
        <f>INDEX(WhonSpComp!AT25:AT152, MATCH('FW Summary'!A23, WhonSpComp!A25:A152,0))</f>
        <v>0.40909090909090912</v>
      </c>
      <c r="T23" s="131">
        <f t="shared" si="8"/>
        <v>795.12047430830035</v>
      </c>
      <c r="U23" s="130">
        <f t="shared" si="9"/>
        <v>4005.7669565217388</v>
      </c>
      <c r="V23" s="145">
        <f t="shared" si="10"/>
        <v>7.602437709400392E-2</v>
      </c>
      <c r="W23" s="71">
        <f>INDEX('FW Catch'!I23:I115, MATCH('FW Summary'!A23, 'FW Catch'!A23:A115))</f>
        <v>8.6956521739130432E-2</v>
      </c>
      <c r="X23" s="17">
        <f>INDEX(WhonSpComp!AV25:AV152, MATCH('FW Summary'!A23, WhonSpComp!A25:A152,0))</f>
        <v>0</v>
      </c>
      <c r="Y23" s="131">
        <f t="shared" si="11"/>
        <v>329.59304347826082</v>
      </c>
    </row>
    <row r="24" spans="1:25" x14ac:dyDescent="0.3">
      <c r="A24" s="1">
        <f t="shared" si="12"/>
        <v>45123</v>
      </c>
      <c r="B24" s="127">
        <f>INDEX('[1]Passage Estimates'!$D$6:$D$128, MATCH($A24, '[1]Passage Estimates'!$A$6:$A$128,0))</f>
        <v>5309.76</v>
      </c>
      <c r="C24" s="128">
        <f>INDEX('2. Salmon Passage by Bin'!$K$6:$K$128, MATCH('FW Summary'!$A24,'2. Salmon Passage by Bin'!$A$6:$A$128,0))</f>
        <v>1669.2000000000003</v>
      </c>
      <c r="D24" s="76">
        <f>INDEX('2. Salmon Passage by Bin'!$E$6:$E$128, MATCH('FW Summary'!$A24, '2. Salmon Passage by Bin'!$A$6:$A$128,0))+INDEX('2. Salmon Passage by Bin'!$F$6:$F$128, MATCH('FW Summary'!$A24, '2. Salmon Passage by Bin'!$A$6:$A$128,0))+INDEX('2. Salmon Passage by Bin'!$G$6:$G$128, MATCH('FW Summary'!$A24, '2. Salmon Passage by Bin'!$A$6:$A$128,0))+INDEX('2. Salmon Passage by Bin'!$H$6:$H$128, MATCH('FW Summary'!$A24, '2. Salmon Passage by Bin'!$A$6:$A$128,0))+_xlfn.IFNA(INDEX('2. Salmon Passage by Bin'!$I$6:$I$128, MATCH('FW Summary'!$A24, '2. Salmon Passage by Bin'!$A$6:$A$128,0)),0)+_xlfn.IFNA(INDEX('2. Salmon Passage by Bin'!$J$6:$J$128, MATCH('FW Summary'!$A24, '2. Salmon Passage by Bin'!$A$6:$A$128,0)),0)</f>
        <v>3504.0000000000005</v>
      </c>
      <c r="E24" s="129">
        <f>INDEX('2. Salmon Passage by Bin'!$M$6:$M$128, MATCH('FW Summary'!$A24, '2. Salmon Passage by Bin'!$A$6:$A$128,0))+INDEX('2. Salmon Passage by Bin'!$N$6:$N$128, MATCH('FW Summary'!$A24, '2. Salmon Passage by Bin'!$A$6:$A$128,0))+INDEX('2. Salmon Passage by Bin'!$O$6:$O$128, MATCH('FW Summary'!$A24, '2. Salmon Passage by Bin'!$A$6:$A$128,0))</f>
        <v>290.64</v>
      </c>
      <c r="F24" s="130">
        <f t="shared" si="0"/>
        <v>5309.76</v>
      </c>
      <c r="G24" s="145">
        <f t="shared" si="1"/>
        <v>0</v>
      </c>
      <c r="H24" s="71">
        <f>INDEX('FW Catch'!F24:F116, MATCH('FW Summary'!A24, 'FW Catch'!A24:A116))</f>
        <v>0</v>
      </c>
      <c r="I24" s="142">
        <f>INDEX('Pink Proportion'!$S$6:$S$128, MATCH('FW Summary'!A24, 'Pink Proportion'!$A$6:$A$128))/C24</f>
        <v>0</v>
      </c>
      <c r="J24" s="131">
        <f t="shared" si="2"/>
        <v>0</v>
      </c>
      <c r="K24" s="130">
        <f t="shared" si="3"/>
        <v>682.48235294117694</v>
      </c>
      <c r="L24" s="145">
        <f t="shared" si="4"/>
        <v>0.87146644049049737</v>
      </c>
      <c r="M24" s="71">
        <f>INDEX('FW Catch'!G24:G116, MATCH('FW Summary'!A24, 'FW Catch'!A24:A116))</f>
        <v>0.82352941176470584</v>
      </c>
      <c r="N24" s="17">
        <f>INDEX(WhonSpComp!AN26:AN153, MATCH('FW Summary'!A24, WhonSpComp!A26:A153,0))</f>
        <v>0.9</v>
      </c>
      <c r="O24" s="131">
        <f t="shared" si="5"/>
        <v>4627.2776470588233</v>
      </c>
      <c r="P24" s="130">
        <f t="shared" si="6"/>
        <v>4696.4117647058829</v>
      </c>
      <c r="Q24" s="145">
        <f t="shared" si="7"/>
        <v>0.11551336318291555</v>
      </c>
      <c r="R24" s="71">
        <f>INDEX('FW Catch'!H24:H116, MATCH('FW Summary'!A24, 'FW Catch'!A24:A116))</f>
        <v>0.11764705882352941</v>
      </c>
      <c r="S24" s="17">
        <f>INDEX(WhonSpComp!AT26:AT153, MATCH('FW Summary'!A24, WhonSpComp!A26:A153,0))</f>
        <v>0.1</v>
      </c>
      <c r="T24" s="131">
        <f t="shared" si="8"/>
        <v>613.34823529411767</v>
      </c>
      <c r="U24" s="130">
        <f t="shared" si="9"/>
        <v>5086.5458823529416</v>
      </c>
      <c r="V24" s="145">
        <f t="shared" si="10"/>
        <v>4.2038457038935627E-2</v>
      </c>
      <c r="W24" s="71">
        <f>INDEX('FW Catch'!I24:I116, MATCH('FW Summary'!A24, 'FW Catch'!A24:A116))</f>
        <v>5.8823529411764705E-2</v>
      </c>
      <c r="X24" s="17">
        <f>INDEX(WhonSpComp!AV26:AV153, MATCH('FW Summary'!A24, WhonSpComp!A26:A153,0))</f>
        <v>0</v>
      </c>
      <c r="Y24" s="131">
        <f t="shared" si="11"/>
        <v>223.21411764705883</v>
      </c>
    </row>
    <row r="25" spans="1:25" x14ac:dyDescent="0.3">
      <c r="A25" s="1">
        <f t="shared" si="12"/>
        <v>45124</v>
      </c>
      <c r="B25" s="127">
        <f>INDEX('[1]Passage Estimates'!$D$6:$D$128, MATCH($A25, '[1]Passage Estimates'!$A$6:$A$128,0))</f>
        <v>8193.6480000000029</v>
      </c>
      <c r="C25" s="128">
        <f>INDEX('2. Salmon Passage by Bin'!$K$6:$K$128, MATCH('FW Summary'!$A25,'2. Salmon Passage by Bin'!$A$6:$A$128,0))</f>
        <v>3174.5280000000012</v>
      </c>
      <c r="D25" s="76">
        <f>INDEX('2. Salmon Passage by Bin'!$E$6:$E$128, MATCH('FW Summary'!$A25, '2. Salmon Passage by Bin'!$A$6:$A$128,0))+INDEX('2. Salmon Passage by Bin'!$F$6:$F$128, MATCH('FW Summary'!$A25, '2. Salmon Passage by Bin'!$A$6:$A$128,0))+INDEX('2. Salmon Passage by Bin'!$G$6:$G$128, MATCH('FW Summary'!$A25, '2. Salmon Passage by Bin'!$A$6:$A$128,0))+INDEX('2. Salmon Passage by Bin'!$H$6:$H$128, MATCH('FW Summary'!$A25, '2. Salmon Passage by Bin'!$A$6:$A$128,0))+_xlfn.IFNA(INDEX('2. Salmon Passage by Bin'!$I$6:$I$128, MATCH('FW Summary'!$A25, '2. Salmon Passage by Bin'!$A$6:$A$128,0)),0)+_xlfn.IFNA(INDEX('2. Salmon Passage by Bin'!$J$6:$J$128, MATCH('FW Summary'!$A25, '2. Salmon Passage by Bin'!$A$6:$A$128,0)),0)</f>
        <v>4102.7999999999993</v>
      </c>
      <c r="E25" s="129">
        <f>INDEX('2. Salmon Passage by Bin'!$M$6:$M$128, MATCH('FW Summary'!$A25, '2. Salmon Passage by Bin'!$A$6:$A$128,0))+INDEX('2. Salmon Passage by Bin'!$N$6:$N$128, MATCH('FW Summary'!$A25, '2. Salmon Passage by Bin'!$A$6:$A$128,0))+INDEX('2. Salmon Passage by Bin'!$O$6:$O$128, MATCH('FW Summary'!$A25, '2. Salmon Passage by Bin'!$A$6:$A$128,0))</f>
        <v>907.2</v>
      </c>
      <c r="F25" s="130">
        <f t="shared" si="0"/>
        <v>8193.6480000000029</v>
      </c>
      <c r="G25" s="145">
        <f t="shared" si="1"/>
        <v>0</v>
      </c>
      <c r="H25" s="71">
        <f>INDEX('FW Catch'!F25:F117, MATCH('FW Summary'!A25, 'FW Catch'!A25:A117))</f>
        <v>0</v>
      </c>
      <c r="I25" s="142">
        <f>INDEX('Pink Proportion'!$S$6:$S$128, MATCH('FW Summary'!A25, 'Pink Proportion'!$A$6:$A$128))/C25</f>
        <v>0</v>
      </c>
      <c r="J25" s="131">
        <f t="shared" si="2"/>
        <v>0</v>
      </c>
      <c r="K25" s="130">
        <f t="shared" si="3"/>
        <v>2113.9312000000027</v>
      </c>
      <c r="L25" s="145">
        <f t="shared" si="4"/>
        <v>0.7420036594200774</v>
      </c>
      <c r="M25" s="71">
        <f>INDEX('FW Catch'!G25:G117, MATCH('FW Summary'!A25, 'FW Catch'!A25:A117))</f>
        <v>0.83333333333333337</v>
      </c>
      <c r="N25" s="17">
        <f>INDEX(WhonSpComp!AN27:AN154, MATCH('FW Summary'!A25, WhonSpComp!A27:A154,0))</f>
        <v>0.6</v>
      </c>
      <c r="O25" s="131">
        <f t="shared" si="5"/>
        <v>6079.7168000000001</v>
      </c>
      <c r="P25" s="130">
        <f t="shared" si="6"/>
        <v>6645.5034666666688</v>
      </c>
      <c r="Q25" s="145">
        <f t="shared" si="7"/>
        <v>0.18894447666452516</v>
      </c>
      <c r="R25" s="71">
        <f>INDEX('FW Catch'!H25:H117, MATCH('FW Summary'!A25, 'FW Catch'!A25:A117))</f>
        <v>5.5555555555555552E-2</v>
      </c>
      <c r="S25" s="17">
        <f>INDEX(WhonSpComp!AT27:AT154, MATCH('FW Summary'!A25, WhonSpComp!A27:A154,0))</f>
        <v>0.4</v>
      </c>
      <c r="T25" s="131">
        <f t="shared" si="8"/>
        <v>1548.1445333333338</v>
      </c>
      <c r="U25" s="130">
        <f t="shared" si="9"/>
        <v>7636.9813333333368</v>
      </c>
      <c r="V25" s="145">
        <f t="shared" si="10"/>
        <v>6.7938806581228084E-2</v>
      </c>
      <c r="W25" s="71">
        <f>INDEX('FW Catch'!I25:I117, MATCH('FW Summary'!A25, 'FW Catch'!A25:A117))</f>
        <v>0.1111111111111111</v>
      </c>
      <c r="X25" s="17">
        <f>INDEX(WhonSpComp!AV27:AV154, MATCH('FW Summary'!A25, WhonSpComp!A27:A154,0))</f>
        <v>0</v>
      </c>
      <c r="Y25" s="131">
        <f t="shared" si="11"/>
        <v>556.66666666666652</v>
      </c>
    </row>
    <row r="26" spans="1:25" x14ac:dyDescent="0.3">
      <c r="A26" s="1">
        <f t="shared" si="12"/>
        <v>45125</v>
      </c>
      <c r="B26" s="127">
        <f>INDEX('[1]Passage Estimates'!$D$6:$D$128, MATCH($A26, '[1]Passage Estimates'!$A$6:$A$128,0))</f>
        <v>8422.8000000000011</v>
      </c>
      <c r="C26" s="128">
        <f>INDEX('2. Salmon Passage by Bin'!$K$6:$K$128, MATCH('FW Summary'!$A26,'2. Salmon Passage by Bin'!$A$6:$A$128,0))</f>
        <v>2892.4800000000009</v>
      </c>
      <c r="D26" s="76">
        <f>INDEX('2. Salmon Passage by Bin'!$E$6:$E$128, MATCH('FW Summary'!$A26, '2. Salmon Passage by Bin'!$A$6:$A$128,0))+INDEX('2. Salmon Passage by Bin'!$F$6:$F$128, MATCH('FW Summary'!$A26, '2. Salmon Passage by Bin'!$A$6:$A$128,0))+INDEX('2. Salmon Passage by Bin'!$G$6:$G$128, MATCH('FW Summary'!$A26, '2. Salmon Passage by Bin'!$A$6:$A$128,0))+INDEX('2. Salmon Passage by Bin'!$H$6:$H$128, MATCH('FW Summary'!$A26, '2. Salmon Passage by Bin'!$A$6:$A$128,0))+_xlfn.IFNA(INDEX('2. Salmon Passage by Bin'!$I$6:$I$128, MATCH('FW Summary'!$A26, '2. Salmon Passage by Bin'!$A$6:$A$128,0)),0)+_xlfn.IFNA(INDEX('2. Salmon Passage by Bin'!$J$6:$J$128, MATCH('FW Summary'!$A26, '2. Salmon Passage by Bin'!$A$6:$A$128,0)),0)</f>
        <v>5175.84</v>
      </c>
      <c r="E26" s="129">
        <f>INDEX('2. Salmon Passage by Bin'!$M$6:$M$128, MATCH('FW Summary'!$A26, '2. Salmon Passage by Bin'!$A$6:$A$128,0))+INDEX('2. Salmon Passage by Bin'!$N$6:$N$128, MATCH('FW Summary'!$A26, '2. Salmon Passage by Bin'!$A$6:$A$128,0))+INDEX('2. Salmon Passage by Bin'!$O$6:$O$128, MATCH('FW Summary'!$A26, '2. Salmon Passage by Bin'!$A$6:$A$128,0))</f>
        <v>435.59999999999997</v>
      </c>
      <c r="F26" s="130">
        <f t="shared" si="0"/>
        <v>8422.8000000000011</v>
      </c>
      <c r="G26" s="145">
        <f t="shared" si="1"/>
        <v>0</v>
      </c>
      <c r="H26" s="71">
        <f>INDEX('FW Catch'!F26:F118, MATCH('FW Summary'!A26, 'FW Catch'!A26:A118))</f>
        <v>0</v>
      </c>
      <c r="I26" s="142">
        <f>INDEX('Pink Proportion'!$S$6:$S$128, MATCH('FW Summary'!A26, 'Pink Proportion'!$A$6:$A$128))/C26</f>
        <v>0</v>
      </c>
      <c r="J26" s="131">
        <f t="shared" si="2"/>
        <v>0</v>
      </c>
      <c r="K26" s="130">
        <f t="shared" si="3"/>
        <v>1818.2799999999997</v>
      </c>
      <c r="L26" s="145">
        <f t="shared" si="4"/>
        <v>0.78412404426081594</v>
      </c>
      <c r="M26" s="71">
        <f>INDEX('FW Catch'!G26:G118, MATCH('FW Summary'!A26, 'FW Catch'!A26:A118))</f>
        <v>0.83333333333333337</v>
      </c>
      <c r="N26" s="17">
        <f>INDEX(WhonSpComp!AN28:AN155, MATCH('FW Summary'!A26, WhonSpComp!A28:A155,0))</f>
        <v>0.66666666666666663</v>
      </c>
      <c r="O26" s="131">
        <f t="shared" si="5"/>
        <v>6604.5200000000013</v>
      </c>
      <c r="P26" s="130">
        <f t="shared" si="6"/>
        <v>7098.1488888888898</v>
      </c>
      <c r="Q26" s="145">
        <f t="shared" si="7"/>
        <v>0.15726968598460264</v>
      </c>
      <c r="R26" s="71">
        <f>INDEX('FW Catch'!H26:H118, MATCH('FW Summary'!A26, 'FW Catch'!A26:A118))</f>
        <v>8.3333333333333329E-2</v>
      </c>
      <c r="S26" s="17">
        <f>INDEX(WhonSpComp!AT28:AT155, MATCH('FW Summary'!A26, WhonSpComp!A28:A155,0))</f>
        <v>0.29629629629629628</v>
      </c>
      <c r="T26" s="131">
        <f t="shared" si="8"/>
        <v>1324.6511111111113</v>
      </c>
      <c r="U26" s="130">
        <f t="shared" si="9"/>
        <v>7848.0511111111118</v>
      </c>
      <c r="V26" s="145">
        <f t="shared" si="10"/>
        <v>6.823727132175629E-2</v>
      </c>
      <c r="W26" s="71">
        <f>INDEX('FW Catch'!I26:I118, MATCH('FW Summary'!A26, 'FW Catch'!A26:A118))</f>
        <v>8.3333333333333329E-2</v>
      </c>
      <c r="X26" s="17">
        <f>INDEX(WhonSpComp!AV28:AV155, MATCH('FW Summary'!A26, WhonSpComp!A28:A155,0))</f>
        <v>3.7037037037037035E-2</v>
      </c>
      <c r="Y26" s="131">
        <f t="shared" si="11"/>
        <v>574.74888888888893</v>
      </c>
    </row>
    <row r="27" spans="1:25" x14ac:dyDescent="0.3">
      <c r="A27" s="1">
        <f t="shared" si="12"/>
        <v>45126</v>
      </c>
      <c r="B27" s="127">
        <f>INDEX('[1]Passage Estimates'!$D$6:$D$128, MATCH($A27, '[1]Passage Estimates'!$A$6:$A$128,0))</f>
        <v>11654.159999999998</v>
      </c>
      <c r="C27" s="128">
        <f>INDEX('2. Salmon Passage by Bin'!$K$6:$K$128, MATCH('FW Summary'!$A27,'2. Salmon Passage by Bin'!$A$6:$A$128,0))</f>
        <v>8137.9199999999983</v>
      </c>
      <c r="D27" s="76">
        <f>INDEX('2. Salmon Passage by Bin'!$E$6:$E$128, MATCH('FW Summary'!$A27, '2. Salmon Passage by Bin'!$A$6:$A$128,0))+INDEX('2. Salmon Passage by Bin'!$F$6:$F$128, MATCH('FW Summary'!$A27, '2. Salmon Passage by Bin'!$A$6:$A$128,0))+INDEX('2. Salmon Passage by Bin'!$G$6:$G$128, MATCH('FW Summary'!$A27, '2. Salmon Passage by Bin'!$A$6:$A$128,0))+INDEX('2. Salmon Passage by Bin'!$H$6:$H$128, MATCH('FW Summary'!$A27, '2. Salmon Passage by Bin'!$A$6:$A$128,0))+_xlfn.IFNA(INDEX('2. Salmon Passage by Bin'!$I$6:$I$128, MATCH('FW Summary'!$A27, '2. Salmon Passage by Bin'!$A$6:$A$128,0)),0)+_xlfn.IFNA(INDEX('2. Salmon Passage by Bin'!$J$6:$J$128, MATCH('FW Summary'!$A27, '2. Salmon Passage by Bin'!$A$6:$A$128,0)),0)</f>
        <v>3540.7200000000003</v>
      </c>
      <c r="E27" s="129">
        <f>INDEX('2. Salmon Passage by Bin'!$M$6:$M$128, MATCH('FW Summary'!$A27, '2. Salmon Passage by Bin'!$A$6:$A$128,0))+INDEX('2. Salmon Passage by Bin'!$N$6:$N$128, MATCH('FW Summary'!$A27, '2. Salmon Passage by Bin'!$A$6:$A$128,0))+INDEX('2. Salmon Passage by Bin'!$O$6:$O$128, MATCH('FW Summary'!$A27, '2. Salmon Passage by Bin'!$A$6:$A$128,0))</f>
        <v>12.480000000000004</v>
      </c>
      <c r="F27" s="130">
        <f t="shared" si="0"/>
        <v>11654.159999999998</v>
      </c>
      <c r="G27" s="145">
        <f t="shared" si="1"/>
        <v>0</v>
      </c>
      <c r="H27" s="71">
        <f>INDEX('FW Catch'!F27:F119, MATCH('FW Summary'!A27, 'FW Catch'!A27:A119))</f>
        <v>0</v>
      </c>
      <c r="I27" s="142">
        <f>INDEX('Pink Proportion'!$S$6:$S$128, MATCH('FW Summary'!A27, 'Pink Proportion'!$A$6:$A$128))/C27</f>
        <v>0</v>
      </c>
      <c r="J27" s="131">
        <f>IFERROR(((D27+E27)*H27)+(C27*I27), #N/A)</f>
        <v>0</v>
      </c>
      <c r="K27" s="130">
        <f t="shared" si="3"/>
        <v>2945.0399999999991</v>
      </c>
      <c r="L27" s="145">
        <f t="shared" si="4"/>
        <v>0.74729710249387349</v>
      </c>
      <c r="M27" s="71">
        <f>INDEX('FW Catch'!G27:G119, MATCH('FW Summary'!A27, 'FW Catch'!A27:A119))</f>
        <v>0.73333333333333328</v>
      </c>
      <c r="N27" s="17">
        <f>INDEX(WhonSpComp!AN29:AN156, MATCH('FW Summary'!A27, WhonSpComp!A29:A156,0))</f>
        <v>0.75</v>
      </c>
      <c r="O27" s="131">
        <f t="shared" si="5"/>
        <v>8709.119999999999</v>
      </c>
      <c r="P27" s="130">
        <f t="shared" si="6"/>
        <v>9264.3599999999988</v>
      </c>
      <c r="Q27" s="145">
        <f t="shared" si="7"/>
        <v>0.20505982413146895</v>
      </c>
      <c r="R27" s="71">
        <f>INDEX('FW Catch'!H27:H119, MATCH('FW Summary'!A27, 'FW Catch'!A27:A119))</f>
        <v>0.1</v>
      </c>
      <c r="S27" s="17">
        <f>INDEX(WhonSpComp!AT29:AT156, MATCH('FW Summary'!A27, WhonSpComp!A29:A156,0))</f>
        <v>0.25</v>
      </c>
      <c r="T27" s="131">
        <f t="shared" si="8"/>
        <v>2389.7999999999997</v>
      </c>
      <c r="U27" s="130">
        <f t="shared" si="9"/>
        <v>11061.959999999997</v>
      </c>
      <c r="V27" s="145">
        <f t="shared" si="10"/>
        <v>5.0814473115179483E-2</v>
      </c>
      <c r="W27" s="71">
        <f>INDEX('FW Catch'!I27:I119, MATCH('FW Summary'!A27, 'FW Catch'!A27:A119))</f>
        <v>0.16666666666666666</v>
      </c>
      <c r="X27" s="17">
        <f>INDEX(WhonSpComp!AV29:AV156, MATCH('FW Summary'!A27, WhonSpComp!A29:A156,0))</f>
        <v>0</v>
      </c>
      <c r="Y27" s="131">
        <f t="shared" si="11"/>
        <v>592.20000000000005</v>
      </c>
    </row>
    <row r="28" spans="1:25" x14ac:dyDescent="0.3">
      <c r="A28" s="1">
        <f t="shared" si="12"/>
        <v>45127</v>
      </c>
      <c r="B28" s="127">
        <f>INDEX('[1]Passage Estimates'!$D$6:$D$128, MATCH($A28, '[1]Passage Estimates'!$A$6:$A$128,0))</f>
        <v>14100.000000000004</v>
      </c>
      <c r="C28" s="128">
        <f>INDEX('2. Salmon Passage by Bin'!$K$6:$K$128, MATCH('FW Summary'!$A28,'2. Salmon Passage by Bin'!$A$6:$A$128,0))</f>
        <v>10627.920000000002</v>
      </c>
      <c r="D28" s="76">
        <f>INDEX('2. Salmon Passage by Bin'!$E$6:$E$128, MATCH('FW Summary'!$A28, '2. Salmon Passage by Bin'!$A$6:$A$128,0))+INDEX('2. Salmon Passage by Bin'!$F$6:$F$128, MATCH('FW Summary'!$A28, '2. Salmon Passage by Bin'!$A$6:$A$128,0))+INDEX('2. Salmon Passage by Bin'!$G$6:$G$128, MATCH('FW Summary'!$A28, '2. Salmon Passage by Bin'!$A$6:$A$128,0))+INDEX('2. Salmon Passage by Bin'!$H$6:$H$128, MATCH('FW Summary'!$A28, '2. Salmon Passage by Bin'!$A$6:$A$128,0))+_xlfn.IFNA(INDEX('2. Salmon Passage by Bin'!$I$6:$I$128, MATCH('FW Summary'!$A28, '2. Salmon Passage by Bin'!$A$6:$A$128,0)),0)+_xlfn.IFNA(INDEX('2. Salmon Passage by Bin'!$J$6:$J$128, MATCH('FW Summary'!$A28, '2. Salmon Passage by Bin'!$A$6:$A$128,0)),0)</f>
        <v>2881.92</v>
      </c>
      <c r="E28" s="129">
        <f>INDEX('2. Salmon Passage by Bin'!$M$6:$M$128, MATCH('FW Summary'!$A28, '2. Salmon Passage by Bin'!$A$6:$A$128,0))+INDEX('2. Salmon Passage by Bin'!$N$6:$N$128, MATCH('FW Summary'!$A28, '2. Salmon Passage by Bin'!$A$6:$A$128,0))+INDEX('2. Salmon Passage by Bin'!$O$6:$O$128, MATCH('FW Summary'!$A28, '2. Salmon Passage by Bin'!$A$6:$A$128,0))</f>
        <v>404.15999999999997</v>
      </c>
      <c r="F28" s="130">
        <f t="shared" si="0"/>
        <v>14100.000000000004</v>
      </c>
      <c r="G28" s="145">
        <f t="shared" si="1"/>
        <v>0</v>
      </c>
      <c r="H28" s="71">
        <f>INDEX('FW Catch'!F28:F120, MATCH('FW Summary'!A28, 'FW Catch'!A28:A120))</f>
        <v>0</v>
      </c>
      <c r="I28" s="142">
        <f>INDEX('Pink Proportion'!$S$6:$S$128, MATCH('FW Summary'!A28, 'Pink Proportion'!$A$6:$A$128))/C28</f>
        <v>0</v>
      </c>
      <c r="J28" s="131">
        <f t="shared" si="2"/>
        <v>0</v>
      </c>
      <c r="K28" s="130">
        <f t="shared" si="3"/>
        <v>6343.0338461538495</v>
      </c>
      <c r="L28" s="145">
        <f t="shared" si="4"/>
        <v>0.55013944353518807</v>
      </c>
      <c r="M28" s="71">
        <f>INDEX('FW Catch'!G28:G120, MATCH('FW Summary'!A28, 'FW Catch'!A28:A120))</f>
        <v>0.61904761904761907</v>
      </c>
      <c r="N28" s="17">
        <f>INDEX(WhonSpComp!AN30:AN157, MATCH('FW Summary'!A28, WhonSpComp!A30:A157,0))</f>
        <v>0.53846153846153844</v>
      </c>
      <c r="O28" s="131">
        <f t="shared" si="5"/>
        <v>7756.9661538461542</v>
      </c>
      <c r="P28" s="130">
        <f t="shared" si="6"/>
        <v>9890.9907692307715</v>
      </c>
      <c r="Q28" s="145">
        <f t="shared" si="7"/>
        <v>0.29851129296235673</v>
      </c>
      <c r="R28" s="71">
        <f>INDEX('FW Catch'!H28:H120, MATCH('FW Summary'!A28, 'FW Catch'!A28:A120))</f>
        <v>0.2857142857142857</v>
      </c>
      <c r="S28" s="17">
        <f>INDEX(WhonSpComp!AT30:AT157, MATCH('FW Summary'!A28, WhonSpComp!A30:A157,0))</f>
        <v>0.30769230769230771</v>
      </c>
      <c r="T28" s="131">
        <f t="shared" si="8"/>
        <v>4209.0092307692312</v>
      </c>
      <c r="U28" s="130">
        <f t="shared" si="9"/>
        <v>12151.975384615387</v>
      </c>
      <c r="V28" s="145">
        <f t="shared" si="10"/>
        <v>0.13815777414075286</v>
      </c>
      <c r="W28" s="71">
        <f>INDEX('FW Catch'!I28:I120, MATCH('FW Summary'!A28, 'FW Catch'!A28:A120))</f>
        <v>9.5238095238095233E-2</v>
      </c>
      <c r="X28" s="17">
        <f>INDEX(WhonSpComp!AV30:AV157, MATCH('FW Summary'!A28, WhonSpComp!A30:A157,0))</f>
        <v>0.15384615384615385</v>
      </c>
      <c r="Y28" s="131">
        <f t="shared" si="11"/>
        <v>1948.0246153846158</v>
      </c>
    </row>
    <row r="29" spans="1:25" x14ac:dyDescent="0.3">
      <c r="A29" s="1">
        <f t="shared" si="12"/>
        <v>45128</v>
      </c>
      <c r="B29" s="127">
        <f>INDEX('[1]Passage Estimates'!$D$6:$D$128, MATCH($A29, '[1]Passage Estimates'!$A$6:$A$128,0))</f>
        <v>10210.08</v>
      </c>
      <c r="C29" s="128">
        <f>INDEX('2. Salmon Passage by Bin'!$K$6:$K$128, MATCH('FW Summary'!$A29,'2. Salmon Passage by Bin'!$A$6:$A$128,0))</f>
        <v>7104.9599999999991</v>
      </c>
      <c r="D29" s="76">
        <f>INDEX('2. Salmon Passage by Bin'!$E$6:$E$128, MATCH('FW Summary'!$A29, '2. Salmon Passage by Bin'!$A$6:$A$128,0))+INDEX('2. Salmon Passage by Bin'!$F$6:$F$128, MATCH('FW Summary'!$A29, '2. Salmon Passage by Bin'!$A$6:$A$128,0))+INDEX('2. Salmon Passage by Bin'!$G$6:$G$128, MATCH('FW Summary'!$A29, '2. Salmon Passage by Bin'!$A$6:$A$128,0))+INDEX('2. Salmon Passage by Bin'!$H$6:$H$128, MATCH('FW Summary'!$A29, '2. Salmon Passage by Bin'!$A$6:$A$128,0))+_xlfn.IFNA(INDEX('2. Salmon Passage by Bin'!$I$6:$I$128, MATCH('FW Summary'!$A29, '2. Salmon Passage by Bin'!$A$6:$A$128,0)),0)+_xlfn.IFNA(INDEX('2. Salmon Passage by Bin'!$J$6:$J$128, MATCH('FW Summary'!$A29, '2. Salmon Passage by Bin'!$A$6:$A$128,0)),0)</f>
        <v>2640.7200000000003</v>
      </c>
      <c r="E29" s="129">
        <f>INDEX('2. Salmon Passage by Bin'!$M$6:$M$128, MATCH('FW Summary'!$A29, '2. Salmon Passage by Bin'!$A$6:$A$128,0))+INDEX('2. Salmon Passage by Bin'!$N$6:$N$128, MATCH('FW Summary'!$A29, '2. Salmon Passage by Bin'!$A$6:$A$128,0))+INDEX('2. Salmon Passage by Bin'!$O$6:$O$128, MATCH('FW Summary'!$A29, '2. Salmon Passage by Bin'!$A$6:$A$128,0))</f>
        <v>359.28</v>
      </c>
      <c r="F29" s="130">
        <f t="shared" si="0"/>
        <v>10210.08</v>
      </c>
      <c r="G29" s="145">
        <f t="shared" si="1"/>
        <v>0</v>
      </c>
      <c r="H29" s="71">
        <f>INDEX('FW Catch'!F29:F121, MATCH('FW Summary'!A29, 'FW Catch'!A29:A121))</f>
        <v>0</v>
      </c>
      <c r="I29" s="142">
        <f>INDEX('Pink Proportion'!$S$6:$S$128, MATCH('FW Summary'!A29, 'Pink Proportion'!$A$6:$A$128))/C29</f>
        <v>0</v>
      </c>
      <c r="J29" s="131">
        <f t="shared" si="2"/>
        <v>0</v>
      </c>
      <c r="K29" s="130">
        <f t="shared" si="3"/>
        <v>4907.6000000000004</v>
      </c>
      <c r="L29" s="145">
        <f t="shared" si="4"/>
        <v>0.51933775249557301</v>
      </c>
      <c r="M29" s="71">
        <f>INDEX('FW Catch'!G29:G121, MATCH('FW Summary'!A29, 'FW Catch'!A29:A121))</f>
        <v>0.58333333333333337</v>
      </c>
      <c r="N29" s="17">
        <f>INDEX(WhonSpComp!AN31:AN158, MATCH('FW Summary'!A29, WhonSpComp!A31:A158,0))</f>
        <v>0.5</v>
      </c>
      <c r="O29" s="131">
        <f t="shared" si="5"/>
        <v>5302.48</v>
      </c>
      <c r="P29" s="130">
        <f t="shared" si="6"/>
        <v>6157.6</v>
      </c>
      <c r="Q29" s="145">
        <f t="shared" si="7"/>
        <v>0.39690972058984841</v>
      </c>
      <c r="R29" s="71">
        <f>INDEX('FW Catch'!H29:H121, MATCH('FW Summary'!A29, 'FW Catch'!A29:A121))</f>
        <v>0.16666666666666666</v>
      </c>
      <c r="S29" s="17">
        <f>INDEX(WhonSpComp!AT31:AT158, MATCH('FW Summary'!A29, WhonSpComp!A31:A158,0))</f>
        <v>0.5</v>
      </c>
      <c r="T29" s="131">
        <f t="shared" si="8"/>
        <v>4052.4799999999996</v>
      </c>
      <c r="U29" s="130">
        <f t="shared" si="9"/>
        <v>9460.08</v>
      </c>
      <c r="V29" s="145">
        <f t="shared" si="10"/>
        <v>7.3456819143434729E-2</v>
      </c>
      <c r="W29" s="71">
        <f>INDEX('FW Catch'!I29:I121, MATCH('FW Summary'!A29, 'FW Catch'!A29:A121))</f>
        <v>0.25</v>
      </c>
      <c r="X29" s="17">
        <f>INDEX(WhonSpComp!AV31:AV158, MATCH('FW Summary'!A29, WhonSpComp!A31:A158,0))</f>
        <v>0</v>
      </c>
      <c r="Y29" s="131">
        <f t="shared" si="11"/>
        <v>750</v>
      </c>
    </row>
    <row r="30" spans="1:25" x14ac:dyDescent="0.3">
      <c r="A30" s="1">
        <f t="shared" si="12"/>
        <v>45129</v>
      </c>
      <c r="B30" s="127">
        <f ca="1">INDEX('[1]Passage Estimates'!$D$6:$D$128, MATCH($A30, '[1]Passage Estimates'!$A$6:$A$128,0))</f>
        <v>11434.559999999998</v>
      </c>
      <c r="C30" s="128">
        <f ca="1">INDEX('2. Salmon Passage by Bin'!$K$6:$K$128, MATCH('FW Summary'!$A30,'2. Salmon Passage by Bin'!$A$6:$A$128,0))</f>
        <v>6460.3199999999988</v>
      </c>
      <c r="D30" s="76">
        <f>INDEX('2. Salmon Passage by Bin'!$E$6:$E$128, MATCH('FW Summary'!$A30, '2. Salmon Passage by Bin'!$A$6:$A$128,0))+INDEX('2. Salmon Passage by Bin'!$F$6:$F$128, MATCH('FW Summary'!$A30, '2. Salmon Passage by Bin'!$A$6:$A$128,0))+INDEX('2. Salmon Passage by Bin'!$G$6:$G$128, MATCH('FW Summary'!$A30, '2. Salmon Passage by Bin'!$A$6:$A$128,0))+INDEX('2. Salmon Passage by Bin'!$H$6:$H$128, MATCH('FW Summary'!$A30, '2. Salmon Passage by Bin'!$A$6:$A$128,0))+_xlfn.IFNA(INDEX('2. Salmon Passage by Bin'!$I$6:$I$128, MATCH('FW Summary'!$A30, '2. Salmon Passage by Bin'!$A$6:$A$128,0)),0)+_xlfn.IFNA(INDEX('2. Salmon Passage by Bin'!$J$6:$J$128, MATCH('FW Summary'!$A30, '2. Salmon Passage by Bin'!$A$6:$A$128,0)),0)</f>
        <v>4518</v>
      </c>
      <c r="E30" s="129">
        <f>INDEX('2. Salmon Passage by Bin'!$M$6:$M$128, MATCH('FW Summary'!$A30, '2. Salmon Passage by Bin'!$A$6:$A$128,0))+INDEX('2. Salmon Passage by Bin'!$N$6:$N$128, MATCH('FW Summary'!$A30, '2. Salmon Passage by Bin'!$A$6:$A$128,0))+INDEX('2. Salmon Passage by Bin'!$O$6:$O$128, MATCH('FW Summary'!$A30, '2. Salmon Passage by Bin'!$A$6:$A$128,0))</f>
        <v>428.15999999999997</v>
      </c>
      <c r="F30" s="130" t="e">
        <f t="shared" ca="1" si="0"/>
        <v>#N/A</v>
      </c>
      <c r="G30" s="145" t="e">
        <f t="shared" ca="1" si="1"/>
        <v>#N/A</v>
      </c>
      <c r="H30" s="71" t="e">
        <f>INDEX('FW Catch'!F30:F122, MATCH('FW Summary'!A30, 'FW Catch'!A30:A122))</f>
        <v>#N/A</v>
      </c>
      <c r="I30" s="142">
        <f ca="1">INDEX('Pink Proportion'!$S$6:$S$128, MATCH('FW Summary'!A30, 'Pink Proportion'!$A$6:$A$128))/C30</f>
        <v>0</v>
      </c>
      <c r="J30" s="131" t="e">
        <f t="shared" ca="1" si="2"/>
        <v>#N/A</v>
      </c>
      <c r="K30" s="130" t="e">
        <f t="shared" ca="1" si="3"/>
        <v>#N/A</v>
      </c>
      <c r="L30" s="145" t="e">
        <f t="shared" ca="1" si="4"/>
        <v>#N/A</v>
      </c>
      <c r="M30" s="71" t="e">
        <f>INDEX('FW Catch'!G30:G122, MATCH('FW Summary'!A30, 'FW Catch'!A30:A122))</f>
        <v>#N/A</v>
      </c>
      <c r="N30" s="17">
        <f>INDEX(WhonSpComp!AN32:AN159, MATCH('FW Summary'!A30, WhonSpComp!A32:A159,0))</f>
        <v>0</v>
      </c>
      <c r="O30" s="131" t="e">
        <f t="shared" ca="1" si="5"/>
        <v>#N/A</v>
      </c>
      <c r="P30" s="130" t="e">
        <f t="shared" ca="1" si="6"/>
        <v>#N/A</v>
      </c>
      <c r="Q30" s="145" t="e">
        <f t="shared" ca="1" si="7"/>
        <v>#N/A</v>
      </c>
      <c r="R30" s="71" t="e">
        <f>INDEX('FW Catch'!H30:H122, MATCH('FW Summary'!A30, 'FW Catch'!A30:A122))</f>
        <v>#N/A</v>
      </c>
      <c r="S30" s="17">
        <f>INDEX(WhonSpComp!AT32:AT159, MATCH('FW Summary'!A30, WhonSpComp!A32:A159,0))</f>
        <v>1</v>
      </c>
      <c r="T30" s="131" t="e">
        <f t="shared" ca="1" si="8"/>
        <v>#N/A</v>
      </c>
      <c r="U30" s="130" t="e">
        <f t="shared" ca="1" si="9"/>
        <v>#N/A</v>
      </c>
      <c r="V30" s="145" t="e">
        <f t="shared" ca="1" si="10"/>
        <v>#N/A</v>
      </c>
      <c r="W30" s="71" t="e">
        <f>INDEX('FW Catch'!I30:I122, MATCH('FW Summary'!A30, 'FW Catch'!A30:A122))</f>
        <v>#N/A</v>
      </c>
      <c r="X30" s="17">
        <f>INDEX(WhonSpComp!AV32:AV159, MATCH('FW Summary'!A30, WhonSpComp!A32:A159,0))</f>
        <v>0</v>
      </c>
      <c r="Y30" s="131" t="e">
        <f t="shared" ca="1" si="11"/>
        <v>#N/A</v>
      </c>
    </row>
    <row r="31" spans="1:25" x14ac:dyDescent="0.3">
      <c r="A31" s="1">
        <f t="shared" si="12"/>
        <v>45130</v>
      </c>
      <c r="B31" s="127">
        <f>INDEX('[1]Passage Estimates'!$D$6:$D$128, MATCH($A31, '[1]Passage Estimates'!$A$6:$A$128,0))</f>
        <v>10556.879999999997</v>
      </c>
      <c r="C31" s="128">
        <f>INDEX('2. Salmon Passage by Bin'!$K$6:$K$128, MATCH('FW Summary'!$A31,'2. Salmon Passage by Bin'!$A$6:$A$128,0))</f>
        <v>4884.7199999999993</v>
      </c>
      <c r="D31" s="76">
        <f>INDEX('2. Salmon Passage by Bin'!$E$6:$E$128, MATCH('FW Summary'!$A31, '2. Salmon Passage by Bin'!$A$6:$A$128,0))+INDEX('2. Salmon Passage by Bin'!$F$6:$F$128, MATCH('FW Summary'!$A31, '2. Salmon Passage by Bin'!$A$6:$A$128,0))+INDEX('2. Salmon Passage by Bin'!$G$6:$G$128, MATCH('FW Summary'!$A31, '2. Salmon Passage by Bin'!$A$6:$A$128,0))+INDEX('2. Salmon Passage by Bin'!$H$6:$H$128, MATCH('FW Summary'!$A31, '2. Salmon Passage by Bin'!$A$6:$A$128,0))+_xlfn.IFNA(INDEX('2. Salmon Passage by Bin'!$I$6:$I$128, MATCH('FW Summary'!$A31, '2. Salmon Passage by Bin'!$A$6:$A$128,0)),0)+_xlfn.IFNA(INDEX('2. Salmon Passage by Bin'!$J$6:$J$128, MATCH('FW Summary'!$A31, '2. Salmon Passage by Bin'!$A$6:$A$128,0)),0)</f>
        <v>4840.5600000000004</v>
      </c>
      <c r="E31" s="129">
        <f>INDEX('2. Salmon Passage by Bin'!$M$6:$M$128, MATCH('FW Summary'!$A31, '2. Salmon Passage by Bin'!$A$6:$A$128,0))+INDEX('2. Salmon Passage by Bin'!$N$6:$N$128, MATCH('FW Summary'!$A31, '2. Salmon Passage by Bin'!$A$6:$A$128,0))+INDEX('2. Salmon Passage by Bin'!$O$6:$O$128, MATCH('FW Summary'!$A31, '2. Salmon Passage by Bin'!$A$6:$A$128,0))</f>
        <v>626.88</v>
      </c>
      <c r="F31" s="130" t="e">
        <f t="shared" si="0"/>
        <v>#N/A</v>
      </c>
      <c r="G31" s="145" t="e">
        <f t="shared" si="1"/>
        <v>#N/A</v>
      </c>
      <c r="H31" s="71" t="e">
        <f>INDEX('FW Catch'!F31:F123, MATCH('FW Summary'!A31, 'FW Catch'!A31:A123))</f>
        <v>#N/A</v>
      </c>
      <c r="I31" s="142">
        <f>INDEX('Pink Proportion'!$S$6:$S$128, MATCH('FW Summary'!A31, 'Pink Proportion'!$A$6:$A$128))/C31</f>
        <v>0</v>
      </c>
      <c r="J31" s="131" t="e">
        <f t="shared" si="2"/>
        <v>#N/A</v>
      </c>
      <c r="K31" s="130" t="e">
        <f t="shared" si="3"/>
        <v>#N/A</v>
      </c>
      <c r="L31" s="145" t="e">
        <f t="shared" si="4"/>
        <v>#N/A</v>
      </c>
      <c r="M31" s="71" t="e">
        <f>INDEX('FW Catch'!G31:G123, MATCH('FW Summary'!A31, 'FW Catch'!A31:A123))</f>
        <v>#N/A</v>
      </c>
      <c r="N31" s="17">
        <f>INDEX(WhonSpComp!AN33:AN160, MATCH('FW Summary'!A31, WhonSpComp!A33:A160,0))</f>
        <v>1</v>
      </c>
      <c r="O31" s="131" t="e">
        <f t="shared" si="5"/>
        <v>#N/A</v>
      </c>
      <c r="P31" s="130" t="e">
        <f t="shared" si="6"/>
        <v>#N/A</v>
      </c>
      <c r="Q31" s="145" t="e">
        <f t="shared" si="7"/>
        <v>#N/A</v>
      </c>
      <c r="R31" s="71" t="e">
        <f>INDEX('FW Catch'!H31:H123, MATCH('FW Summary'!A31, 'FW Catch'!A31:A123))</f>
        <v>#N/A</v>
      </c>
      <c r="S31" s="17">
        <f>INDEX(WhonSpComp!AT33:AT160, MATCH('FW Summary'!A31, WhonSpComp!A33:A160,0))</f>
        <v>0</v>
      </c>
      <c r="T31" s="131" t="e">
        <f t="shared" si="8"/>
        <v>#N/A</v>
      </c>
      <c r="U31" s="130" t="e">
        <f t="shared" si="9"/>
        <v>#N/A</v>
      </c>
      <c r="V31" s="145" t="e">
        <f t="shared" si="10"/>
        <v>#N/A</v>
      </c>
      <c r="W31" s="71" t="e">
        <f>INDEX('FW Catch'!I31:I123, MATCH('FW Summary'!A31, 'FW Catch'!A31:A123))</f>
        <v>#N/A</v>
      </c>
      <c r="X31" s="17">
        <f>INDEX(WhonSpComp!AV33:AV160, MATCH('FW Summary'!A31, WhonSpComp!A33:A160,0))</f>
        <v>0</v>
      </c>
      <c r="Y31" s="131" t="e">
        <f t="shared" si="11"/>
        <v>#N/A</v>
      </c>
    </row>
    <row r="32" spans="1:25" x14ac:dyDescent="0.3">
      <c r="A32" s="1">
        <f t="shared" si="12"/>
        <v>45131</v>
      </c>
      <c r="B32" s="127">
        <f ca="1">INDEX('[1]Passage Estimates'!$D$6:$D$128, MATCH($A32, '[1]Passage Estimates'!$A$6:$A$128,0))</f>
        <v>14095.433732714424</v>
      </c>
      <c r="C32" s="128">
        <f ca="1">INDEX('2. Salmon Passage by Bin'!$K$6:$K$128, MATCH('FW Summary'!$A32,'2. Salmon Passage by Bin'!$A$6:$A$128,0))</f>
        <v>7522.5537327144211</v>
      </c>
      <c r="D32" s="76">
        <f>INDEX('2. Salmon Passage by Bin'!$E$6:$E$128, MATCH('FW Summary'!$A32, '2. Salmon Passage by Bin'!$A$6:$A$128,0))+INDEX('2. Salmon Passage by Bin'!$F$6:$F$128, MATCH('FW Summary'!$A32, '2. Salmon Passage by Bin'!$A$6:$A$128,0))+INDEX('2. Salmon Passage by Bin'!$G$6:$G$128, MATCH('FW Summary'!$A32, '2. Salmon Passage by Bin'!$A$6:$A$128,0))+INDEX('2. Salmon Passage by Bin'!$H$6:$H$128, MATCH('FW Summary'!$A32, '2. Salmon Passage by Bin'!$A$6:$A$128,0))+_xlfn.IFNA(INDEX('2. Salmon Passage by Bin'!$I$6:$I$128, MATCH('FW Summary'!$A32, '2. Salmon Passage by Bin'!$A$6:$A$128,0)),0)+_xlfn.IFNA(INDEX('2. Salmon Passage by Bin'!$J$6:$J$128, MATCH('FW Summary'!$A32, '2. Salmon Passage by Bin'!$A$6:$A$128,0)),0)</f>
        <v>6168.4800000000005</v>
      </c>
      <c r="E32" s="129">
        <f>INDEX('2. Salmon Passage by Bin'!$M$6:$M$128, MATCH('FW Summary'!$A32, '2. Salmon Passage by Bin'!$A$6:$A$128,0))+INDEX('2. Salmon Passage by Bin'!$N$6:$N$128, MATCH('FW Summary'!$A32, '2. Salmon Passage by Bin'!$A$6:$A$128,0))+INDEX('2. Salmon Passage by Bin'!$O$6:$O$128, MATCH('FW Summary'!$A32, '2. Salmon Passage by Bin'!$A$6:$A$128,0))</f>
        <v>243.60000000000002</v>
      </c>
      <c r="F32" s="130">
        <f t="shared" ca="1" si="0"/>
        <v>14095.433732714424</v>
      </c>
      <c r="G32" s="145">
        <f t="shared" ca="1" si="1"/>
        <v>0</v>
      </c>
      <c r="H32" s="71">
        <f>INDEX('FW Catch'!F32:F124, MATCH('FW Summary'!A32, 'FW Catch'!A32:A124))</f>
        <v>0</v>
      </c>
      <c r="I32" s="142">
        <f ca="1">INDEX('Pink Proportion'!$S$6:$S$128, MATCH('FW Summary'!A32, 'Pink Proportion'!$A$6:$A$128))/C32</f>
        <v>0</v>
      </c>
      <c r="J32" s="131">
        <f ca="1">IFERROR(((D32+E32)*H32)+(C32*I32), #N/A)</f>
        <v>0</v>
      </c>
      <c r="K32" s="130">
        <f t="shared" ca="1" si="3"/>
        <v>3658.7869554524041</v>
      </c>
      <c r="L32" s="145">
        <f t="shared" ca="1" si="4"/>
        <v>0.74042750121547241</v>
      </c>
      <c r="M32" s="71">
        <f>INDEX('FW Catch'!G32:G124, MATCH('FW Summary'!A32, 'FW Catch'!A32:A124))</f>
        <v>0.65</v>
      </c>
      <c r="N32" s="17">
        <f>INDEX(WhonSpComp!AN34:AN161, MATCH('FW Summary'!A32, WhonSpComp!A34:A161,0))</f>
        <v>0.83333333333333337</v>
      </c>
      <c r="O32" s="131">
        <f t="shared" ca="1" si="5"/>
        <v>10436.64677726202</v>
      </c>
      <c r="P32" s="130">
        <f t="shared" ca="1" si="6"/>
        <v>12521.070777262021</v>
      </c>
      <c r="Q32" s="145">
        <f t="shared" ca="1" si="7"/>
        <v>0.11169311887142766</v>
      </c>
      <c r="R32" s="71">
        <f>INDEX('FW Catch'!H32:H124, MATCH('FW Summary'!A32, 'FW Catch'!A32:A124))</f>
        <v>0.05</v>
      </c>
      <c r="S32" s="17">
        <f>INDEX(WhonSpComp!AT34:AT161, MATCH('FW Summary'!A32, WhonSpComp!A34:A161,0))</f>
        <v>0.16666666666666666</v>
      </c>
      <c r="T32" s="131">
        <f t="shared" ca="1" si="8"/>
        <v>1574.3629554524034</v>
      </c>
      <c r="U32" s="130">
        <f t="shared" ca="1" si="9"/>
        <v>12171.809732714424</v>
      </c>
      <c r="V32" s="145">
        <f t="shared" ca="1" si="10"/>
        <v>0.13647143014375046</v>
      </c>
      <c r="W32" s="71">
        <f>INDEX('FW Catch'!I32:I124, MATCH('FW Summary'!A32, 'FW Catch'!A32:A124))</f>
        <v>0.3</v>
      </c>
      <c r="X32" s="17">
        <f>INDEX(WhonSpComp!AV34:AV161, MATCH('FW Summary'!A32, WhonSpComp!A34:A161,0))</f>
        <v>0</v>
      </c>
      <c r="Y32" s="131">
        <f t="shared" ca="1" si="11"/>
        <v>1923.6240000000003</v>
      </c>
    </row>
    <row r="33" spans="1:25" x14ac:dyDescent="0.3">
      <c r="A33" s="1">
        <f t="shared" si="12"/>
        <v>45132</v>
      </c>
      <c r="B33" s="127">
        <f>INDEX('[1]Passage Estimates'!$D$6:$D$128, MATCH($A33, '[1]Passage Estimates'!$A$6:$A$128,0))</f>
        <v>11736.24</v>
      </c>
      <c r="C33" s="128">
        <f>INDEX('2. Salmon Passage by Bin'!$K$6:$K$128, MATCH('FW Summary'!$A33,'2. Salmon Passage by Bin'!$A$6:$A$128,0))</f>
        <v>6296.4</v>
      </c>
      <c r="D33" s="76">
        <f>INDEX('2. Salmon Passage by Bin'!$E$6:$E$128, MATCH('FW Summary'!$A33, '2. Salmon Passage by Bin'!$A$6:$A$128,0))+INDEX('2. Salmon Passage by Bin'!$F$6:$F$128, MATCH('FW Summary'!$A33, '2. Salmon Passage by Bin'!$A$6:$A$128,0))+INDEX('2. Salmon Passage by Bin'!$G$6:$G$128, MATCH('FW Summary'!$A33, '2. Salmon Passage by Bin'!$A$6:$A$128,0))+INDEX('2. Salmon Passage by Bin'!$H$6:$H$128, MATCH('FW Summary'!$A33, '2. Salmon Passage by Bin'!$A$6:$A$128,0))+_xlfn.IFNA(INDEX('2. Salmon Passage by Bin'!$I$6:$I$128, MATCH('FW Summary'!$A33, '2. Salmon Passage by Bin'!$A$6:$A$128,0)),0)+_xlfn.IFNA(INDEX('2. Salmon Passage by Bin'!$J$6:$J$128, MATCH('FW Summary'!$A33, '2. Salmon Passage by Bin'!$A$6:$A$128,0)),0)</f>
        <v>4550.6399999999994</v>
      </c>
      <c r="E33" s="129">
        <f>INDEX('2. Salmon Passage by Bin'!$M$6:$M$128, MATCH('FW Summary'!$A33, '2. Salmon Passage by Bin'!$A$6:$A$128,0))+INDEX('2. Salmon Passage by Bin'!$N$6:$N$128, MATCH('FW Summary'!$A33, '2. Salmon Passage by Bin'!$A$6:$A$128,0))+INDEX('2. Salmon Passage by Bin'!$O$6:$O$128, MATCH('FW Summary'!$A33, '2. Salmon Passage by Bin'!$A$6:$A$128,0))</f>
        <v>768.72</v>
      </c>
      <c r="F33" s="130">
        <f t="shared" si="0"/>
        <v>11736.24</v>
      </c>
      <c r="G33" s="145">
        <f t="shared" si="1"/>
        <v>0</v>
      </c>
      <c r="H33" s="71">
        <f>INDEX('FW Catch'!F33:F125, MATCH('FW Summary'!A33, 'FW Catch'!A33:A125))</f>
        <v>0</v>
      </c>
      <c r="I33" s="142">
        <f>INDEX('Pink Proportion'!$S$6:$S$128, MATCH('FW Summary'!A33, 'Pink Proportion'!$A$6:$A$128))/C33</f>
        <v>0</v>
      </c>
      <c r="J33" s="131">
        <f t="shared" ref="J33:J95" si="13">IFERROR(((D33+E33)*H33)+(C33*I33), #N/A)</f>
        <v>0</v>
      </c>
      <c r="K33" s="130">
        <f t="shared" si="3"/>
        <v>6461.7156521739134</v>
      </c>
      <c r="L33" s="145">
        <f t="shared" si="4"/>
        <v>0.44942199101467645</v>
      </c>
      <c r="M33" s="71">
        <f>INDEX('FW Catch'!G33:G125, MATCH('FW Summary'!A33, 'FW Catch'!A33:A125))</f>
        <v>0.69565217391304346</v>
      </c>
      <c r="N33" s="17">
        <f>INDEX(WhonSpComp!AN35:AN162, MATCH('FW Summary'!A33, WhonSpComp!A35:A162,0))</f>
        <v>0.25</v>
      </c>
      <c r="O33" s="131">
        <f t="shared" si="5"/>
        <v>5274.5243478260863</v>
      </c>
      <c r="P33" s="130">
        <f t="shared" si="6"/>
        <v>6782.6634782608699</v>
      </c>
      <c r="Q33" s="145">
        <f t="shared" si="7"/>
        <v>0.42207525764121473</v>
      </c>
      <c r="R33" s="71">
        <f>INDEX('FW Catch'!H33:H125, MATCH('FW Summary'!A33, 'FW Catch'!A33:A125))</f>
        <v>4.3478260869565216E-2</v>
      </c>
      <c r="S33" s="17">
        <f>INDEX(WhonSpComp!AT35:AT162, MATCH('FW Summary'!A33, WhonSpComp!A35:A162,0))</f>
        <v>0.75</v>
      </c>
      <c r="T33" s="131">
        <f t="shared" si="8"/>
        <v>4953.5765217391299</v>
      </c>
      <c r="U33" s="130">
        <f t="shared" si="9"/>
        <v>10348.580869565218</v>
      </c>
      <c r="V33" s="145">
        <f t="shared" si="10"/>
        <v>0.11823711260461464</v>
      </c>
      <c r="W33" s="71">
        <f>INDEX('FW Catch'!I33:I125, MATCH('FW Summary'!A33, 'FW Catch'!A33:A125))</f>
        <v>0.2608695652173913</v>
      </c>
      <c r="X33" s="17">
        <f>INDEX(WhonSpComp!AV35:AV162, MATCH('FW Summary'!A33, WhonSpComp!A35:A162,0))</f>
        <v>0</v>
      </c>
      <c r="Y33" s="131">
        <f t="shared" si="11"/>
        <v>1387.6591304347826</v>
      </c>
    </row>
    <row r="34" spans="1:25" x14ac:dyDescent="0.3">
      <c r="A34" s="1">
        <f t="shared" si="12"/>
        <v>45133</v>
      </c>
      <c r="B34" s="127">
        <f>INDEX('[1]Passage Estimates'!$D$6:$D$128, MATCH($A34, '[1]Passage Estimates'!$A$6:$A$128,0))</f>
        <v>13562.640000000009</v>
      </c>
      <c r="C34" s="128">
        <f>INDEX('2. Salmon Passage by Bin'!$K$6:$K$128, MATCH('FW Summary'!$A34,'2. Salmon Passage by Bin'!$A$6:$A$128,0))</f>
        <v>8477.2800000000097</v>
      </c>
      <c r="D34" s="76">
        <f>INDEX('2. Salmon Passage by Bin'!$E$6:$E$128, MATCH('FW Summary'!$A34, '2. Salmon Passage by Bin'!$A$6:$A$128,0))+INDEX('2. Salmon Passage by Bin'!$F$6:$F$128, MATCH('FW Summary'!$A34, '2. Salmon Passage by Bin'!$A$6:$A$128,0))+INDEX('2. Salmon Passage by Bin'!$G$6:$G$128, MATCH('FW Summary'!$A34, '2. Salmon Passage by Bin'!$A$6:$A$128,0))+INDEX('2. Salmon Passage by Bin'!$H$6:$H$128, MATCH('FW Summary'!$A34, '2. Salmon Passage by Bin'!$A$6:$A$128,0))+_xlfn.IFNA(INDEX('2. Salmon Passage by Bin'!$I$6:$I$128, MATCH('FW Summary'!$A34, '2. Salmon Passage by Bin'!$A$6:$A$128,0)),0)+_xlfn.IFNA(INDEX('2. Salmon Passage by Bin'!$J$6:$J$128, MATCH('FW Summary'!$A34, '2. Salmon Passage by Bin'!$A$6:$A$128,0)),0)</f>
        <v>4649.28</v>
      </c>
      <c r="E34" s="129">
        <f>INDEX('2. Salmon Passage by Bin'!$M$6:$M$128, MATCH('FW Summary'!$A34, '2. Salmon Passage by Bin'!$A$6:$A$128,0))+INDEX('2. Salmon Passage by Bin'!$N$6:$N$128, MATCH('FW Summary'!$A34, '2. Salmon Passage by Bin'!$A$6:$A$128,0))+INDEX('2. Salmon Passage by Bin'!$O$6:$O$128, MATCH('FW Summary'!$A34, '2. Salmon Passage by Bin'!$A$6:$A$128,0))</f>
        <v>212.16</v>
      </c>
      <c r="F34" s="130">
        <f t="shared" si="0"/>
        <v>13562.640000000009</v>
      </c>
      <c r="G34" s="145">
        <f t="shared" si="1"/>
        <v>0</v>
      </c>
      <c r="H34" s="71">
        <f>INDEX('FW Catch'!F34:F126, MATCH('FW Summary'!A34, 'FW Catch'!A34:A126))</f>
        <v>0</v>
      </c>
      <c r="I34" s="142">
        <f>INDEX('Pink Proportion'!$S$6:$S$128, MATCH('FW Summary'!A34, 'Pink Proportion'!$A$6:$A$128))/C34</f>
        <v>0</v>
      </c>
      <c r="J34" s="131">
        <f t="shared" si="13"/>
        <v>0</v>
      </c>
      <c r="K34" s="130">
        <f t="shared" si="3"/>
        <v>5837.6266666666706</v>
      </c>
      <c r="L34" s="145">
        <f t="shared" si="4"/>
        <v>0.56958035701997056</v>
      </c>
      <c r="M34" s="71">
        <f>INDEX('FW Catch'!G34:G126, MATCH('FW Summary'!A34, 'FW Catch'!A34:A126))</f>
        <v>0.59259259259259256</v>
      </c>
      <c r="N34" s="17">
        <f>INDEX(WhonSpComp!AN36:AN163, MATCH('FW Summary'!A34, WhonSpComp!A36:A163,0))</f>
        <v>0.5714285714285714</v>
      </c>
      <c r="O34" s="131">
        <f t="shared" si="5"/>
        <v>7725.0133333333379</v>
      </c>
      <c r="P34" s="130">
        <f t="shared" si="6"/>
        <v>9209.3066666666709</v>
      </c>
      <c r="Q34" s="145">
        <f t="shared" si="7"/>
        <v>0.3209797895788235</v>
      </c>
      <c r="R34" s="71">
        <f>INDEX('FW Catch'!H34:H126, MATCH('FW Summary'!A34, 'FW Catch'!A34:A126))</f>
        <v>0.14814814814814814</v>
      </c>
      <c r="S34" s="17">
        <f>INDEX(WhonSpComp!AT36:AT163, MATCH('FW Summary'!A34, WhonSpComp!A36:A163,0))</f>
        <v>0.42857142857142855</v>
      </c>
      <c r="T34" s="131">
        <f t="shared" si="8"/>
        <v>4353.3333333333376</v>
      </c>
      <c r="U34" s="130">
        <f t="shared" si="9"/>
        <v>12302.266666666676</v>
      </c>
      <c r="V34" s="145">
        <f t="shared" si="10"/>
        <v>9.2929793412885139E-2</v>
      </c>
      <c r="W34" s="71">
        <f>INDEX('FW Catch'!I34:I126, MATCH('FW Summary'!A34, 'FW Catch'!A34:A126))</f>
        <v>0.25925925925925924</v>
      </c>
      <c r="X34" s="17">
        <f>INDEX(WhonSpComp!AV36:AV163, MATCH('FW Summary'!A34, WhonSpComp!A36:A163,0))</f>
        <v>0</v>
      </c>
      <c r="Y34" s="131">
        <f t="shared" si="11"/>
        <v>1260.3733333333332</v>
      </c>
    </row>
    <row r="35" spans="1:25" x14ac:dyDescent="0.3">
      <c r="A35" s="1">
        <f t="shared" si="12"/>
        <v>45134</v>
      </c>
      <c r="B35" s="127">
        <f>INDEX('[1]Passage Estimates'!$D$6:$D$128, MATCH($A35, '[1]Passage Estimates'!$A$6:$A$128,0))</f>
        <v>11592.480000000001</v>
      </c>
      <c r="C35" s="128">
        <f>INDEX('2. Salmon Passage by Bin'!$K$6:$K$128, MATCH('FW Summary'!$A35,'2. Salmon Passage by Bin'!$A$6:$A$128,0))</f>
        <v>7370.880000000001</v>
      </c>
      <c r="D35" s="76">
        <f>INDEX('2. Salmon Passage by Bin'!$E$6:$E$128, MATCH('FW Summary'!$A35, '2. Salmon Passage by Bin'!$A$6:$A$128,0))+INDEX('2. Salmon Passage by Bin'!$F$6:$F$128, MATCH('FW Summary'!$A35, '2. Salmon Passage by Bin'!$A$6:$A$128,0))+INDEX('2. Salmon Passage by Bin'!$G$6:$G$128, MATCH('FW Summary'!$A35, '2. Salmon Passage by Bin'!$A$6:$A$128,0))+INDEX('2. Salmon Passage by Bin'!$H$6:$H$128, MATCH('FW Summary'!$A35, '2. Salmon Passage by Bin'!$A$6:$A$128,0))+_xlfn.IFNA(INDEX('2. Salmon Passage by Bin'!$I$6:$I$128, MATCH('FW Summary'!$A35, '2. Salmon Passage by Bin'!$A$6:$A$128,0)),0)+_xlfn.IFNA(INDEX('2. Salmon Passage by Bin'!$J$6:$J$128, MATCH('FW Summary'!$A35, '2. Salmon Passage by Bin'!$A$6:$A$128,0)),0)</f>
        <v>3869.2799999999997</v>
      </c>
      <c r="E35" s="129">
        <f>INDEX('2. Salmon Passage by Bin'!$M$6:$M$128, MATCH('FW Summary'!$A35, '2. Salmon Passage by Bin'!$A$6:$A$128,0))+INDEX('2. Salmon Passage by Bin'!$N$6:$N$128, MATCH('FW Summary'!$A35, '2. Salmon Passage by Bin'!$A$6:$A$128,0))+INDEX('2. Salmon Passage by Bin'!$O$6:$O$128, MATCH('FW Summary'!$A35, '2. Salmon Passage by Bin'!$A$6:$A$128,0))</f>
        <v>368.88</v>
      </c>
      <c r="F35" s="130" t="e">
        <f t="shared" ref="F35:F66" si="14">B35-J35</f>
        <v>#N/A</v>
      </c>
      <c r="G35" s="145" t="e">
        <f t="shared" ref="G35:G66" si="15">J35/B35</f>
        <v>#N/A</v>
      </c>
      <c r="H35" s="71" t="e">
        <f>INDEX('FW Catch'!F35:F127, MATCH('FW Summary'!A35, 'FW Catch'!A35:A127))</f>
        <v>#DIV/0!</v>
      </c>
      <c r="I35" s="142">
        <f>INDEX('Pink Proportion'!$S$6:$S$128, MATCH('FW Summary'!A35, 'Pink Proportion'!$A$6:$A$128))/C35</f>
        <v>0</v>
      </c>
      <c r="J35" s="131" t="e">
        <f t="shared" si="13"/>
        <v>#N/A</v>
      </c>
      <c r="K35" s="130" t="e">
        <f t="shared" si="3"/>
        <v>#N/A</v>
      </c>
      <c r="L35" s="145" t="e">
        <f t="shared" si="4"/>
        <v>#N/A</v>
      </c>
      <c r="M35" s="71" t="e">
        <f>INDEX('FW Catch'!G35:G127, MATCH('FW Summary'!A35, 'FW Catch'!A35:A127))</f>
        <v>#DIV/0!</v>
      </c>
      <c r="N35" s="17">
        <f>INDEX(WhonSpComp!AN37:AN164, MATCH('FW Summary'!A35, WhonSpComp!A37:A164,0))</f>
        <v>0.25</v>
      </c>
      <c r="O35" s="131" t="e">
        <f t="shared" si="5"/>
        <v>#N/A</v>
      </c>
      <c r="P35" s="130" t="e">
        <f t="shared" si="6"/>
        <v>#N/A</v>
      </c>
      <c r="Q35" s="145" t="e">
        <f t="shared" si="7"/>
        <v>#N/A</v>
      </c>
      <c r="R35" s="71" t="e">
        <f>INDEX('FW Catch'!H35:H127, MATCH('FW Summary'!A35, 'FW Catch'!A35:A127))</f>
        <v>#DIV/0!</v>
      </c>
      <c r="S35" s="17">
        <f>INDEX(WhonSpComp!AT37:AT164, MATCH('FW Summary'!A35, WhonSpComp!A37:A164,0))</f>
        <v>0.75</v>
      </c>
      <c r="T35" s="131" t="e">
        <f t="shared" si="8"/>
        <v>#N/A</v>
      </c>
      <c r="U35" s="130" t="e">
        <f t="shared" si="9"/>
        <v>#N/A</v>
      </c>
      <c r="V35" s="145" t="e">
        <f t="shared" si="10"/>
        <v>#N/A</v>
      </c>
      <c r="W35" s="71" t="e">
        <f>INDEX('FW Catch'!I35:I127, MATCH('FW Summary'!A35, 'FW Catch'!A35:A127))</f>
        <v>#DIV/0!</v>
      </c>
      <c r="X35" s="17">
        <f>INDEX(WhonSpComp!AV37:AV164, MATCH('FW Summary'!A35, WhonSpComp!A37:A164,0))</f>
        <v>0</v>
      </c>
      <c r="Y35" s="131" t="e">
        <f t="shared" si="11"/>
        <v>#N/A</v>
      </c>
    </row>
    <row r="36" spans="1:25" x14ac:dyDescent="0.3">
      <c r="A36" s="1">
        <f t="shared" si="12"/>
        <v>45135</v>
      </c>
      <c r="B36" s="127">
        <f>INDEX('[1]Passage Estimates'!$D$6:$D$128, MATCH($A36, '[1]Passage Estimates'!$A$6:$A$128,0))</f>
        <v>10282.08</v>
      </c>
      <c r="C36" s="128">
        <f>INDEX('2. Salmon Passage by Bin'!$K$6:$K$128, MATCH('FW Summary'!$A36,'2. Salmon Passage by Bin'!$A$6:$A$128,0))</f>
        <v>5582.16</v>
      </c>
      <c r="D36" s="76">
        <f>INDEX('2. Salmon Passage by Bin'!$E$6:$E$128, MATCH('FW Summary'!$A36, '2. Salmon Passage by Bin'!$A$6:$A$128,0))+INDEX('2. Salmon Passage by Bin'!$F$6:$F$128, MATCH('FW Summary'!$A36, '2. Salmon Passage by Bin'!$A$6:$A$128,0))+INDEX('2. Salmon Passage by Bin'!$G$6:$G$128, MATCH('FW Summary'!$A36, '2. Salmon Passage by Bin'!$A$6:$A$128,0))+INDEX('2. Salmon Passage by Bin'!$H$6:$H$128, MATCH('FW Summary'!$A36, '2. Salmon Passage by Bin'!$A$6:$A$128,0))+_xlfn.IFNA(INDEX('2. Salmon Passage by Bin'!$I$6:$I$128, MATCH('FW Summary'!$A36, '2. Salmon Passage by Bin'!$A$6:$A$128,0)),0)+_xlfn.IFNA(INDEX('2. Salmon Passage by Bin'!$J$6:$J$128, MATCH('FW Summary'!$A36, '2. Salmon Passage by Bin'!$A$6:$A$128,0)),0)</f>
        <v>4053.84</v>
      </c>
      <c r="E36" s="129">
        <f>INDEX('2. Salmon Passage by Bin'!$M$6:$M$128, MATCH('FW Summary'!$A36, '2. Salmon Passage by Bin'!$A$6:$A$128,0))+INDEX('2. Salmon Passage by Bin'!$N$6:$N$128, MATCH('FW Summary'!$A36, '2. Salmon Passage by Bin'!$A$6:$A$128,0))+INDEX('2. Salmon Passage by Bin'!$O$6:$O$128, MATCH('FW Summary'!$A36, '2. Salmon Passage by Bin'!$A$6:$A$128,0))</f>
        <v>613.20000000000005</v>
      </c>
      <c r="F36" s="130" t="e">
        <f t="shared" si="14"/>
        <v>#N/A</v>
      </c>
      <c r="G36" s="145" t="e">
        <f t="shared" si="15"/>
        <v>#N/A</v>
      </c>
      <c r="H36" s="71" t="e">
        <f>INDEX('FW Catch'!F36:F128, MATCH('FW Summary'!A36, 'FW Catch'!A36:A128))</f>
        <v>#DIV/0!</v>
      </c>
      <c r="I36" s="142">
        <f>INDEX('Pink Proportion'!$S$6:$S$128, MATCH('FW Summary'!A36, 'Pink Proportion'!$A$6:$A$128))/C36</f>
        <v>0</v>
      </c>
      <c r="J36" s="131" t="e">
        <f t="shared" si="13"/>
        <v>#N/A</v>
      </c>
      <c r="K36" s="130" t="e">
        <f t="shared" si="3"/>
        <v>#N/A</v>
      </c>
      <c r="L36" s="145" t="e">
        <f t="shared" si="4"/>
        <v>#N/A</v>
      </c>
      <c r="M36" s="71" t="e">
        <f>INDEX('FW Catch'!G36:G128, MATCH('FW Summary'!A36, 'FW Catch'!A36:A128))</f>
        <v>#DIV/0!</v>
      </c>
      <c r="N36" s="17">
        <f>INDEX(WhonSpComp!AN38:AN165, MATCH('FW Summary'!A36, WhonSpComp!A38:A165,0))</f>
        <v>0.81818181818181823</v>
      </c>
      <c r="O36" s="131" t="e">
        <f t="shared" si="5"/>
        <v>#N/A</v>
      </c>
      <c r="P36" s="130" t="e">
        <f t="shared" si="6"/>
        <v>#N/A</v>
      </c>
      <c r="Q36" s="145" t="e">
        <f t="shared" si="7"/>
        <v>#N/A</v>
      </c>
      <c r="R36" s="71" t="e">
        <f>INDEX('FW Catch'!H36:H128, MATCH('FW Summary'!A36, 'FW Catch'!A36:A128))</f>
        <v>#DIV/0!</v>
      </c>
      <c r="S36" s="17">
        <f>INDEX(WhonSpComp!AT38:AT165, MATCH('FW Summary'!A36, WhonSpComp!A38:A165,0))</f>
        <v>0.18181818181818182</v>
      </c>
      <c r="T36" s="131" t="e">
        <f t="shared" si="8"/>
        <v>#N/A</v>
      </c>
      <c r="U36" s="130" t="e">
        <f t="shared" si="9"/>
        <v>#N/A</v>
      </c>
      <c r="V36" s="145" t="e">
        <f t="shared" si="10"/>
        <v>#N/A</v>
      </c>
      <c r="W36" s="71" t="e">
        <f>INDEX('FW Catch'!I36:I128, MATCH('FW Summary'!A36, 'FW Catch'!A36:A128))</f>
        <v>#DIV/0!</v>
      </c>
      <c r="X36" s="17">
        <f>INDEX(WhonSpComp!AV38:AV165, MATCH('FW Summary'!A36, WhonSpComp!A38:A165,0))</f>
        <v>0</v>
      </c>
      <c r="Y36" s="131" t="e">
        <f t="shared" si="11"/>
        <v>#N/A</v>
      </c>
    </row>
    <row r="37" spans="1:25" x14ac:dyDescent="0.3">
      <c r="A37" s="1">
        <f t="shared" si="12"/>
        <v>45136</v>
      </c>
      <c r="B37" s="127">
        <f>INDEX('[1]Passage Estimates'!$D$6:$D$128, MATCH($A37, '[1]Passage Estimates'!$A$6:$A$128,0))</f>
        <v>12626.16</v>
      </c>
      <c r="C37" s="128">
        <f>INDEX('2. Salmon Passage by Bin'!$K$6:$K$128, MATCH('FW Summary'!$A37,'2. Salmon Passage by Bin'!$A$6:$A$128,0))</f>
        <v>6370.5600000000013</v>
      </c>
      <c r="D37" s="76">
        <f>INDEX('2. Salmon Passage by Bin'!$E$6:$E$128, MATCH('FW Summary'!$A37, '2. Salmon Passage by Bin'!$A$6:$A$128,0))+INDEX('2. Salmon Passage by Bin'!$F$6:$F$128, MATCH('FW Summary'!$A37, '2. Salmon Passage by Bin'!$A$6:$A$128,0))+INDEX('2. Salmon Passage by Bin'!$G$6:$G$128, MATCH('FW Summary'!$A37, '2. Salmon Passage by Bin'!$A$6:$A$128,0))+INDEX('2. Salmon Passage by Bin'!$H$6:$H$128, MATCH('FW Summary'!$A37, '2. Salmon Passage by Bin'!$A$6:$A$128,0))+_xlfn.IFNA(INDEX('2. Salmon Passage by Bin'!$I$6:$I$128, MATCH('FW Summary'!$A37, '2. Salmon Passage by Bin'!$A$6:$A$128,0)),0)+_xlfn.IFNA(INDEX('2. Salmon Passage by Bin'!$J$6:$J$128, MATCH('FW Summary'!$A37, '2. Salmon Passage by Bin'!$A$6:$A$128,0)),0)</f>
        <v>5164.32</v>
      </c>
      <c r="E37" s="129">
        <f>INDEX('2. Salmon Passage by Bin'!$M$6:$M$128, MATCH('FW Summary'!$A37, '2. Salmon Passage by Bin'!$A$6:$A$128,0))+INDEX('2. Salmon Passage by Bin'!$N$6:$N$128, MATCH('FW Summary'!$A37, '2. Salmon Passage by Bin'!$A$6:$A$128,0))+INDEX('2. Salmon Passage by Bin'!$O$6:$O$128, MATCH('FW Summary'!$A37, '2. Salmon Passage by Bin'!$A$6:$A$128,0))</f>
        <v>1033.44</v>
      </c>
      <c r="F37" s="130" t="e">
        <f t="shared" si="14"/>
        <v>#N/A</v>
      </c>
      <c r="G37" s="145" t="e">
        <f t="shared" si="15"/>
        <v>#N/A</v>
      </c>
      <c r="H37" s="71" t="e">
        <f>INDEX('FW Catch'!F37:F129, MATCH('FW Summary'!A37, 'FW Catch'!A37:A129))</f>
        <v>#DIV/0!</v>
      </c>
      <c r="I37" s="142">
        <f>INDEX('Pink Proportion'!$S$6:$S$128, MATCH('FW Summary'!A37, 'Pink Proportion'!$A$6:$A$128))/C37</f>
        <v>0</v>
      </c>
      <c r="J37" s="131" t="e">
        <f t="shared" si="13"/>
        <v>#N/A</v>
      </c>
      <c r="K37" s="130" t="e">
        <f t="shared" si="3"/>
        <v>#N/A</v>
      </c>
      <c r="L37" s="145" t="e">
        <f t="shared" si="4"/>
        <v>#N/A</v>
      </c>
      <c r="M37" s="71" t="e">
        <f>INDEX('FW Catch'!G37:G129, MATCH('FW Summary'!A37, 'FW Catch'!A37:A129))</f>
        <v>#DIV/0!</v>
      </c>
      <c r="N37" s="17">
        <f>INDEX(WhonSpComp!AN39:AN166, MATCH('FW Summary'!A37, WhonSpComp!A39:A166,0))</f>
        <v>0.33333333333333331</v>
      </c>
      <c r="O37" s="131" t="e">
        <f t="shared" si="5"/>
        <v>#N/A</v>
      </c>
      <c r="P37" s="130" t="e">
        <f t="shared" si="6"/>
        <v>#N/A</v>
      </c>
      <c r="Q37" s="145" t="e">
        <f t="shared" si="7"/>
        <v>#N/A</v>
      </c>
      <c r="R37" s="71" t="e">
        <f>INDEX('FW Catch'!H37:H129, MATCH('FW Summary'!A37, 'FW Catch'!A37:A129))</f>
        <v>#DIV/0!</v>
      </c>
      <c r="S37" s="17">
        <f>INDEX(WhonSpComp!AT39:AT166, MATCH('FW Summary'!A37, WhonSpComp!A39:A166,0))</f>
        <v>0.66666666666666663</v>
      </c>
      <c r="T37" s="131" t="e">
        <f t="shared" si="8"/>
        <v>#N/A</v>
      </c>
      <c r="U37" s="130" t="e">
        <f t="shared" si="9"/>
        <v>#N/A</v>
      </c>
      <c r="V37" s="145" t="e">
        <f t="shared" si="10"/>
        <v>#N/A</v>
      </c>
      <c r="W37" s="71" t="e">
        <f>INDEX('FW Catch'!I37:I129, MATCH('FW Summary'!A37, 'FW Catch'!A37:A129))</f>
        <v>#DIV/0!</v>
      </c>
      <c r="X37" s="17">
        <f>INDEX(WhonSpComp!AV39:AV166, MATCH('FW Summary'!A37, WhonSpComp!A39:A166,0))</f>
        <v>0</v>
      </c>
      <c r="Y37" s="131" t="e">
        <f t="shared" si="11"/>
        <v>#N/A</v>
      </c>
    </row>
    <row r="38" spans="1:25" x14ac:dyDescent="0.3">
      <c r="A38" s="1">
        <f t="shared" si="12"/>
        <v>45137</v>
      </c>
      <c r="B38" s="127">
        <f>INDEX('[1]Passage Estimates'!$D$6:$D$128, MATCH($A38, '[1]Passage Estimates'!$A$6:$A$128,0))</f>
        <v>10201.680000000002</v>
      </c>
      <c r="C38" s="128">
        <f>INDEX('2. Salmon Passage by Bin'!$K$6:$K$128, MATCH('FW Summary'!$A38,'2. Salmon Passage by Bin'!$A$6:$A$128,0))</f>
        <v>4337.760000000002</v>
      </c>
      <c r="D38" s="76">
        <f>INDEX('2. Salmon Passage by Bin'!$E$6:$E$128, MATCH('FW Summary'!$A38, '2. Salmon Passage by Bin'!$A$6:$A$128,0))+INDEX('2. Salmon Passage by Bin'!$F$6:$F$128, MATCH('FW Summary'!$A38, '2. Salmon Passage by Bin'!$A$6:$A$128,0))+INDEX('2. Salmon Passage by Bin'!$G$6:$G$128, MATCH('FW Summary'!$A38, '2. Salmon Passage by Bin'!$A$6:$A$128,0))+INDEX('2. Salmon Passage by Bin'!$H$6:$H$128, MATCH('FW Summary'!$A38, '2. Salmon Passage by Bin'!$A$6:$A$128,0))+_xlfn.IFNA(INDEX('2. Salmon Passage by Bin'!$I$6:$I$128, MATCH('FW Summary'!$A38, '2. Salmon Passage by Bin'!$A$6:$A$128,0)),0)+_xlfn.IFNA(INDEX('2. Salmon Passage by Bin'!$J$6:$J$128, MATCH('FW Summary'!$A38, '2. Salmon Passage by Bin'!$A$6:$A$128,0)),0)</f>
        <v>4651.68</v>
      </c>
      <c r="E38" s="129">
        <f>INDEX('2. Salmon Passage by Bin'!$M$6:$M$128, MATCH('FW Summary'!$A38, '2. Salmon Passage by Bin'!$A$6:$A$128,0))+INDEX('2. Salmon Passage by Bin'!$N$6:$N$128, MATCH('FW Summary'!$A38, '2. Salmon Passage by Bin'!$A$6:$A$128,0))+INDEX('2. Salmon Passage by Bin'!$O$6:$O$128, MATCH('FW Summary'!$A38, '2. Salmon Passage by Bin'!$A$6:$A$128,0))</f>
        <v>948.72</v>
      </c>
      <c r="F38" s="130" t="e">
        <f t="shared" si="14"/>
        <v>#N/A</v>
      </c>
      <c r="G38" s="145" t="e">
        <f t="shared" si="15"/>
        <v>#N/A</v>
      </c>
      <c r="H38" s="71" t="e">
        <f>INDEX('FW Catch'!F38:F130, MATCH('FW Summary'!A38, 'FW Catch'!A38:A130))</f>
        <v>#DIV/0!</v>
      </c>
      <c r="I38" s="142">
        <f>INDEX('Pink Proportion'!$S$6:$S$128, MATCH('FW Summary'!A38, 'Pink Proportion'!$A$6:$A$128))/C38</f>
        <v>0</v>
      </c>
      <c r="J38" s="131" t="e">
        <f t="shared" si="13"/>
        <v>#N/A</v>
      </c>
      <c r="K38" s="130" t="e">
        <f t="shared" si="3"/>
        <v>#N/A</v>
      </c>
      <c r="L38" s="145" t="e">
        <f t="shared" si="4"/>
        <v>#N/A</v>
      </c>
      <c r="M38" s="71" t="e">
        <f>INDEX('FW Catch'!G38:G130, MATCH('FW Summary'!A38, 'FW Catch'!A38:A130))</f>
        <v>#DIV/0!</v>
      </c>
      <c r="N38" s="17">
        <f>INDEX(WhonSpComp!AN40:AN167, MATCH('FW Summary'!A38, WhonSpComp!A40:A167,0))</f>
        <v>0.45454545454545453</v>
      </c>
      <c r="O38" s="131" t="e">
        <f t="shared" si="5"/>
        <v>#N/A</v>
      </c>
      <c r="P38" s="130" t="e">
        <f t="shared" si="6"/>
        <v>#N/A</v>
      </c>
      <c r="Q38" s="145" t="e">
        <f t="shared" si="7"/>
        <v>#N/A</v>
      </c>
      <c r="R38" s="71" t="e">
        <f>INDEX('FW Catch'!H38:H130, MATCH('FW Summary'!A38, 'FW Catch'!A38:A130))</f>
        <v>#DIV/0!</v>
      </c>
      <c r="S38" s="17">
        <f>INDEX(WhonSpComp!AT40:AT167, MATCH('FW Summary'!A38, WhonSpComp!A40:A167,0))</f>
        <v>0.54545454545454541</v>
      </c>
      <c r="T38" s="131" t="e">
        <f t="shared" si="8"/>
        <v>#N/A</v>
      </c>
      <c r="U38" s="130" t="e">
        <f t="shared" si="9"/>
        <v>#N/A</v>
      </c>
      <c r="V38" s="145" t="e">
        <f t="shared" si="10"/>
        <v>#N/A</v>
      </c>
      <c r="W38" s="71" t="e">
        <f>INDEX('FW Catch'!I38:I130, MATCH('FW Summary'!A38, 'FW Catch'!A38:A130))</f>
        <v>#DIV/0!</v>
      </c>
      <c r="X38" s="17">
        <f>INDEX(WhonSpComp!AV40:AV167, MATCH('FW Summary'!A38, WhonSpComp!A40:A167,0))</f>
        <v>0</v>
      </c>
      <c r="Y38" s="131" t="e">
        <f t="shared" si="11"/>
        <v>#N/A</v>
      </c>
    </row>
    <row r="39" spans="1:25" x14ac:dyDescent="0.3">
      <c r="A39" s="1">
        <f t="shared" si="12"/>
        <v>45138</v>
      </c>
      <c r="B39" s="127">
        <f>INDEX('[1]Passage Estimates'!$D$6:$D$128, MATCH($A39, '[1]Passage Estimates'!$A$6:$A$128,0))</f>
        <v>14799.119999999999</v>
      </c>
      <c r="C39" s="128">
        <f>INDEX('2. Salmon Passage by Bin'!$K$6:$K$128, MATCH('FW Summary'!$A39,'2. Salmon Passage by Bin'!$A$6:$A$128,0))</f>
        <v>8228.4000000000015</v>
      </c>
      <c r="D39" s="76">
        <f>INDEX('2. Salmon Passage by Bin'!$E$6:$E$128, MATCH('FW Summary'!$A39, '2. Salmon Passage by Bin'!$A$6:$A$128,0))+INDEX('2. Salmon Passage by Bin'!$F$6:$F$128, MATCH('FW Summary'!$A39, '2. Salmon Passage by Bin'!$A$6:$A$128,0))+INDEX('2. Salmon Passage by Bin'!$G$6:$G$128, MATCH('FW Summary'!$A39, '2. Salmon Passage by Bin'!$A$6:$A$128,0))+INDEX('2. Salmon Passage by Bin'!$H$6:$H$128, MATCH('FW Summary'!$A39, '2. Salmon Passage by Bin'!$A$6:$A$128,0))+_xlfn.IFNA(INDEX('2. Salmon Passage by Bin'!$I$6:$I$128, MATCH('FW Summary'!$A39, '2. Salmon Passage by Bin'!$A$6:$A$128,0)),0)+_xlfn.IFNA(INDEX('2. Salmon Passage by Bin'!$J$6:$J$128, MATCH('FW Summary'!$A39, '2. Salmon Passage by Bin'!$A$6:$A$128,0)),0)</f>
        <v>5700.7199999999993</v>
      </c>
      <c r="E39" s="129">
        <f>INDEX('2. Salmon Passage by Bin'!$M$6:$M$128, MATCH('FW Summary'!$A39, '2. Salmon Passage by Bin'!$A$6:$A$128,0))+INDEX('2. Salmon Passage by Bin'!$N$6:$N$128, MATCH('FW Summary'!$A39, '2. Salmon Passage by Bin'!$A$6:$A$128,0))+INDEX('2. Salmon Passage by Bin'!$O$6:$O$128, MATCH('FW Summary'!$A39, '2. Salmon Passage by Bin'!$A$6:$A$128,0))</f>
        <v>741.12</v>
      </c>
      <c r="F39" s="130" t="e">
        <f t="shared" si="14"/>
        <v>#N/A</v>
      </c>
      <c r="G39" s="145" t="e">
        <f t="shared" si="15"/>
        <v>#N/A</v>
      </c>
      <c r="H39" s="71" t="e">
        <f>INDEX('FW Catch'!F39:F131, MATCH('FW Summary'!A39, 'FW Catch'!A39:A131))</f>
        <v>#DIV/0!</v>
      </c>
      <c r="I39" s="142">
        <f>INDEX('Pink Proportion'!$S$6:$S$128, MATCH('FW Summary'!A39, 'Pink Proportion'!$A$6:$A$128))/C39</f>
        <v>0</v>
      </c>
      <c r="J39" s="131" t="e">
        <f t="shared" si="13"/>
        <v>#N/A</v>
      </c>
      <c r="K39" s="130" t="e">
        <f t="shared" si="3"/>
        <v>#N/A</v>
      </c>
      <c r="L39" s="145" t="e">
        <f t="shared" si="4"/>
        <v>#N/A</v>
      </c>
      <c r="M39" s="71" t="e">
        <f>INDEX('FW Catch'!G39:G131, MATCH('FW Summary'!A39, 'FW Catch'!A39:A131))</f>
        <v>#DIV/0!</v>
      </c>
      <c r="N39" s="17">
        <f>INDEX(WhonSpComp!AN41:AN168, MATCH('FW Summary'!A39, WhonSpComp!A41:A168,0))</f>
        <v>0.875</v>
      </c>
      <c r="O39" s="131" t="e">
        <f t="shared" si="5"/>
        <v>#N/A</v>
      </c>
      <c r="P39" s="130" t="e">
        <f t="shared" si="6"/>
        <v>#N/A</v>
      </c>
      <c r="Q39" s="145" t="e">
        <f t="shared" si="7"/>
        <v>#N/A</v>
      </c>
      <c r="R39" s="71" t="e">
        <f>INDEX('FW Catch'!H39:H131, MATCH('FW Summary'!A39, 'FW Catch'!A39:A131))</f>
        <v>#DIV/0!</v>
      </c>
      <c r="S39" s="17">
        <f>INDEX(WhonSpComp!AT41:AT168, MATCH('FW Summary'!A39, WhonSpComp!A41:A168,0))</f>
        <v>0.125</v>
      </c>
      <c r="T39" s="131" t="e">
        <f t="shared" si="8"/>
        <v>#N/A</v>
      </c>
      <c r="U39" s="130" t="e">
        <f t="shared" si="9"/>
        <v>#N/A</v>
      </c>
      <c r="V39" s="145" t="e">
        <f t="shared" si="10"/>
        <v>#N/A</v>
      </c>
      <c r="W39" s="71" t="e">
        <f>INDEX('FW Catch'!I39:I131, MATCH('FW Summary'!A39, 'FW Catch'!A39:A131))</f>
        <v>#DIV/0!</v>
      </c>
      <c r="X39" s="17">
        <f>INDEX(WhonSpComp!AV41:AV168, MATCH('FW Summary'!A39, WhonSpComp!A41:A168,0))</f>
        <v>0</v>
      </c>
      <c r="Y39" s="131" t="e">
        <f t="shared" si="11"/>
        <v>#N/A</v>
      </c>
    </row>
    <row r="40" spans="1:25" x14ac:dyDescent="0.3">
      <c r="A40" s="1">
        <f t="shared" si="12"/>
        <v>45139</v>
      </c>
      <c r="B40" s="127">
        <f>INDEX('[1]Passage Estimates'!$D$6:$D$128, MATCH($A40, '[1]Passage Estimates'!$A$6:$A$128,0))</f>
        <v>12934.800000000003</v>
      </c>
      <c r="C40" s="128">
        <f>INDEX('2. Salmon Passage by Bin'!$K$6:$K$128, MATCH('FW Summary'!$A40,'2. Salmon Passage by Bin'!$A$6:$A$128,0))</f>
        <v>8679.600000000004</v>
      </c>
      <c r="D40" s="76">
        <f>INDEX('2. Salmon Passage by Bin'!$E$6:$E$128, MATCH('FW Summary'!$A40, '2. Salmon Passage by Bin'!$A$6:$A$128,0))+INDEX('2. Salmon Passage by Bin'!$F$6:$F$128, MATCH('FW Summary'!$A40, '2. Salmon Passage by Bin'!$A$6:$A$128,0))+INDEX('2. Salmon Passage by Bin'!$G$6:$G$128, MATCH('FW Summary'!$A40, '2. Salmon Passage by Bin'!$A$6:$A$128,0))+INDEX('2. Salmon Passage by Bin'!$H$6:$H$128, MATCH('FW Summary'!$A40, '2. Salmon Passage by Bin'!$A$6:$A$128,0))+_xlfn.IFNA(INDEX('2. Salmon Passage by Bin'!$I$6:$I$128, MATCH('FW Summary'!$A40, '2. Salmon Passage by Bin'!$A$6:$A$128,0)),0)+_xlfn.IFNA(INDEX('2. Salmon Passage by Bin'!$J$6:$J$128, MATCH('FW Summary'!$A40, '2. Salmon Passage by Bin'!$A$6:$A$128,0)),0)</f>
        <v>4407.84</v>
      </c>
      <c r="E40" s="129">
        <f>INDEX('2. Salmon Passage by Bin'!$M$6:$M$128, MATCH('FW Summary'!$A40, '2. Salmon Passage by Bin'!$A$6:$A$128,0))+INDEX('2. Salmon Passage by Bin'!$N$6:$N$128, MATCH('FW Summary'!$A40, '2. Salmon Passage by Bin'!$A$6:$A$128,0))+INDEX('2. Salmon Passage by Bin'!$O$6:$O$128, MATCH('FW Summary'!$A40, '2. Salmon Passage by Bin'!$A$6:$A$128,0))</f>
        <v>119.03999999999999</v>
      </c>
      <c r="F40" s="130" t="e">
        <f t="shared" si="14"/>
        <v>#N/A</v>
      </c>
      <c r="G40" s="145" t="e">
        <f t="shared" si="15"/>
        <v>#N/A</v>
      </c>
      <c r="H40" s="71" t="e">
        <f>INDEX('FW Catch'!F40:F132, MATCH('FW Summary'!A40, 'FW Catch'!A40:A132))</f>
        <v>#DIV/0!</v>
      </c>
      <c r="I40" s="142">
        <f>INDEX('Pink Proportion'!$S$6:$S$128, MATCH('FW Summary'!A40, 'Pink Proportion'!$A$6:$A$128))/C40</f>
        <v>0</v>
      </c>
      <c r="J40" s="131" t="e">
        <f t="shared" si="13"/>
        <v>#N/A</v>
      </c>
      <c r="K40" s="130" t="e">
        <f t="shared" si="3"/>
        <v>#N/A</v>
      </c>
      <c r="L40" s="145" t="e">
        <f t="shared" si="4"/>
        <v>#N/A</v>
      </c>
      <c r="M40" s="71" t="e">
        <f>INDEX('FW Catch'!G40:G132, MATCH('FW Summary'!A40, 'FW Catch'!A40:A132))</f>
        <v>#DIV/0!</v>
      </c>
      <c r="N40" s="17">
        <f>INDEX(WhonSpComp!AN42:AN169, MATCH('FW Summary'!A40, WhonSpComp!A42:A169,0))</f>
        <v>0.61111111111111116</v>
      </c>
      <c r="O40" s="131" t="e">
        <f t="shared" si="5"/>
        <v>#N/A</v>
      </c>
      <c r="P40" s="130" t="e">
        <f t="shared" si="6"/>
        <v>#N/A</v>
      </c>
      <c r="Q40" s="145" t="e">
        <f t="shared" si="7"/>
        <v>#N/A</v>
      </c>
      <c r="R40" s="71" t="e">
        <f>INDEX('FW Catch'!H40:H132, MATCH('FW Summary'!A40, 'FW Catch'!A40:A132))</f>
        <v>#DIV/0!</v>
      </c>
      <c r="S40" s="17">
        <f>INDEX(WhonSpComp!AT42:AT169, MATCH('FW Summary'!A40, WhonSpComp!A42:A169,0))</f>
        <v>0.3888888888888889</v>
      </c>
      <c r="T40" s="131" t="e">
        <f t="shared" si="8"/>
        <v>#N/A</v>
      </c>
      <c r="U40" s="130" t="e">
        <f t="shared" si="9"/>
        <v>#N/A</v>
      </c>
      <c r="V40" s="145" t="e">
        <f t="shared" si="10"/>
        <v>#N/A</v>
      </c>
      <c r="W40" s="71" t="e">
        <f>INDEX('FW Catch'!I40:I132, MATCH('FW Summary'!A40, 'FW Catch'!A40:A132))</f>
        <v>#DIV/0!</v>
      </c>
      <c r="X40" s="17">
        <f>INDEX(WhonSpComp!AV42:AV169, MATCH('FW Summary'!A40, WhonSpComp!A42:A169,0))</f>
        <v>0</v>
      </c>
      <c r="Y40" s="131" t="e">
        <f t="shared" si="11"/>
        <v>#N/A</v>
      </c>
    </row>
    <row r="41" spans="1:25" x14ac:dyDescent="0.3">
      <c r="A41" s="1">
        <f t="shared" si="12"/>
        <v>45140</v>
      </c>
      <c r="B41" s="127">
        <f>INDEX('[1]Passage Estimates'!$D$6:$D$128, MATCH($A41, '[1]Passage Estimates'!$A$6:$A$128,0))</f>
        <v>11961.36</v>
      </c>
      <c r="C41" s="128">
        <f>INDEX('2. Salmon Passage by Bin'!$K$6:$K$128, MATCH('FW Summary'!$A41,'2. Salmon Passage by Bin'!$A$6:$A$128,0))</f>
        <v>6053.5199999999995</v>
      </c>
      <c r="D41" s="76">
        <f>INDEX('2. Salmon Passage by Bin'!$E$6:$E$128, MATCH('FW Summary'!$A41, '2. Salmon Passage by Bin'!$A$6:$A$128,0))+INDEX('2. Salmon Passage by Bin'!$F$6:$F$128, MATCH('FW Summary'!$A41, '2. Salmon Passage by Bin'!$A$6:$A$128,0))+INDEX('2. Salmon Passage by Bin'!$G$6:$G$128, MATCH('FW Summary'!$A41, '2. Salmon Passage by Bin'!$A$6:$A$128,0))+INDEX('2. Salmon Passage by Bin'!$H$6:$H$128, MATCH('FW Summary'!$A41, '2. Salmon Passage by Bin'!$A$6:$A$128,0))+_xlfn.IFNA(INDEX('2. Salmon Passage by Bin'!$I$6:$I$128, MATCH('FW Summary'!$A41, '2. Salmon Passage by Bin'!$A$6:$A$128,0)),0)+_xlfn.IFNA(INDEX('2. Salmon Passage by Bin'!$J$6:$J$128, MATCH('FW Summary'!$A41, '2. Salmon Passage by Bin'!$A$6:$A$128,0)),0)</f>
        <v>5343.84</v>
      </c>
      <c r="E41" s="129">
        <f>INDEX('2. Salmon Passage by Bin'!$M$6:$M$128, MATCH('FW Summary'!$A41, '2. Salmon Passage by Bin'!$A$6:$A$128,0))+INDEX('2. Salmon Passage by Bin'!$N$6:$N$128, MATCH('FW Summary'!$A41, '2. Salmon Passage by Bin'!$A$6:$A$128,0))+INDEX('2. Salmon Passage by Bin'!$O$6:$O$128, MATCH('FW Summary'!$A41, '2. Salmon Passage by Bin'!$A$6:$A$128,0))</f>
        <v>631.20000000000005</v>
      </c>
      <c r="F41" s="130" t="e">
        <f t="shared" si="14"/>
        <v>#N/A</v>
      </c>
      <c r="G41" s="145" t="e">
        <f t="shared" si="15"/>
        <v>#N/A</v>
      </c>
      <c r="H41" s="71" t="e">
        <f>INDEX('FW Catch'!F41:F133, MATCH('FW Summary'!A41, 'FW Catch'!A41:A133))</f>
        <v>#DIV/0!</v>
      </c>
      <c r="I41" s="142">
        <f>INDEX('Pink Proportion'!$S$6:$S$128, MATCH('FW Summary'!A41, 'Pink Proportion'!$A$6:$A$128))/C41</f>
        <v>0</v>
      </c>
      <c r="J41" s="131" t="e">
        <f t="shared" si="13"/>
        <v>#N/A</v>
      </c>
      <c r="K41" s="130" t="e">
        <f t="shared" si="3"/>
        <v>#N/A</v>
      </c>
      <c r="L41" s="145" t="e">
        <f t="shared" si="4"/>
        <v>#N/A</v>
      </c>
      <c r="M41" s="71" t="e">
        <f>INDEX('FW Catch'!G41:G133, MATCH('FW Summary'!A41, 'FW Catch'!A41:A133))</f>
        <v>#DIV/0!</v>
      </c>
      <c r="N41" s="17">
        <f>INDEX(WhonSpComp!AN43:AN170, MATCH('FW Summary'!A41, WhonSpComp!A43:A170,0))</f>
        <v>0.5</v>
      </c>
      <c r="O41" s="131" t="e">
        <f t="shared" si="5"/>
        <v>#N/A</v>
      </c>
      <c r="P41" s="130" t="e">
        <f t="shared" si="6"/>
        <v>#N/A</v>
      </c>
      <c r="Q41" s="145" t="e">
        <f t="shared" si="7"/>
        <v>#N/A</v>
      </c>
      <c r="R41" s="71" t="e">
        <f>INDEX('FW Catch'!H41:H133, MATCH('FW Summary'!A41, 'FW Catch'!A41:A133))</f>
        <v>#DIV/0!</v>
      </c>
      <c r="S41" s="17">
        <f>INDEX(WhonSpComp!AT43:AT170, MATCH('FW Summary'!A41, WhonSpComp!A43:A170,0))</f>
        <v>0.375</v>
      </c>
      <c r="T41" s="131" t="e">
        <f t="shared" si="8"/>
        <v>#N/A</v>
      </c>
      <c r="U41" s="130" t="e">
        <f t="shared" si="9"/>
        <v>#N/A</v>
      </c>
      <c r="V41" s="145" t="e">
        <f t="shared" si="10"/>
        <v>#N/A</v>
      </c>
      <c r="W41" s="71" t="e">
        <f>INDEX('FW Catch'!I41:I133, MATCH('FW Summary'!A41, 'FW Catch'!A41:A133))</f>
        <v>#DIV/0!</v>
      </c>
      <c r="X41" s="17">
        <f>INDEX(WhonSpComp!AV43:AV170, MATCH('FW Summary'!A41, WhonSpComp!A43:A170,0))</f>
        <v>0.125</v>
      </c>
      <c r="Y41" s="131" t="e">
        <f t="shared" si="11"/>
        <v>#N/A</v>
      </c>
    </row>
    <row r="42" spans="1:25" x14ac:dyDescent="0.3">
      <c r="A42" s="1">
        <f t="shared" si="12"/>
        <v>45141</v>
      </c>
      <c r="B42" s="127">
        <f>INDEX('[1]Passage Estimates'!$D$6:$D$128, MATCH($A42, '[1]Passage Estimates'!$A$6:$A$128,0))</f>
        <v>21981.600000000006</v>
      </c>
      <c r="C42" s="128">
        <f>INDEX('2. Salmon Passage by Bin'!$K$6:$K$128, MATCH('FW Summary'!$A42,'2. Salmon Passage by Bin'!$A$6:$A$128,0))</f>
        <v>13764.240000000005</v>
      </c>
      <c r="D42" s="76">
        <f>INDEX('2. Salmon Passage by Bin'!$E$6:$E$128, MATCH('FW Summary'!$A42, '2. Salmon Passage by Bin'!$A$6:$A$128,0))+INDEX('2. Salmon Passage by Bin'!$F$6:$F$128, MATCH('FW Summary'!$A42, '2. Salmon Passage by Bin'!$A$6:$A$128,0))+INDEX('2. Salmon Passage by Bin'!$G$6:$G$128, MATCH('FW Summary'!$A42, '2. Salmon Passage by Bin'!$A$6:$A$128,0))+INDEX('2. Salmon Passage by Bin'!$H$6:$H$128, MATCH('FW Summary'!$A42, '2. Salmon Passage by Bin'!$A$6:$A$128,0))+_xlfn.IFNA(INDEX('2. Salmon Passage by Bin'!$I$6:$I$128, MATCH('FW Summary'!$A42, '2. Salmon Passage by Bin'!$A$6:$A$128,0)),0)+_xlfn.IFNA(INDEX('2. Salmon Passage by Bin'!$J$6:$J$128, MATCH('FW Summary'!$A42, '2. Salmon Passage by Bin'!$A$6:$A$128,0)),0)</f>
        <v>6874.8</v>
      </c>
      <c r="E42" s="129">
        <f>INDEX('2. Salmon Passage by Bin'!$M$6:$M$128, MATCH('FW Summary'!$A42, '2. Salmon Passage by Bin'!$A$6:$A$128,0))+INDEX('2. Salmon Passage by Bin'!$N$6:$N$128, MATCH('FW Summary'!$A42, '2. Salmon Passage by Bin'!$A$6:$A$128,0))+INDEX('2. Salmon Passage by Bin'!$O$6:$O$128, MATCH('FW Summary'!$A42, '2. Salmon Passage by Bin'!$A$6:$A$128,0))</f>
        <v>1252.56</v>
      </c>
      <c r="F42" s="130" t="e">
        <f t="shared" si="14"/>
        <v>#N/A</v>
      </c>
      <c r="G42" s="145" t="e">
        <f t="shared" si="15"/>
        <v>#N/A</v>
      </c>
      <c r="H42" s="71" t="e">
        <f>INDEX('FW Catch'!F42:F134, MATCH('FW Summary'!A42, 'FW Catch'!A42:A134))</f>
        <v>#DIV/0!</v>
      </c>
      <c r="I42" s="142">
        <f>INDEX('Pink Proportion'!$S$6:$S$128, MATCH('FW Summary'!A42, 'Pink Proportion'!$A$6:$A$128))/C42</f>
        <v>0</v>
      </c>
      <c r="J42" s="131" t="e">
        <f t="shared" si="13"/>
        <v>#N/A</v>
      </c>
      <c r="K42" s="130" t="e">
        <f t="shared" si="3"/>
        <v>#N/A</v>
      </c>
      <c r="L42" s="145" t="e">
        <f t="shared" si="4"/>
        <v>#N/A</v>
      </c>
      <c r="M42" s="71" t="e">
        <f>INDEX('FW Catch'!G42:G134, MATCH('FW Summary'!A42, 'FW Catch'!A42:A134))</f>
        <v>#DIV/0!</v>
      </c>
      <c r="N42" s="17">
        <f>INDEX(WhonSpComp!AN44:AN171, MATCH('FW Summary'!A42, WhonSpComp!A44:A171,0))</f>
        <v>0.73333333333333328</v>
      </c>
      <c r="O42" s="131" t="e">
        <f t="shared" si="5"/>
        <v>#N/A</v>
      </c>
      <c r="P42" s="130" t="e">
        <f t="shared" si="6"/>
        <v>#N/A</v>
      </c>
      <c r="Q42" s="145" t="e">
        <f t="shared" si="7"/>
        <v>#N/A</v>
      </c>
      <c r="R42" s="71" t="e">
        <f>INDEX('FW Catch'!H42:H134, MATCH('FW Summary'!A42, 'FW Catch'!A42:A134))</f>
        <v>#DIV/0!</v>
      </c>
      <c r="S42" s="17">
        <f>INDEX(WhonSpComp!AT44:AT171, MATCH('FW Summary'!A42, WhonSpComp!A44:A171,0))</f>
        <v>0.26666666666666666</v>
      </c>
      <c r="T42" s="131" t="e">
        <f t="shared" si="8"/>
        <v>#N/A</v>
      </c>
      <c r="U42" s="130" t="e">
        <f t="shared" si="9"/>
        <v>#N/A</v>
      </c>
      <c r="V42" s="145" t="e">
        <f t="shared" si="10"/>
        <v>#N/A</v>
      </c>
      <c r="W42" s="71" t="e">
        <f>INDEX('FW Catch'!I42:I134, MATCH('FW Summary'!A42, 'FW Catch'!A42:A134))</f>
        <v>#DIV/0!</v>
      </c>
      <c r="X42" s="17">
        <f>INDEX(WhonSpComp!AV44:AV171, MATCH('FW Summary'!A42, WhonSpComp!A44:A171,0))</f>
        <v>0</v>
      </c>
      <c r="Y42" s="131" t="e">
        <f t="shared" si="11"/>
        <v>#N/A</v>
      </c>
    </row>
    <row r="43" spans="1:25" x14ac:dyDescent="0.3">
      <c r="A43" s="1">
        <f t="shared" si="12"/>
        <v>45142</v>
      </c>
      <c r="B43" s="127">
        <f>INDEX('[1]Passage Estimates'!$D$6:$D$128, MATCH($A43, '[1]Passage Estimates'!$A$6:$A$128,0))</f>
        <v>18133.401600000005</v>
      </c>
      <c r="C43" s="128">
        <f>INDEX('2. Salmon Passage by Bin'!$K$6:$K$128, MATCH('FW Summary'!$A43,'2. Salmon Passage by Bin'!$A$6:$A$128,0))</f>
        <v>11761.401600000005</v>
      </c>
      <c r="D43" s="76">
        <f>INDEX('2. Salmon Passage by Bin'!$E$6:$E$128, MATCH('FW Summary'!$A43, '2. Salmon Passage by Bin'!$A$6:$A$128,0))+INDEX('2. Salmon Passage by Bin'!$F$6:$F$128, MATCH('FW Summary'!$A43, '2. Salmon Passage by Bin'!$A$6:$A$128,0))+INDEX('2. Salmon Passage by Bin'!$G$6:$G$128, MATCH('FW Summary'!$A43, '2. Salmon Passage by Bin'!$A$6:$A$128,0))+INDEX('2. Salmon Passage by Bin'!$H$6:$H$128, MATCH('FW Summary'!$A43, '2. Salmon Passage by Bin'!$A$6:$A$128,0))+_xlfn.IFNA(INDEX('2. Salmon Passage by Bin'!$I$6:$I$128, MATCH('FW Summary'!$A43, '2. Salmon Passage by Bin'!$A$6:$A$128,0)),0)+_xlfn.IFNA(INDEX('2. Salmon Passage by Bin'!$J$6:$J$128, MATCH('FW Summary'!$A43, '2. Salmon Passage by Bin'!$A$6:$A$128,0)),0)</f>
        <v>5177.5200000000004</v>
      </c>
      <c r="E43" s="129">
        <f>INDEX('2. Salmon Passage by Bin'!$M$6:$M$128, MATCH('FW Summary'!$A43, '2. Salmon Passage by Bin'!$A$6:$A$128,0))+INDEX('2. Salmon Passage by Bin'!$N$6:$N$128, MATCH('FW Summary'!$A43, '2. Salmon Passage by Bin'!$A$6:$A$128,0))+INDEX('2. Salmon Passage by Bin'!$O$6:$O$128, MATCH('FW Summary'!$A43, '2. Salmon Passage by Bin'!$A$6:$A$128,0))</f>
        <v>1177.92</v>
      </c>
      <c r="F43" s="130" t="e">
        <f t="shared" si="14"/>
        <v>#N/A</v>
      </c>
      <c r="G43" s="145" t="e">
        <f t="shared" si="15"/>
        <v>#N/A</v>
      </c>
      <c r="H43" s="71" t="e">
        <f>INDEX('FW Catch'!F43:F135, MATCH('FW Summary'!A43, 'FW Catch'!A43:A135))</f>
        <v>#DIV/0!</v>
      </c>
      <c r="I43" s="142">
        <f>INDEX('Pink Proportion'!$S$6:$S$128, MATCH('FW Summary'!A43, 'Pink Proportion'!$A$6:$A$128))/C43</f>
        <v>0</v>
      </c>
      <c r="J43" s="131" t="e">
        <f t="shared" si="13"/>
        <v>#N/A</v>
      </c>
      <c r="K43" s="130" t="e">
        <f t="shared" si="3"/>
        <v>#N/A</v>
      </c>
      <c r="L43" s="145" t="e">
        <f t="shared" si="4"/>
        <v>#N/A</v>
      </c>
      <c r="M43" s="71" t="e">
        <f>INDEX('FW Catch'!G43:G135, MATCH('FW Summary'!A43, 'FW Catch'!A43:A135))</f>
        <v>#DIV/0!</v>
      </c>
      <c r="N43" s="17">
        <f>INDEX(WhonSpComp!AN45:AN172, MATCH('FW Summary'!A43, WhonSpComp!A45:A172,0))</f>
        <v>0.66666666666666663</v>
      </c>
      <c r="O43" s="131" t="e">
        <f t="shared" si="5"/>
        <v>#N/A</v>
      </c>
      <c r="P43" s="130" t="e">
        <f t="shared" si="6"/>
        <v>#N/A</v>
      </c>
      <c r="Q43" s="145" t="e">
        <f t="shared" si="7"/>
        <v>#N/A</v>
      </c>
      <c r="R43" s="71" t="e">
        <f>INDEX('FW Catch'!H43:H135, MATCH('FW Summary'!A43, 'FW Catch'!A43:A135))</f>
        <v>#DIV/0!</v>
      </c>
      <c r="S43" s="17">
        <f>INDEX(WhonSpComp!AT45:AT172, MATCH('FW Summary'!A43, WhonSpComp!A45:A172,0))</f>
        <v>0.33333333333333331</v>
      </c>
      <c r="T43" s="131" t="e">
        <f t="shared" si="8"/>
        <v>#N/A</v>
      </c>
      <c r="U43" s="130" t="e">
        <f t="shared" si="9"/>
        <v>#N/A</v>
      </c>
      <c r="V43" s="145" t="e">
        <f t="shared" si="10"/>
        <v>#N/A</v>
      </c>
      <c r="W43" s="71" t="e">
        <f>INDEX('FW Catch'!I43:I135, MATCH('FW Summary'!A43, 'FW Catch'!A43:A135))</f>
        <v>#DIV/0!</v>
      </c>
      <c r="X43" s="17">
        <f>INDEX(WhonSpComp!AV45:AV172, MATCH('FW Summary'!A43, WhonSpComp!A45:A172,0))</f>
        <v>0</v>
      </c>
      <c r="Y43" s="131" t="e">
        <f t="shared" si="11"/>
        <v>#N/A</v>
      </c>
    </row>
    <row r="44" spans="1:25" x14ac:dyDescent="0.3">
      <c r="A44" s="1">
        <f t="shared" si="12"/>
        <v>45143</v>
      </c>
      <c r="B44" s="127">
        <f>INDEX('[1]Passage Estimates'!$D$6:$D$128, MATCH($A44, '[1]Passage Estimates'!$A$6:$A$128,0))</f>
        <v>24707.52</v>
      </c>
      <c r="C44" s="128">
        <f>INDEX('2. Salmon Passage by Bin'!$K$6:$K$128, MATCH('FW Summary'!$A44,'2. Salmon Passage by Bin'!$A$6:$A$128,0))</f>
        <v>10506.24</v>
      </c>
      <c r="D44" s="76">
        <f>INDEX('2. Salmon Passage by Bin'!$E$6:$E$128, MATCH('FW Summary'!$A44, '2. Salmon Passage by Bin'!$A$6:$A$128,0))+INDEX('2. Salmon Passage by Bin'!$F$6:$F$128, MATCH('FW Summary'!$A44, '2. Salmon Passage by Bin'!$A$6:$A$128,0))+INDEX('2. Salmon Passage by Bin'!$G$6:$G$128, MATCH('FW Summary'!$A44, '2. Salmon Passage by Bin'!$A$6:$A$128,0))+INDEX('2. Salmon Passage by Bin'!$H$6:$H$128, MATCH('FW Summary'!$A44, '2. Salmon Passage by Bin'!$A$6:$A$128,0))+_xlfn.IFNA(INDEX('2. Salmon Passage by Bin'!$I$6:$I$128, MATCH('FW Summary'!$A44, '2. Salmon Passage by Bin'!$A$6:$A$128,0)),0)+_xlfn.IFNA(INDEX('2. Salmon Passage by Bin'!$J$6:$J$128, MATCH('FW Summary'!$A44, '2. Salmon Passage by Bin'!$A$6:$A$128,0)),0)</f>
        <v>13001.519999999997</v>
      </c>
      <c r="E44" s="129">
        <f>INDEX('2. Salmon Passage by Bin'!$M$6:$M$128, MATCH('FW Summary'!$A44, '2. Salmon Passage by Bin'!$A$6:$A$128,0))+INDEX('2. Salmon Passage by Bin'!$N$6:$N$128, MATCH('FW Summary'!$A44, '2. Salmon Passage by Bin'!$A$6:$A$128,0))+INDEX('2. Salmon Passage by Bin'!$O$6:$O$128, MATCH('FW Summary'!$A44, '2. Salmon Passage by Bin'!$A$6:$A$128,0))</f>
        <v>1043.28</v>
      </c>
      <c r="F44" s="130" t="e">
        <f t="shared" si="14"/>
        <v>#N/A</v>
      </c>
      <c r="G44" s="145" t="e">
        <f t="shared" si="15"/>
        <v>#N/A</v>
      </c>
      <c r="H44" s="71" t="e">
        <f>INDEX('FW Catch'!F44:F136, MATCH('FW Summary'!A44, 'FW Catch'!A44:A136))</f>
        <v>#DIV/0!</v>
      </c>
      <c r="I44" s="142">
        <f>INDEX('Pink Proportion'!$S$6:$S$128, MATCH('FW Summary'!A44, 'Pink Proportion'!$A$6:$A$128))/C44</f>
        <v>0</v>
      </c>
      <c r="J44" s="131" t="e">
        <f t="shared" si="13"/>
        <v>#N/A</v>
      </c>
      <c r="K44" s="130" t="e">
        <f t="shared" si="3"/>
        <v>#N/A</v>
      </c>
      <c r="L44" s="145" t="e">
        <f t="shared" si="4"/>
        <v>#N/A</v>
      </c>
      <c r="M44" s="71" t="e">
        <f>INDEX('FW Catch'!G44:G136, MATCH('FW Summary'!A44, 'FW Catch'!A44:A136))</f>
        <v>#DIV/0!</v>
      </c>
      <c r="N44" s="17">
        <f>INDEX(WhonSpComp!AN46:AN173, MATCH('FW Summary'!A44, WhonSpComp!A46:A173,0))</f>
        <v>0.8</v>
      </c>
      <c r="O44" s="131" t="e">
        <f t="shared" si="5"/>
        <v>#N/A</v>
      </c>
      <c r="P44" s="130" t="e">
        <f t="shared" si="6"/>
        <v>#N/A</v>
      </c>
      <c r="Q44" s="145" t="e">
        <f t="shared" si="7"/>
        <v>#N/A</v>
      </c>
      <c r="R44" s="71" t="e">
        <f>INDEX('FW Catch'!H44:H136, MATCH('FW Summary'!A44, 'FW Catch'!A44:A136))</f>
        <v>#DIV/0!</v>
      </c>
      <c r="S44" s="17">
        <f>INDEX(WhonSpComp!AT46:AT173, MATCH('FW Summary'!A44, WhonSpComp!A46:A173,0))</f>
        <v>0.2</v>
      </c>
      <c r="T44" s="131" t="e">
        <f t="shared" si="8"/>
        <v>#N/A</v>
      </c>
      <c r="U44" s="130" t="e">
        <f t="shared" si="9"/>
        <v>#N/A</v>
      </c>
      <c r="V44" s="145" t="e">
        <f t="shared" si="10"/>
        <v>#N/A</v>
      </c>
      <c r="W44" s="71" t="e">
        <f>INDEX('FW Catch'!I44:I136, MATCH('FW Summary'!A44, 'FW Catch'!A44:A136))</f>
        <v>#DIV/0!</v>
      </c>
      <c r="X44" s="17">
        <f>INDEX(WhonSpComp!AV46:AV173, MATCH('FW Summary'!A44, WhonSpComp!A46:A173,0))</f>
        <v>0</v>
      </c>
      <c r="Y44" s="131" t="e">
        <f t="shared" si="11"/>
        <v>#N/A</v>
      </c>
    </row>
    <row r="45" spans="1:25" x14ac:dyDescent="0.3">
      <c r="A45" s="1">
        <f t="shared" si="12"/>
        <v>45144</v>
      </c>
      <c r="B45" s="127">
        <f>INDEX('[1]Passage Estimates'!$D$6:$D$128, MATCH($A45, '[1]Passage Estimates'!$A$6:$A$128,0))</f>
        <v>29809.199999999997</v>
      </c>
      <c r="C45" s="128">
        <f>INDEX('2. Salmon Passage by Bin'!$K$6:$K$128, MATCH('FW Summary'!$A45,'2. Salmon Passage by Bin'!$A$6:$A$128,0))</f>
        <v>12890.880000000005</v>
      </c>
      <c r="D45" s="76">
        <f>INDEX('2. Salmon Passage by Bin'!$E$6:$E$128, MATCH('FW Summary'!$A45, '2. Salmon Passage by Bin'!$A$6:$A$128,0))+INDEX('2. Salmon Passage by Bin'!$F$6:$F$128, MATCH('FW Summary'!$A45, '2. Salmon Passage by Bin'!$A$6:$A$128,0))+INDEX('2. Salmon Passage by Bin'!$G$6:$G$128, MATCH('FW Summary'!$A45, '2. Salmon Passage by Bin'!$A$6:$A$128,0))+INDEX('2. Salmon Passage by Bin'!$H$6:$H$128, MATCH('FW Summary'!$A45, '2. Salmon Passage by Bin'!$A$6:$A$128,0))+_xlfn.IFNA(INDEX('2. Salmon Passage by Bin'!$I$6:$I$128, MATCH('FW Summary'!$A45, '2. Salmon Passage by Bin'!$A$6:$A$128,0)),0)+_xlfn.IFNA(INDEX('2. Salmon Passage by Bin'!$J$6:$J$128, MATCH('FW Summary'!$A45, '2. Salmon Passage by Bin'!$A$6:$A$128,0)),0)</f>
        <v>15607.679999999998</v>
      </c>
      <c r="E45" s="129">
        <f>INDEX('2. Salmon Passage by Bin'!$M$6:$M$128, MATCH('FW Summary'!$A45, '2. Salmon Passage by Bin'!$A$6:$A$128,0))+INDEX('2. Salmon Passage by Bin'!$N$6:$N$128, MATCH('FW Summary'!$A45, '2. Salmon Passage by Bin'!$A$6:$A$128,0))+INDEX('2. Salmon Passage by Bin'!$O$6:$O$128, MATCH('FW Summary'!$A45, '2. Salmon Passage by Bin'!$A$6:$A$128,0))</f>
        <v>1088.4000000000001</v>
      </c>
      <c r="F45" s="130" t="e">
        <f t="shared" si="14"/>
        <v>#N/A</v>
      </c>
      <c r="G45" s="145" t="e">
        <f t="shared" si="15"/>
        <v>#N/A</v>
      </c>
      <c r="H45" s="71" t="e">
        <f>INDEX('FW Catch'!F45:F137, MATCH('FW Summary'!A45, 'FW Catch'!A45:A137))</f>
        <v>#DIV/0!</v>
      </c>
      <c r="I45" s="142">
        <f>INDEX('Pink Proportion'!$S$6:$S$128, MATCH('FW Summary'!A45, 'Pink Proportion'!$A$6:$A$128))/C45</f>
        <v>0</v>
      </c>
      <c r="J45" s="131" t="e">
        <f t="shared" si="13"/>
        <v>#N/A</v>
      </c>
      <c r="K45" s="130" t="e">
        <f t="shared" si="3"/>
        <v>#N/A</v>
      </c>
      <c r="L45" s="145" t="e">
        <f t="shared" si="4"/>
        <v>#N/A</v>
      </c>
      <c r="M45" s="71" t="e">
        <f>INDEX('FW Catch'!G45:G137, MATCH('FW Summary'!A45, 'FW Catch'!A45:A137))</f>
        <v>#DIV/0!</v>
      </c>
      <c r="N45" s="17">
        <f>INDEX(WhonSpComp!AN47:AN174, MATCH('FW Summary'!A45, WhonSpComp!A47:A174,0))</f>
        <v>0.6</v>
      </c>
      <c r="O45" s="131" t="e">
        <f t="shared" si="5"/>
        <v>#N/A</v>
      </c>
      <c r="P45" s="130" t="e">
        <f t="shared" si="6"/>
        <v>#N/A</v>
      </c>
      <c r="Q45" s="145" t="e">
        <f t="shared" si="7"/>
        <v>#N/A</v>
      </c>
      <c r="R45" s="71" t="e">
        <f>INDEX('FW Catch'!H45:H137, MATCH('FW Summary'!A45, 'FW Catch'!A45:A137))</f>
        <v>#DIV/0!</v>
      </c>
      <c r="S45" s="17">
        <f>INDEX(WhonSpComp!AT47:AT174, MATCH('FW Summary'!A45, WhonSpComp!A47:A174,0))</f>
        <v>0.4</v>
      </c>
      <c r="T45" s="131" t="e">
        <f t="shared" si="8"/>
        <v>#N/A</v>
      </c>
      <c r="U45" s="130" t="e">
        <f t="shared" si="9"/>
        <v>#N/A</v>
      </c>
      <c r="V45" s="145" t="e">
        <f t="shared" si="10"/>
        <v>#N/A</v>
      </c>
      <c r="W45" s="71" t="e">
        <f>INDEX('FW Catch'!I45:I137, MATCH('FW Summary'!A45, 'FW Catch'!A45:A137))</f>
        <v>#DIV/0!</v>
      </c>
      <c r="X45" s="17">
        <f>INDEX(WhonSpComp!AV47:AV174, MATCH('FW Summary'!A45, WhonSpComp!A47:A174,0))</f>
        <v>0</v>
      </c>
      <c r="Y45" s="131" t="e">
        <f t="shared" si="11"/>
        <v>#N/A</v>
      </c>
    </row>
    <row r="46" spans="1:25" x14ac:dyDescent="0.3">
      <c r="A46" s="1">
        <f t="shared" si="12"/>
        <v>45145</v>
      </c>
      <c r="B46" s="127">
        <f>INDEX('[1]Passage Estimates'!$D$6:$D$128, MATCH($A46, '[1]Passage Estimates'!$A$6:$A$128,0))</f>
        <v>31646.639999999999</v>
      </c>
      <c r="C46" s="128">
        <f>INDEX('2. Salmon Passage by Bin'!$K$6:$K$128, MATCH('FW Summary'!$A46,'2. Salmon Passage by Bin'!$A$6:$A$128,0))</f>
        <v>13064.639999999998</v>
      </c>
      <c r="D46" s="76">
        <f>INDEX('2. Salmon Passage by Bin'!$E$6:$E$128, MATCH('FW Summary'!$A46, '2. Salmon Passage by Bin'!$A$6:$A$128,0))+INDEX('2. Salmon Passage by Bin'!$F$6:$F$128, MATCH('FW Summary'!$A46, '2. Salmon Passage by Bin'!$A$6:$A$128,0))+INDEX('2. Salmon Passage by Bin'!$G$6:$G$128, MATCH('FW Summary'!$A46, '2. Salmon Passage by Bin'!$A$6:$A$128,0))+INDEX('2. Salmon Passage by Bin'!$H$6:$H$128, MATCH('FW Summary'!$A46, '2. Salmon Passage by Bin'!$A$6:$A$128,0))+_xlfn.IFNA(INDEX('2. Salmon Passage by Bin'!$I$6:$I$128, MATCH('FW Summary'!$A46, '2. Salmon Passage by Bin'!$A$6:$A$128,0)),0)+_xlfn.IFNA(INDEX('2. Salmon Passage by Bin'!$J$6:$J$128, MATCH('FW Summary'!$A46, '2. Salmon Passage by Bin'!$A$6:$A$128,0)),0)</f>
        <v>16773.84</v>
      </c>
      <c r="E46" s="129">
        <f>INDEX('2. Salmon Passage by Bin'!$M$6:$M$128, MATCH('FW Summary'!$A46, '2. Salmon Passage by Bin'!$A$6:$A$128,0))+INDEX('2. Salmon Passage by Bin'!$N$6:$N$128, MATCH('FW Summary'!$A46, '2. Salmon Passage by Bin'!$A$6:$A$128,0))+INDEX('2. Salmon Passage by Bin'!$O$6:$O$128, MATCH('FW Summary'!$A46, '2. Salmon Passage by Bin'!$A$6:$A$128,0))</f>
        <v>1601.52</v>
      </c>
      <c r="F46" s="130" t="e">
        <f t="shared" si="14"/>
        <v>#N/A</v>
      </c>
      <c r="G46" s="145" t="e">
        <f t="shared" si="15"/>
        <v>#N/A</v>
      </c>
      <c r="H46" s="71" t="e">
        <f>INDEX('FW Catch'!F46:F138, MATCH('FW Summary'!A46, 'FW Catch'!A46:A138))</f>
        <v>#DIV/0!</v>
      </c>
      <c r="I46" s="142">
        <f>INDEX('Pink Proportion'!$S$6:$S$128, MATCH('FW Summary'!A46, 'Pink Proportion'!$A$6:$A$128))/C46</f>
        <v>0</v>
      </c>
      <c r="J46" s="131" t="e">
        <f t="shared" si="13"/>
        <v>#N/A</v>
      </c>
      <c r="K46" s="130" t="e">
        <f t="shared" si="3"/>
        <v>#N/A</v>
      </c>
      <c r="L46" s="145" t="e">
        <f t="shared" si="4"/>
        <v>#N/A</v>
      </c>
      <c r="M46" s="71" t="e">
        <f>INDEX('FW Catch'!G46:G138, MATCH('FW Summary'!A46, 'FW Catch'!A46:A138))</f>
        <v>#DIV/0!</v>
      </c>
      <c r="N46" s="17">
        <f>INDEX(WhonSpComp!AN48:AN175, MATCH('FW Summary'!A46, WhonSpComp!A48:A175,0))</f>
        <v>0.5</v>
      </c>
      <c r="O46" s="131" t="e">
        <f t="shared" si="5"/>
        <v>#N/A</v>
      </c>
      <c r="P46" s="130" t="e">
        <f t="shared" si="6"/>
        <v>#N/A</v>
      </c>
      <c r="Q46" s="145" t="e">
        <f t="shared" si="7"/>
        <v>#N/A</v>
      </c>
      <c r="R46" s="71" t="e">
        <f>INDEX('FW Catch'!H46:H138, MATCH('FW Summary'!A46, 'FW Catch'!A46:A138))</f>
        <v>#DIV/0!</v>
      </c>
      <c r="S46" s="17">
        <f>INDEX(WhonSpComp!AT48:AT175, MATCH('FW Summary'!A46, WhonSpComp!A48:A175,0))</f>
        <v>0.40909090909090912</v>
      </c>
      <c r="T46" s="131" t="e">
        <f t="shared" si="8"/>
        <v>#N/A</v>
      </c>
      <c r="U46" s="130" t="e">
        <f t="shared" si="9"/>
        <v>#N/A</v>
      </c>
      <c r="V46" s="145" t="e">
        <f t="shared" si="10"/>
        <v>#N/A</v>
      </c>
      <c r="W46" s="71" t="e">
        <f>INDEX('FW Catch'!I46:I138, MATCH('FW Summary'!A46, 'FW Catch'!A46:A138))</f>
        <v>#DIV/0!</v>
      </c>
      <c r="X46" s="17">
        <f>INDEX(WhonSpComp!AV48:AV175, MATCH('FW Summary'!A46, WhonSpComp!A48:A175,0))</f>
        <v>9.0909090909090912E-2</v>
      </c>
      <c r="Y46" s="131" t="e">
        <f t="shared" si="11"/>
        <v>#N/A</v>
      </c>
    </row>
    <row r="47" spans="1:25" x14ac:dyDescent="0.3">
      <c r="A47" s="1">
        <f t="shared" si="12"/>
        <v>45146</v>
      </c>
      <c r="B47" s="127">
        <f>INDEX('[1]Passage Estimates'!$D$6:$D$128, MATCH($A47, '[1]Passage Estimates'!$A$6:$A$128,0))</f>
        <v>36616.799999999981</v>
      </c>
      <c r="C47" s="128">
        <f>INDEX('2. Salmon Passage by Bin'!$K$6:$K$128, MATCH('FW Summary'!$A47,'2. Salmon Passage by Bin'!$A$6:$A$128,0))</f>
        <v>16705.91999999998</v>
      </c>
      <c r="D47" s="76">
        <f>INDEX('2. Salmon Passage by Bin'!$E$6:$E$128, MATCH('FW Summary'!$A47, '2. Salmon Passage by Bin'!$A$6:$A$128,0))+INDEX('2. Salmon Passage by Bin'!$F$6:$F$128, MATCH('FW Summary'!$A47, '2. Salmon Passage by Bin'!$A$6:$A$128,0))+INDEX('2. Salmon Passage by Bin'!$G$6:$G$128, MATCH('FW Summary'!$A47, '2. Salmon Passage by Bin'!$A$6:$A$128,0))+INDEX('2. Salmon Passage by Bin'!$H$6:$H$128, MATCH('FW Summary'!$A47, '2. Salmon Passage by Bin'!$A$6:$A$128,0))+_xlfn.IFNA(INDEX('2. Salmon Passage by Bin'!$I$6:$I$128, MATCH('FW Summary'!$A47, '2. Salmon Passage by Bin'!$A$6:$A$128,0)),0)+_xlfn.IFNA(INDEX('2. Salmon Passage by Bin'!$J$6:$J$128, MATCH('FW Summary'!$A47, '2. Salmon Passage by Bin'!$A$6:$A$128,0)),0)</f>
        <v>17550.72</v>
      </c>
      <c r="E47" s="129">
        <f>INDEX('2. Salmon Passage by Bin'!$M$6:$M$128, MATCH('FW Summary'!$A47, '2. Salmon Passage by Bin'!$A$6:$A$128,0))+INDEX('2. Salmon Passage by Bin'!$N$6:$N$128, MATCH('FW Summary'!$A47, '2. Salmon Passage by Bin'!$A$6:$A$128,0))+INDEX('2. Salmon Passage by Bin'!$O$6:$O$128, MATCH('FW Summary'!$A47, '2. Salmon Passage by Bin'!$A$6:$A$128,0))</f>
        <v>2232.2400000000002</v>
      </c>
      <c r="F47" s="130" t="e">
        <f t="shared" si="14"/>
        <v>#N/A</v>
      </c>
      <c r="G47" s="145" t="e">
        <f t="shared" si="15"/>
        <v>#N/A</v>
      </c>
      <c r="H47" s="71" t="e">
        <f>INDEX('FW Catch'!F47:F139, MATCH('FW Summary'!A47, 'FW Catch'!A47:A139))</f>
        <v>#DIV/0!</v>
      </c>
      <c r="I47" s="142">
        <f>INDEX('Pink Proportion'!$S$6:$S$128, MATCH('FW Summary'!A47, 'Pink Proportion'!$A$6:$A$128))/C47</f>
        <v>0</v>
      </c>
      <c r="J47" s="131" t="e">
        <f t="shared" si="13"/>
        <v>#N/A</v>
      </c>
      <c r="K47" s="130" t="e">
        <f t="shared" si="3"/>
        <v>#N/A</v>
      </c>
      <c r="L47" s="145" t="e">
        <f t="shared" si="4"/>
        <v>#N/A</v>
      </c>
      <c r="M47" s="71" t="e">
        <f>INDEX('FW Catch'!G47:G139, MATCH('FW Summary'!A47, 'FW Catch'!A47:A139))</f>
        <v>#DIV/0!</v>
      </c>
      <c r="N47" s="17">
        <f>INDEX(WhonSpComp!AN49:AN176, MATCH('FW Summary'!A47, WhonSpComp!A49:A176,0))</f>
        <v>0.52173913043478259</v>
      </c>
      <c r="O47" s="131" t="e">
        <f t="shared" si="5"/>
        <v>#N/A</v>
      </c>
      <c r="P47" s="130" t="e">
        <f t="shared" si="6"/>
        <v>#N/A</v>
      </c>
      <c r="Q47" s="145" t="e">
        <f t="shared" si="7"/>
        <v>#N/A</v>
      </c>
      <c r="R47" s="71" t="e">
        <f>INDEX('FW Catch'!H47:H139, MATCH('FW Summary'!A47, 'FW Catch'!A47:A139))</f>
        <v>#DIV/0!</v>
      </c>
      <c r="S47" s="17">
        <f>INDEX(WhonSpComp!AT49:AT176, MATCH('FW Summary'!A47, WhonSpComp!A49:A176,0))</f>
        <v>0.47826086956521741</v>
      </c>
      <c r="T47" s="131" t="e">
        <f t="shared" si="8"/>
        <v>#N/A</v>
      </c>
      <c r="U47" s="130" t="e">
        <f t="shared" si="9"/>
        <v>#N/A</v>
      </c>
      <c r="V47" s="145" t="e">
        <f t="shared" si="10"/>
        <v>#N/A</v>
      </c>
      <c r="W47" s="71" t="e">
        <f>INDEX('FW Catch'!I47:I139, MATCH('FW Summary'!A47, 'FW Catch'!A47:A139))</f>
        <v>#DIV/0!</v>
      </c>
      <c r="X47" s="17">
        <f>INDEX(WhonSpComp!AV49:AV176, MATCH('FW Summary'!A47, WhonSpComp!A49:A176,0))</f>
        <v>0</v>
      </c>
      <c r="Y47" s="131" t="e">
        <f t="shared" si="11"/>
        <v>#N/A</v>
      </c>
    </row>
    <row r="48" spans="1:25" x14ac:dyDescent="0.3">
      <c r="A48" s="1">
        <f t="shared" si="12"/>
        <v>45147</v>
      </c>
      <c r="B48" s="127">
        <f>INDEX('[1]Passage Estimates'!$D$6:$D$128, MATCH($A48, '[1]Passage Estimates'!$A$6:$A$128,0))</f>
        <v>24702.240000000005</v>
      </c>
      <c r="C48" s="128">
        <f>INDEX('2. Salmon Passage by Bin'!$K$6:$K$128, MATCH('FW Summary'!$A48,'2. Salmon Passage by Bin'!$A$6:$A$128,0))</f>
        <v>11937.840000000004</v>
      </c>
      <c r="D48" s="76">
        <f>INDEX('2. Salmon Passage by Bin'!$E$6:$E$128, MATCH('FW Summary'!$A48, '2. Salmon Passage by Bin'!$A$6:$A$128,0))+INDEX('2. Salmon Passage by Bin'!$F$6:$F$128, MATCH('FW Summary'!$A48, '2. Salmon Passage by Bin'!$A$6:$A$128,0))+INDEX('2. Salmon Passage by Bin'!$G$6:$G$128, MATCH('FW Summary'!$A48, '2. Salmon Passage by Bin'!$A$6:$A$128,0))+INDEX('2. Salmon Passage by Bin'!$H$6:$H$128, MATCH('FW Summary'!$A48, '2. Salmon Passage by Bin'!$A$6:$A$128,0))+_xlfn.IFNA(INDEX('2. Salmon Passage by Bin'!$I$6:$I$128, MATCH('FW Summary'!$A48, '2. Salmon Passage by Bin'!$A$6:$A$128,0)),0)+_xlfn.IFNA(INDEX('2. Salmon Passage by Bin'!$J$6:$J$128, MATCH('FW Summary'!$A48, '2. Salmon Passage by Bin'!$A$6:$A$128,0)),0)</f>
        <v>11651.28</v>
      </c>
      <c r="E48" s="129">
        <f>INDEX('2. Salmon Passage by Bin'!$M$6:$M$128, MATCH('FW Summary'!$A48, '2. Salmon Passage by Bin'!$A$6:$A$128,0))+INDEX('2. Salmon Passage by Bin'!$N$6:$N$128, MATCH('FW Summary'!$A48, '2. Salmon Passage by Bin'!$A$6:$A$128,0))+INDEX('2. Salmon Passage by Bin'!$O$6:$O$128, MATCH('FW Summary'!$A48, '2. Salmon Passage by Bin'!$A$6:$A$128,0))</f>
        <v>1431.8400000000001</v>
      </c>
      <c r="F48" s="130">
        <f t="shared" si="14"/>
        <v>24048.084000000006</v>
      </c>
      <c r="G48" s="145">
        <f t="shared" si="15"/>
        <v>2.6481647008530399E-2</v>
      </c>
      <c r="H48" s="71">
        <f>INDEX('FW Catch'!F48:F140, MATCH('FW Summary'!A48, 'FW Catch'!A48:A140))</f>
        <v>0.05</v>
      </c>
      <c r="I48" s="142">
        <f>INDEX('Pink Proportion'!$S$6:$S$128, MATCH('FW Summary'!A48, 'Pink Proportion'!$A$6:$A$128))/C48</f>
        <v>0</v>
      </c>
      <c r="J48" s="131">
        <f t="shared" si="13"/>
        <v>654.15600000000006</v>
      </c>
      <c r="K48" s="130">
        <f t="shared" si="3"/>
        <v>3319.8960000000006</v>
      </c>
      <c r="L48" s="145">
        <f t="shared" si="4"/>
        <v>0.86560344325049066</v>
      </c>
      <c r="M48" s="71">
        <f>INDEX('FW Catch'!G48:G140, MATCH('FW Summary'!A48, 'FW Catch'!A48:A140))</f>
        <v>0.95</v>
      </c>
      <c r="N48" s="17">
        <f>INDEX(WhonSpComp!AN50:AN177, MATCH('FW Summary'!A48, WhonSpComp!A50:A177,0))</f>
        <v>0.75</v>
      </c>
      <c r="O48" s="131">
        <f t="shared" si="5"/>
        <v>21382.344000000005</v>
      </c>
      <c r="P48" s="130">
        <f t="shared" si="6"/>
        <v>21717.780000000006</v>
      </c>
      <c r="Q48" s="145">
        <f t="shared" si="7"/>
        <v>0.12081738336280436</v>
      </c>
      <c r="R48" s="71">
        <f>INDEX('FW Catch'!H48:H140, MATCH('FW Summary'!A48, 'FW Catch'!A48:A140))</f>
        <v>0</v>
      </c>
      <c r="S48" s="17">
        <f>INDEX(WhonSpComp!AT50:AT177, MATCH('FW Summary'!A48, WhonSpComp!A50:A177,0))</f>
        <v>0.25</v>
      </c>
      <c r="T48" s="131">
        <f t="shared" si="8"/>
        <v>2984.4600000000009</v>
      </c>
      <c r="U48" s="130">
        <f t="shared" si="9"/>
        <v>24702.240000000005</v>
      </c>
      <c r="V48" s="145">
        <f t="shared" si="10"/>
        <v>0</v>
      </c>
      <c r="W48" s="71">
        <f>INDEX('FW Catch'!I48:I140, MATCH('FW Summary'!A48, 'FW Catch'!A48:A140))</f>
        <v>0</v>
      </c>
      <c r="X48" s="17">
        <f>INDEX(WhonSpComp!AV50:AV177, MATCH('FW Summary'!A48, WhonSpComp!A50:A177,0))</f>
        <v>0</v>
      </c>
      <c r="Y48" s="131">
        <f t="shared" si="11"/>
        <v>0</v>
      </c>
    </row>
    <row r="49" spans="1:25" x14ac:dyDescent="0.3">
      <c r="A49" s="1">
        <f t="shared" si="12"/>
        <v>45148</v>
      </c>
      <c r="B49" s="127">
        <f>INDEX('[1]Passage Estimates'!$D$6:$D$128, MATCH($A49, '[1]Passage Estimates'!$A$6:$A$128,0))</f>
        <v>38680.319999999992</v>
      </c>
      <c r="C49" s="128">
        <f>INDEX('2. Salmon Passage by Bin'!$K$6:$K$128, MATCH('FW Summary'!$A49,'2. Salmon Passage by Bin'!$A$6:$A$128,0))</f>
        <v>14282.639999999989</v>
      </c>
      <c r="D49" s="76">
        <f>INDEX('2. Salmon Passage by Bin'!$E$6:$E$128, MATCH('FW Summary'!$A49, '2. Salmon Passage by Bin'!$A$6:$A$128,0))+INDEX('2. Salmon Passage by Bin'!$F$6:$F$128, MATCH('FW Summary'!$A49, '2. Salmon Passage by Bin'!$A$6:$A$128,0))+INDEX('2. Salmon Passage by Bin'!$G$6:$G$128, MATCH('FW Summary'!$A49, '2. Salmon Passage by Bin'!$A$6:$A$128,0))+INDEX('2. Salmon Passage by Bin'!$H$6:$H$128, MATCH('FW Summary'!$A49, '2. Salmon Passage by Bin'!$A$6:$A$128,0))+_xlfn.IFNA(INDEX('2. Salmon Passage by Bin'!$I$6:$I$128, MATCH('FW Summary'!$A49, '2. Salmon Passage by Bin'!$A$6:$A$128,0)),0)+_xlfn.IFNA(INDEX('2. Salmon Passage by Bin'!$J$6:$J$128, MATCH('FW Summary'!$A49, '2. Salmon Passage by Bin'!$A$6:$A$128,0)),0)</f>
        <v>23953.68</v>
      </c>
      <c r="E49" s="129">
        <f>INDEX('2. Salmon Passage by Bin'!$M$6:$M$128, MATCH('FW Summary'!$A49, '2. Salmon Passage by Bin'!$A$6:$A$128,0))+INDEX('2. Salmon Passage by Bin'!$N$6:$N$128, MATCH('FW Summary'!$A49, '2. Salmon Passage by Bin'!$A$6:$A$128,0))+INDEX('2. Salmon Passage by Bin'!$O$6:$O$128, MATCH('FW Summary'!$A49, '2. Salmon Passage by Bin'!$A$6:$A$128,0))</f>
        <v>541.68000000000006</v>
      </c>
      <c r="F49" s="130">
        <f t="shared" si="14"/>
        <v>37999.893333333326</v>
      </c>
      <c r="G49" s="145">
        <f t="shared" si="15"/>
        <v>1.7591029925984759E-2</v>
      </c>
      <c r="H49" s="71">
        <f>INDEX('FW Catch'!F49:F141, MATCH('FW Summary'!A49, 'FW Catch'!A49:A141))</f>
        <v>2.7777777777777776E-2</v>
      </c>
      <c r="I49" s="142">
        <f>INDEX('Pink Proportion'!$S$6:$S$128, MATCH('FW Summary'!A49, 'Pink Proportion'!$A$6:$A$128))/C49</f>
        <v>0</v>
      </c>
      <c r="J49" s="131">
        <f t="shared" si="13"/>
        <v>680.42666666666662</v>
      </c>
      <c r="K49" s="130">
        <f t="shared" si="3"/>
        <v>6024.0533333333333</v>
      </c>
      <c r="L49" s="145">
        <f t="shared" si="4"/>
        <v>0.84426050939254549</v>
      </c>
      <c r="M49" s="71">
        <f>INDEX('FW Catch'!G49:G141, MATCH('FW Summary'!A49, 'FW Catch'!A49:A141))</f>
        <v>0.94444444444444442</v>
      </c>
      <c r="N49" s="17">
        <f>INDEX(WhonSpComp!AN51:AN178, MATCH('FW Summary'!A49, WhonSpComp!A51:A178,0))</f>
        <v>0.66666666666666663</v>
      </c>
      <c r="O49" s="131">
        <f t="shared" si="5"/>
        <v>32656.266666666659</v>
      </c>
      <c r="P49" s="130">
        <f t="shared" si="6"/>
        <v>33239.013333333329</v>
      </c>
      <c r="Q49" s="145">
        <f t="shared" si="7"/>
        <v>0.14067377588051658</v>
      </c>
      <c r="R49" s="71">
        <f>INDEX('FW Catch'!H49:H141, MATCH('FW Summary'!A49, 'FW Catch'!A49:A141))</f>
        <v>2.7777777777777776E-2</v>
      </c>
      <c r="S49" s="17">
        <f>INDEX(WhonSpComp!AT51:AT178, MATCH('FW Summary'!A49, WhonSpComp!A51:A178,0))</f>
        <v>0.33333333333333331</v>
      </c>
      <c r="T49" s="131">
        <f t="shared" si="8"/>
        <v>5441.3066666666618</v>
      </c>
      <c r="U49" s="130">
        <f t="shared" si="9"/>
        <v>38680.319999999992</v>
      </c>
      <c r="V49" s="145">
        <f t="shared" si="10"/>
        <v>0</v>
      </c>
      <c r="W49" s="71">
        <f>INDEX('FW Catch'!I49:I141, MATCH('FW Summary'!A49, 'FW Catch'!A49:A141))</f>
        <v>0</v>
      </c>
      <c r="X49" s="17">
        <f>INDEX(WhonSpComp!AV51:AV178, MATCH('FW Summary'!A49, WhonSpComp!A51:A178,0))</f>
        <v>0</v>
      </c>
      <c r="Y49" s="131">
        <f t="shared" si="11"/>
        <v>0</v>
      </c>
    </row>
    <row r="50" spans="1:25" x14ac:dyDescent="0.3">
      <c r="A50" s="1">
        <f t="shared" si="12"/>
        <v>45149</v>
      </c>
      <c r="B50" s="127">
        <f>INDEX('[1]Passage Estimates'!$D$6:$D$128, MATCH($A50, '[1]Passage Estimates'!$A$6:$A$128,0))</f>
        <v>43865.280000000006</v>
      </c>
      <c r="C50" s="128">
        <f>INDEX('2. Salmon Passage by Bin'!$K$6:$K$128, MATCH('FW Summary'!$A50,'2. Salmon Passage by Bin'!$A$6:$A$128,0))</f>
        <v>16728.000000000011</v>
      </c>
      <c r="D50" s="76">
        <f>INDEX('2. Salmon Passage by Bin'!$E$6:$E$128, MATCH('FW Summary'!$A50, '2. Salmon Passage by Bin'!$A$6:$A$128,0))+INDEX('2. Salmon Passage by Bin'!$F$6:$F$128, MATCH('FW Summary'!$A50, '2. Salmon Passage by Bin'!$A$6:$A$128,0))+INDEX('2. Salmon Passage by Bin'!$G$6:$G$128, MATCH('FW Summary'!$A50, '2. Salmon Passage by Bin'!$A$6:$A$128,0))+INDEX('2. Salmon Passage by Bin'!$H$6:$H$128, MATCH('FW Summary'!$A50, '2. Salmon Passage by Bin'!$A$6:$A$128,0))+_xlfn.IFNA(INDEX('2. Salmon Passage by Bin'!$I$6:$I$128, MATCH('FW Summary'!$A50, '2. Salmon Passage by Bin'!$A$6:$A$128,0)),0)+_xlfn.IFNA(INDEX('2. Salmon Passage by Bin'!$J$6:$J$128, MATCH('FW Summary'!$A50, '2. Salmon Passage by Bin'!$A$6:$A$128,0)),0)</f>
        <v>25634.400000000001</v>
      </c>
      <c r="E50" s="129">
        <f>INDEX('2. Salmon Passage by Bin'!$M$6:$M$128, MATCH('FW Summary'!$A50, '2. Salmon Passage by Bin'!$A$6:$A$128,0))+INDEX('2. Salmon Passage by Bin'!$N$6:$N$128, MATCH('FW Summary'!$A50, '2. Salmon Passage by Bin'!$A$6:$A$128,0))+INDEX('2. Salmon Passage by Bin'!$O$6:$O$128, MATCH('FW Summary'!$A50, '2. Salmon Passage by Bin'!$A$6:$A$128,0))</f>
        <v>1589.52</v>
      </c>
      <c r="F50" s="130" t="e">
        <f t="shared" si="14"/>
        <v>#N/A</v>
      </c>
      <c r="G50" s="145" t="e">
        <f t="shared" si="15"/>
        <v>#N/A</v>
      </c>
      <c r="H50" s="71" t="e">
        <f>INDEX('FW Catch'!F50:F142, MATCH('FW Summary'!A50, 'FW Catch'!A50:A142))</f>
        <v>#N/A</v>
      </c>
      <c r="I50" s="142">
        <f>INDEX('Pink Proportion'!$S$6:$S$128, MATCH('FW Summary'!A50, 'Pink Proportion'!$A$6:$A$128))/C50</f>
        <v>0</v>
      </c>
      <c r="J50" s="131" t="e">
        <f t="shared" si="13"/>
        <v>#N/A</v>
      </c>
      <c r="K50" s="130" t="e">
        <f t="shared" si="3"/>
        <v>#N/A</v>
      </c>
      <c r="L50" s="145" t="e">
        <f t="shared" si="4"/>
        <v>#N/A</v>
      </c>
      <c r="M50" s="71" t="e">
        <f>INDEX('FW Catch'!G50:G142, MATCH('FW Summary'!A50, 'FW Catch'!A50:A142))</f>
        <v>#N/A</v>
      </c>
      <c r="N50" s="17">
        <f>INDEX(WhonSpComp!AN52:AN179, MATCH('FW Summary'!A50, WhonSpComp!A52:A179,0))</f>
        <v>0.86842105263157898</v>
      </c>
      <c r="O50" s="131" t="e">
        <f t="shared" si="5"/>
        <v>#N/A</v>
      </c>
      <c r="P50" s="130" t="e">
        <f t="shared" si="6"/>
        <v>#N/A</v>
      </c>
      <c r="Q50" s="145" t="e">
        <f t="shared" si="7"/>
        <v>#N/A</v>
      </c>
      <c r="R50" s="71" t="e">
        <f>INDEX('FW Catch'!H50:H142, MATCH('FW Summary'!A50, 'FW Catch'!A50:A142))</f>
        <v>#N/A</v>
      </c>
      <c r="S50" s="17">
        <f>INDEX(WhonSpComp!AT52:AT179, MATCH('FW Summary'!A50, WhonSpComp!A52:A179,0))</f>
        <v>0.13157894736842105</v>
      </c>
      <c r="T50" s="131" t="e">
        <f t="shared" si="8"/>
        <v>#N/A</v>
      </c>
      <c r="U50" s="130" t="e">
        <f t="shared" si="9"/>
        <v>#N/A</v>
      </c>
      <c r="V50" s="145" t="e">
        <f t="shared" si="10"/>
        <v>#N/A</v>
      </c>
      <c r="W50" s="71" t="e">
        <f>INDEX('FW Catch'!I50:I142, MATCH('FW Summary'!A50, 'FW Catch'!A50:A142))</f>
        <v>#N/A</v>
      </c>
      <c r="X50" s="17">
        <f>INDEX(WhonSpComp!AV52:AV179, MATCH('FW Summary'!A50, WhonSpComp!A52:A179,0))</f>
        <v>0</v>
      </c>
      <c r="Y50" s="131" t="e">
        <f t="shared" si="11"/>
        <v>#N/A</v>
      </c>
    </row>
    <row r="51" spans="1:25" x14ac:dyDescent="0.3">
      <c r="A51" s="1">
        <f t="shared" si="12"/>
        <v>45150</v>
      </c>
      <c r="B51" s="127">
        <f>INDEX('[1]Passage Estimates'!$D$6:$D$128, MATCH($A51, '[1]Passage Estimates'!$A$6:$A$128,0))</f>
        <v>43606.614239999988</v>
      </c>
      <c r="C51" s="128">
        <f>INDEX('2. Salmon Passage by Bin'!$K$6:$K$128, MATCH('FW Summary'!$A51,'2. Salmon Passage by Bin'!$A$6:$A$128,0))</f>
        <v>25710.294239999988</v>
      </c>
      <c r="D51" s="76">
        <f>INDEX('2. Salmon Passage by Bin'!$E$6:$E$128, MATCH('FW Summary'!$A51, '2. Salmon Passage by Bin'!$A$6:$A$128,0))+INDEX('2. Salmon Passage by Bin'!$F$6:$F$128, MATCH('FW Summary'!$A51, '2. Salmon Passage by Bin'!$A$6:$A$128,0))+INDEX('2. Salmon Passage by Bin'!$G$6:$G$128, MATCH('FW Summary'!$A51, '2. Salmon Passage by Bin'!$A$6:$A$128,0))+INDEX('2. Salmon Passage by Bin'!$H$6:$H$128, MATCH('FW Summary'!$A51, '2. Salmon Passage by Bin'!$A$6:$A$128,0))+_xlfn.IFNA(INDEX('2. Salmon Passage by Bin'!$I$6:$I$128, MATCH('FW Summary'!$A51, '2. Salmon Passage by Bin'!$A$6:$A$128,0)),0)+_xlfn.IFNA(INDEX('2. Salmon Passage by Bin'!$J$6:$J$128, MATCH('FW Summary'!$A51, '2. Salmon Passage by Bin'!$A$6:$A$128,0)),0)</f>
        <v>14718.48</v>
      </c>
      <c r="E51" s="129">
        <f>INDEX('2. Salmon Passage by Bin'!$M$6:$M$128, MATCH('FW Summary'!$A51, '2. Salmon Passage by Bin'!$A$6:$A$128,0))+INDEX('2. Salmon Passage by Bin'!$N$6:$N$128, MATCH('FW Summary'!$A51, '2. Salmon Passage by Bin'!$A$6:$A$128,0))+INDEX('2. Salmon Passage by Bin'!$O$6:$O$128, MATCH('FW Summary'!$A51, '2. Salmon Passage by Bin'!$A$6:$A$128,0))</f>
        <v>2885.2799999999997</v>
      </c>
      <c r="F51" s="130">
        <f t="shared" si="14"/>
        <v>42920.639114805184</v>
      </c>
      <c r="G51" s="145">
        <f t="shared" si="15"/>
        <v>1.5730987996898087E-2</v>
      </c>
      <c r="H51" s="71">
        <f>INDEX('FW Catch'!F51:F143, MATCH('FW Summary'!A51, 'FW Catch'!A51:A143))</f>
        <v>0.02</v>
      </c>
      <c r="I51" s="142">
        <f>INDEX('Pink Proportion'!$S$6:$S$128, MATCH('FW Summary'!A51, 'Pink Proportion'!$A$6:$A$128))/C51</f>
        <v>1.2987012987012988E-2</v>
      </c>
      <c r="J51" s="131">
        <f t="shared" si="13"/>
        <v>685.97512519480506</v>
      </c>
      <c r="K51" s="130">
        <f t="shared" si="3"/>
        <v>9064.8344290909081</v>
      </c>
      <c r="L51" s="145">
        <f t="shared" si="4"/>
        <v>0.79212248905176841</v>
      </c>
      <c r="M51" s="71">
        <f>INDEX('FW Catch'!G51:G143, MATCH('FW Summary'!A51, 'FW Catch'!A51:A143))</f>
        <v>0.9</v>
      </c>
      <c r="N51" s="17">
        <f>INDEX(WhonSpComp!AN53:AN180, MATCH('FW Summary'!A51, WhonSpComp!A53:A180,0))</f>
        <v>0.72727272727272729</v>
      </c>
      <c r="O51" s="131">
        <f t="shared" si="5"/>
        <v>34541.77981090908</v>
      </c>
      <c r="P51" s="130">
        <f t="shared" si="6"/>
        <v>35520.314936103889</v>
      </c>
      <c r="Q51" s="145">
        <f t="shared" si="7"/>
        <v>0.18543744899319894</v>
      </c>
      <c r="R51" s="71">
        <f>INDEX('FW Catch'!H51:H143, MATCH('FW Summary'!A51, 'FW Catch'!A51:A143))</f>
        <v>0.08</v>
      </c>
      <c r="S51" s="17">
        <f>INDEX(WhonSpComp!AT53:AT180, MATCH('FW Summary'!A51, WhonSpComp!A53:A180,0))</f>
        <v>0.25974025974025972</v>
      </c>
      <c r="T51" s="131">
        <f t="shared" si="8"/>
        <v>8086.2993038961004</v>
      </c>
      <c r="U51" s="130">
        <f t="shared" si="9"/>
        <v>43606.614239999988</v>
      </c>
      <c r="V51" s="145">
        <f t="shared" si="10"/>
        <v>0</v>
      </c>
      <c r="W51" s="71">
        <f>INDEX('FW Catch'!I51:I143, MATCH('FW Summary'!A51, 'FW Catch'!A51:A143))</f>
        <v>0</v>
      </c>
      <c r="X51" s="17">
        <f>INDEX(WhonSpComp!AV53:AV180, MATCH('FW Summary'!A51, WhonSpComp!A53:A180,0))</f>
        <v>0</v>
      </c>
      <c r="Y51" s="131">
        <f t="shared" si="11"/>
        <v>0</v>
      </c>
    </row>
    <row r="52" spans="1:25" x14ac:dyDescent="0.3">
      <c r="A52" s="1">
        <f t="shared" si="12"/>
        <v>45151</v>
      </c>
      <c r="B52" s="127">
        <f>INDEX('[1]Passage Estimates'!$D$6:$D$128, MATCH($A52, '[1]Passage Estimates'!$A$6:$A$128,0))</f>
        <v>41600.880000000005</v>
      </c>
      <c r="C52" s="128">
        <f>INDEX('2. Salmon Passage by Bin'!$K$6:$K$128, MATCH('FW Summary'!$A52,'2. Salmon Passage by Bin'!$A$6:$A$128,0))</f>
        <v>15322.320000000007</v>
      </c>
      <c r="D52" s="76">
        <f>INDEX('2. Salmon Passage by Bin'!$E$6:$E$128, MATCH('FW Summary'!$A52, '2. Salmon Passage by Bin'!$A$6:$A$128,0))+INDEX('2. Salmon Passage by Bin'!$F$6:$F$128, MATCH('FW Summary'!$A52, '2. Salmon Passage by Bin'!$A$6:$A$128,0))+INDEX('2. Salmon Passage by Bin'!$G$6:$G$128, MATCH('FW Summary'!$A52, '2. Salmon Passage by Bin'!$A$6:$A$128,0))+INDEX('2. Salmon Passage by Bin'!$H$6:$H$128, MATCH('FW Summary'!$A52, '2. Salmon Passage by Bin'!$A$6:$A$128,0))+_xlfn.IFNA(INDEX('2. Salmon Passage by Bin'!$I$6:$I$128, MATCH('FW Summary'!$A52, '2. Salmon Passage by Bin'!$A$6:$A$128,0)),0)+_xlfn.IFNA(INDEX('2. Salmon Passage by Bin'!$J$6:$J$128, MATCH('FW Summary'!$A52, '2. Salmon Passage by Bin'!$A$6:$A$128,0)),0)</f>
        <v>22273.920000000002</v>
      </c>
      <c r="E52" s="129">
        <f>INDEX('2. Salmon Passage by Bin'!$M$6:$M$128, MATCH('FW Summary'!$A52, '2. Salmon Passage by Bin'!$A$6:$A$128,0))+INDEX('2. Salmon Passage by Bin'!$N$6:$N$128, MATCH('FW Summary'!$A52, '2. Salmon Passage by Bin'!$A$6:$A$128,0))+INDEX('2. Salmon Passage by Bin'!$O$6:$O$128, MATCH('FW Summary'!$A52, '2. Salmon Passage by Bin'!$A$6:$A$128,0))</f>
        <v>3373.44</v>
      </c>
      <c r="F52" s="130">
        <f t="shared" si="14"/>
        <v>40773.545806451621</v>
      </c>
      <c r="G52" s="145">
        <f t="shared" si="15"/>
        <v>1.9887420495633433E-2</v>
      </c>
      <c r="H52" s="71">
        <f>INDEX('FW Catch'!F52:F144, MATCH('FW Summary'!A52, 'FW Catch'!A52:A144))</f>
        <v>3.2258064516129031E-2</v>
      </c>
      <c r="I52" s="142">
        <f>INDEX('Pink Proportion'!$S$6:$S$128, MATCH('FW Summary'!A52, 'Pink Proportion'!$A$6:$A$128))/C52</f>
        <v>0</v>
      </c>
      <c r="J52" s="131">
        <f t="shared" si="13"/>
        <v>827.33419354838713</v>
      </c>
      <c r="K52" s="130">
        <f t="shared" si="3"/>
        <v>8660.812258064514</v>
      </c>
      <c r="L52" s="145">
        <f t="shared" si="4"/>
        <v>0.79181180162379949</v>
      </c>
      <c r="M52" s="71">
        <f>INDEX('FW Catch'!G52:G144, MATCH('FW Summary'!A52, 'FW Catch'!A52:A144))</f>
        <v>0.79032258064516125</v>
      </c>
      <c r="N52" s="17">
        <f>INDEX(WhonSpComp!AN54:AN181, MATCH('FW Summary'!A52, WhonSpComp!A54:A181,0))</f>
        <v>0.82692307692307687</v>
      </c>
      <c r="O52" s="131">
        <f t="shared" si="5"/>
        <v>32940.067741935491</v>
      </c>
      <c r="P52" s="130">
        <f t="shared" si="6"/>
        <v>34398.601935483872</v>
      </c>
      <c r="Q52" s="145">
        <f t="shared" si="7"/>
        <v>0.17312802191963561</v>
      </c>
      <c r="R52" s="71">
        <f>INDEX('FW Catch'!H52:H144, MATCH('FW Summary'!A52, 'FW Catch'!A52:A144))</f>
        <v>0.17741935483870969</v>
      </c>
      <c r="S52" s="17">
        <f>INDEX(WhonSpComp!AT54:AT181, MATCH('FW Summary'!A52, WhonSpComp!A54:A181,0))</f>
        <v>0.17307692307692307</v>
      </c>
      <c r="T52" s="131">
        <f t="shared" si="8"/>
        <v>7202.2780645161311</v>
      </c>
      <c r="U52" s="130">
        <f t="shared" si="9"/>
        <v>41600.880000000005</v>
      </c>
      <c r="V52" s="145">
        <f t="shared" si="10"/>
        <v>0</v>
      </c>
      <c r="W52" s="71">
        <f>INDEX('FW Catch'!I52:I144, MATCH('FW Summary'!A52, 'FW Catch'!A52:A144))</f>
        <v>0</v>
      </c>
      <c r="X52" s="17">
        <f>INDEX(WhonSpComp!AV54:AV181, MATCH('FW Summary'!A52, WhonSpComp!A54:A181,0))</f>
        <v>0</v>
      </c>
      <c r="Y52" s="131">
        <f t="shared" si="11"/>
        <v>0</v>
      </c>
    </row>
    <row r="53" spans="1:25" x14ac:dyDescent="0.3">
      <c r="A53" s="1">
        <f t="shared" si="12"/>
        <v>45152</v>
      </c>
      <c r="B53" s="127">
        <f>INDEX('[1]Passage Estimates'!$D$6:$D$128, MATCH($A53, '[1]Passage Estimates'!$A$6:$A$128,0))</f>
        <v>33084.720000000008</v>
      </c>
      <c r="C53" s="128">
        <f>INDEX('2. Salmon Passage by Bin'!$K$6:$K$128, MATCH('FW Summary'!$A53,'2. Salmon Passage by Bin'!$A$6:$A$128,0))</f>
        <v>8762.4000000000087</v>
      </c>
      <c r="D53" s="76">
        <f>INDEX('2. Salmon Passage by Bin'!$E$6:$E$128, MATCH('FW Summary'!$A53, '2. Salmon Passage by Bin'!$A$6:$A$128,0))+INDEX('2. Salmon Passage by Bin'!$F$6:$F$128, MATCH('FW Summary'!$A53, '2. Salmon Passage by Bin'!$A$6:$A$128,0))+INDEX('2. Salmon Passage by Bin'!$G$6:$G$128, MATCH('FW Summary'!$A53, '2. Salmon Passage by Bin'!$A$6:$A$128,0))+INDEX('2. Salmon Passage by Bin'!$H$6:$H$128, MATCH('FW Summary'!$A53, '2. Salmon Passage by Bin'!$A$6:$A$128,0))+_xlfn.IFNA(INDEX('2. Salmon Passage by Bin'!$I$6:$I$128, MATCH('FW Summary'!$A53, '2. Salmon Passage by Bin'!$A$6:$A$128,0)),0)+_xlfn.IFNA(INDEX('2. Salmon Passage by Bin'!$J$6:$J$128, MATCH('FW Summary'!$A53, '2. Salmon Passage by Bin'!$A$6:$A$128,0)),0)</f>
        <v>22550.640000000003</v>
      </c>
      <c r="E53" s="129">
        <f>INDEX('2. Salmon Passage by Bin'!$M$6:$M$128, MATCH('FW Summary'!$A53, '2. Salmon Passage by Bin'!$A$6:$A$128,0))+INDEX('2. Salmon Passage by Bin'!$N$6:$N$128, MATCH('FW Summary'!$A53, '2. Salmon Passage by Bin'!$A$6:$A$128,0))+INDEX('2. Salmon Passage by Bin'!$O$6:$O$128, MATCH('FW Summary'!$A53, '2. Salmon Passage by Bin'!$A$6:$A$128,0))</f>
        <v>1913.28</v>
      </c>
      <c r="F53" s="130">
        <f t="shared" si="14"/>
        <v>32676.988000000008</v>
      </c>
      <c r="G53" s="145">
        <f t="shared" si="15"/>
        <v>1.2323876399739817E-2</v>
      </c>
      <c r="H53" s="71">
        <f>INDEX('FW Catch'!F53:F145, MATCH('FW Summary'!A53, 'FW Catch'!A53:A145))</f>
        <v>1.6666666666666666E-2</v>
      </c>
      <c r="I53" s="142">
        <f>INDEX('Pink Proportion'!$S$6:$S$128, MATCH('FW Summary'!A53, 'Pink Proportion'!$A$6:$A$128))/C53</f>
        <v>0</v>
      </c>
      <c r="J53" s="131">
        <f t="shared" si="13"/>
        <v>407.73200000000003</v>
      </c>
      <c r="K53" s="130">
        <f t="shared" si="3"/>
        <v>5368.2544225352103</v>
      </c>
      <c r="L53" s="145">
        <f t="shared" si="4"/>
        <v>0.83774218362630215</v>
      </c>
      <c r="M53" s="71">
        <f>INDEX('FW Catch'!G53:G145, MATCH('FW Summary'!A53, 'FW Catch'!A53:A145))</f>
        <v>0.8</v>
      </c>
      <c r="N53" s="17">
        <f>INDEX(WhonSpComp!AN55:AN182, MATCH('FW Summary'!A53, WhonSpComp!A55:A182,0))</f>
        <v>0.92957746478873238</v>
      </c>
      <c r="O53" s="131">
        <f t="shared" si="5"/>
        <v>27716.465577464798</v>
      </c>
      <c r="P53" s="130">
        <f t="shared" si="6"/>
        <v>27982.597577464796</v>
      </c>
      <c r="Q53" s="145">
        <f t="shared" si="7"/>
        <v>0.15421386133947063</v>
      </c>
      <c r="R53" s="71">
        <f>INDEX('FW Catch'!H53:H145, MATCH('FW Summary'!A53, 'FW Catch'!A53:A145))</f>
        <v>0.18333333333333332</v>
      </c>
      <c r="S53" s="17">
        <f>INDEX(WhonSpComp!AT55:AT182, MATCH('FW Summary'!A53, WhonSpComp!A55:A182,0))</f>
        <v>7.0422535211267609E-2</v>
      </c>
      <c r="T53" s="131">
        <f t="shared" si="8"/>
        <v>5102.1224225352116</v>
      </c>
      <c r="U53" s="130">
        <f t="shared" si="9"/>
        <v>33084.720000000008</v>
      </c>
      <c r="V53" s="145">
        <f t="shared" si="10"/>
        <v>0</v>
      </c>
      <c r="W53" s="71">
        <f>INDEX('FW Catch'!I53:I145, MATCH('FW Summary'!A53, 'FW Catch'!A53:A145))</f>
        <v>0</v>
      </c>
      <c r="X53" s="17">
        <f>INDEX(WhonSpComp!AV55:AV182, MATCH('FW Summary'!A53, WhonSpComp!A55:A182,0))</f>
        <v>0</v>
      </c>
      <c r="Y53" s="131">
        <f t="shared" si="11"/>
        <v>0</v>
      </c>
    </row>
    <row r="54" spans="1:25" x14ac:dyDescent="0.3">
      <c r="A54" s="1">
        <f t="shared" si="12"/>
        <v>45153</v>
      </c>
      <c r="B54" s="127">
        <f>INDEX('[1]Passage Estimates'!$D$6:$D$128, MATCH($A54, '[1]Passage Estimates'!$A$6:$A$128,0))</f>
        <v>39361.919999999998</v>
      </c>
      <c r="C54" s="128">
        <f>INDEX('2. Salmon Passage by Bin'!$K$6:$K$128, MATCH('FW Summary'!$A54,'2. Salmon Passage by Bin'!$A$6:$A$128,0))</f>
        <v>12572.639999999992</v>
      </c>
      <c r="D54" s="76">
        <f>INDEX('2. Salmon Passage by Bin'!$E$6:$E$128, MATCH('FW Summary'!$A54, '2. Salmon Passage by Bin'!$A$6:$A$128,0))+INDEX('2. Salmon Passage by Bin'!$F$6:$F$128, MATCH('FW Summary'!$A54, '2. Salmon Passage by Bin'!$A$6:$A$128,0))+INDEX('2. Salmon Passage by Bin'!$G$6:$G$128, MATCH('FW Summary'!$A54, '2. Salmon Passage by Bin'!$A$6:$A$128,0))+INDEX('2. Salmon Passage by Bin'!$H$6:$H$128, MATCH('FW Summary'!$A54, '2. Salmon Passage by Bin'!$A$6:$A$128,0))+_xlfn.IFNA(INDEX('2. Salmon Passage by Bin'!$I$6:$I$128, MATCH('FW Summary'!$A54, '2. Salmon Passage by Bin'!$A$6:$A$128,0)),0)+_xlfn.IFNA(INDEX('2. Salmon Passage by Bin'!$J$6:$J$128, MATCH('FW Summary'!$A54, '2. Salmon Passage by Bin'!$A$6:$A$128,0)),0)</f>
        <v>25033.68</v>
      </c>
      <c r="E54" s="129">
        <f>INDEX('2. Salmon Passage by Bin'!$M$6:$M$128, MATCH('FW Summary'!$A54, '2. Salmon Passage by Bin'!$A$6:$A$128,0))+INDEX('2. Salmon Passage by Bin'!$N$6:$N$128, MATCH('FW Summary'!$A54, '2. Salmon Passage by Bin'!$A$6:$A$128,0))+INDEX('2. Salmon Passage by Bin'!$O$6:$O$128, MATCH('FW Summary'!$A54, '2. Salmon Passage by Bin'!$A$6:$A$128,0))</f>
        <v>1245.1199999999999</v>
      </c>
      <c r="F54" s="130">
        <f t="shared" si="14"/>
        <v>38489.970261642258</v>
      </c>
      <c r="G54" s="145">
        <f t="shared" si="15"/>
        <v>2.2152113981171201E-2</v>
      </c>
      <c r="H54" s="71">
        <f>INDEX('FW Catch'!F54:F146, MATCH('FW Summary'!A54, 'FW Catch'!A54:A146))</f>
        <v>2.9126213592233011E-2</v>
      </c>
      <c r="I54" s="142">
        <f>INDEX('Pink Proportion'!$S$6:$S$128, MATCH('FW Summary'!A54, 'Pink Proportion'!$A$6:$A$128))/C54</f>
        <v>8.4745762711864406E-3</v>
      </c>
      <c r="J54" s="131">
        <f t="shared" si="13"/>
        <v>871.94973835774226</v>
      </c>
      <c r="K54" s="130">
        <f t="shared" si="3"/>
        <v>6723.579621523786</v>
      </c>
      <c r="L54" s="145">
        <f t="shared" si="4"/>
        <v>0.82918567942001342</v>
      </c>
      <c r="M54" s="71">
        <f>INDEX('FW Catch'!G54:G146, MATCH('FW Summary'!A54, 'FW Catch'!A54:A146))</f>
        <v>0.84466019417475724</v>
      </c>
      <c r="N54" s="17">
        <f>INDEX(WhonSpComp!AN56:AN183, MATCH('FW Summary'!A54, WhonSpComp!A56:A183,0))</f>
        <v>0.83050847457627119</v>
      </c>
      <c r="O54" s="131">
        <f t="shared" si="5"/>
        <v>32638.340378476212</v>
      </c>
      <c r="P54" s="130">
        <f t="shared" si="6"/>
        <v>34233.865710054306</v>
      </c>
      <c r="Q54" s="145">
        <f t="shared" si="7"/>
        <v>0.13027957706193438</v>
      </c>
      <c r="R54" s="71">
        <f>INDEX('FW Catch'!H54:H146, MATCH('FW Summary'!A54, 'FW Catch'!A54:A146))</f>
        <v>0.12621359223300971</v>
      </c>
      <c r="S54" s="17">
        <f>INDEX(WhonSpComp!AT56:AT183, MATCH('FW Summary'!A54, WhonSpComp!A56:A183,0))</f>
        <v>0.1440677966101695</v>
      </c>
      <c r="T54" s="131">
        <f t="shared" si="8"/>
        <v>5128.0542899456959</v>
      </c>
      <c r="U54" s="130">
        <f t="shared" si="9"/>
        <v>39148.824406779662</v>
      </c>
      <c r="V54" s="145">
        <f t="shared" si="10"/>
        <v>5.4137499700303961E-3</v>
      </c>
      <c r="W54" s="71">
        <f>INDEX('FW Catch'!I54:I146, MATCH('FW Summary'!A54, 'FW Catch'!A54:A146))</f>
        <v>0</v>
      </c>
      <c r="X54" s="17">
        <f>INDEX(WhonSpComp!AV56:AV183, MATCH('FW Summary'!A54, WhonSpComp!A56:A183,0))</f>
        <v>1.6949152542372881E-2</v>
      </c>
      <c r="Y54" s="131">
        <f t="shared" si="11"/>
        <v>213.09559322033886</v>
      </c>
    </row>
    <row r="55" spans="1:25" x14ac:dyDescent="0.3">
      <c r="A55" s="1">
        <f t="shared" si="12"/>
        <v>45154</v>
      </c>
      <c r="B55" s="127">
        <f>INDEX('[1]Passage Estimates'!$D$6:$D$128, MATCH($A55, '[1]Passage Estimates'!$A$6:$A$128,0))</f>
        <v>47039.759999999987</v>
      </c>
      <c r="C55" s="128">
        <f>INDEX('2. Salmon Passage by Bin'!$K$6:$K$128, MATCH('FW Summary'!$A55,'2. Salmon Passage by Bin'!$A$6:$A$128,0))</f>
        <v>13272.239999999983</v>
      </c>
      <c r="D55" s="76">
        <f>INDEX('2. Salmon Passage by Bin'!$E$6:$E$128, MATCH('FW Summary'!$A55, '2. Salmon Passage by Bin'!$A$6:$A$128,0))+INDEX('2. Salmon Passage by Bin'!$F$6:$F$128, MATCH('FW Summary'!$A55, '2. Salmon Passage by Bin'!$A$6:$A$128,0))+INDEX('2. Salmon Passage by Bin'!$G$6:$G$128, MATCH('FW Summary'!$A55, '2. Salmon Passage by Bin'!$A$6:$A$128,0))+INDEX('2. Salmon Passage by Bin'!$H$6:$H$128, MATCH('FW Summary'!$A55, '2. Salmon Passage by Bin'!$A$6:$A$128,0))+_xlfn.IFNA(INDEX('2. Salmon Passage by Bin'!$I$6:$I$128, MATCH('FW Summary'!$A55, '2. Salmon Passage by Bin'!$A$6:$A$128,0)),0)+_xlfn.IFNA(INDEX('2. Salmon Passage by Bin'!$J$6:$J$128, MATCH('FW Summary'!$A55, '2. Salmon Passage by Bin'!$A$6:$A$128,0)),0)</f>
        <v>32047.68</v>
      </c>
      <c r="E55" s="129">
        <f>INDEX('2. Salmon Passage by Bin'!$M$6:$M$128, MATCH('FW Summary'!$A55, '2. Salmon Passage by Bin'!$A$6:$A$128,0))+INDEX('2. Salmon Passage by Bin'!$N$6:$N$128, MATCH('FW Summary'!$A55, '2. Salmon Passage by Bin'!$A$6:$A$128,0))+INDEX('2. Salmon Passage by Bin'!$O$6:$O$128, MATCH('FW Summary'!$A55, '2. Salmon Passage by Bin'!$A$6:$A$128,0))</f>
        <v>1379.52</v>
      </c>
      <c r="F55" s="130">
        <f t="shared" si="14"/>
        <v>45560.506912442383</v>
      </c>
      <c r="G55" s="145">
        <f t="shared" si="15"/>
        <v>3.1446867236516587E-2</v>
      </c>
      <c r="H55" s="71">
        <f>INDEX('FW Catch'!F55:F147, MATCH('FW Summary'!A55, 'FW Catch'!A55:A147))</f>
        <v>3.5714285714285712E-2</v>
      </c>
      <c r="I55" s="142">
        <f>INDEX('Pink Proportion'!$S$6:$S$128, MATCH('FW Summary'!A55, 'Pink Proportion'!$A$6:$A$128))/C55</f>
        <v>2.1505376344086023E-2</v>
      </c>
      <c r="J55" s="131">
        <f t="shared" si="13"/>
        <v>1479.2530875576031</v>
      </c>
      <c r="K55" s="130">
        <f t="shared" si="3"/>
        <v>5398.3229493087638</v>
      </c>
      <c r="L55" s="145">
        <f t="shared" si="4"/>
        <v>0.88523914770592438</v>
      </c>
      <c r="M55" s="71">
        <f>INDEX('FW Catch'!G55:G147, MATCH('FW Summary'!A55, 'FW Catch'!A55:A147))</f>
        <v>0.87857142857142856</v>
      </c>
      <c r="N55" s="17">
        <f>INDEX(WhonSpComp!AN57:AN184, MATCH('FW Summary'!A55, WhonSpComp!A57:A184,0))</f>
        <v>0.92473118279569888</v>
      </c>
      <c r="O55" s="131">
        <f t="shared" si="5"/>
        <v>41641.437050691224</v>
      </c>
      <c r="P55" s="130">
        <f t="shared" si="6"/>
        <v>43603.722396313351</v>
      </c>
      <c r="Q55" s="145">
        <f t="shared" si="7"/>
        <v>7.3045389765735116E-2</v>
      </c>
      <c r="R55" s="71">
        <f>INDEX('FW Catch'!H55:H147, MATCH('FW Summary'!A55, 'FW Catch'!A55:A147))</f>
        <v>8.5714285714285715E-2</v>
      </c>
      <c r="S55" s="17">
        <f>INDEX(WhonSpComp!AT57:AT184, MATCH('FW Summary'!A55, WhonSpComp!A57:A184,0))</f>
        <v>4.3010752688172046E-2</v>
      </c>
      <c r="T55" s="131">
        <f t="shared" si="8"/>
        <v>3436.0376036866351</v>
      </c>
      <c r="U55" s="130">
        <f t="shared" si="9"/>
        <v>46897.047741935472</v>
      </c>
      <c r="V55" s="145">
        <f t="shared" si="10"/>
        <v>3.0338645023808794E-3</v>
      </c>
      <c r="W55" s="71">
        <f>INDEX('FW Catch'!I55:I147, MATCH('FW Summary'!A55, 'FW Catch'!A55:A147))</f>
        <v>0</v>
      </c>
      <c r="X55" s="17">
        <f>INDEX(WhonSpComp!AV57:AV184, MATCH('FW Summary'!A55, WhonSpComp!A57:A184,0))</f>
        <v>1.0752688172043012E-2</v>
      </c>
      <c r="Y55" s="131">
        <f t="shared" si="11"/>
        <v>142.71225806451596</v>
      </c>
    </row>
    <row r="56" spans="1:25" x14ac:dyDescent="0.3">
      <c r="A56" s="1">
        <f t="shared" si="12"/>
        <v>45155</v>
      </c>
      <c r="B56" s="127">
        <f>INDEX('[1]Passage Estimates'!$D$6:$D$128, MATCH($A56, '[1]Passage Estimates'!$A$6:$A$128,0))</f>
        <v>64987.679999999993</v>
      </c>
      <c r="C56" s="128">
        <f>INDEX('2. Salmon Passage by Bin'!$K$6:$K$128, MATCH('FW Summary'!$A56,'2. Salmon Passage by Bin'!$A$6:$A$128,0))</f>
        <v>25335.839999999997</v>
      </c>
      <c r="D56" s="76">
        <f>INDEX('2. Salmon Passage by Bin'!$E$6:$E$128, MATCH('FW Summary'!$A56, '2. Salmon Passage by Bin'!$A$6:$A$128,0))+INDEX('2. Salmon Passage by Bin'!$F$6:$F$128, MATCH('FW Summary'!$A56, '2. Salmon Passage by Bin'!$A$6:$A$128,0))+INDEX('2. Salmon Passage by Bin'!$G$6:$G$128, MATCH('FW Summary'!$A56, '2. Salmon Passage by Bin'!$A$6:$A$128,0))+INDEX('2. Salmon Passage by Bin'!$H$6:$H$128, MATCH('FW Summary'!$A56, '2. Salmon Passage by Bin'!$A$6:$A$128,0))+_xlfn.IFNA(INDEX('2. Salmon Passage by Bin'!$I$6:$I$128, MATCH('FW Summary'!$A56, '2. Salmon Passage by Bin'!$A$6:$A$128,0)),0)+_xlfn.IFNA(INDEX('2. Salmon Passage by Bin'!$J$6:$J$128, MATCH('FW Summary'!$A56, '2. Salmon Passage by Bin'!$A$6:$A$128,0)),0)</f>
        <v>35810.400000000001</v>
      </c>
      <c r="E56" s="129">
        <f>INDEX('2. Salmon Passage by Bin'!$M$6:$M$128, MATCH('FW Summary'!$A56, '2. Salmon Passage by Bin'!$A$6:$A$128,0))+INDEX('2. Salmon Passage by Bin'!$N$6:$N$128, MATCH('FW Summary'!$A56, '2. Salmon Passage by Bin'!$A$6:$A$128,0))+INDEX('2. Salmon Passage by Bin'!$O$6:$O$128, MATCH('FW Summary'!$A56, '2. Salmon Passage by Bin'!$A$6:$A$128,0))</f>
        <v>3317.04</v>
      </c>
      <c r="F56" s="130">
        <f t="shared" si="14"/>
        <v>64544.092476190468</v>
      </c>
      <c r="G56" s="145">
        <f t="shared" si="15"/>
        <v>6.8257171791564772E-3</v>
      </c>
      <c r="H56" s="71">
        <f>INDEX('FW Catch'!F56:F148, MATCH('FW Summary'!A56, 'FW Catch'!A56:A148))</f>
        <v>5.5555555555555558E-3</v>
      </c>
      <c r="I56" s="142">
        <f>INDEX('Pink Proportion'!$S$6:$S$128, MATCH('FW Summary'!A56, 'Pink Proportion'!$A$6:$A$128))/C56</f>
        <v>8.9285714285714281E-3</v>
      </c>
      <c r="J56" s="131">
        <f t="shared" si="13"/>
        <v>443.58752380952376</v>
      </c>
      <c r="K56" s="130">
        <f t="shared" si="3"/>
        <v>2959.7122857142822</v>
      </c>
      <c r="L56" s="145">
        <f t="shared" si="4"/>
        <v>0.95445733274807965</v>
      </c>
      <c r="M56" s="71">
        <f>INDEX('FW Catch'!G56:G148, MATCH('FW Summary'!A56, 'FW Catch'!A56:A148))</f>
        <v>0.96666666666666667</v>
      </c>
      <c r="N56" s="17">
        <f>INDEX(WhonSpComp!AN58:AN185, MATCH('FW Summary'!A56, WhonSpComp!A58:A185,0))</f>
        <v>0.9553571428571429</v>
      </c>
      <c r="O56" s="131">
        <f t="shared" si="5"/>
        <v>62027.967714285711</v>
      </c>
      <c r="P56" s="130">
        <f t="shared" si="6"/>
        <v>63448.380952380947</v>
      </c>
      <c r="Q56" s="145">
        <f t="shared" si="7"/>
        <v>2.3686013220029514E-2</v>
      </c>
      <c r="R56" s="71">
        <f>INDEX('FW Catch'!H56:H148, MATCH('FW Summary'!A56, 'FW Catch'!A56:A148))</f>
        <v>2.7777777777777776E-2</v>
      </c>
      <c r="S56" s="17">
        <f>INDEX(WhonSpComp!AT58:AT185, MATCH('FW Summary'!A56, WhonSpComp!A58:A185,0))</f>
        <v>1.7857142857142856E-2</v>
      </c>
      <c r="T56" s="131">
        <f t="shared" si="8"/>
        <v>1539.2990476190475</v>
      </c>
      <c r="U56" s="130">
        <f t="shared" si="9"/>
        <v>64535.254285714276</v>
      </c>
      <c r="V56" s="145">
        <f t="shared" si="10"/>
        <v>6.9617151171685815E-3</v>
      </c>
      <c r="W56" s="71">
        <f>INDEX('FW Catch'!I56:I148, MATCH('FW Summary'!A56, 'FW Catch'!A56:A148))</f>
        <v>0</v>
      </c>
      <c r="X56" s="17">
        <f>INDEX(WhonSpComp!AV58:AV185, MATCH('FW Summary'!A56, WhonSpComp!A58:A185,0))</f>
        <v>1.7857142857142856E-2</v>
      </c>
      <c r="Y56" s="131">
        <f t="shared" si="11"/>
        <v>452.42571428571421</v>
      </c>
    </row>
    <row r="57" spans="1:25" x14ac:dyDescent="0.3">
      <c r="A57" s="1">
        <f t="shared" si="12"/>
        <v>45156</v>
      </c>
      <c r="B57" s="127">
        <f>INDEX('[1]Passage Estimates'!$D$6:$D$128, MATCH($A57, '[1]Passage Estimates'!$A$6:$A$128,0))</f>
        <v>85010.640000000043</v>
      </c>
      <c r="C57" s="128">
        <f>INDEX('2. Salmon Passage by Bin'!$K$6:$K$128, MATCH('FW Summary'!$A57,'2. Salmon Passage by Bin'!$A$6:$A$128,0))</f>
        <v>23246.88000000003</v>
      </c>
      <c r="D57" s="76">
        <f>INDEX('2. Salmon Passage by Bin'!$E$6:$E$128, MATCH('FW Summary'!$A57, '2. Salmon Passage by Bin'!$A$6:$A$128,0))+INDEX('2. Salmon Passage by Bin'!$F$6:$F$128, MATCH('FW Summary'!$A57, '2. Salmon Passage by Bin'!$A$6:$A$128,0))+INDEX('2. Salmon Passage by Bin'!$G$6:$G$128, MATCH('FW Summary'!$A57, '2. Salmon Passage by Bin'!$A$6:$A$128,0))+INDEX('2. Salmon Passage by Bin'!$H$6:$H$128, MATCH('FW Summary'!$A57, '2. Salmon Passage by Bin'!$A$6:$A$128,0))+_xlfn.IFNA(INDEX('2. Salmon Passage by Bin'!$I$6:$I$128, MATCH('FW Summary'!$A57, '2. Salmon Passage by Bin'!$A$6:$A$128,0)),0)+_xlfn.IFNA(INDEX('2. Salmon Passage by Bin'!$J$6:$J$128, MATCH('FW Summary'!$A57, '2. Salmon Passage by Bin'!$A$6:$A$128,0)),0)</f>
        <v>57335.040000000001</v>
      </c>
      <c r="E57" s="129">
        <f>INDEX('2. Salmon Passage by Bin'!$M$6:$M$128, MATCH('FW Summary'!$A57, '2. Salmon Passage by Bin'!$A$6:$A$128,0))+INDEX('2. Salmon Passage by Bin'!$N$6:$N$128, MATCH('FW Summary'!$A57, '2. Salmon Passage by Bin'!$A$6:$A$128,0))+INDEX('2. Salmon Passage by Bin'!$O$6:$O$128, MATCH('FW Summary'!$A57, '2. Salmon Passage by Bin'!$A$6:$A$128,0))</f>
        <v>3438</v>
      </c>
      <c r="F57" s="130" t="e">
        <f t="shared" si="14"/>
        <v>#N/A</v>
      </c>
      <c r="G57" s="145" t="e">
        <f t="shared" si="15"/>
        <v>#N/A</v>
      </c>
      <c r="H57" s="71" t="e">
        <f>INDEX('FW Catch'!F57:F149, MATCH('FW Summary'!A57, 'FW Catch'!A57:A149))</f>
        <v>#N/A</v>
      </c>
      <c r="I57" s="142">
        <f>INDEX('Pink Proportion'!$S$6:$S$128, MATCH('FW Summary'!A57, 'Pink Proportion'!$A$6:$A$128))/C57</f>
        <v>2.0833333333333332E-2</v>
      </c>
      <c r="J57" s="131" t="e">
        <f t="shared" si="13"/>
        <v>#N/A</v>
      </c>
      <c r="K57" s="130" t="e">
        <f t="shared" si="3"/>
        <v>#N/A</v>
      </c>
      <c r="L57" s="145" t="e">
        <f t="shared" si="4"/>
        <v>#N/A</v>
      </c>
      <c r="M57" s="71" t="e">
        <f>INDEX('FW Catch'!G57:G149, MATCH('FW Summary'!A57, 'FW Catch'!A57:A149))</f>
        <v>#N/A</v>
      </c>
      <c r="N57" s="17">
        <f>INDEX(WhonSpComp!AN59:AN186, MATCH('FW Summary'!A57, WhonSpComp!A59:A186,0))</f>
        <v>0.9375</v>
      </c>
      <c r="O57" s="131" t="e">
        <f t="shared" si="5"/>
        <v>#N/A</v>
      </c>
      <c r="P57" s="130" t="e">
        <f t="shared" si="6"/>
        <v>#N/A</v>
      </c>
      <c r="Q57" s="145" t="e">
        <f t="shared" si="7"/>
        <v>#N/A</v>
      </c>
      <c r="R57" s="71" t="e">
        <f>INDEX('FW Catch'!H57:H149, MATCH('FW Summary'!A57, 'FW Catch'!A57:A149))</f>
        <v>#N/A</v>
      </c>
      <c r="S57" s="17">
        <f>INDEX(WhonSpComp!AT59:AT186, MATCH('FW Summary'!A57, WhonSpComp!A59:A186,0))</f>
        <v>2.0833333333333332E-2</v>
      </c>
      <c r="T57" s="131" t="e">
        <f t="shared" si="8"/>
        <v>#N/A</v>
      </c>
      <c r="U57" s="130" t="e">
        <f t="shared" si="9"/>
        <v>#N/A</v>
      </c>
      <c r="V57" s="145" t="e">
        <f t="shared" si="10"/>
        <v>#N/A</v>
      </c>
      <c r="W57" s="71" t="e">
        <f>INDEX('FW Catch'!I57:I149, MATCH('FW Summary'!A57, 'FW Catch'!A57:A149))</f>
        <v>#N/A</v>
      </c>
      <c r="X57" s="17">
        <f>INDEX(WhonSpComp!AV59:AV186, MATCH('FW Summary'!A57, WhonSpComp!A59:A186,0))</f>
        <v>2.0833333333333332E-2</v>
      </c>
      <c r="Y57" s="131" t="e">
        <f t="shared" si="11"/>
        <v>#N/A</v>
      </c>
    </row>
    <row r="58" spans="1:25" x14ac:dyDescent="0.3">
      <c r="A58" s="1">
        <f t="shared" si="12"/>
        <v>45157</v>
      </c>
      <c r="B58" s="127">
        <f>INDEX('[1]Passage Estimates'!$D$6:$D$128, MATCH($A58, '[1]Passage Estimates'!$A$6:$A$128,0))</f>
        <v>86813.323199999941</v>
      </c>
      <c r="C58" s="128">
        <f>INDEX('2. Salmon Passage by Bin'!$K$6:$K$128, MATCH('FW Summary'!$A58,'2. Salmon Passage by Bin'!$A$6:$A$128,0))</f>
        <v>26467.003199999948</v>
      </c>
      <c r="D58" s="76">
        <f>INDEX('2. Salmon Passage by Bin'!$E$6:$E$128, MATCH('FW Summary'!$A58, '2. Salmon Passage by Bin'!$A$6:$A$128,0))+INDEX('2. Salmon Passage by Bin'!$F$6:$F$128, MATCH('FW Summary'!$A58, '2. Salmon Passage by Bin'!$A$6:$A$128,0))+INDEX('2. Salmon Passage by Bin'!$G$6:$G$128, MATCH('FW Summary'!$A58, '2. Salmon Passage by Bin'!$A$6:$A$128,0))+INDEX('2. Salmon Passage by Bin'!$H$6:$H$128, MATCH('FW Summary'!$A58, '2. Salmon Passage by Bin'!$A$6:$A$128,0))+_xlfn.IFNA(INDEX('2. Salmon Passage by Bin'!$I$6:$I$128, MATCH('FW Summary'!$A58, '2. Salmon Passage by Bin'!$A$6:$A$128,0)),0)+_xlfn.IFNA(INDEX('2. Salmon Passage by Bin'!$J$6:$J$128, MATCH('FW Summary'!$A58, '2. Salmon Passage by Bin'!$A$6:$A$128,0)),0)</f>
        <v>47077.439999999995</v>
      </c>
      <c r="E58" s="129">
        <f>INDEX('2. Salmon Passage by Bin'!$M$6:$M$128, MATCH('FW Summary'!$A58, '2. Salmon Passage by Bin'!$A$6:$A$128,0))+INDEX('2. Salmon Passage by Bin'!$N$6:$N$128, MATCH('FW Summary'!$A58, '2. Salmon Passage by Bin'!$A$6:$A$128,0))+INDEX('2. Salmon Passage by Bin'!$O$6:$O$128, MATCH('FW Summary'!$A58, '2. Salmon Passage by Bin'!$A$6:$A$128,0))</f>
        <v>11491.439999999999</v>
      </c>
      <c r="F58" s="130" t="e">
        <f t="shared" si="14"/>
        <v>#N/A</v>
      </c>
      <c r="G58" s="145" t="e">
        <f t="shared" si="15"/>
        <v>#N/A</v>
      </c>
      <c r="H58" s="71" t="e">
        <f>INDEX('FW Catch'!F58:F150, MATCH('FW Summary'!A58, 'FW Catch'!A58:A150))</f>
        <v>#N/A</v>
      </c>
      <c r="I58" s="142">
        <f>INDEX('Pink Proportion'!$S$6:$S$128, MATCH('FW Summary'!A58, 'Pink Proportion'!$A$6:$A$128))/C58</f>
        <v>0.10833333333333334</v>
      </c>
      <c r="J58" s="131" t="e">
        <f t="shared" si="13"/>
        <v>#N/A</v>
      </c>
      <c r="K58" s="130" t="e">
        <f t="shared" si="3"/>
        <v>#N/A</v>
      </c>
      <c r="L58" s="145" t="e">
        <f t="shared" si="4"/>
        <v>#N/A</v>
      </c>
      <c r="M58" s="71" t="e">
        <f>INDEX('FW Catch'!G58:G150, MATCH('FW Summary'!A58, 'FW Catch'!A58:A150))</f>
        <v>#N/A</v>
      </c>
      <c r="N58" s="17">
        <f>INDEX(WhonSpComp!AN60:AN187, MATCH('FW Summary'!A58, WhonSpComp!A60:A187,0))</f>
        <v>0.81666666666666665</v>
      </c>
      <c r="O58" s="131" t="e">
        <f t="shared" si="5"/>
        <v>#N/A</v>
      </c>
      <c r="P58" s="130" t="e">
        <f t="shared" si="6"/>
        <v>#N/A</v>
      </c>
      <c r="Q58" s="145" t="e">
        <f t="shared" si="7"/>
        <v>#N/A</v>
      </c>
      <c r="R58" s="71" t="e">
        <f>INDEX('FW Catch'!H58:H150, MATCH('FW Summary'!A58, 'FW Catch'!A58:A150))</f>
        <v>#N/A</v>
      </c>
      <c r="S58" s="17">
        <f>INDEX(WhonSpComp!AT60:AT187, MATCH('FW Summary'!A58, WhonSpComp!A60:A187,0))</f>
        <v>5.8333333333333334E-2</v>
      </c>
      <c r="T58" s="131" t="e">
        <f t="shared" si="8"/>
        <v>#N/A</v>
      </c>
      <c r="U58" s="130" t="e">
        <f t="shared" si="9"/>
        <v>#N/A</v>
      </c>
      <c r="V58" s="145" t="e">
        <f t="shared" si="10"/>
        <v>#N/A</v>
      </c>
      <c r="W58" s="71" t="e">
        <f>INDEX('FW Catch'!I58:I150, MATCH('FW Summary'!A58, 'FW Catch'!A58:A150))</f>
        <v>#N/A</v>
      </c>
      <c r="X58" s="17">
        <f>INDEX(WhonSpComp!AV60:AV187, MATCH('FW Summary'!A58, WhonSpComp!A60:A187,0))</f>
        <v>1.6666666666666666E-2</v>
      </c>
      <c r="Y58" s="131" t="e">
        <f t="shared" si="11"/>
        <v>#N/A</v>
      </c>
    </row>
    <row r="59" spans="1:25" x14ac:dyDescent="0.3">
      <c r="A59" s="1">
        <f t="shared" si="12"/>
        <v>45158</v>
      </c>
      <c r="B59" s="127">
        <f>INDEX('[1]Passage Estimates'!$D$6:$D$128, MATCH($A59, '[1]Passage Estimates'!$A$6:$A$128,0))</f>
        <v>110283.12000000005</v>
      </c>
      <c r="C59" s="128">
        <f>INDEX('2. Salmon Passage by Bin'!$K$6:$K$128, MATCH('FW Summary'!$A59,'2. Salmon Passage by Bin'!$A$6:$A$128,0))</f>
        <v>25514.880000000052</v>
      </c>
      <c r="D59" s="76">
        <f>INDEX('2. Salmon Passage by Bin'!$E$6:$E$128, MATCH('FW Summary'!$A59, '2. Salmon Passage by Bin'!$A$6:$A$128,0))+INDEX('2. Salmon Passage by Bin'!$F$6:$F$128, MATCH('FW Summary'!$A59, '2. Salmon Passage by Bin'!$A$6:$A$128,0))+INDEX('2. Salmon Passage by Bin'!$G$6:$G$128, MATCH('FW Summary'!$A59, '2. Salmon Passage by Bin'!$A$6:$A$128,0))+INDEX('2. Salmon Passage by Bin'!$H$6:$H$128, MATCH('FW Summary'!$A59, '2. Salmon Passage by Bin'!$A$6:$A$128,0))+_xlfn.IFNA(INDEX('2. Salmon Passage by Bin'!$I$6:$I$128, MATCH('FW Summary'!$A59, '2. Salmon Passage by Bin'!$A$6:$A$128,0)),0)+_xlfn.IFNA(INDEX('2. Salmon Passage by Bin'!$J$6:$J$128, MATCH('FW Summary'!$A59, '2. Salmon Passage by Bin'!$A$6:$A$128,0)),0)</f>
        <v>71298.719999999987</v>
      </c>
      <c r="E59" s="129">
        <f>INDEX('2. Salmon Passage by Bin'!$M$6:$M$128, MATCH('FW Summary'!$A59, '2. Salmon Passage by Bin'!$A$6:$A$128,0))+INDEX('2. Salmon Passage by Bin'!$N$6:$N$128, MATCH('FW Summary'!$A59, '2. Salmon Passage by Bin'!$A$6:$A$128,0))+INDEX('2. Salmon Passage by Bin'!$O$6:$O$128, MATCH('FW Summary'!$A59, '2. Salmon Passage by Bin'!$A$6:$A$128,0))</f>
        <v>11216.16</v>
      </c>
      <c r="F59" s="130">
        <f t="shared" si="14"/>
        <v>94963.328742130325</v>
      </c>
      <c r="G59" s="145">
        <f t="shared" si="15"/>
        <v>0.13891329206019667</v>
      </c>
      <c r="H59" s="71">
        <f>INDEX('FW Catch'!F59:F151, MATCH('FW Summary'!A59, 'FW Catch'!A59:A151))</f>
        <v>0.13953488372093023</v>
      </c>
      <c r="I59" s="142">
        <f>INDEX('Pink Proportion'!$S$6:$S$128, MATCH('FW Summary'!A59, 'Pink Proportion'!$A$6:$A$128))/C59</f>
        <v>0.14917127071823205</v>
      </c>
      <c r="J59" s="131">
        <f t="shared" si="13"/>
        <v>15319.791257869723</v>
      </c>
      <c r="K59" s="130">
        <f t="shared" si="3"/>
        <v>33521.987973789059</v>
      </c>
      <c r="L59" s="145">
        <f t="shared" si="4"/>
        <v>0.69603700027901783</v>
      </c>
      <c r="M59" s="71">
        <f>INDEX('FW Catch'!G59:G151, MATCH('FW Summary'!A59, 'FW Catch'!A59:A151))</f>
        <v>0.72868217054263562</v>
      </c>
      <c r="N59" s="17">
        <f>INDEX(WhonSpComp!AN61:AN188, MATCH('FW Summary'!A59, WhonSpComp!A61:A188,0))</f>
        <v>0.65193370165745856</v>
      </c>
      <c r="O59" s="131">
        <f t="shared" si="5"/>
        <v>76761.132026210995</v>
      </c>
      <c r="P59" s="130">
        <f t="shared" si="6"/>
        <v>94898.148035461956</v>
      </c>
      <c r="Q59" s="145">
        <f t="shared" si="7"/>
        <v>0.13950432273350716</v>
      </c>
      <c r="R59" s="71">
        <f>INDEX('FW Catch'!H59:H151, MATCH('FW Summary'!A59, 'FW Catch'!A59:A151))</f>
        <v>0.13178294573643412</v>
      </c>
      <c r="S59" s="17">
        <f>INDEX(WhonSpComp!AT61:AT188, MATCH('FW Summary'!A59, WhonSpComp!A61:A188,0))</f>
        <v>0.17679558011049723</v>
      </c>
      <c r="T59" s="131">
        <f t="shared" si="8"/>
        <v>15384.971964538105</v>
      </c>
      <c r="U59" s="130">
        <f t="shared" si="9"/>
        <v>109860.22143646414</v>
      </c>
      <c r="V59" s="145">
        <f t="shared" si="10"/>
        <v>3.8346626712765495E-3</v>
      </c>
      <c r="W59" s="71">
        <f>INDEX('FW Catch'!I59:I151, MATCH('FW Summary'!A59, 'FW Catch'!A59:A151))</f>
        <v>0</v>
      </c>
      <c r="X59" s="17">
        <f>INDEX(WhonSpComp!AV61:AV188, MATCH('FW Summary'!A59, WhonSpComp!A61:A188,0))</f>
        <v>1.6574585635359115E-2</v>
      </c>
      <c r="Y59" s="131">
        <f t="shared" si="11"/>
        <v>422.89856353591244</v>
      </c>
    </row>
    <row r="60" spans="1:25" x14ac:dyDescent="0.3">
      <c r="A60" s="1">
        <f t="shared" si="12"/>
        <v>45159</v>
      </c>
      <c r="B60" s="127">
        <f>INDEX('[1]Passage Estimates'!$D$6:$D$128, MATCH($A60, '[1]Passage Estimates'!$A$6:$A$128,0))</f>
        <v>142561.68000000002</v>
      </c>
      <c r="C60" s="128">
        <f>INDEX('2. Salmon Passage by Bin'!$K$6:$K$128, MATCH('FW Summary'!$A60,'2. Salmon Passage by Bin'!$A$6:$A$128,0))</f>
        <v>36489.600000000035</v>
      </c>
      <c r="D60" s="76">
        <f>INDEX('2. Salmon Passage by Bin'!$E$6:$E$128, MATCH('FW Summary'!$A60, '2. Salmon Passage by Bin'!$A$6:$A$128,0))+INDEX('2. Salmon Passage by Bin'!$F$6:$F$128, MATCH('FW Summary'!$A60, '2. Salmon Passage by Bin'!$A$6:$A$128,0))+INDEX('2. Salmon Passage by Bin'!$G$6:$G$128, MATCH('FW Summary'!$A60, '2. Salmon Passage by Bin'!$A$6:$A$128,0))+INDEX('2. Salmon Passage by Bin'!$H$6:$H$128, MATCH('FW Summary'!$A60, '2. Salmon Passage by Bin'!$A$6:$A$128,0))+_xlfn.IFNA(INDEX('2. Salmon Passage by Bin'!$I$6:$I$128, MATCH('FW Summary'!$A60, '2. Salmon Passage by Bin'!$A$6:$A$128,0)),0)+_xlfn.IFNA(INDEX('2. Salmon Passage by Bin'!$J$6:$J$128, MATCH('FW Summary'!$A60, '2. Salmon Passage by Bin'!$A$6:$A$128,0)),0)</f>
        <v>91262.88</v>
      </c>
      <c r="E60" s="129">
        <f>INDEX('2. Salmon Passage by Bin'!$M$6:$M$128, MATCH('FW Summary'!$A60, '2. Salmon Passage by Bin'!$A$6:$A$128,0))+INDEX('2. Salmon Passage by Bin'!$N$6:$N$128, MATCH('FW Summary'!$A60, '2. Salmon Passage by Bin'!$A$6:$A$128,0))+INDEX('2. Salmon Passage by Bin'!$O$6:$O$128, MATCH('FW Summary'!$A60, '2. Salmon Passage by Bin'!$A$6:$A$128,0))</f>
        <v>12663.84</v>
      </c>
      <c r="F60" s="130">
        <f t="shared" si="14"/>
        <v>97549.960239520966</v>
      </c>
      <c r="G60" s="145">
        <f t="shared" si="15"/>
        <v>0.31573505419183501</v>
      </c>
      <c r="H60" s="71">
        <f>INDEX('FW Catch'!F60:F152, MATCH('FW Summary'!A60, 'FW Catch'!A60:A152))</f>
        <v>0.38922155688622756</v>
      </c>
      <c r="I60" s="142">
        <f>INDEX('Pink Proportion'!$S$6:$S$128, MATCH('FW Summary'!A60, 'Pink Proportion'!$A$6:$A$128))/C60</f>
        <v>0.125</v>
      </c>
      <c r="J60" s="131">
        <f t="shared" si="13"/>
        <v>45011.719760479049</v>
      </c>
      <c r="K60" s="130">
        <f t="shared" si="3"/>
        <v>82230.444550898203</v>
      </c>
      <c r="L60" s="145">
        <f t="shared" si="4"/>
        <v>0.4231939147259054</v>
      </c>
      <c r="M60" s="71">
        <f>INDEX('FW Catch'!G60:G152, MATCH('FW Summary'!A60, 'FW Catch'!A60:A152))</f>
        <v>0.39520958083832336</v>
      </c>
      <c r="N60" s="17">
        <f>INDEX(WhonSpComp!AN62:AN189, MATCH('FW Summary'!A60, WhonSpComp!A62:A189,0))</f>
        <v>0.52777777777777779</v>
      </c>
      <c r="O60" s="131">
        <f t="shared" si="5"/>
        <v>60331.23544910182</v>
      </c>
      <c r="P60" s="130">
        <f t="shared" si="6"/>
        <v>107995.11520958085</v>
      </c>
      <c r="Q60" s="145">
        <f t="shared" si="7"/>
        <v>0.24246743437941504</v>
      </c>
      <c r="R60" s="71">
        <f>INDEX('FW Catch'!H60:H152, MATCH('FW Summary'!A60, 'FW Catch'!A60:A152))</f>
        <v>0.21556886227544911</v>
      </c>
      <c r="S60" s="17">
        <f>INDEX(WhonSpComp!AT62:AT189, MATCH('FW Summary'!A60, WhonSpComp!A62:A189,0))</f>
        <v>0.33333333333333331</v>
      </c>
      <c r="T60" s="131">
        <f t="shared" si="8"/>
        <v>34566.564790419172</v>
      </c>
      <c r="U60" s="130">
        <f t="shared" si="9"/>
        <v>142054.88000000003</v>
      </c>
      <c r="V60" s="145">
        <f t="shared" si="10"/>
        <v>3.5549524949481542E-3</v>
      </c>
      <c r="W60" s="71">
        <f>INDEX('FW Catch'!I60:I152, MATCH('FW Summary'!A60, 'FW Catch'!A60:A152))</f>
        <v>0</v>
      </c>
      <c r="X60" s="17">
        <f>INDEX(WhonSpComp!AV62:AV189, MATCH('FW Summary'!A60, WhonSpComp!A62:A189,0))</f>
        <v>1.3888888888888888E-2</v>
      </c>
      <c r="Y60" s="131">
        <f t="shared" si="11"/>
        <v>506.80000000000047</v>
      </c>
    </row>
    <row r="61" spans="1:25" x14ac:dyDescent="0.3">
      <c r="A61" s="1">
        <f t="shared" si="12"/>
        <v>45160</v>
      </c>
      <c r="B61" s="127">
        <f>INDEX('[1]Passage Estimates'!$D$6:$D$128, MATCH($A61, '[1]Passage Estimates'!$A$6:$A$128,0))</f>
        <v>209688.00000000009</v>
      </c>
      <c r="C61" s="128">
        <f>INDEX('2. Salmon Passage by Bin'!$K$6:$K$128, MATCH('FW Summary'!$A61,'2. Salmon Passage by Bin'!$A$6:$A$128,0))</f>
        <v>42953.76000000006</v>
      </c>
      <c r="D61" s="76">
        <f>INDEX('2. Salmon Passage by Bin'!$E$6:$E$128, MATCH('FW Summary'!$A61, '2. Salmon Passage by Bin'!$A$6:$A$128,0))+INDEX('2. Salmon Passage by Bin'!$F$6:$F$128, MATCH('FW Summary'!$A61, '2. Salmon Passage by Bin'!$A$6:$A$128,0))+INDEX('2. Salmon Passage by Bin'!$G$6:$G$128, MATCH('FW Summary'!$A61, '2. Salmon Passage by Bin'!$A$6:$A$128,0))+INDEX('2. Salmon Passage by Bin'!$H$6:$H$128, MATCH('FW Summary'!$A61, '2. Salmon Passage by Bin'!$A$6:$A$128,0))+_xlfn.IFNA(INDEX('2. Salmon Passage by Bin'!$I$6:$I$128, MATCH('FW Summary'!$A61, '2. Salmon Passage by Bin'!$A$6:$A$128,0)),0)+_xlfn.IFNA(INDEX('2. Salmon Passage by Bin'!$J$6:$J$128, MATCH('FW Summary'!$A61, '2. Salmon Passage by Bin'!$A$6:$A$128,0)),0)</f>
        <v>145863.12000000002</v>
      </c>
      <c r="E61" s="129">
        <f>INDEX('2. Salmon Passage by Bin'!$M$6:$M$128, MATCH('FW Summary'!$A61, '2. Salmon Passage by Bin'!$A$6:$A$128,0))+INDEX('2. Salmon Passage by Bin'!$N$6:$N$128, MATCH('FW Summary'!$A61, '2. Salmon Passage by Bin'!$A$6:$A$128,0))+INDEX('2. Salmon Passage by Bin'!$O$6:$O$128, MATCH('FW Summary'!$A61, '2. Salmon Passage by Bin'!$A$6:$A$128,0))</f>
        <v>18163.68</v>
      </c>
      <c r="F61" s="130">
        <f t="shared" si="14"/>
        <v>101247.42910093775</v>
      </c>
      <c r="G61" s="145">
        <f t="shared" si="15"/>
        <v>0.51715201107866116</v>
      </c>
      <c r="H61" s="71">
        <f>INDEX('FW Catch'!F61:F153, MATCH('FW Summary'!A61, 'FW Catch'!A61:A153))</f>
        <v>0.63706563706563701</v>
      </c>
      <c r="I61" s="142">
        <f>INDEX('Pink Proportion'!$S$6:$S$128, MATCH('FW Summary'!A61, 'Pink Proportion'!$A$6:$A$128))/C61</f>
        <v>9.1836734693877556E-2</v>
      </c>
      <c r="J61" s="131">
        <f t="shared" si="13"/>
        <v>108440.57089906234</v>
      </c>
      <c r="K61" s="130">
        <f t="shared" si="3"/>
        <v>161658.64904578053</v>
      </c>
      <c r="L61" s="145">
        <f t="shared" si="4"/>
        <v>0.2290515001059647</v>
      </c>
      <c r="M61" s="71">
        <f>INDEX('FW Catch'!G61:G153, MATCH('FW Summary'!A61, 'FW Catch'!A61:A153))</f>
        <v>0.20463320463320464</v>
      </c>
      <c r="N61" s="17">
        <f>INDEX(WhonSpComp!AN63:AN190, MATCH('FW Summary'!A61, WhonSpComp!A63:A190,0))</f>
        <v>0.33673469387755101</v>
      </c>
      <c r="O61" s="131">
        <f t="shared" si="5"/>
        <v>48029.350954219546</v>
      </c>
      <c r="P61" s="130">
        <f t="shared" si="6"/>
        <v>161807.18389409824</v>
      </c>
      <c r="Q61" s="145">
        <f t="shared" si="7"/>
        <v>0.22834313888206209</v>
      </c>
      <c r="R61" s="71">
        <f>INDEX('FW Catch'!H61:H153, MATCH('FW Summary'!A61, 'FW Catch'!A61:A153))</f>
        <v>0.15830115830115829</v>
      </c>
      <c r="S61" s="17">
        <f>INDEX(WhonSpComp!AT63:AT190, MATCH('FW Summary'!A61, WhonSpComp!A63:A190,0))</f>
        <v>0.51020408163265307</v>
      </c>
      <c r="T61" s="131">
        <f t="shared" si="8"/>
        <v>47880.816105901853</v>
      </c>
      <c r="U61" s="130">
        <f t="shared" si="9"/>
        <v>207934.78530612253</v>
      </c>
      <c r="V61" s="145">
        <f t="shared" si="10"/>
        <v>8.3610635509783707E-3</v>
      </c>
      <c r="W61" s="71">
        <f>INDEX('FW Catch'!I61:I153, MATCH('FW Summary'!A61, 'FW Catch'!A61:A153))</f>
        <v>0</v>
      </c>
      <c r="X61" s="17">
        <f>INDEX(WhonSpComp!AV63:AV190, MATCH('FW Summary'!A61, WhonSpComp!A63:A190,0))</f>
        <v>4.0816326530612242E-2</v>
      </c>
      <c r="Y61" s="131">
        <f t="shared" si="11"/>
        <v>1753.2146938775534</v>
      </c>
    </row>
    <row r="62" spans="1:25" x14ac:dyDescent="0.3">
      <c r="A62" s="1">
        <f t="shared" si="12"/>
        <v>45161</v>
      </c>
      <c r="B62" s="127">
        <f>INDEX('[1]Passage Estimates'!$D$6:$D$128, MATCH($A62, '[1]Passage Estimates'!$A$6:$A$128,0))</f>
        <v>227561.27999999997</v>
      </c>
      <c r="C62" s="128">
        <f>INDEX('2. Salmon Passage by Bin'!$K$6:$K$128, MATCH('FW Summary'!$A62,'2. Salmon Passage by Bin'!$A$6:$A$128,0))</f>
        <v>57227.040000000001</v>
      </c>
      <c r="D62" s="76">
        <f>INDEX('2. Salmon Passage by Bin'!$E$6:$E$128, MATCH('FW Summary'!$A62, '2. Salmon Passage by Bin'!$A$6:$A$128,0))+INDEX('2. Salmon Passage by Bin'!$F$6:$F$128, MATCH('FW Summary'!$A62, '2. Salmon Passage by Bin'!$A$6:$A$128,0))+INDEX('2. Salmon Passage by Bin'!$G$6:$G$128, MATCH('FW Summary'!$A62, '2. Salmon Passage by Bin'!$A$6:$A$128,0))+INDEX('2. Salmon Passage by Bin'!$H$6:$H$128, MATCH('FW Summary'!$A62, '2. Salmon Passage by Bin'!$A$6:$A$128,0))+_xlfn.IFNA(INDEX('2. Salmon Passage by Bin'!$I$6:$I$128, MATCH('FW Summary'!$A62, '2. Salmon Passage by Bin'!$A$6:$A$128,0)),0)+_xlfn.IFNA(INDEX('2. Salmon Passage by Bin'!$J$6:$J$128, MATCH('FW Summary'!$A62, '2. Salmon Passage by Bin'!$A$6:$A$128,0)),0)</f>
        <v>125868</v>
      </c>
      <c r="E62" s="129">
        <f>INDEX('2. Salmon Passage by Bin'!$M$6:$M$128, MATCH('FW Summary'!$A62, '2. Salmon Passage by Bin'!$A$6:$A$128,0))+INDEX('2. Salmon Passage by Bin'!$N$6:$N$128, MATCH('FW Summary'!$A62, '2. Salmon Passage by Bin'!$A$6:$A$128,0))+INDEX('2. Salmon Passage by Bin'!$O$6:$O$128, MATCH('FW Summary'!$A62, '2. Salmon Passage by Bin'!$A$6:$A$128,0))</f>
        <v>39941.040000000001</v>
      </c>
      <c r="F62" s="130">
        <f t="shared" si="14"/>
        <v>62242.815068493132</v>
      </c>
      <c r="G62" s="145">
        <f t="shared" si="15"/>
        <v>0.72647888485908874</v>
      </c>
      <c r="H62" s="71">
        <f>INDEX('FW Catch'!F62:F154, MATCH('FW Summary'!A62, 'FW Catch'!A62:A154))</f>
        <v>0.91666666666666663</v>
      </c>
      <c r="I62" s="142">
        <f>INDEX('Pink Proportion'!$S$6:$S$128, MATCH('FW Summary'!A62, 'Pink Proportion'!$A$6:$A$128))/C62</f>
        <v>0.23287671232876711</v>
      </c>
      <c r="J62" s="131">
        <f t="shared" si="13"/>
        <v>165318.46493150684</v>
      </c>
      <c r="K62" s="130">
        <f t="shared" si="3"/>
        <v>200956.48296803649</v>
      </c>
      <c r="L62" s="145">
        <f t="shared" si="4"/>
        <v>0.1169126708724941</v>
      </c>
      <c r="M62" s="71">
        <f>INDEX('FW Catch'!G62:G154, MATCH('FW Summary'!A62, 'FW Catch'!A62:A154))</f>
        <v>1.3888888888888888E-2</v>
      </c>
      <c r="N62" s="17">
        <f>INDEX(WhonSpComp!AN64:AN191, MATCH('FW Summary'!A62, WhonSpComp!A64:A191,0))</f>
        <v>0.42465753424657532</v>
      </c>
      <c r="O62" s="131">
        <f t="shared" si="5"/>
        <v>26604.79703196347</v>
      </c>
      <c r="P62" s="130">
        <f t="shared" si="6"/>
        <v>198800.25812785386</v>
      </c>
      <c r="Q62" s="145">
        <f t="shared" si="7"/>
        <v>0.12638802995020121</v>
      </c>
      <c r="R62" s="71">
        <f>INDEX('FW Catch'!H62:H154, MATCH('FW Summary'!A62, 'FW Catch'!A62:A154))</f>
        <v>6.9444444444444448E-2</v>
      </c>
      <c r="S62" s="17">
        <f>INDEX(WhonSpComp!AT64:AT191, MATCH('FW Summary'!A62, WhonSpComp!A64:A191,0))</f>
        <v>0.30136986301369861</v>
      </c>
      <c r="T62" s="131">
        <f t="shared" si="8"/>
        <v>28761.021872146121</v>
      </c>
      <c r="U62" s="130">
        <f t="shared" si="9"/>
        <v>225209.48383561641</v>
      </c>
      <c r="V62" s="145">
        <f t="shared" si="10"/>
        <v>1.0334781753660208E-2</v>
      </c>
      <c r="W62" s="71">
        <f>INDEX('FW Catch'!I62:I154, MATCH('FW Summary'!A62, 'FW Catch'!A62:A154))</f>
        <v>0</v>
      </c>
      <c r="X62" s="17">
        <f>INDEX(WhonSpComp!AV64:AV191, MATCH('FW Summary'!A62, WhonSpComp!A64:A191,0))</f>
        <v>4.1095890410958902E-2</v>
      </c>
      <c r="Y62" s="131">
        <f t="shared" si="11"/>
        <v>2351.7961643835615</v>
      </c>
    </row>
    <row r="63" spans="1:25" x14ac:dyDescent="0.3">
      <c r="A63" s="1">
        <f t="shared" si="12"/>
        <v>45162</v>
      </c>
      <c r="B63" s="127">
        <f>INDEX('[1]Passage Estimates'!$D$6:$D$128, MATCH($A63, '[1]Passage Estimates'!$A$6:$A$128,0))</f>
        <v>190734.96000000002</v>
      </c>
      <c r="C63" s="128">
        <f>INDEX('2. Salmon Passage by Bin'!$K$6:$K$128, MATCH('FW Summary'!$A63,'2. Salmon Passage by Bin'!$A$6:$A$128,0))</f>
        <v>53849.280000000028</v>
      </c>
      <c r="D63" s="76">
        <f>INDEX('2. Salmon Passage by Bin'!$E$6:$E$128, MATCH('FW Summary'!$A63, '2. Salmon Passage by Bin'!$A$6:$A$128,0))+INDEX('2. Salmon Passage by Bin'!$F$6:$F$128, MATCH('FW Summary'!$A63, '2. Salmon Passage by Bin'!$A$6:$A$128,0))+INDEX('2. Salmon Passage by Bin'!$G$6:$G$128, MATCH('FW Summary'!$A63, '2. Salmon Passage by Bin'!$A$6:$A$128,0))+INDEX('2. Salmon Passage by Bin'!$H$6:$H$128, MATCH('FW Summary'!$A63, '2. Salmon Passage by Bin'!$A$6:$A$128,0))+_xlfn.IFNA(INDEX('2. Salmon Passage by Bin'!$I$6:$I$128, MATCH('FW Summary'!$A63, '2. Salmon Passage by Bin'!$A$6:$A$128,0)),0)+_xlfn.IFNA(INDEX('2. Salmon Passage by Bin'!$J$6:$J$128, MATCH('FW Summary'!$A63, '2. Salmon Passage by Bin'!$A$6:$A$128,0)),0)</f>
        <v>109693.92</v>
      </c>
      <c r="E63" s="129">
        <f>INDEX('2. Salmon Passage by Bin'!$M$6:$M$128, MATCH('FW Summary'!$A63, '2. Salmon Passage by Bin'!$A$6:$A$128,0))+INDEX('2. Salmon Passage by Bin'!$N$6:$N$128, MATCH('FW Summary'!$A63, '2. Salmon Passage by Bin'!$A$6:$A$128,0))+INDEX('2. Salmon Passage by Bin'!$O$6:$O$128, MATCH('FW Summary'!$A63, '2. Salmon Passage by Bin'!$A$6:$A$128,0))</f>
        <v>23096.399999999998</v>
      </c>
      <c r="F63" s="130" t="e">
        <f t="shared" si="14"/>
        <v>#N/A</v>
      </c>
      <c r="G63" s="145" t="e">
        <f t="shared" si="15"/>
        <v>#N/A</v>
      </c>
      <c r="H63" s="71" t="e">
        <f>INDEX('FW Catch'!F63:F155, MATCH('FW Summary'!A63, 'FW Catch'!A63:A155))</f>
        <v>#DIV/0!</v>
      </c>
      <c r="I63" s="142">
        <f>INDEX('Pink Proportion'!$S$6:$S$128, MATCH('FW Summary'!A63, 'Pink Proportion'!$A$6:$A$128))/C63</f>
        <v>0.31818181818181818</v>
      </c>
      <c r="J63" s="131" t="e">
        <f t="shared" si="13"/>
        <v>#N/A</v>
      </c>
      <c r="K63" s="130" t="e">
        <f t="shared" si="3"/>
        <v>#N/A</v>
      </c>
      <c r="L63" s="145" t="e">
        <f t="shared" si="4"/>
        <v>#N/A</v>
      </c>
      <c r="M63" s="71" t="e">
        <f>INDEX('FW Catch'!G63:G155, MATCH('FW Summary'!A63, 'FW Catch'!A63:A155))</f>
        <v>#DIV/0!</v>
      </c>
      <c r="N63" s="17">
        <f>INDEX(WhonSpComp!AN65:AN192, MATCH('FW Summary'!A63, WhonSpComp!A65:A192,0))</f>
        <v>0.56818181818181823</v>
      </c>
      <c r="O63" s="131" t="e">
        <f t="shared" si="5"/>
        <v>#N/A</v>
      </c>
      <c r="P63" s="130" t="e">
        <f t="shared" si="6"/>
        <v>#N/A</v>
      </c>
      <c r="Q63" s="145" t="e">
        <f t="shared" si="7"/>
        <v>#N/A</v>
      </c>
      <c r="R63" s="71" t="e">
        <f>INDEX('FW Catch'!H63:H155, MATCH('FW Summary'!A63, 'FW Catch'!A63:A155))</f>
        <v>#DIV/0!</v>
      </c>
      <c r="S63" s="17">
        <f>INDEX(WhonSpComp!AT65:AT192, MATCH('FW Summary'!A63, WhonSpComp!A65:A192,0))</f>
        <v>0.11363636363636363</v>
      </c>
      <c r="T63" s="131" t="e">
        <f t="shared" si="8"/>
        <v>#N/A</v>
      </c>
      <c r="U63" s="130" t="e">
        <f t="shared" si="9"/>
        <v>#N/A</v>
      </c>
      <c r="V63" s="145" t="e">
        <f t="shared" si="10"/>
        <v>#N/A</v>
      </c>
      <c r="W63" s="71" t="e">
        <f>INDEX('FW Catch'!I63:I155, MATCH('FW Summary'!A63, 'FW Catch'!A63:A155))</f>
        <v>#DIV/0!</v>
      </c>
      <c r="X63" s="17">
        <f>INDEX(WhonSpComp!AV65:AV192, MATCH('FW Summary'!A63, WhonSpComp!A65:A192,0))</f>
        <v>0</v>
      </c>
      <c r="Y63" s="131" t="e">
        <f t="shared" si="11"/>
        <v>#N/A</v>
      </c>
    </row>
    <row r="64" spans="1:25" x14ac:dyDescent="0.3">
      <c r="A64" s="1">
        <f t="shared" si="12"/>
        <v>45163</v>
      </c>
      <c r="B64" s="127">
        <f>INDEX('[1]Passage Estimates'!$D$6:$D$128, MATCH($A64, '[1]Passage Estimates'!$A$6:$A$128,0))</f>
        <v>123811.91999999993</v>
      </c>
      <c r="C64" s="128">
        <f>INDEX('2. Salmon Passage by Bin'!$K$6:$K$128, MATCH('FW Summary'!$A64,'2. Salmon Passage by Bin'!$A$6:$A$128,0))</f>
        <v>47880.959999999955</v>
      </c>
      <c r="D64" s="76">
        <f>INDEX('2. Salmon Passage by Bin'!$E$6:$E$128, MATCH('FW Summary'!$A64, '2. Salmon Passage by Bin'!$A$6:$A$128,0))+INDEX('2. Salmon Passage by Bin'!$F$6:$F$128, MATCH('FW Summary'!$A64, '2. Salmon Passage by Bin'!$A$6:$A$128,0))+INDEX('2. Salmon Passage by Bin'!$G$6:$G$128, MATCH('FW Summary'!$A64, '2. Salmon Passage by Bin'!$A$6:$A$128,0))+INDEX('2. Salmon Passage by Bin'!$H$6:$H$128, MATCH('FW Summary'!$A64, '2. Salmon Passage by Bin'!$A$6:$A$128,0))+_xlfn.IFNA(INDEX('2. Salmon Passage by Bin'!$I$6:$I$128, MATCH('FW Summary'!$A64, '2. Salmon Passage by Bin'!$A$6:$A$128,0)),0)+_xlfn.IFNA(INDEX('2. Salmon Passage by Bin'!$J$6:$J$128, MATCH('FW Summary'!$A64, '2. Salmon Passage by Bin'!$A$6:$A$128,0)),0)</f>
        <v>56594.399999999994</v>
      </c>
      <c r="E64" s="129">
        <f>INDEX('2. Salmon Passage by Bin'!$M$6:$M$128, MATCH('FW Summary'!$A64, '2. Salmon Passage by Bin'!$A$6:$A$128,0))+INDEX('2. Salmon Passage by Bin'!$N$6:$N$128, MATCH('FW Summary'!$A64, '2. Salmon Passage by Bin'!$A$6:$A$128,0))+INDEX('2. Salmon Passage by Bin'!$O$6:$O$128, MATCH('FW Summary'!$A64, '2. Salmon Passage by Bin'!$A$6:$A$128,0))</f>
        <v>15865.439999999999</v>
      </c>
      <c r="F64" s="130" t="e">
        <f t="shared" si="14"/>
        <v>#N/A</v>
      </c>
      <c r="G64" s="145" t="e">
        <f t="shared" si="15"/>
        <v>#N/A</v>
      </c>
      <c r="H64" s="71" t="e">
        <f>INDEX('FW Catch'!F64:F156, MATCH('FW Summary'!A64, 'FW Catch'!A64:A156))</f>
        <v>#DIV/0!</v>
      </c>
      <c r="I64" s="142">
        <f>INDEX('Pink Proportion'!$S$6:$S$128, MATCH('FW Summary'!A64, 'Pink Proportion'!$A$6:$A$128))/C64</f>
        <v>0.19298245614035087</v>
      </c>
      <c r="J64" s="131" t="e">
        <f t="shared" si="13"/>
        <v>#N/A</v>
      </c>
      <c r="K64" s="130" t="e">
        <f t="shared" si="3"/>
        <v>#N/A</v>
      </c>
      <c r="L64" s="145" t="e">
        <f t="shared" si="4"/>
        <v>#N/A</v>
      </c>
      <c r="M64" s="71" t="e">
        <f>INDEX('FW Catch'!G64:G156, MATCH('FW Summary'!A64, 'FW Catch'!A64:A156))</f>
        <v>#DIV/0!</v>
      </c>
      <c r="N64" s="17">
        <f>INDEX(WhonSpComp!AN66:AN193, MATCH('FW Summary'!A64, WhonSpComp!A66:A193,0))</f>
        <v>0.63157894736842102</v>
      </c>
      <c r="O64" s="131" t="e">
        <f t="shared" si="5"/>
        <v>#N/A</v>
      </c>
      <c r="P64" s="130" t="e">
        <f t="shared" si="6"/>
        <v>#N/A</v>
      </c>
      <c r="Q64" s="145" t="e">
        <f t="shared" si="7"/>
        <v>#N/A</v>
      </c>
      <c r="R64" s="71" t="e">
        <f>INDEX('FW Catch'!H64:H156, MATCH('FW Summary'!A64, 'FW Catch'!A64:A156))</f>
        <v>#DIV/0!</v>
      </c>
      <c r="S64" s="17">
        <f>INDEX(WhonSpComp!AT66:AT193, MATCH('FW Summary'!A64, WhonSpComp!A66:A193,0))</f>
        <v>0.17543859649122806</v>
      </c>
      <c r="T64" s="131" t="e">
        <f t="shared" si="8"/>
        <v>#N/A</v>
      </c>
      <c r="U64" s="130" t="e">
        <f t="shared" si="9"/>
        <v>#N/A</v>
      </c>
      <c r="V64" s="145" t="e">
        <f t="shared" si="10"/>
        <v>#N/A</v>
      </c>
      <c r="W64" s="71" t="e">
        <f>INDEX('FW Catch'!I64:I156, MATCH('FW Summary'!A64, 'FW Catch'!A64:A156))</f>
        <v>#DIV/0!</v>
      </c>
      <c r="X64" s="17">
        <f>INDEX(WhonSpComp!AV66:AV193, MATCH('FW Summary'!A64, WhonSpComp!A66:A193,0))</f>
        <v>0</v>
      </c>
      <c r="Y64" s="131" t="e">
        <f t="shared" si="11"/>
        <v>#N/A</v>
      </c>
    </row>
    <row r="65" spans="1:25" x14ac:dyDescent="0.3">
      <c r="A65" s="1">
        <f t="shared" si="12"/>
        <v>45164</v>
      </c>
      <c r="B65" s="127">
        <f>INDEX('[1]Passage Estimates'!$D$6:$D$128, MATCH($A65, '[1]Passage Estimates'!$A$6:$A$128,0))</f>
        <v>114759.12000000002</v>
      </c>
      <c r="C65" s="128">
        <f>INDEX('2. Salmon Passage by Bin'!$K$6:$K$128, MATCH('FW Summary'!$A65,'2. Salmon Passage by Bin'!$A$6:$A$128,0))</f>
        <v>55367.280000000013</v>
      </c>
      <c r="D65" s="76">
        <f>INDEX('2. Salmon Passage by Bin'!$E$6:$E$128, MATCH('FW Summary'!$A65, '2. Salmon Passage by Bin'!$A$6:$A$128,0))+INDEX('2. Salmon Passage by Bin'!$F$6:$F$128, MATCH('FW Summary'!$A65, '2. Salmon Passage by Bin'!$A$6:$A$128,0))+INDEX('2. Salmon Passage by Bin'!$G$6:$G$128, MATCH('FW Summary'!$A65, '2. Salmon Passage by Bin'!$A$6:$A$128,0))+INDEX('2. Salmon Passage by Bin'!$H$6:$H$128, MATCH('FW Summary'!$A65, '2. Salmon Passage by Bin'!$A$6:$A$128,0))+_xlfn.IFNA(INDEX('2. Salmon Passage by Bin'!$I$6:$I$128, MATCH('FW Summary'!$A65, '2. Salmon Passage by Bin'!$A$6:$A$128,0)),0)+_xlfn.IFNA(INDEX('2. Salmon Passage by Bin'!$J$6:$J$128, MATCH('FW Summary'!$A65, '2. Salmon Passage by Bin'!$A$6:$A$128,0)),0)</f>
        <v>45903.840000000004</v>
      </c>
      <c r="E65" s="129">
        <f>INDEX('2. Salmon Passage by Bin'!$M$6:$M$128, MATCH('FW Summary'!$A65, '2. Salmon Passage by Bin'!$A$6:$A$128,0))+INDEX('2. Salmon Passage by Bin'!$N$6:$N$128, MATCH('FW Summary'!$A65, '2. Salmon Passage by Bin'!$A$6:$A$128,0))+INDEX('2. Salmon Passage by Bin'!$O$6:$O$128, MATCH('FW Summary'!$A65, '2. Salmon Passage by Bin'!$A$6:$A$128,0))</f>
        <v>11112</v>
      </c>
      <c r="F65" s="130" t="e">
        <f t="shared" si="14"/>
        <v>#N/A</v>
      </c>
      <c r="G65" s="145" t="e">
        <f t="shared" si="15"/>
        <v>#N/A</v>
      </c>
      <c r="H65" s="71" t="e">
        <f>INDEX('FW Catch'!F65:F157, MATCH('FW Summary'!A65, 'FW Catch'!A65:A157))</f>
        <v>#DIV/0!</v>
      </c>
      <c r="I65" s="142">
        <f>INDEX('Pink Proportion'!$S$6:$S$128, MATCH('FW Summary'!A65, 'Pink Proportion'!$A$6:$A$128))/C65</f>
        <v>0.35051546391752575</v>
      </c>
      <c r="J65" s="131" t="e">
        <f t="shared" si="13"/>
        <v>#N/A</v>
      </c>
      <c r="K65" s="130" t="e">
        <f t="shared" si="3"/>
        <v>#N/A</v>
      </c>
      <c r="L65" s="145" t="e">
        <f t="shared" si="4"/>
        <v>#N/A</v>
      </c>
      <c r="M65" s="71" t="e">
        <f>INDEX('FW Catch'!G65:G157, MATCH('FW Summary'!A65, 'FW Catch'!A65:A157))</f>
        <v>#DIV/0!</v>
      </c>
      <c r="N65" s="17">
        <f>INDEX(WhonSpComp!AN67:AN194, MATCH('FW Summary'!A65, WhonSpComp!A67:A194,0))</f>
        <v>0.29896907216494845</v>
      </c>
      <c r="O65" s="131" t="e">
        <f t="shared" si="5"/>
        <v>#N/A</v>
      </c>
      <c r="P65" s="130" t="e">
        <f t="shared" si="6"/>
        <v>#N/A</v>
      </c>
      <c r="Q65" s="145" t="e">
        <f t="shared" si="7"/>
        <v>#N/A</v>
      </c>
      <c r="R65" s="71" t="e">
        <f>INDEX('FW Catch'!H65:H157, MATCH('FW Summary'!A65, 'FW Catch'!A65:A157))</f>
        <v>#DIV/0!</v>
      </c>
      <c r="S65" s="17">
        <f>INDEX(WhonSpComp!AT67:AT194, MATCH('FW Summary'!A65, WhonSpComp!A67:A194,0))</f>
        <v>0.31958762886597936</v>
      </c>
      <c r="T65" s="131" t="e">
        <f t="shared" si="8"/>
        <v>#N/A</v>
      </c>
      <c r="U65" s="130" t="e">
        <f t="shared" si="9"/>
        <v>#N/A</v>
      </c>
      <c r="V65" s="145" t="e">
        <f t="shared" si="10"/>
        <v>#N/A</v>
      </c>
      <c r="W65" s="71" t="e">
        <f>INDEX('FW Catch'!I65:I157, MATCH('FW Summary'!A65, 'FW Catch'!A65:A157))</f>
        <v>#DIV/0!</v>
      </c>
      <c r="X65" s="17">
        <f>INDEX(WhonSpComp!AV67:AV194, MATCH('FW Summary'!A65, WhonSpComp!A67:A194,0))</f>
        <v>2.0618556701030927E-2</v>
      </c>
      <c r="Y65" s="131" t="e">
        <f t="shared" si="11"/>
        <v>#N/A</v>
      </c>
    </row>
    <row r="66" spans="1:25" x14ac:dyDescent="0.3">
      <c r="A66" s="1">
        <f t="shared" si="12"/>
        <v>45165</v>
      </c>
      <c r="B66" s="127">
        <f>INDEX('[1]Passage Estimates'!$D$6:$D$128, MATCH($A66, '[1]Passage Estimates'!$A$6:$A$128,0))</f>
        <v>106628.97182608693</v>
      </c>
      <c r="C66" s="128">
        <f>INDEX('2. Salmon Passage by Bin'!$K$6:$K$128, MATCH('FW Summary'!$A66,'2. Salmon Passage by Bin'!$A$6:$A$128,0))</f>
        <v>21302.063999999958</v>
      </c>
      <c r="D66" s="76">
        <f>INDEX('2. Salmon Passage by Bin'!$E$6:$E$128, MATCH('FW Summary'!$A66, '2. Salmon Passage by Bin'!$A$6:$A$128,0))+INDEX('2. Salmon Passage by Bin'!$F$6:$F$128, MATCH('FW Summary'!$A66, '2. Salmon Passage by Bin'!$A$6:$A$128,0))+INDEX('2. Salmon Passage by Bin'!$G$6:$G$128, MATCH('FW Summary'!$A66, '2. Salmon Passage by Bin'!$A$6:$A$128,0))+INDEX('2. Salmon Passage by Bin'!$H$6:$H$128, MATCH('FW Summary'!$A66, '2. Salmon Passage by Bin'!$A$6:$A$128,0))+_xlfn.IFNA(INDEX('2. Salmon Passage by Bin'!$I$6:$I$128, MATCH('FW Summary'!$A66, '2. Salmon Passage by Bin'!$A$6:$A$128,0)),0)+_xlfn.IFNA(INDEX('2. Salmon Passage by Bin'!$J$6:$J$128, MATCH('FW Summary'!$A66, '2. Salmon Passage by Bin'!$A$6:$A$128,0)),0)</f>
        <v>65320.28347826087</v>
      </c>
      <c r="E66" s="129">
        <f>INDEX('2. Salmon Passage by Bin'!$M$6:$M$128, MATCH('FW Summary'!$A66, '2. Salmon Passage by Bin'!$A$6:$A$128,0))+INDEX('2. Salmon Passage by Bin'!$N$6:$N$128, MATCH('FW Summary'!$A66, '2. Salmon Passage by Bin'!$A$6:$A$128,0))+INDEX('2. Salmon Passage by Bin'!$O$6:$O$128, MATCH('FW Summary'!$A66, '2. Salmon Passage by Bin'!$A$6:$A$128,0))</f>
        <v>10370.880000000001</v>
      </c>
      <c r="F66" s="130" t="e">
        <f t="shared" si="14"/>
        <v>#N/A</v>
      </c>
      <c r="G66" s="145" t="e">
        <f t="shared" si="15"/>
        <v>#N/A</v>
      </c>
      <c r="H66" s="71" t="e">
        <f>INDEX('FW Catch'!F66:F158, MATCH('FW Summary'!A66, 'FW Catch'!A66:A158))</f>
        <v>#DIV/0!</v>
      </c>
      <c r="I66" s="142">
        <f>INDEX('Pink Proportion'!$S$6:$S$128, MATCH('FW Summary'!A66, 'Pink Proportion'!$A$6:$A$128))/C66</f>
        <v>0.47727272727272729</v>
      </c>
      <c r="J66" s="131" t="e">
        <f t="shared" si="13"/>
        <v>#N/A</v>
      </c>
      <c r="K66" s="130" t="e">
        <f t="shared" si="3"/>
        <v>#N/A</v>
      </c>
      <c r="L66" s="145" t="e">
        <f t="shared" si="4"/>
        <v>#N/A</v>
      </c>
      <c r="M66" s="71" t="e">
        <f>INDEX('FW Catch'!G66:G158, MATCH('FW Summary'!A66, 'FW Catch'!A66:A158))</f>
        <v>#DIV/0!</v>
      </c>
      <c r="N66" s="17">
        <f>INDEX(WhonSpComp!AN68:AN195, MATCH('FW Summary'!A66, WhonSpComp!A68:A195,0))</f>
        <v>0.38636363636363635</v>
      </c>
      <c r="O66" s="131" t="e">
        <f t="shared" si="5"/>
        <v>#N/A</v>
      </c>
      <c r="P66" s="130" t="e">
        <f t="shared" si="6"/>
        <v>#N/A</v>
      </c>
      <c r="Q66" s="145" t="e">
        <f t="shared" si="7"/>
        <v>#N/A</v>
      </c>
      <c r="R66" s="71" t="e">
        <f>INDEX('FW Catch'!H66:H158, MATCH('FW Summary'!A66, 'FW Catch'!A66:A158))</f>
        <v>#DIV/0!</v>
      </c>
      <c r="S66" s="17">
        <f>INDEX(WhonSpComp!AT68:AT195, MATCH('FW Summary'!A66, WhonSpComp!A68:A195,0))</f>
        <v>0.11363636363636363</v>
      </c>
      <c r="T66" s="131" t="e">
        <f t="shared" si="8"/>
        <v>#N/A</v>
      </c>
      <c r="U66" s="130" t="e">
        <f t="shared" si="9"/>
        <v>#N/A</v>
      </c>
      <c r="V66" s="145" t="e">
        <f t="shared" si="10"/>
        <v>#N/A</v>
      </c>
      <c r="W66" s="71" t="e">
        <f>INDEX('FW Catch'!I66:I158, MATCH('FW Summary'!A66, 'FW Catch'!A66:A158))</f>
        <v>#DIV/0!</v>
      </c>
      <c r="X66" s="17">
        <f>INDEX(WhonSpComp!AV68:AV195, MATCH('FW Summary'!A66, WhonSpComp!A68:A195,0))</f>
        <v>2.2727272727272728E-2</v>
      </c>
      <c r="Y66" s="131" t="e">
        <f t="shared" si="11"/>
        <v>#N/A</v>
      </c>
    </row>
    <row r="67" spans="1:25" x14ac:dyDescent="0.3">
      <c r="A67" s="1">
        <f t="shared" si="12"/>
        <v>45166</v>
      </c>
      <c r="B67" s="127">
        <f>INDEX('[1]Passage Estimates'!$D$6:$D$128, MATCH($A67, '[1]Passage Estimates'!$A$6:$A$128,0))</f>
        <v>191352</v>
      </c>
      <c r="C67" s="128">
        <f>INDEX('2. Salmon Passage by Bin'!$K$6:$K$128, MATCH('FW Summary'!$A67,'2. Salmon Passage by Bin'!$A$6:$A$128,0))</f>
        <v>12197.999999999978</v>
      </c>
      <c r="D67" s="76">
        <f>INDEX('2. Salmon Passage by Bin'!$E$6:$E$128, MATCH('FW Summary'!$A67, '2. Salmon Passage by Bin'!$A$6:$A$128,0))+INDEX('2. Salmon Passage by Bin'!$F$6:$F$128, MATCH('FW Summary'!$A67, '2. Salmon Passage by Bin'!$A$6:$A$128,0))+INDEX('2. Salmon Passage by Bin'!$G$6:$G$128, MATCH('FW Summary'!$A67, '2. Salmon Passage by Bin'!$A$6:$A$128,0))+INDEX('2. Salmon Passage by Bin'!$H$6:$H$128, MATCH('FW Summary'!$A67, '2. Salmon Passage by Bin'!$A$6:$A$128,0))+_xlfn.IFNA(INDEX('2. Salmon Passage by Bin'!$I$6:$I$128, MATCH('FW Summary'!$A67, '2. Salmon Passage by Bin'!$A$6:$A$128,0)),0)+_xlfn.IFNA(INDEX('2. Salmon Passage by Bin'!$J$6:$J$128, MATCH('FW Summary'!$A67, '2. Salmon Passage by Bin'!$A$6:$A$128,0)),0)</f>
        <v>167369.76</v>
      </c>
      <c r="E67" s="129">
        <f>INDEX('2. Salmon Passage by Bin'!$M$6:$M$128, MATCH('FW Summary'!$A67, '2. Salmon Passage by Bin'!$A$6:$A$128,0))+INDEX('2. Salmon Passage by Bin'!$N$6:$N$128, MATCH('FW Summary'!$A67, '2. Salmon Passage by Bin'!$A$6:$A$128,0))+INDEX('2. Salmon Passage by Bin'!$O$6:$O$128, MATCH('FW Summary'!$A67, '2. Salmon Passage by Bin'!$A$6:$A$128,0))</f>
        <v>10973.759999999998</v>
      </c>
      <c r="F67" s="130" t="e">
        <f t="shared" ref="F67:F95" si="16">B67-J67</f>
        <v>#N/A</v>
      </c>
      <c r="G67" s="145" t="e">
        <f t="shared" ref="G67:G95" si="17">J67/B67</f>
        <v>#N/A</v>
      </c>
      <c r="H67" s="71" t="e">
        <f>INDEX('FW Catch'!F67:F159, MATCH('FW Summary'!A67, 'FW Catch'!A67:A159))</f>
        <v>#DIV/0!</v>
      </c>
      <c r="I67" s="142">
        <f>INDEX('Pink Proportion'!$S$6:$S$128, MATCH('FW Summary'!A67, 'Pink Proportion'!$A$6:$A$128))/C67</f>
        <v>0.5</v>
      </c>
      <c r="J67" s="131" t="e">
        <f t="shared" si="13"/>
        <v>#N/A</v>
      </c>
      <c r="K67" s="130" t="e">
        <f t="shared" si="3"/>
        <v>#N/A</v>
      </c>
      <c r="L67" s="145" t="e">
        <f t="shared" si="4"/>
        <v>#N/A</v>
      </c>
      <c r="M67" s="71" t="e">
        <f>INDEX('FW Catch'!G67:G159, MATCH('FW Summary'!A67, 'FW Catch'!A67:A159))</f>
        <v>#DIV/0!</v>
      </c>
      <c r="N67" s="17">
        <f>INDEX(WhonSpComp!AN69:AN196, MATCH('FW Summary'!A67, WhonSpComp!A69:A196,0))</f>
        <v>0.18518518518518517</v>
      </c>
      <c r="O67" s="131" t="e">
        <f t="shared" si="5"/>
        <v>#N/A</v>
      </c>
      <c r="P67" s="130" t="e">
        <f t="shared" si="6"/>
        <v>#N/A</v>
      </c>
      <c r="Q67" s="145" t="e">
        <f t="shared" si="7"/>
        <v>#N/A</v>
      </c>
      <c r="R67" s="71" t="e">
        <f>INDEX('FW Catch'!H67:H159, MATCH('FW Summary'!A67, 'FW Catch'!A67:A159))</f>
        <v>#DIV/0!</v>
      </c>
      <c r="S67" s="17">
        <f>INDEX(WhonSpComp!AT69:AT196, MATCH('FW Summary'!A67, WhonSpComp!A69:A196,0))</f>
        <v>0.31481481481481483</v>
      </c>
      <c r="T67" s="131" t="e">
        <f t="shared" si="8"/>
        <v>#N/A</v>
      </c>
      <c r="U67" s="130" t="e">
        <f t="shared" si="9"/>
        <v>#N/A</v>
      </c>
      <c r="V67" s="145" t="e">
        <f t="shared" si="10"/>
        <v>#N/A</v>
      </c>
      <c r="W67" s="71" t="e">
        <f>INDEX('FW Catch'!I67:I159, MATCH('FW Summary'!A67, 'FW Catch'!A67:A159))</f>
        <v>#DIV/0!</v>
      </c>
      <c r="X67" s="17">
        <f>INDEX(WhonSpComp!AV69:AV196, MATCH('FW Summary'!A67, WhonSpComp!A69:A196,0))</f>
        <v>0</v>
      </c>
      <c r="Y67" s="131" t="e">
        <f t="shared" si="11"/>
        <v>#N/A</v>
      </c>
    </row>
    <row r="68" spans="1:25" x14ac:dyDescent="0.3">
      <c r="A68" s="1">
        <f t="shared" si="12"/>
        <v>45167</v>
      </c>
      <c r="B68" s="127">
        <f>INDEX('[1]Passage Estimates'!$D$6:$D$128, MATCH($A68, '[1]Passage Estimates'!$A$6:$A$128,0))</f>
        <v>263765.99999999988</v>
      </c>
      <c r="C68" s="128">
        <f>INDEX('2. Salmon Passage by Bin'!$K$6:$K$128, MATCH('FW Summary'!$A68,'2. Salmon Passage by Bin'!$A$6:$A$128,0))</f>
        <v>8814.4799999999232</v>
      </c>
      <c r="D68" s="76">
        <f>INDEX('2. Salmon Passage by Bin'!$E$6:$E$128, MATCH('FW Summary'!$A68, '2. Salmon Passage by Bin'!$A$6:$A$128,0))+INDEX('2. Salmon Passage by Bin'!$F$6:$F$128, MATCH('FW Summary'!$A68, '2. Salmon Passage by Bin'!$A$6:$A$128,0))+INDEX('2. Salmon Passage by Bin'!$G$6:$G$128, MATCH('FW Summary'!$A68, '2. Salmon Passage by Bin'!$A$6:$A$128,0))+INDEX('2. Salmon Passage by Bin'!$H$6:$H$128, MATCH('FW Summary'!$A68, '2. Salmon Passage by Bin'!$A$6:$A$128,0))+_xlfn.IFNA(INDEX('2. Salmon Passage by Bin'!$I$6:$I$128, MATCH('FW Summary'!$A68, '2. Salmon Passage by Bin'!$A$6:$A$128,0)),0)+_xlfn.IFNA(INDEX('2. Salmon Passage by Bin'!$J$6:$J$128, MATCH('FW Summary'!$A68, '2. Salmon Passage by Bin'!$A$6:$A$128,0)),0)</f>
        <v>241337.52000000005</v>
      </c>
      <c r="E68" s="129">
        <f>INDEX('2. Salmon Passage by Bin'!$M$6:$M$128, MATCH('FW Summary'!$A68, '2. Salmon Passage by Bin'!$A$6:$A$128,0))+INDEX('2. Salmon Passage by Bin'!$N$6:$N$128, MATCH('FW Summary'!$A68, '2. Salmon Passage by Bin'!$A$6:$A$128,0))+INDEX('2. Salmon Passage by Bin'!$O$6:$O$128, MATCH('FW Summary'!$A68, '2. Salmon Passage by Bin'!$A$6:$A$128,0))</f>
        <v>12541.2</v>
      </c>
      <c r="F68" s="130" t="e">
        <f t="shared" si="16"/>
        <v>#N/A</v>
      </c>
      <c r="G68" s="145" t="e">
        <f t="shared" si="17"/>
        <v>#N/A</v>
      </c>
      <c r="H68" s="71" t="e">
        <f>INDEX('FW Catch'!F68:F160, MATCH('FW Summary'!A68, 'FW Catch'!A68:A160))</f>
        <v>#DIV/0!</v>
      </c>
      <c r="I68" s="142">
        <f>INDEX('Pink Proportion'!$S$6:$S$128, MATCH('FW Summary'!A68, 'Pink Proportion'!$A$6:$A$128))/C68</f>
        <v>0.57407407407407407</v>
      </c>
      <c r="J68" s="131" t="e">
        <f t="shared" si="13"/>
        <v>#N/A</v>
      </c>
      <c r="K68" s="130" t="e">
        <f t="shared" ref="K68:K95" si="18">B68-O68</f>
        <v>#N/A</v>
      </c>
      <c r="L68" s="145" t="e">
        <f t="shared" ref="L68:L94" si="19">O68/B68</f>
        <v>#N/A</v>
      </c>
      <c r="M68" s="71" t="e">
        <f>INDEX('FW Catch'!G68:G160, MATCH('FW Summary'!A68, 'FW Catch'!A68:A160))</f>
        <v>#DIV/0!</v>
      </c>
      <c r="N68" s="17">
        <f>INDEX(WhonSpComp!AN70:AN197, MATCH('FW Summary'!A68, WhonSpComp!A70:A197,0))</f>
        <v>0.25925925925925924</v>
      </c>
      <c r="O68" s="131" t="e">
        <f t="shared" ref="O68:O95" si="20">IFERROR(((D68+E68)*M68)+(C68*N68), #N/A)</f>
        <v>#N/A</v>
      </c>
      <c r="P68" s="130" t="e">
        <f t="shared" ref="P68:P95" si="21">B68-T68</f>
        <v>#N/A</v>
      </c>
      <c r="Q68" s="145" t="e">
        <f t="shared" ref="Q68:Q95" si="22">T68/B68</f>
        <v>#N/A</v>
      </c>
      <c r="R68" s="71" t="e">
        <f>INDEX('FW Catch'!H68:H160, MATCH('FW Summary'!A68, 'FW Catch'!A68:A160))</f>
        <v>#DIV/0!</v>
      </c>
      <c r="S68" s="17">
        <f>INDEX(WhonSpComp!AT70:AT197, MATCH('FW Summary'!A68, WhonSpComp!A70:A197,0))</f>
        <v>0.16666666666666666</v>
      </c>
      <c r="T68" s="131" t="e">
        <f t="shared" ref="T68:T95" si="23">IFERROR(((D68+E68)*R68)+(C68*S68), #N/A)</f>
        <v>#N/A</v>
      </c>
      <c r="U68" s="130" t="e">
        <f t="shared" ref="U68:U94" si="24">B68-Y68</f>
        <v>#N/A</v>
      </c>
      <c r="V68" s="145" t="e">
        <f t="shared" ref="V68:V94" si="25">Y68/B68</f>
        <v>#N/A</v>
      </c>
      <c r="W68" s="71" t="e">
        <f>INDEX('FW Catch'!I68:I160, MATCH('FW Summary'!A68, 'FW Catch'!A68:A160))</f>
        <v>#DIV/0!</v>
      </c>
      <c r="X68" s="17">
        <f>INDEX(WhonSpComp!AV70:AV197, MATCH('FW Summary'!A68, WhonSpComp!A70:A197,0))</f>
        <v>0</v>
      </c>
      <c r="Y68" s="131" t="e">
        <f t="shared" ref="Y68:Y95" si="26">IFERROR(((D68+E68)*W68)+(C68*X68), #N/A)</f>
        <v>#N/A</v>
      </c>
    </row>
    <row r="69" spans="1:25" x14ac:dyDescent="0.3">
      <c r="A69" s="1">
        <f t="shared" ref="A69:A95" si="27">A68+1</f>
        <v>45168</v>
      </c>
      <c r="B69" s="127">
        <f>INDEX('[1]Passage Estimates'!$D$6:$D$128, MATCH($A69, '[1]Passage Estimates'!$A$6:$A$128,0))</f>
        <v>331732.58400000003</v>
      </c>
      <c r="C69" s="128">
        <f>INDEX('2. Salmon Passage by Bin'!$K$6:$K$128, MATCH('FW Summary'!$A69,'2. Salmon Passage by Bin'!$A$6:$A$128,0))</f>
        <v>20503.704000000005</v>
      </c>
      <c r="D69" s="76">
        <f>INDEX('2. Salmon Passage by Bin'!$E$6:$E$128, MATCH('FW Summary'!$A69, '2. Salmon Passage by Bin'!$A$6:$A$128,0))+INDEX('2. Salmon Passage by Bin'!$F$6:$F$128, MATCH('FW Summary'!$A69, '2. Salmon Passage by Bin'!$A$6:$A$128,0))+INDEX('2. Salmon Passage by Bin'!$G$6:$G$128, MATCH('FW Summary'!$A69, '2. Salmon Passage by Bin'!$A$6:$A$128,0))+INDEX('2. Salmon Passage by Bin'!$H$6:$H$128, MATCH('FW Summary'!$A69, '2. Salmon Passage by Bin'!$A$6:$A$128,0))+_xlfn.IFNA(INDEX('2. Salmon Passage by Bin'!$I$6:$I$128, MATCH('FW Summary'!$A69, '2. Salmon Passage by Bin'!$A$6:$A$128,0)),0)+_xlfn.IFNA(INDEX('2. Salmon Passage by Bin'!$J$6:$J$128, MATCH('FW Summary'!$A69, '2. Salmon Passage by Bin'!$A$6:$A$128,0)),0)</f>
        <v>295698.48</v>
      </c>
      <c r="E69" s="129">
        <f>INDEX('2. Salmon Passage by Bin'!$M$6:$M$128, MATCH('FW Summary'!$A69, '2. Salmon Passage by Bin'!$A$6:$A$128,0))+INDEX('2. Salmon Passage by Bin'!$N$6:$N$128, MATCH('FW Summary'!$A69, '2. Salmon Passage by Bin'!$A$6:$A$128,0))+INDEX('2. Salmon Passage by Bin'!$O$6:$O$128, MATCH('FW Summary'!$A69, '2. Salmon Passage by Bin'!$A$6:$A$128,0))</f>
        <v>14993.999999999998</v>
      </c>
      <c r="F69" s="130" t="e">
        <f t="shared" si="16"/>
        <v>#N/A</v>
      </c>
      <c r="G69" s="145" t="e">
        <f t="shared" si="17"/>
        <v>#N/A</v>
      </c>
      <c r="H69" s="71" t="e">
        <f>INDEX('FW Catch'!F69:F161, MATCH('FW Summary'!A69, 'FW Catch'!A69:A161))</f>
        <v>#DIV/0!</v>
      </c>
      <c r="I69" s="142">
        <f>INDEX('Pink Proportion'!$S$6:$S$128, MATCH('FW Summary'!A69, 'Pink Proportion'!$A$6:$A$128))/C69</f>
        <v>0.67164179104477617</v>
      </c>
      <c r="J69" s="131" t="e">
        <f t="shared" si="13"/>
        <v>#N/A</v>
      </c>
      <c r="K69" s="130" t="e">
        <f t="shared" si="18"/>
        <v>#N/A</v>
      </c>
      <c r="L69" s="145" t="e">
        <f t="shared" si="19"/>
        <v>#N/A</v>
      </c>
      <c r="M69" s="71" t="e">
        <f>INDEX('FW Catch'!G69:G161, MATCH('FW Summary'!A69, 'FW Catch'!A69:A161))</f>
        <v>#DIV/0!</v>
      </c>
      <c r="N69" s="17">
        <f>INDEX(WhonSpComp!AN71:AN198, MATCH('FW Summary'!A69, WhonSpComp!A71:A198,0))</f>
        <v>0.17910447761194029</v>
      </c>
      <c r="O69" s="131" t="e">
        <f t="shared" si="20"/>
        <v>#N/A</v>
      </c>
      <c r="P69" s="130" t="e">
        <f t="shared" si="21"/>
        <v>#N/A</v>
      </c>
      <c r="Q69" s="145" t="e">
        <f t="shared" si="22"/>
        <v>#N/A</v>
      </c>
      <c r="R69" s="71" t="e">
        <f>INDEX('FW Catch'!H69:H161, MATCH('FW Summary'!A69, 'FW Catch'!A69:A161))</f>
        <v>#DIV/0!</v>
      </c>
      <c r="S69" s="17">
        <f>INDEX(WhonSpComp!AT71:AT198, MATCH('FW Summary'!A69, WhonSpComp!A71:A198,0))</f>
        <v>0.14925373134328357</v>
      </c>
      <c r="T69" s="131" t="e">
        <f t="shared" si="23"/>
        <v>#N/A</v>
      </c>
      <c r="U69" s="130" t="e">
        <f t="shared" si="24"/>
        <v>#N/A</v>
      </c>
      <c r="V69" s="145" t="e">
        <f t="shared" si="25"/>
        <v>#N/A</v>
      </c>
      <c r="W69" s="71" t="e">
        <f>INDEX('FW Catch'!I69:I161, MATCH('FW Summary'!A69, 'FW Catch'!A69:A161))</f>
        <v>#DIV/0!</v>
      </c>
      <c r="X69" s="17">
        <f>INDEX(WhonSpComp!AV71:AV198, MATCH('FW Summary'!A69, WhonSpComp!A71:A198,0))</f>
        <v>0</v>
      </c>
      <c r="Y69" s="131" t="e">
        <f t="shared" si="26"/>
        <v>#N/A</v>
      </c>
    </row>
    <row r="70" spans="1:25" x14ac:dyDescent="0.3">
      <c r="A70" s="1">
        <f t="shared" si="27"/>
        <v>45169</v>
      </c>
      <c r="B70" s="127">
        <f>INDEX('[1]Passage Estimates'!$D$6:$D$128, MATCH($A70, '[1]Passage Estimates'!$A$6:$A$128,0))</f>
        <v>264485.99999999988</v>
      </c>
      <c r="C70" s="128">
        <f>INDEX('2. Salmon Passage by Bin'!$K$6:$K$128, MATCH('FW Summary'!$A70,'2. Salmon Passage by Bin'!$A$6:$A$128,0))</f>
        <v>14077.919999999911</v>
      </c>
      <c r="D70" s="76">
        <f>INDEX('2. Salmon Passage by Bin'!$E$6:$E$128, MATCH('FW Summary'!$A70, '2. Salmon Passage by Bin'!$A$6:$A$128,0))+INDEX('2. Salmon Passage by Bin'!$F$6:$F$128, MATCH('FW Summary'!$A70, '2. Salmon Passage by Bin'!$A$6:$A$128,0))+INDEX('2. Salmon Passage by Bin'!$G$6:$G$128, MATCH('FW Summary'!$A70, '2. Salmon Passage by Bin'!$A$6:$A$128,0))+INDEX('2. Salmon Passage by Bin'!$H$6:$H$128, MATCH('FW Summary'!$A70, '2. Salmon Passage by Bin'!$A$6:$A$128,0))+_xlfn.IFNA(INDEX('2. Salmon Passage by Bin'!$I$6:$I$128, MATCH('FW Summary'!$A70, '2. Salmon Passage by Bin'!$A$6:$A$128,0)),0)+_xlfn.IFNA(INDEX('2. Salmon Passage by Bin'!$J$6:$J$128, MATCH('FW Summary'!$A70, '2. Salmon Passage by Bin'!$A$6:$A$128,0)),0)</f>
        <v>228062.15999999997</v>
      </c>
      <c r="E70" s="129">
        <f>INDEX('2. Salmon Passage by Bin'!$M$6:$M$128, MATCH('FW Summary'!$A70, '2. Salmon Passage by Bin'!$A$6:$A$128,0))+INDEX('2. Salmon Passage by Bin'!$N$6:$N$128, MATCH('FW Summary'!$A70, '2. Salmon Passage by Bin'!$A$6:$A$128,0))+INDEX('2. Salmon Passage by Bin'!$O$6:$O$128, MATCH('FW Summary'!$A70, '2. Salmon Passage by Bin'!$A$6:$A$128,0))</f>
        <v>19678.320000000003</v>
      </c>
      <c r="F70" s="130" t="e">
        <f t="shared" si="16"/>
        <v>#N/A</v>
      </c>
      <c r="G70" s="145" t="e">
        <f t="shared" si="17"/>
        <v>#N/A</v>
      </c>
      <c r="H70" s="71" t="e">
        <f>INDEX('FW Catch'!F70:F162, MATCH('FW Summary'!A70, 'FW Catch'!A70:A162))</f>
        <v>#DIV/0!</v>
      </c>
      <c r="I70" s="142">
        <f>INDEX('Pink Proportion'!$S$6:$S$128, MATCH('FW Summary'!A70, 'Pink Proportion'!$A$6:$A$128))/C70</f>
        <v>0.44736842105263158</v>
      </c>
      <c r="J70" s="131" t="e">
        <f t="shared" si="13"/>
        <v>#N/A</v>
      </c>
      <c r="K70" s="130" t="e">
        <f t="shared" si="18"/>
        <v>#N/A</v>
      </c>
      <c r="L70" s="145" t="e">
        <f t="shared" si="19"/>
        <v>#N/A</v>
      </c>
      <c r="M70" s="71" t="e">
        <f>INDEX('FW Catch'!G70:G162, MATCH('FW Summary'!A70, 'FW Catch'!A70:A162))</f>
        <v>#DIV/0!</v>
      </c>
      <c r="N70" s="17">
        <f>INDEX(WhonSpComp!AN72:AN199, MATCH('FW Summary'!A70, WhonSpComp!A72:A199,0))</f>
        <v>0.15789473684210525</v>
      </c>
      <c r="O70" s="131" t="e">
        <f t="shared" si="20"/>
        <v>#N/A</v>
      </c>
      <c r="P70" s="130" t="e">
        <f t="shared" si="21"/>
        <v>#N/A</v>
      </c>
      <c r="Q70" s="145" t="e">
        <f t="shared" si="22"/>
        <v>#N/A</v>
      </c>
      <c r="R70" s="71" t="e">
        <f>INDEX('FW Catch'!H70:H162, MATCH('FW Summary'!A70, 'FW Catch'!A70:A162))</f>
        <v>#DIV/0!</v>
      </c>
      <c r="S70" s="17">
        <f>INDEX(WhonSpComp!AT72:AT199, MATCH('FW Summary'!A70, WhonSpComp!A72:A199,0))</f>
        <v>0.36842105263157893</v>
      </c>
      <c r="T70" s="131" t="e">
        <f t="shared" si="23"/>
        <v>#N/A</v>
      </c>
      <c r="U70" s="130" t="e">
        <f t="shared" si="24"/>
        <v>#N/A</v>
      </c>
      <c r="V70" s="145" t="e">
        <f t="shared" si="25"/>
        <v>#N/A</v>
      </c>
      <c r="W70" s="71" t="e">
        <f>INDEX('FW Catch'!I70:I162, MATCH('FW Summary'!A70, 'FW Catch'!A70:A162))</f>
        <v>#DIV/0!</v>
      </c>
      <c r="X70" s="17">
        <f>INDEX(WhonSpComp!AV72:AV199, MATCH('FW Summary'!A70, WhonSpComp!A72:A199,0))</f>
        <v>1.3157894736842105E-2</v>
      </c>
      <c r="Y70" s="131" t="e">
        <f t="shared" si="26"/>
        <v>#N/A</v>
      </c>
    </row>
    <row r="71" spans="1:25" x14ac:dyDescent="0.3">
      <c r="A71" s="1">
        <f t="shared" si="27"/>
        <v>45170</v>
      </c>
      <c r="B71" s="127">
        <f>INDEX('[1]Passage Estimates'!$D$6:$D$128, MATCH($A71, '[1]Passage Estimates'!$A$6:$A$128,0))</f>
        <v>239435.99999999983</v>
      </c>
      <c r="C71" s="128">
        <f>INDEX('2. Salmon Passage by Bin'!$K$6:$K$128, MATCH('FW Summary'!$A71,'2. Salmon Passage by Bin'!$A$6:$A$128,0))</f>
        <v>28214.159999999829</v>
      </c>
      <c r="D71" s="76">
        <f>INDEX('2. Salmon Passage by Bin'!$E$6:$E$128, MATCH('FW Summary'!$A71, '2. Salmon Passage by Bin'!$A$6:$A$128,0))+INDEX('2. Salmon Passage by Bin'!$F$6:$F$128, MATCH('FW Summary'!$A71, '2. Salmon Passage by Bin'!$A$6:$A$128,0))+INDEX('2. Salmon Passage by Bin'!$G$6:$G$128, MATCH('FW Summary'!$A71, '2. Salmon Passage by Bin'!$A$6:$A$128,0))+INDEX('2. Salmon Passage by Bin'!$H$6:$H$128, MATCH('FW Summary'!$A71, '2. Salmon Passage by Bin'!$A$6:$A$128,0))+_xlfn.IFNA(INDEX('2. Salmon Passage by Bin'!$I$6:$I$128, MATCH('FW Summary'!$A71, '2. Salmon Passage by Bin'!$A$6:$A$128,0)),0)+_xlfn.IFNA(INDEX('2. Salmon Passage by Bin'!$J$6:$J$128, MATCH('FW Summary'!$A71, '2. Salmon Passage by Bin'!$A$6:$A$128,0)),0)</f>
        <v>201685.19999999998</v>
      </c>
      <c r="E71" s="129">
        <f>INDEX('2. Salmon Passage by Bin'!$M$6:$M$128, MATCH('FW Summary'!$A71, '2. Salmon Passage by Bin'!$A$6:$A$128,0))+INDEX('2. Salmon Passage by Bin'!$N$6:$N$128, MATCH('FW Summary'!$A71, '2. Salmon Passage by Bin'!$A$6:$A$128,0))+INDEX('2. Salmon Passage by Bin'!$O$6:$O$128, MATCH('FW Summary'!$A71, '2. Salmon Passage by Bin'!$A$6:$A$128,0))</f>
        <v>8904.2400000000016</v>
      </c>
      <c r="F71" s="130" t="e">
        <f t="shared" si="16"/>
        <v>#N/A</v>
      </c>
      <c r="G71" s="145" t="e">
        <f t="shared" si="17"/>
        <v>#N/A</v>
      </c>
      <c r="H71" s="71" t="e">
        <f>INDEX('FW Catch'!F71:F163, MATCH('FW Summary'!A71, 'FW Catch'!A71:A163))</f>
        <v>#DIV/0!</v>
      </c>
      <c r="I71" s="142">
        <f>INDEX('Pink Proportion'!$S$6:$S$128, MATCH('FW Summary'!A71, 'Pink Proportion'!$A$6:$A$128))/C71</f>
        <v>0.6518518518518519</v>
      </c>
      <c r="J71" s="131" t="e">
        <f t="shared" si="13"/>
        <v>#N/A</v>
      </c>
      <c r="K71" s="130" t="e">
        <f t="shared" si="18"/>
        <v>#N/A</v>
      </c>
      <c r="L71" s="145" t="e">
        <f t="shared" si="19"/>
        <v>#N/A</v>
      </c>
      <c r="M71" s="71" t="e">
        <f>INDEX('FW Catch'!G71:G163, MATCH('FW Summary'!A71, 'FW Catch'!A71:A163))</f>
        <v>#DIV/0!</v>
      </c>
      <c r="N71" s="17">
        <f>INDEX(WhonSpComp!AN73:AN200, MATCH('FW Summary'!A71, WhonSpComp!A73:A200,0))</f>
        <v>5.9259259259259262E-2</v>
      </c>
      <c r="O71" s="131" t="e">
        <f t="shared" si="20"/>
        <v>#N/A</v>
      </c>
      <c r="P71" s="130" t="e">
        <f t="shared" si="21"/>
        <v>#N/A</v>
      </c>
      <c r="Q71" s="145" t="e">
        <f t="shared" si="22"/>
        <v>#N/A</v>
      </c>
      <c r="R71" s="71" t="e">
        <f>INDEX('FW Catch'!H71:H163, MATCH('FW Summary'!A71, 'FW Catch'!A71:A163))</f>
        <v>#DIV/0!</v>
      </c>
      <c r="S71" s="17">
        <f>INDEX(WhonSpComp!AT73:AT200, MATCH('FW Summary'!A71, WhonSpComp!A73:A200,0))</f>
        <v>0.26666666666666666</v>
      </c>
      <c r="T71" s="131" t="e">
        <f t="shared" si="23"/>
        <v>#N/A</v>
      </c>
      <c r="U71" s="130" t="e">
        <f t="shared" si="24"/>
        <v>#N/A</v>
      </c>
      <c r="V71" s="145" t="e">
        <f t="shared" si="25"/>
        <v>#N/A</v>
      </c>
      <c r="W71" s="71" t="e">
        <f>INDEX('FW Catch'!I71:I163, MATCH('FW Summary'!A71, 'FW Catch'!A71:A163))</f>
        <v>#DIV/0!</v>
      </c>
      <c r="X71" s="17">
        <f>INDEX(WhonSpComp!AV73:AV200, MATCH('FW Summary'!A71, WhonSpComp!A73:A200,0))</f>
        <v>7.4074074074074077E-3</v>
      </c>
      <c r="Y71" s="131" t="e">
        <f t="shared" si="26"/>
        <v>#N/A</v>
      </c>
    </row>
    <row r="72" spans="1:25" x14ac:dyDescent="0.3">
      <c r="A72" s="1">
        <f t="shared" si="27"/>
        <v>45171</v>
      </c>
      <c r="B72" s="127">
        <f>INDEX('[1]Passage Estimates'!$D$6:$D$128, MATCH($A72, '[1]Passage Estimates'!$A$6:$A$128,0))</f>
        <v>593224.74239999987</v>
      </c>
      <c r="C72" s="128">
        <f>INDEX('2. Salmon Passage by Bin'!$K$6:$K$128, MATCH('FW Summary'!$A72,'2. Salmon Passage by Bin'!$A$6:$A$128,0))</f>
        <v>37563.782399999749</v>
      </c>
      <c r="D72" s="76">
        <f>INDEX('2. Salmon Passage by Bin'!$E$6:$E$128, MATCH('FW Summary'!$A72, '2. Salmon Passage by Bin'!$A$6:$A$128,0))+INDEX('2. Salmon Passage by Bin'!$F$6:$F$128, MATCH('FW Summary'!$A72, '2. Salmon Passage by Bin'!$A$6:$A$128,0))+INDEX('2. Salmon Passage by Bin'!$G$6:$G$128, MATCH('FW Summary'!$A72, '2. Salmon Passage by Bin'!$A$6:$A$128,0))+INDEX('2. Salmon Passage by Bin'!$H$6:$H$128, MATCH('FW Summary'!$A72, '2. Salmon Passage by Bin'!$A$6:$A$128,0))+_xlfn.IFNA(INDEX('2. Salmon Passage by Bin'!$I$6:$I$128, MATCH('FW Summary'!$A72, '2. Salmon Passage by Bin'!$A$6:$A$128,0)),0)+_xlfn.IFNA(INDEX('2. Salmon Passage by Bin'!$J$6:$J$128, MATCH('FW Summary'!$A72, '2. Salmon Passage by Bin'!$A$6:$A$128,0)),0)</f>
        <v>537690.96</v>
      </c>
      <c r="E72" s="129">
        <f>INDEX('2. Salmon Passage by Bin'!$M$6:$M$128, MATCH('FW Summary'!$A72, '2. Salmon Passage by Bin'!$A$6:$A$128,0))+INDEX('2. Salmon Passage by Bin'!$N$6:$N$128, MATCH('FW Summary'!$A72, '2. Salmon Passage by Bin'!$A$6:$A$128,0))+INDEX('2. Salmon Passage by Bin'!$O$6:$O$128, MATCH('FW Summary'!$A72, '2. Salmon Passage by Bin'!$A$6:$A$128,0))</f>
        <v>16494.239999999998</v>
      </c>
      <c r="F72" s="130" t="e">
        <f t="shared" si="16"/>
        <v>#N/A</v>
      </c>
      <c r="G72" s="145" t="e">
        <f t="shared" si="17"/>
        <v>#N/A</v>
      </c>
      <c r="H72" s="71" t="e">
        <f>INDEX('FW Catch'!F72:F164, MATCH('FW Summary'!A72, 'FW Catch'!A72:A164))</f>
        <v>#DIV/0!</v>
      </c>
      <c r="I72" s="142">
        <f>INDEX('Pink Proportion'!$S$6:$S$128, MATCH('FW Summary'!A72, 'Pink Proportion'!$A$6:$A$128))/C72</f>
        <v>0.76351351351351349</v>
      </c>
      <c r="J72" s="131" t="e">
        <f t="shared" si="13"/>
        <v>#N/A</v>
      </c>
      <c r="K72" s="130" t="e">
        <f t="shared" si="18"/>
        <v>#N/A</v>
      </c>
      <c r="L72" s="145" t="e">
        <f t="shared" si="19"/>
        <v>#N/A</v>
      </c>
      <c r="M72" s="71" t="e">
        <f>INDEX('FW Catch'!G72:G164, MATCH('FW Summary'!A72, 'FW Catch'!A72:A164))</f>
        <v>#DIV/0!</v>
      </c>
      <c r="N72" s="17">
        <f>INDEX(WhonSpComp!AN74:AN201, MATCH('FW Summary'!A72, WhonSpComp!A74:A201,0))</f>
        <v>3.3783783783783786E-2</v>
      </c>
      <c r="O72" s="131" t="e">
        <f t="shared" si="20"/>
        <v>#N/A</v>
      </c>
      <c r="P72" s="130" t="e">
        <f t="shared" si="21"/>
        <v>#N/A</v>
      </c>
      <c r="Q72" s="145" t="e">
        <f t="shared" si="22"/>
        <v>#N/A</v>
      </c>
      <c r="R72" s="71" t="e">
        <f>INDEX('FW Catch'!H72:H164, MATCH('FW Summary'!A72, 'FW Catch'!A72:A164))</f>
        <v>#DIV/0!</v>
      </c>
      <c r="S72" s="17">
        <f>INDEX(WhonSpComp!AT74:AT201, MATCH('FW Summary'!A72, WhonSpComp!A74:A201,0))</f>
        <v>0.17567567567567569</v>
      </c>
      <c r="T72" s="131" t="e">
        <f t="shared" si="23"/>
        <v>#N/A</v>
      </c>
      <c r="U72" s="130" t="e">
        <f t="shared" si="24"/>
        <v>#N/A</v>
      </c>
      <c r="V72" s="145" t="e">
        <f t="shared" si="25"/>
        <v>#N/A</v>
      </c>
      <c r="W72" s="71" t="e">
        <f>INDEX('FW Catch'!I72:I164, MATCH('FW Summary'!A72, 'FW Catch'!A72:A164))</f>
        <v>#DIV/0!</v>
      </c>
      <c r="X72" s="17">
        <f>INDEX(WhonSpComp!AV74:AV201, MATCH('FW Summary'!A72, WhonSpComp!A74:A201,0))</f>
        <v>1.6891891891891893E-2</v>
      </c>
      <c r="Y72" s="131" t="e">
        <f t="shared" si="26"/>
        <v>#N/A</v>
      </c>
    </row>
    <row r="73" spans="1:25" x14ac:dyDescent="0.3">
      <c r="A73" s="1">
        <f t="shared" si="27"/>
        <v>45172</v>
      </c>
      <c r="B73" s="127">
        <f>INDEX('[1]Passage Estimates'!$D$6:$D$128, MATCH($A73, '[1]Passage Estimates'!$A$6:$A$128,0))</f>
        <v>777841.58639999991</v>
      </c>
      <c r="C73" s="128">
        <f>INDEX('2. Salmon Passage by Bin'!$K$6:$K$128, MATCH('FW Summary'!$A73,'2. Salmon Passage by Bin'!$A$6:$A$128,0))</f>
        <v>23477.426399999895</v>
      </c>
      <c r="D73" s="76">
        <f>INDEX('2. Salmon Passage by Bin'!$E$6:$E$128, MATCH('FW Summary'!$A73, '2. Salmon Passage by Bin'!$A$6:$A$128,0))+INDEX('2. Salmon Passage by Bin'!$F$6:$F$128, MATCH('FW Summary'!$A73, '2. Salmon Passage by Bin'!$A$6:$A$128,0))+INDEX('2. Salmon Passage by Bin'!$G$6:$G$128, MATCH('FW Summary'!$A73, '2. Salmon Passage by Bin'!$A$6:$A$128,0))+INDEX('2. Salmon Passage by Bin'!$H$6:$H$128, MATCH('FW Summary'!$A73, '2. Salmon Passage by Bin'!$A$6:$A$128,0))+_xlfn.IFNA(INDEX('2. Salmon Passage by Bin'!$I$6:$I$128, MATCH('FW Summary'!$A73, '2. Salmon Passage by Bin'!$A$6:$A$128,0)),0)+_xlfn.IFNA(INDEX('2. Salmon Passage by Bin'!$J$6:$J$128, MATCH('FW Summary'!$A73, '2. Salmon Passage by Bin'!$A$6:$A$128,0)),0)</f>
        <v>659443.92000000004</v>
      </c>
      <c r="E73" s="129">
        <f>INDEX('2. Salmon Passage by Bin'!$M$6:$M$128, MATCH('FW Summary'!$A73, '2. Salmon Passage by Bin'!$A$6:$A$128,0))+INDEX('2. Salmon Passage by Bin'!$N$6:$N$128, MATCH('FW Summary'!$A73, '2. Salmon Passage by Bin'!$A$6:$A$128,0))+INDEX('2. Salmon Passage by Bin'!$O$6:$O$128, MATCH('FW Summary'!$A73, '2. Salmon Passage by Bin'!$A$6:$A$128,0))</f>
        <v>92012.88</v>
      </c>
      <c r="F73" s="130" t="e">
        <f t="shared" si="16"/>
        <v>#N/A</v>
      </c>
      <c r="G73" s="145" t="e">
        <f t="shared" si="17"/>
        <v>#N/A</v>
      </c>
      <c r="H73" s="71" t="e">
        <f>INDEX('FW Catch'!F73:F165, MATCH('FW Summary'!A73, 'FW Catch'!A73:A165))</f>
        <v>#DIV/0!</v>
      </c>
      <c r="I73" s="142">
        <f>INDEX('Pink Proportion'!$S$6:$S$128, MATCH('FW Summary'!A73, 'Pink Proportion'!$A$6:$A$128))/C73</f>
        <v>0.47887323943661969</v>
      </c>
      <c r="J73" s="131" t="e">
        <f t="shared" si="13"/>
        <v>#N/A</v>
      </c>
      <c r="K73" s="130" t="e">
        <f t="shared" si="18"/>
        <v>#N/A</v>
      </c>
      <c r="L73" s="145" t="e">
        <f t="shared" si="19"/>
        <v>#N/A</v>
      </c>
      <c r="M73" s="71" t="e">
        <f>INDEX('FW Catch'!G73:G165, MATCH('FW Summary'!A73, 'FW Catch'!A73:A165))</f>
        <v>#DIV/0!</v>
      </c>
      <c r="N73" s="17">
        <f>INDEX(WhonSpComp!AN75:AN202, MATCH('FW Summary'!A73, WhonSpComp!A75:A202,0))</f>
        <v>0.15492957746478872</v>
      </c>
      <c r="O73" s="131" t="e">
        <f t="shared" si="20"/>
        <v>#N/A</v>
      </c>
      <c r="P73" s="130" t="e">
        <f t="shared" si="21"/>
        <v>#N/A</v>
      </c>
      <c r="Q73" s="145" t="e">
        <f t="shared" si="22"/>
        <v>#N/A</v>
      </c>
      <c r="R73" s="71" t="e">
        <f>INDEX('FW Catch'!H73:H165, MATCH('FW Summary'!A73, 'FW Catch'!A73:A165))</f>
        <v>#DIV/0!</v>
      </c>
      <c r="S73" s="17">
        <f>INDEX(WhonSpComp!AT75:AT202, MATCH('FW Summary'!A73, WhonSpComp!A75:A202,0))</f>
        <v>0.3380281690140845</v>
      </c>
      <c r="T73" s="131" t="e">
        <f t="shared" si="23"/>
        <v>#N/A</v>
      </c>
      <c r="U73" s="130" t="e">
        <f t="shared" si="24"/>
        <v>#N/A</v>
      </c>
      <c r="V73" s="145" t="e">
        <f t="shared" si="25"/>
        <v>#N/A</v>
      </c>
      <c r="W73" s="71" t="e">
        <f>INDEX('FW Catch'!I73:I165, MATCH('FW Summary'!A73, 'FW Catch'!A73:A165))</f>
        <v>#DIV/0!</v>
      </c>
      <c r="X73" s="17">
        <f>INDEX(WhonSpComp!AV75:AV202, MATCH('FW Summary'!A73, WhonSpComp!A75:A202,0))</f>
        <v>0</v>
      </c>
      <c r="Y73" s="131" t="e">
        <f t="shared" si="26"/>
        <v>#N/A</v>
      </c>
    </row>
    <row r="74" spans="1:25" x14ac:dyDescent="0.3">
      <c r="A74" s="1">
        <f t="shared" si="27"/>
        <v>45173</v>
      </c>
      <c r="B74" s="127">
        <f>INDEX('[1]Passage Estimates'!$D$6:$D$128, MATCH($A74, '[1]Passage Estimates'!$A$6:$A$128,0))</f>
        <v>592130.40000000026</v>
      </c>
      <c r="C74" s="128">
        <f>INDEX('2. Salmon Passage by Bin'!$K$6:$K$128, MATCH('FW Summary'!$A74,'2. Salmon Passage by Bin'!$A$6:$A$128,0))</f>
        <v>36081.120000000286</v>
      </c>
      <c r="D74" s="76">
        <f>INDEX('2. Salmon Passage by Bin'!$E$6:$E$128, MATCH('FW Summary'!$A74, '2. Salmon Passage by Bin'!$A$6:$A$128,0))+INDEX('2. Salmon Passage by Bin'!$F$6:$F$128, MATCH('FW Summary'!$A74, '2. Salmon Passage by Bin'!$A$6:$A$128,0))+INDEX('2. Salmon Passage by Bin'!$G$6:$G$128, MATCH('FW Summary'!$A74, '2. Salmon Passage by Bin'!$A$6:$A$128,0))+INDEX('2. Salmon Passage by Bin'!$H$6:$H$128, MATCH('FW Summary'!$A74, '2. Salmon Passage by Bin'!$A$6:$A$128,0))+_xlfn.IFNA(INDEX('2. Salmon Passage by Bin'!$I$6:$I$128, MATCH('FW Summary'!$A74, '2. Salmon Passage by Bin'!$A$6:$A$128,0)),0)+_xlfn.IFNA(INDEX('2. Salmon Passage by Bin'!$J$6:$J$128, MATCH('FW Summary'!$A74, '2. Salmon Passage by Bin'!$A$6:$A$128,0)),0)</f>
        <v>474404.88</v>
      </c>
      <c r="E74" s="129">
        <f>INDEX('2. Salmon Passage by Bin'!$M$6:$M$128, MATCH('FW Summary'!$A74, '2. Salmon Passage by Bin'!$A$6:$A$128,0))+INDEX('2. Salmon Passage by Bin'!$N$6:$N$128, MATCH('FW Summary'!$A74, '2. Salmon Passage by Bin'!$A$6:$A$128,0))+INDEX('2. Salmon Passage by Bin'!$O$6:$O$128, MATCH('FW Summary'!$A74, '2. Salmon Passage by Bin'!$A$6:$A$128,0))</f>
        <v>77600.639999999985</v>
      </c>
      <c r="F74" s="130" t="e">
        <f t="shared" si="16"/>
        <v>#N/A</v>
      </c>
      <c r="G74" s="145" t="e">
        <f t="shared" si="17"/>
        <v>#N/A</v>
      </c>
      <c r="H74" s="71" t="e">
        <f>INDEX('FW Catch'!F74:F166, MATCH('FW Summary'!A74, 'FW Catch'!A74:A166))</f>
        <v>#DIV/0!</v>
      </c>
      <c r="I74" s="142">
        <f>INDEX('Pink Proportion'!$S$6:$S$128, MATCH('FW Summary'!A74, 'Pink Proportion'!$A$6:$A$128))/C74</f>
        <v>0.8375634517766497</v>
      </c>
      <c r="J74" s="131" t="e">
        <f t="shared" si="13"/>
        <v>#N/A</v>
      </c>
      <c r="K74" s="130" t="e">
        <f t="shared" si="18"/>
        <v>#N/A</v>
      </c>
      <c r="L74" s="145" t="e">
        <f t="shared" si="19"/>
        <v>#N/A</v>
      </c>
      <c r="M74" s="71" t="e">
        <f>INDEX('FW Catch'!G74:G166, MATCH('FW Summary'!A74, 'FW Catch'!A74:A166))</f>
        <v>#DIV/0!</v>
      </c>
      <c r="N74" s="17">
        <f>INDEX(WhonSpComp!AN76:AN203, MATCH('FW Summary'!A74, WhonSpComp!A76:A203,0))</f>
        <v>4.060913705583756E-2</v>
      </c>
      <c r="O74" s="131" t="e">
        <f t="shared" si="20"/>
        <v>#N/A</v>
      </c>
      <c r="P74" s="130" t="e">
        <f t="shared" si="21"/>
        <v>#N/A</v>
      </c>
      <c r="Q74" s="145" t="e">
        <f t="shared" si="22"/>
        <v>#N/A</v>
      </c>
      <c r="R74" s="71" t="e">
        <f>INDEX('FW Catch'!H74:H166, MATCH('FW Summary'!A74, 'FW Catch'!A74:A166))</f>
        <v>#DIV/0!</v>
      </c>
      <c r="S74" s="17">
        <f>INDEX(WhonSpComp!AT76:AT203, MATCH('FW Summary'!A74, WhonSpComp!A76:A203,0))</f>
        <v>0.1116751269035533</v>
      </c>
      <c r="T74" s="131" t="e">
        <f t="shared" si="23"/>
        <v>#N/A</v>
      </c>
      <c r="U74" s="130" t="e">
        <f t="shared" si="24"/>
        <v>#N/A</v>
      </c>
      <c r="V74" s="145" t="e">
        <f t="shared" si="25"/>
        <v>#N/A</v>
      </c>
      <c r="W74" s="71" t="e">
        <f>INDEX('FW Catch'!I74:I166, MATCH('FW Summary'!A74, 'FW Catch'!A74:A166))</f>
        <v>#DIV/0!</v>
      </c>
      <c r="X74" s="17">
        <f>INDEX(WhonSpComp!AV76:AV203, MATCH('FW Summary'!A74, WhonSpComp!A76:A203,0))</f>
        <v>0</v>
      </c>
      <c r="Y74" s="131" t="e">
        <f t="shared" si="26"/>
        <v>#N/A</v>
      </c>
    </row>
    <row r="75" spans="1:25" x14ac:dyDescent="0.3">
      <c r="A75" s="1">
        <f t="shared" si="27"/>
        <v>45174</v>
      </c>
      <c r="B75" s="127">
        <f>INDEX('[1]Passage Estimates'!$D$6:$D$128, MATCH($A75, '[1]Passage Estimates'!$A$6:$A$128,0))</f>
        <v>355156.56000000011</v>
      </c>
      <c r="C75" s="128">
        <f>INDEX('2. Salmon Passage by Bin'!$K$6:$K$128, MATCH('FW Summary'!$A75,'2. Salmon Passage by Bin'!$A$6:$A$128,0))</f>
        <v>53021.760000000082</v>
      </c>
      <c r="D75" s="76">
        <f>INDEX('2. Salmon Passage by Bin'!$E$6:$E$128, MATCH('FW Summary'!$A75, '2. Salmon Passage by Bin'!$A$6:$A$128,0))+INDEX('2. Salmon Passage by Bin'!$F$6:$F$128, MATCH('FW Summary'!$A75, '2. Salmon Passage by Bin'!$A$6:$A$128,0))+INDEX('2. Salmon Passage by Bin'!$G$6:$G$128, MATCH('FW Summary'!$A75, '2. Salmon Passage by Bin'!$A$6:$A$128,0))+INDEX('2. Salmon Passage by Bin'!$H$6:$H$128, MATCH('FW Summary'!$A75, '2. Salmon Passage by Bin'!$A$6:$A$128,0))+_xlfn.IFNA(INDEX('2. Salmon Passage by Bin'!$I$6:$I$128, MATCH('FW Summary'!$A75, '2. Salmon Passage by Bin'!$A$6:$A$128,0)),0)+_xlfn.IFNA(INDEX('2. Salmon Passage by Bin'!$J$6:$J$128, MATCH('FW Summary'!$A75, '2. Salmon Passage by Bin'!$A$6:$A$128,0)),0)</f>
        <v>253909.2</v>
      </c>
      <c r="E75" s="129">
        <f>INDEX('2. Salmon Passage by Bin'!$M$6:$M$128, MATCH('FW Summary'!$A75, '2. Salmon Passage by Bin'!$A$6:$A$128,0))+INDEX('2. Salmon Passage by Bin'!$N$6:$N$128, MATCH('FW Summary'!$A75, '2. Salmon Passage by Bin'!$A$6:$A$128,0))+INDEX('2. Salmon Passage by Bin'!$O$6:$O$128, MATCH('FW Summary'!$A75, '2. Salmon Passage by Bin'!$A$6:$A$128,0))</f>
        <v>46859.040000000001</v>
      </c>
      <c r="F75" s="130" t="e">
        <f t="shared" si="16"/>
        <v>#N/A</v>
      </c>
      <c r="G75" s="145" t="e">
        <f t="shared" si="17"/>
        <v>#N/A</v>
      </c>
      <c r="H75" s="71" t="e">
        <f>INDEX('FW Catch'!F75:F167, MATCH('FW Summary'!A75, 'FW Catch'!A75:A167))</f>
        <v>#DIV/0!</v>
      </c>
      <c r="I75" s="142">
        <f>INDEX('Pink Proportion'!$S$6:$S$128, MATCH('FW Summary'!A75, 'Pink Proportion'!$A$6:$A$128))/C75</f>
        <v>0.3888888888888889</v>
      </c>
      <c r="J75" s="131" t="e">
        <f t="shared" si="13"/>
        <v>#N/A</v>
      </c>
      <c r="K75" s="130" t="e">
        <f t="shared" si="18"/>
        <v>#N/A</v>
      </c>
      <c r="L75" s="145" t="e">
        <f t="shared" si="19"/>
        <v>#N/A</v>
      </c>
      <c r="M75" s="71" t="e">
        <f>INDEX('FW Catch'!G75:G167, MATCH('FW Summary'!A75, 'FW Catch'!A75:A167))</f>
        <v>#DIV/0!</v>
      </c>
      <c r="N75" s="17">
        <f>INDEX(WhonSpComp!AN77:AN204, MATCH('FW Summary'!A75, WhonSpComp!A77:A204,0))</f>
        <v>0.44444444444444442</v>
      </c>
      <c r="O75" s="131" t="e">
        <f t="shared" si="20"/>
        <v>#N/A</v>
      </c>
      <c r="P75" s="130" t="e">
        <f t="shared" si="21"/>
        <v>#N/A</v>
      </c>
      <c r="Q75" s="145" t="e">
        <f t="shared" si="22"/>
        <v>#N/A</v>
      </c>
      <c r="R75" s="71" t="e">
        <f>INDEX('FW Catch'!H75:H167, MATCH('FW Summary'!A75, 'FW Catch'!A75:A167))</f>
        <v>#DIV/0!</v>
      </c>
      <c r="S75" s="17">
        <f>INDEX(WhonSpComp!AT77:AT204, MATCH('FW Summary'!A75, WhonSpComp!A77:A204,0))</f>
        <v>0.16666666666666666</v>
      </c>
      <c r="T75" s="131" t="e">
        <f t="shared" si="23"/>
        <v>#N/A</v>
      </c>
      <c r="U75" s="130" t="e">
        <f t="shared" si="24"/>
        <v>#N/A</v>
      </c>
      <c r="V75" s="145" t="e">
        <f t="shared" si="25"/>
        <v>#N/A</v>
      </c>
      <c r="W75" s="71" t="e">
        <f>INDEX('FW Catch'!I75:I167, MATCH('FW Summary'!A75, 'FW Catch'!A75:A167))</f>
        <v>#DIV/0!</v>
      </c>
      <c r="X75" s="17">
        <f>INDEX(WhonSpComp!AV77:AV204, MATCH('FW Summary'!A75, WhonSpComp!A77:A204,0))</f>
        <v>0</v>
      </c>
      <c r="Y75" s="131" t="e">
        <f t="shared" si="26"/>
        <v>#N/A</v>
      </c>
    </row>
    <row r="76" spans="1:25" x14ac:dyDescent="0.3">
      <c r="A76" s="1">
        <f t="shared" si="27"/>
        <v>45175</v>
      </c>
      <c r="B76" s="127">
        <f>INDEX('[1]Passage Estimates'!$D$6:$D$128, MATCH($A76, '[1]Passage Estimates'!$A$6:$A$128,0))</f>
        <v>245899.91999999987</v>
      </c>
      <c r="C76" s="128">
        <f>INDEX('2. Salmon Passage by Bin'!$K$6:$K$128, MATCH('FW Summary'!$A76,'2. Salmon Passage by Bin'!$A$6:$A$128,0))</f>
        <v>28317.839999999866</v>
      </c>
      <c r="D76" s="76">
        <f>INDEX('2. Salmon Passage by Bin'!$E$6:$E$128, MATCH('FW Summary'!$A76, '2. Salmon Passage by Bin'!$A$6:$A$128,0))+INDEX('2. Salmon Passage by Bin'!$F$6:$F$128, MATCH('FW Summary'!$A76, '2. Salmon Passage by Bin'!$A$6:$A$128,0))+INDEX('2. Salmon Passage by Bin'!$G$6:$G$128, MATCH('FW Summary'!$A76, '2. Salmon Passage by Bin'!$A$6:$A$128,0))+INDEX('2. Salmon Passage by Bin'!$H$6:$H$128, MATCH('FW Summary'!$A76, '2. Salmon Passage by Bin'!$A$6:$A$128,0))+_xlfn.IFNA(INDEX('2. Salmon Passage by Bin'!$I$6:$I$128, MATCH('FW Summary'!$A76, '2. Salmon Passage by Bin'!$A$6:$A$128,0)),0)+_xlfn.IFNA(INDEX('2. Salmon Passage by Bin'!$J$6:$J$128, MATCH('FW Summary'!$A76, '2. Salmon Passage by Bin'!$A$6:$A$128,0)),0)</f>
        <v>188976.72</v>
      </c>
      <c r="E76" s="129">
        <f>INDEX('2. Salmon Passage by Bin'!$M$6:$M$128, MATCH('FW Summary'!$A76, '2. Salmon Passage by Bin'!$A$6:$A$128,0))+INDEX('2. Salmon Passage by Bin'!$N$6:$N$128, MATCH('FW Summary'!$A76, '2. Salmon Passage by Bin'!$A$6:$A$128,0))+INDEX('2. Salmon Passage by Bin'!$O$6:$O$128, MATCH('FW Summary'!$A76, '2. Salmon Passage by Bin'!$A$6:$A$128,0))</f>
        <v>27179.279999999999</v>
      </c>
      <c r="F76" s="130" t="e">
        <f t="shared" si="16"/>
        <v>#N/A</v>
      </c>
      <c r="G76" s="145" t="e">
        <f t="shared" si="17"/>
        <v>#N/A</v>
      </c>
      <c r="H76" s="71" t="e">
        <f>INDEX('FW Catch'!F76:F168, MATCH('FW Summary'!A76, 'FW Catch'!A76:A168))</f>
        <v>#DIV/0!</v>
      </c>
      <c r="I76" s="142">
        <f>INDEX('Pink Proportion'!$S$6:$S$128, MATCH('FW Summary'!A76, 'Pink Proportion'!$A$6:$A$128))/C76</f>
        <v>0.57692307692307687</v>
      </c>
      <c r="J76" s="131" t="e">
        <f t="shared" si="13"/>
        <v>#N/A</v>
      </c>
      <c r="K76" s="130" t="e">
        <f t="shared" si="18"/>
        <v>#N/A</v>
      </c>
      <c r="L76" s="145" t="e">
        <f t="shared" si="19"/>
        <v>#N/A</v>
      </c>
      <c r="M76" s="71" t="e">
        <f>INDEX('FW Catch'!G76:G168, MATCH('FW Summary'!A76, 'FW Catch'!A76:A168))</f>
        <v>#DIV/0!</v>
      </c>
      <c r="N76" s="17">
        <f>INDEX(WhonSpComp!AN78:AN205, MATCH('FW Summary'!A76, WhonSpComp!A78:A205,0))</f>
        <v>0.34615384615384615</v>
      </c>
      <c r="O76" s="131" t="e">
        <f t="shared" si="20"/>
        <v>#N/A</v>
      </c>
      <c r="P76" s="130" t="e">
        <f t="shared" si="21"/>
        <v>#N/A</v>
      </c>
      <c r="Q76" s="145" t="e">
        <f t="shared" si="22"/>
        <v>#N/A</v>
      </c>
      <c r="R76" s="71" t="e">
        <f>INDEX('FW Catch'!H76:H168, MATCH('FW Summary'!A76, 'FW Catch'!A76:A168))</f>
        <v>#DIV/0!</v>
      </c>
      <c r="S76" s="17">
        <f>INDEX(WhonSpComp!AT78:AT205, MATCH('FW Summary'!A76, WhonSpComp!A78:A205,0))</f>
        <v>7.6923076923076927E-2</v>
      </c>
      <c r="T76" s="131" t="e">
        <f t="shared" si="23"/>
        <v>#N/A</v>
      </c>
      <c r="U76" s="130" t="e">
        <f t="shared" si="24"/>
        <v>#N/A</v>
      </c>
      <c r="V76" s="145" t="e">
        <f t="shared" si="25"/>
        <v>#N/A</v>
      </c>
      <c r="W76" s="71" t="e">
        <f>INDEX('FW Catch'!I76:I168, MATCH('FW Summary'!A76, 'FW Catch'!A76:A168))</f>
        <v>#DIV/0!</v>
      </c>
      <c r="X76" s="17">
        <f>INDEX(WhonSpComp!AV78:AV205, MATCH('FW Summary'!A76, WhonSpComp!A78:A205,0))</f>
        <v>0</v>
      </c>
      <c r="Y76" s="131" t="e">
        <f t="shared" si="26"/>
        <v>#N/A</v>
      </c>
    </row>
    <row r="77" spans="1:25" x14ac:dyDescent="0.3">
      <c r="A77" s="1">
        <f t="shared" si="27"/>
        <v>45176</v>
      </c>
      <c r="B77" s="127">
        <f>INDEX('[1]Passage Estimates'!$D$6:$D$128, MATCH($A77, '[1]Passage Estimates'!$A$6:$A$128,0))</f>
        <v>315355.44000000006</v>
      </c>
      <c r="C77" s="128">
        <f>INDEX('2. Salmon Passage by Bin'!$K$6:$K$128, MATCH('FW Summary'!$A77,'2. Salmon Passage by Bin'!$A$6:$A$128,0))</f>
        <v>23307.600000000079</v>
      </c>
      <c r="D77" s="76">
        <f>INDEX('2. Salmon Passage by Bin'!$E$6:$E$128, MATCH('FW Summary'!$A77, '2. Salmon Passage by Bin'!$A$6:$A$128,0))+INDEX('2. Salmon Passage by Bin'!$F$6:$F$128, MATCH('FW Summary'!$A77, '2. Salmon Passage by Bin'!$A$6:$A$128,0))+INDEX('2. Salmon Passage by Bin'!$G$6:$G$128, MATCH('FW Summary'!$A77, '2. Salmon Passage by Bin'!$A$6:$A$128,0))+INDEX('2. Salmon Passage by Bin'!$H$6:$H$128, MATCH('FW Summary'!$A77, '2. Salmon Passage by Bin'!$A$6:$A$128,0))+_xlfn.IFNA(INDEX('2. Salmon Passage by Bin'!$I$6:$I$128, MATCH('FW Summary'!$A77, '2. Salmon Passage by Bin'!$A$6:$A$128,0)),0)+_xlfn.IFNA(INDEX('2. Salmon Passage by Bin'!$J$6:$J$128, MATCH('FW Summary'!$A77, '2. Salmon Passage by Bin'!$A$6:$A$128,0)),0)</f>
        <v>269191.67999999999</v>
      </c>
      <c r="E77" s="129">
        <f>INDEX('2. Salmon Passage by Bin'!$M$6:$M$128, MATCH('FW Summary'!$A77, '2. Salmon Passage by Bin'!$A$6:$A$128,0))+INDEX('2. Salmon Passage by Bin'!$N$6:$N$128, MATCH('FW Summary'!$A77, '2. Salmon Passage by Bin'!$A$6:$A$128,0))+INDEX('2. Salmon Passage by Bin'!$O$6:$O$128, MATCH('FW Summary'!$A77, '2. Salmon Passage by Bin'!$A$6:$A$128,0))</f>
        <v>21332.16</v>
      </c>
      <c r="F77" s="130" t="e">
        <f t="shared" si="16"/>
        <v>#N/A</v>
      </c>
      <c r="G77" s="145" t="e">
        <f t="shared" si="17"/>
        <v>#N/A</v>
      </c>
      <c r="H77" s="71" t="e">
        <f>INDEX('FW Catch'!F77:F169, MATCH('FW Summary'!A77, 'FW Catch'!A77:A169))</f>
        <v>#DIV/0!</v>
      </c>
      <c r="I77" s="142">
        <f>INDEX('Pink Proportion'!$S$6:$S$128, MATCH('FW Summary'!A77, 'Pink Proportion'!$A$6:$A$128))/C77</f>
        <v>0.68</v>
      </c>
      <c r="J77" s="131" t="e">
        <f t="shared" si="13"/>
        <v>#N/A</v>
      </c>
      <c r="K77" s="130" t="e">
        <f t="shared" si="18"/>
        <v>#N/A</v>
      </c>
      <c r="L77" s="145" t="e">
        <f t="shared" si="19"/>
        <v>#N/A</v>
      </c>
      <c r="M77" s="71" t="e">
        <f>INDEX('FW Catch'!G77:G169, MATCH('FW Summary'!A77, 'FW Catch'!A77:A169))</f>
        <v>#DIV/0!</v>
      </c>
      <c r="N77" s="17">
        <f>INDEX(WhonSpComp!AN79:AN206, MATCH('FW Summary'!A77, WhonSpComp!A79:A206,0))</f>
        <v>0.08</v>
      </c>
      <c r="O77" s="131" t="e">
        <f t="shared" si="20"/>
        <v>#N/A</v>
      </c>
      <c r="P77" s="130" t="e">
        <f t="shared" si="21"/>
        <v>#N/A</v>
      </c>
      <c r="Q77" s="145" t="e">
        <f t="shared" si="22"/>
        <v>#N/A</v>
      </c>
      <c r="R77" s="71" t="e">
        <f>INDEX('FW Catch'!H77:H169, MATCH('FW Summary'!A77, 'FW Catch'!A77:A169))</f>
        <v>#DIV/0!</v>
      </c>
      <c r="S77" s="17">
        <f>INDEX(WhonSpComp!AT79:AT206, MATCH('FW Summary'!A77, WhonSpComp!A79:A206,0))</f>
        <v>0.14000000000000001</v>
      </c>
      <c r="T77" s="131" t="e">
        <f t="shared" si="23"/>
        <v>#N/A</v>
      </c>
      <c r="U77" s="130" t="e">
        <f t="shared" si="24"/>
        <v>#N/A</v>
      </c>
      <c r="V77" s="145" t="e">
        <f t="shared" si="25"/>
        <v>#N/A</v>
      </c>
      <c r="W77" s="71" t="e">
        <f>INDEX('FW Catch'!I77:I169, MATCH('FW Summary'!A77, 'FW Catch'!A77:A169))</f>
        <v>#DIV/0!</v>
      </c>
      <c r="X77" s="17">
        <f>INDEX(WhonSpComp!AV79:AV206, MATCH('FW Summary'!A77, WhonSpComp!A79:A206,0))</f>
        <v>0.04</v>
      </c>
      <c r="Y77" s="131" t="e">
        <f t="shared" si="26"/>
        <v>#N/A</v>
      </c>
    </row>
    <row r="78" spans="1:25" x14ac:dyDescent="0.3">
      <c r="A78" s="1">
        <f t="shared" si="27"/>
        <v>45177</v>
      </c>
      <c r="B78" s="127">
        <f>INDEX('[1]Passage Estimates'!$D$6:$D$128, MATCH($A78, '[1]Passage Estimates'!$A$6:$A$128,0))</f>
        <v>290232.72000000009</v>
      </c>
      <c r="C78" s="128">
        <f>INDEX('2. Salmon Passage by Bin'!$K$6:$K$128, MATCH('FW Summary'!$A78,'2. Salmon Passage by Bin'!$A$6:$A$128,0))</f>
        <v>25559.520000000077</v>
      </c>
      <c r="D78" s="76">
        <f>INDEX('2. Salmon Passage by Bin'!$E$6:$E$128, MATCH('FW Summary'!$A78, '2. Salmon Passage by Bin'!$A$6:$A$128,0))+INDEX('2. Salmon Passage by Bin'!$F$6:$F$128, MATCH('FW Summary'!$A78, '2. Salmon Passage by Bin'!$A$6:$A$128,0))+INDEX('2. Salmon Passage by Bin'!$G$6:$G$128, MATCH('FW Summary'!$A78, '2. Salmon Passage by Bin'!$A$6:$A$128,0))+INDEX('2. Salmon Passage by Bin'!$H$6:$H$128, MATCH('FW Summary'!$A78, '2. Salmon Passage by Bin'!$A$6:$A$128,0))+_xlfn.IFNA(INDEX('2. Salmon Passage by Bin'!$I$6:$I$128, MATCH('FW Summary'!$A78, '2. Salmon Passage by Bin'!$A$6:$A$128,0)),0)+_xlfn.IFNA(INDEX('2. Salmon Passage by Bin'!$J$6:$J$128, MATCH('FW Summary'!$A78, '2. Salmon Passage by Bin'!$A$6:$A$128,0)),0)</f>
        <v>240811.43999999997</v>
      </c>
      <c r="E78" s="129">
        <f>INDEX('2. Salmon Passage by Bin'!$M$6:$M$128, MATCH('FW Summary'!$A78, '2. Salmon Passage by Bin'!$A$6:$A$128,0))+INDEX('2. Salmon Passage by Bin'!$N$6:$N$128, MATCH('FW Summary'!$A78, '2. Salmon Passage by Bin'!$A$6:$A$128,0))+INDEX('2. Salmon Passage by Bin'!$O$6:$O$128, MATCH('FW Summary'!$A78, '2. Salmon Passage by Bin'!$A$6:$A$128,0))</f>
        <v>22697.759999999998</v>
      </c>
      <c r="F78" s="130" t="e">
        <f t="shared" si="16"/>
        <v>#N/A</v>
      </c>
      <c r="G78" s="145" t="e">
        <f t="shared" si="17"/>
        <v>#N/A</v>
      </c>
      <c r="H78" s="71" t="e">
        <f>INDEX('FW Catch'!F78:F170, MATCH('FW Summary'!A78, 'FW Catch'!A78:A170))</f>
        <v>#DIV/0!</v>
      </c>
      <c r="I78" s="142">
        <f>INDEX('Pink Proportion'!$S$6:$S$128, MATCH('FW Summary'!A78, 'Pink Proportion'!$A$6:$A$128))/C78</f>
        <v>0.93288590604026833</v>
      </c>
      <c r="J78" s="131" t="e">
        <f t="shared" si="13"/>
        <v>#N/A</v>
      </c>
      <c r="K78" s="130" t="e">
        <f t="shared" si="18"/>
        <v>#N/A</v>
      </c>
      <c r="L78" s="145" t="e">
        <f t="shared" si="19"/>
        <v>#N/A</v>
      </c>
      <c r="M78" s="71" t="e">
        <f>INDEX('FW Catch'!G78:G170, MATCH('FW Summary'!A78, 'FW Catch'!A78:A170))</f>
        <v>#DIV/0!</v>
      </c>
      <c r="N78" s="17">
        <f>INDEX(WhonSpComp!AN80:AN207, MATCH('FW Summary'!A78, WhonSpComp!A80:A207,0))</f>
        <v>4.0268456375838924E-2</v>
      </c>
      <c r="O78" s="131" t="e">
        <f t="shared" si="20"/>
        <v>#N/A</v>
      </c>
      <c r="P78" s="130" t="e">
        <f t="shared" si="21"/>
        <v>#N/A</v>
      </c>
      <c r="Q78" s="145" t="e">
        <f t="shared" si="22"/>
        <v>#N/A</v>
      </c>
      <c r="R78" s="71" t="e">
        <f>INDEX('FW Catch'!H78:H170, MATCH('FW Summary'!A78, 'FW Catch'!A78:A170))</f>
        <v>#DIV/0!</v>
      </c>
      <c r="S78" s="17">
        <f>INDEX(WhonSpComp!AT80:AT207, MATCH('FW Summary'!A78, WhonSpComp!A80:A207,0))</f>
        <v>2.0134228187919462E-2</v>
      </c>
      <c r="T78" s="131" t="e">
        <f t="shared" si="23"/>
        <v>#N/A</v>
      </c>
      <c r="U78" s="130" t="e">
        <f t="shared" si="24"/>
        <v>#N/A</v>
      </c>
      <c r="V78" s="145" t="e">
        <f t="shared" si="25"/>
        <v>#N/A</v>
      </c>
      <c r="W78" s="71" t="e">
        <f>INDEX('FW Catch'!I78:I170, MATCH('FW Summary'!A78, 'FW Catch'!A78:A170))</f>
        <v>#DIV/0!</v>
      </c>
      <c r="X78" s="17">
        <f>INDEX(WhonSpComp!AV80:AV207, MATCH('FW Summary'!A78, WhonSpComp!A80:A207,0))</f>
        <v>0</v>
      </c>
      <c r="Y78" s="131" t="e">
        <f t="shared" si="26"/>
        <v>#N/A</v>
      </c>
    </row>
    <row r="79" spans="1:25" x14ac:dyDescent="0.3">
      <c r="A79" s="1">
        <f t="shared" si="27"/>
        <v>45178</v>
      </c>
      <c r="B79" s="127">
        <f>INDEX('[1]Passage Estimates'!$D$6:$D$128, MATCH($A79, '[1]Passage Estimates'!$A$6:$A$128,0))</f>
        <v>260301.12</v>
      </c>
      <c r="C79" s="128">
        <f>INDEX('2. Salmon Passage by Bin'!$K$6:$K$128, MATCH('FW Summary'!$A79,'2. Salmon Passage by Bin'!$A$6:$A$128,0))</f>
        <v>37261.439999999944</v>
      </c>
      <c r="D79" s="76">
        <f>INDEX('2. Salmon Passage by Bin'!$E$6:$E$128, MATCH('FW Summary'!$A79, '2. Salmon Passage by Bin'!$A$6:$A$128,0))+INDEX('2. Salmon Passage by Bin'!$F$6:$F$128, MATCH('FW Summary'!$A79, '2. Salmon Passage by Bin'!$A$6:$A$128,0))+INDEX('2. Salmon Passage by Bin'!$G$6:$G$128, MATCH('FW Summary'!$A79, '2. Salmon Passage by Bin'!$A$6:$A$128,0))+INDEX('2. Salmon Passage by Bin'!$H$6:$H$128, MATCH('FW Summary'!$A79, '2. Salmon Passage by Bin'!$A$6:$A$128,0))+_xlfn.IFNA(INDEX('2. Salmon Passage by Bin'!$I$6:$I$128, MATCH('FW Summary'!$A79, '2. Salmon Passage by Bin'!$A$6:$A$128,0)),0)+_xlfn.IFNA(INDEX('2. Salmon Passage by Bin'!$J$6:$J$128, MATCH('FW Summary'!$A79, '2. Salmon Passage by Bin'!$A$6:$A$128,0)),0)</f>
        <v>194722.08</v>
      </c>
      <c r="E79" s="129">
        <f>INDEX('2. Salmon Passage by Bin'!$M$6:$M$128, MATCH('FW Summary'!$A79, '2. Salmon Passage by Bin'!$A$6:$A$128,0))+INDEX('2. Salmon Passage by Bin'!$N$6:$N$128, MATCH('FW Summary'!$A79, '2. Salmon Passage by Bin'!$A$6:$A$128,0))+INDEX('2. Salmon Passage by Bin'!$O$6:$O$128, MATCH('FW Summary'!$A79, '2. Salmon Passage by Bin'!$A$6:$A$128,0))</f>
        <v>26556.240000000002</v>
      </c>
      <c r="F79" s="130" t="e">
        <f t="shared" si="16"/>
        <v>#N/A</v>
      </c>
      <c r="G79" s="145" t="e">
        <f t="shared" si="17"/>
        <v>#N/A</v>
      </c>
      <c r="H79" s="71" t="e">
        <f>INDEX('FW Catch'!F79:F171, MATCH('FW Summary'!A79, 'FW Catch'!A79:A171))</f>
        <v>#DIV/0!</v>
      </c>
      <c r="I79" s="142">
        <f>INDEX('Pink Proportion'!$S$6:$S$128, MATCH('FW Summary'!A79, 'Pink Proportion'!$A$6:$A$128))/C79</f>
        <v>0.94468085106382971</v>
      </c>
      <c r="J79" s="131" t="e">
        <f t="shared" si="13"/>
        <v>#N/A</v>
      </c>
      <c r="K79" s="130" t="e">
        <f t="shared" si="18"/>
        <v>#N/A</v>
      </c>
      <c r="L79" s="145" t="e">
        <f t="shared" si="19"/>
        <v>#N/A</v>
      </c>
      <c r="M79" s="71" t="e">
        <f>INDEX('FW Catch'!G79:G171, MATCH('FW Summary'!A79, 'FW Catch'!A79:A171))</f>
        <v>#DIV/0!</v>
      </c>
      <c r="N79" s="17">
        <f>INDEX(WhonSpComp!AN81:AN208, MATCH('FW Summary'!A79, WhonSpComp!A81:A208,0))</f>
        <v>2.9787234042553193E-2</v>
      </c>
      <c r="O79" s="131" t="e">
        <f t="shared" si="20"/>
        <v>#N/A</v>
      </c>
      <c r="P79" s="130" t="e">
        <f t="shared" si="21"/>
        <v>#N/A</v>
      </c>
      <c r="Q79" s="145" t="e">
        <f t="shared" si="22"/>
        <v>#N/A</v>
      </c>
      <c r="R79" s="71" t="e">
        <f>INDEX('FW Catch'!H79:H171, MATCH('FW Summary'!A79, 'FW Catch'!A79:A171))</f>
        <v>#DIV/0!</v>
      </c>
      <c r="S79" s="17">
        <f>INDEX(WhonSpComp!AT81:AT208, MATCH('FW Summary'!A79, WhonSpComp!A81:A208,0))</f>
        <v>4.2553191489361703E-3</v>
      </c>
      <c r="T79" s="131" t="e">
        <f t="shared" si="23"/>
        <v>#N/A</v>
      </c>
      <c r="U79" s="130" t="e">
        <f t="shared" si="24"/>
        <v>#N/A</v>
      </c>
      <c r="V79" s="145" t="e">
        <f t="shared" si="25"/>
        <v>#N/A</v>
      </c>
      <c r="W79" s="71" t="e">
        <f>INDEX('FW Catch'!I79:I171, MATCH('FW Summary'!A79, 'FW Catch'!A79:A171))</f>
        <v>#DIV/0!</v>
      </c>
      <c r="X79" s="17">
        <f>INDEX(WhonSpComp!AV81:AV208, MATCH('FW Summary'!A79, WhonSpComp!A81:A208,0))</f>
        <v>4.2553191489361703E-3</v>
      </c>
      <c r="Y79" s="131" t="e">
        <f t="shared" si="26"/>
        <v>#N/A</v>
      </c>
    </row>
    <row r="80" spans="1:25" x14ac:dyDescent="0.3">
      <c r="A80" s="1">
        <f t="shared" si="27"/>
        <v>45179</v>
      </c>
      <c r="B80" s="127">
        <f>INDEX('[1]Passage Estimates'!$D$6:$D$128, MATCH($A80, '[1]Passage Estimates'!$A$6:$A$128,0))</f>
        <v>354031.19999999995</v>
      </c>
      <c r="C80" s="128">
        <f>INDEX('2. Salmon Passage by Bin'!$K$6:$K$128, MATCH('FW Summary'!$A80,'2. Salmon Passage by Bin'!$A$6:$A$128,0))</f>
        <v>51227.279999999941</v>
      </c>
      <c r="D80" s="76">
        <f>INDEX('2. Salmon Passage by Bin'!$E$6:$E$128, MATCH('FW Summary'!$A80, '2. Salmon Passage by Bin'!$A$6:$A$128,0))+INDEX('2. Salmon Passage by Bin'!$F$6:$F$128, MATCH('FW Summary'!$A80, '2. Salmon Passage by Bin'!$A$6:$A$128,0))+INDEX('2. Salmon Passage by Bin'!$G$6:$G$128, MATCH('FW Summary'!$A80, '2. Salmon Passage by Bin'!$A$6:$A$128,0))+INDEX('2. Salmon Passage by Bin'!$H$6:$H$128, MATCH('FW Summary'!$A80, '2. Salmon Passage by Bin'!$A$6:$A$128,0))+_xlfn.IFNA(INDEX('2. Salmon Passage by Bin'!$I$6:$I$128, MATCH('FW Summary'!$A80, '2. Salmon Passage by Bin'!$A$6:$A$128,0)),0)+_xlfn.IFNA(INDEX('2. Salmon Passage by Bin'!$J$6:$J$128, MATCH('FW Summary'!$A80, '2. Salmon Passage by Bin'!$A$6:$A$128,0)),0)</f>
        <v>249834.00000000003</v>
      </c>
      <c r="E80" s="129">
        <f>INDEX('2. Salmon Passage by Bin'!$M$6:$M$128, MATCH('FW Summary'!$A80, '2. Salmon Passage by Bin'!$A$6:$A$128,0))+INDEX('2. Salmon Passage by Bin'!$N$6:$N$128, MATCH('FW Summary'!$A80, '2. Salmon Passage by Bin'!$A$6:$A$128,0))+INDEX('2. Salmon Passage by Bin'!$O$6:$O$128, MATCH('FW Summary'!$A80, '2. Salmon Passage by Bin'!$A$6:$A$128,0))</f>
        <v>49333.440000000002</v>
      </c>
      <c r="F80" s="130" t="e">
        <f t="shared" si="16"/>
        <v>#N/A</v>
      </c>
      <c r="G80" s="145" t="e">
        <f t="shared" si="17"/>
        <v>#N/A</v>
      </c>
      <c r="H80" s="71" t="e">
        <f>INDEX('FW Catch'!F80:F172, MATCH('FW Summary'!A80, 'FW Catch'!A80:A172))</f>
        <v>#DIV/0!</v>
      </c>
      <c r="I80" s="142">
        <f>INDEX('Pink Proportion'!$S$6:$S$128, MATCH('FW Summary'!A80, 'Pink Proportion'!$A$6:$A$128))/C80</f>
        <v>0.97058823529411753</v>
      </c>
      <c r="J80" s="131" t="e">
        <f t="shared" si="13"/>
        <v>#N/A</v>
      </c>
      <c r="K80" s="130" t="e">
        <f t="shared" si="18"/>
        <v>#N/A</v>
      </c>
      <c r="L80" s="145" t="e">
        <f t="shared" si="19"/>
        <v>#N/A</v>
      </c>
      <c r="M80" s="71" t="e">
        <f>INDEX('FW Catch'!G80:G172, MATCH('FW Summary'!A80, 'FW Catch'!A80:A172))</f>
        <v>#DIV/0!</v>
      </c>
      <c r="N80" s="17">
        <f>INDEX(WhonSpComp!AN82:AN209, MATCH('FW Summary'!A80, WhonSpComp!A82:A209,0))</f>
        <v>6.5359477124183009E-3</v>
      </c>
      <c r="O80" s="131" t="e">
        <f t="shared" si="20"/>
        <v>#N/A</v>
      </c>
      <c r="P80" s="130" t="e">
        <f t="shared" si="21"/>
        <v>#N/A</v>
      </c>
      <c r="Q80" s="145" t="e">
        <f t="shared" si="22"/>
        <v>#N/A</v>
      </c>
      <c r="R80" s="71" t="e">
        <f>INDEX('FW Catch'!H80:H172, MATCH('FW Summary'!A80, 'FW Catch'!A80:A172))</f>
        <v>#DIV/0!</v>
      </c>
      <c r="S80" s="17">
        <f>INDEX(WhonSpComp!AT82:AT209, MATCH('FW Summary'!A80, WhonSpComp!A82:A209,0))</f>
        <v>9.8039215686274508E-3</v>
      </c>
      <c r="T80" s="131" t="e">
        <f t="shared" si="23"/>
        <v>#N/A</v>
      </c>
      <c r="U80" s="130" t="e">
        <f t="shared" si="24"/>
        <v>#N/A</v>
      </c>
      <c r="V80" s="145" t="e">
        <f t="shared" si="25"/>
        <v>#N/A</v>
      </c>
      <c r="W80" s="71" t="e">
        <f>INDEX('FW Catch'!I80:I172, MATCH('FW Summary'!A80, 'FW Catch'!A80:A172))</f>
        <v>#DIV/0!</v>
      </c>
      <c r="X80" s="17">
        <f>INDEX(WhonSpComp!AV82:AV209, MATCH('FW Summary'!A80, WhonSpComp!A82:A209,0))</f>
        <v>0</v>
      </c>
      <c r="Y80" s="131" t="e">
        <f t="shared" si="26"/>
        <v>#N/A</v>
      </c>
    </row>
    <row r="81" spans="1:25" x14ac:dyDescent="0.3">
      <c r="A81" s="1">
        <f t="shared" si="27"/>
        <v>45180</v>
      </c>
      <c r="B81" s="127">
        <f>INDEX('[1]Passage Estimates'!$D$6:$D$128, MATCH($A81, '[1]Passage Estimates'!$A$6:$A$128,0))</f>
        <v>627612.00000000023</v>
      </c>
      <c r="C81" s="128">
        <f>INDEX('2. Salmon Passage by Bin'!$K$6:$K$128, MATCH('FW Summary'!$A81,'2. Salmon Passage by Bin'!$A$6:$A$128,0))</f>
        <v>71606.88000000015</v>
      </c>
      <c r="D81" s="76">
        <f>INDEX('2. Salmon Passage by Bin'!$E$6:$E$128, MATCH('FW Summary'!$A81, '2. Salmon Passage by Bin'!$A$6:$A$128,0))+INDEX('2. Salmon Passage by Bin'!$F$6:$F$128, MATCH('FW Summary'!$A81, '2. Salmon Passage by Bin'!$A$6:$A$128,0))+INDEX('2. Salmon Passage by Bin'!$G$6:$G$128, MATCH('FW Summary'!$A81, '2. Salmon Passage by Bin'!$A$6:$A$128,0))+INDEX('2. Salmon Passage by Bin'!$H$6:$H$128, MATCH('FW Summary'!$A81, '2. Salmon Passage by Bin'!$A$6:$A$128,0))+_xlfn.IFNA(INDEX('2. Salmon Passage by Bin'!$I$6:$I$128, MATCH('FW Summary'!$A81, '2. Salmon Passage by Bin'!$A$6:$A$128,0)),0)+_xlfn.IFNA(INDEX('2. Salmon Passage by Bin'!$J$6:$J$128, MATCH('FW Summary'!$A81, '2. Salmon Passage by Bin'!$A$6:$A$128,0)),0)</f>
        <v>500454.47999999992</v>
      </c>
      <c r="E81" s="129">
        <f>INDEX('2. Salmon Passage by Bin'!$M$6:$M$128, MATCH('FW Summary'!$A81, '2. Salmon Passage by Bin'!$A$6:$A$128,0))+INDEX('2. Salmon Passage by Bin'!$N$6:$N$128, MATCH('FW Summary'!$A81, '2. Salmon Passage by Bin'!$A$6:$A$128,0))+INDEX('2. Salmon Passage by Bin'!$O$6:$O$128, MATCH('FW Summary'!$A81, '2. Salmon Passage by Bin'!$A$6:$A$128,0))</f>
        <v>52491.839999999997</v>
      </c>
      <c r="F81" s="130" t="e">
        <f t="shared" si="16"/>
        <v>#N/A</v>
      </c>
      <c r="G81" s="145" t="e">
        <f t="shared" si="17"/>
        <v>#N/A</v>
      </c>
      <c r="H81" s="71" t="e">
        <f>INDEX('FW Catch'!F81:F173, MATCH('FW Summary'!A81, 'FW Catch'!A81:A173))</f>
        <v>#DIV/0!</v>
      </c>
      <c r="I81" s="142">
        <f>INDEX('Pink Proportion'!$S$6:$S$128, MATCH('FW Summary'!A81, 'Pink Proportion'!$A$6:$A$128))/C81</f>
        <v>0.96219931271477666</v>
      </c>
      <c r="J81" s="131" t="e">
        <f t="shared" si="13"/>
        <v>#N/A</v>
      </c>
      <c r="K81" s="130" t="e">
        <f t="shared" si="18"/>
        <v>#N/A</v>
      </c>
      <c r="L81" s="145" t="e">
        <f t="shared" si="19"/>
        <v>#N/A</v>
      </c>
      <c r="M81" s="71" t="e">
        <f>INDEX('FW Catch'!G81:G173, MATCH('FW Summary'!A81, 'FW Catch'!A81:A173))</f>
        <v>#DIV/0!</v>
      </c>
      <c r="N81" s="17">
        <f>INDEX(WhonSpComp!AN83:AN210, MATCH('FW Summary'!A81, WhonSpComp!A83:A210,0))</f>
        <v>1.7182130584192441E-2</v>
      </c>
      <c r="O81" s="131" t="e">
        <f t="shared" si="20"/>
        <v>#N/A</v>
      </c>
      <c r="P81" s="130" t="e">
        <f t="shared" si="21"/>
        <v>#N/A</v>
      </c>
      <c r="Q81" s="145" t="e">
        <f t="shared" si="22"/>
        <v>#N/A</v>
      </c>
      <c r="R81" s="71" t="e">
        <f>INDEX('FW Catch'!H81:H173, MATCH('FW Summary'!A81, 'FW Catch'!A81:A173))</f>
        <v>#DIV/0!</v>
      </c>
      <c r="S81" s="17">
        <f>INDEX(WhonSpComp!AT83:AT210, MATCH('FW Summary'!A81, WhonSpComp!A83:A210,0))</f>
        <v>1.3745704467353952E-2</v>
      </c>
      <c r="T81" s="131" t="e">
        <f t="shared" si="23"/>
        <v>#N/A</v>
      </c>
      <c r="U81" s="130" t="e">
        <f t="shared" si="24"/>
        <v>#N/A</v>
      </c>
      <c r="V81" s="145" t="e">
        <f t="shared" si="25"/>
        <v>#N/A</v>
      </c>
      <c r="W81" s="71" t="e">
        <f>INDEX('FW Catch'!I81:I173, MATCH('FW Summary'!A81, 'FW Catch'!A81:A173))</f>
        <v>#DIV/0!</v>
      </c>
      <c r="X81" s="17">
        <f>INDEX(WhonSpComp!AV83:AV210, MATCH('FW Summary'!A81, WhonSpComp!A83:A210,0))</f>
        <v>0</v>
      </c>
      <c r="Y81" s="131" t="e">
        <f t="shared" si="26"/>
        <v>#N/A</v>
      </c>
    </row>
    <row r="82" spans="1:25" x14ac:dyDescent="0.3">
      <c r="A82" s="1">
        <f t="shared" si="27"/>
        <v>45181</v>
      </c>
      <c r="B82" s="127">
        <f>INDEX('[1]Passage Estimates'!$D$6:$D$128, MATCH($A82, '[1]Passage Estimates'!$A$6:$A$128,0))</f>
        <v>671776.3200000003</v>
      </c>
      <c r="C82" s="128">
        <f>INDEX('2. Salmon Passage by Bin'!$K$6:$K$128, MATCH('FW Summary'!$A82,'2. Salmon Passage by Bin'!$A$6:$A$128,0))</f>
        <v>43404.480000000272</v>
      </c>
      <c r="D82" s="76">
        <f>INDEX('2. Salmon Passage by Bin'!$E$6:$E$128, MATCH('FW Summary'!$A82, '2. Salmon Passage by Bin'!$A$6:$A$128,0))+INDEX('2. Salmon Passage by Bin'!$F$6:$F$128, MATCH('FW Summary'!$A82, '2. Salmon Passage by Bin'!$A$6:$A$128,0))+INDEX('2. Salmon Passage by Bin'!$G$6:$G$128, MATCH('FW Summary'!$A82, '2. Salmon Passage by Bin'!$A$6:$A$128,0))+INDEX('2. Salmon Passage by Bin'!$H$6:$H$128, MATCH('FW Summary'!$A82, '2. Salmon Passage by Bin'!$A$6:$A$128,0))+_xlfn.IFNA(INDEX('2. Salmon Passage by Bin'!$I$6:$I$128, MATCH('FW Summary'!$A82, '2. Salmon Passage by Bin'!$A$6:$A$128,0)),0)+_xlfn.IFNA(INDEX('2. Salmon Passage by Bin'!$J$6:$J$128, MATCH('FW Summary'!$A82, '2. Salmon Passage by Bin'!$A$6:$A$128,0)),0)</f>
        <v>590153.5199999999</v>
      </c>
      <c r="E82" s="129">
        <f>INDEX('2. Salmon Passage by Bin'!$M$6:$M$128, MATCH('FW Summary'!$A82, '2. Salmon Passage by Bin'!$A$6:$A$128,0))+INDEX('2. Salmon Passage by Bin'!$N$6:$N$128, MATCH('FW Summary'!$A82, '2. Salmon Passage by Bin'!$A$6:$A$128,0))+INDEX('2. Salmon Passage by Bin'!$O$6:$O$128, MATCH('FW Summary'!$A82, '2. Salmon Passage by Bin'!$A$6:$A$128,0))</f>
        <v>37537.919999999998</v>
      </c>
      <c r="F82" s="130" t="e">
        <f t="shared" si="16"/>
        <v>#N/A</v>
      </c>
      <c r="G82" s="145" t="e">
        <f t="shared" si="17"/>
        <v>#N/A</v>
      </c>
      <c r="H82" s="71" t="e">
        <f>INDEX('FW Catch'!F82:F174, MATCH('FW Summary'!A82, 'FW Catch'!A82:A174))</f>
        <v>#DIV/0!</v>
      </c>
      <c r="I82" s="142">
        <f>INDEX('Pink Proportion'!$S$6:$S$128, MATCH('FW Summary'!A82, 'Pink Proportion'!$A$6:$A$128))/C82</f>
        <v>0.94615384615384623</v>
      </c>
      <c r="J82" s="131" t="e">
        <f t="shared" si="13"/>
        <v>#N/A</v>
      </c>
      <c r="K82" s="130" t="e">
        <f t="shared" si="18"/>
        <v>#N/A</v>
      </c>
      <c r="L82" s="145" t="e">
        <f t="shared" si="19"/>
        <v>#N/A</v>
      </c>
      <c r="M82" s="71" t="e">
        <f>INDEX('FW Catch'!G82:G174, MATCH('FW Summary'!A82, 'FW Catch'!A82:A174))</f>
        <v>#DIV/0!</v>
      </c>
      <c r="N82" s="17">
        <f>INDEX(WhonSpComp!AN84:AN211, MATCH('FW Summary'!A82, WhonSpComp!A84:A211,0))</f>
        <v>1.5384615384615385E-2</v>
      </c>
      <c r="O82" s="131" t="e">
        <f t="shared" si="20"/>
        <v>#N/A</v>
      </c>
      <c r="P82" s="130" t="e">
        <f t="shared" si="21"/>
        <v>#N/A</v>
      </c>
      <c r="Q82" s="145" t="e">
        <f t="shared" si="22"/>
        <v>#N/A</v>
      </c>
      <c r="R82" s="71" t="e">
        <f>INDEX('FW Catch'!H82:H174, MATCH('FW Summary'!A82, 'FW Catch'!A82:A174))</f>
        <v>#DIV/0!</v>
      </c>
      <c r="S82" s="17">
        <f>INDEX(WhonSpComp!AT84:AT211, MATCH('FW Summary'!A82, WhonSpComp!A84:A211,0))</f>
        <v>2.3076923076923078E-2</v>
      </c>
      <c r="T82" s="131" t="e">
        <f t="shared" si="23"/>
        <v>#N/A</v>
      </c>
      <c r="U82" s="130" t="e">
        <f t="shared" si="24"/>
        <v>#N/A</v>
      </c>
      <c r="V82" s="145" t="e">
        <f t="shared" si="25"/>
        <v>#N/A</v>
      </c>
      <c r="W82" s="71" t="e">
        <f>INDEX('FW Catch'!I82:I174, MATCH('FW Summary'!A82, 'FW Catch'!A82:A174))</f>
        <v>#DIV/0!</v>
      </c>
      <c r="X82" s="17">
        <f>INDEX(WhonSpComp!AV84:AV211, MATCH('FW Summary'!A82, WhonSpComp!A84:A211,0))</f>
        <v>0</v>
      </c>
      <c r="Y82" s="131" t="e">
        <f t="shared" si="26"/>
        <v>#N/A</v>
      </c>
    </row>
    <row r="83" spans="1:25" x14ac:dyDescent="0.3">
      <c r="A83" s="1">
        <f t="shared" si="27"/>
        <v>45182</v>
      </c>
      <c r="B83" s="127">
        <f>INDEX('[1]Passage Estimates'!$D$6:$D$128, MATCH($A83, '[1]Passage Estimates'!$A$6:$A$128,0))</f>
        <v>540560.64000000001</v>
      </c>
      <c r="C83" s="128">
        <f>INDEX('2. Salmon Passage by Bin'!$K$6:$K$128, MATCH('FW Summary'!$A83,'2. Salmon Passage by Bin'!$A$6:$A$128,0))</f>
        <v>116494.08000000005</v>
      </c>
      <c r="D83" s="76">
        <f>INDEX('2. Salmon Passage by Bin'!$E$6:$E$128, MATCH('FW Summary'!$A83, '2. Salmon Passage by Bin'!$A$6:$A$128,0))+INDEX('2. Salmon Passage by Bin'!$F$6:$F$128, MATCH('FW Summary'!$A83, '2. Salmon Passage by Bin'!$A$6:$A$128,0))+INDEX('2. Salmon Passage by Bin'!$G$6:$G$128, MATCH('FW Summary'!$A83, '2. Salmon Passage by Bin'!$A$6:$A$128,0))+INDEX('2. Salmon Passage by Bin'!$H$6:$H$128, MATCH('FW Summary'!$A83, '2. Salmon Passage by Bin'!$A$6:$A$128,0))+_xlfn.IFNA(INDEX('2. Salmon Passage by Bin'!$I$6:$I$128, MATCH('FW Summary'!$A83, '2. Salmon Passage by Bin'!$A$6:$A$128,0)),0)+_xlfn.IFNA(INDEX('2. Salmon Passage by Bin'!$J$6:$J$128, MATCH('FW Summary'!$A83, '2. Salmon Passage by Bin'!$A$6:$A$128,0)),0)</f>
        <v>383540.39999999997</v>
      </c>
      <c r="E83" s="129">
        <f>INDEX('2. Salmon Passage by Bin'!$M$6:$M$128, MATCH('FW Summary'!$A83, '2. Salmon Passage by Bin'!$A$6:$A$128,0))+INDEX('2. Salmon Passage by Bin'!$N$6:$N$128, MATCH('FW Summary'!$A83, '2. Salmon Passage by Bin'!$A$6:$A$128,0))+INDEX('2. Salmon Passage by Bin'!$O$6:$O$128, MATCH('FW Summary'!$A83, '2. Salmon Passage by Bin'!$A$6:$A$128,0))</f>
        <v>41329.440000000002</v>
      </c>
      <c r="F83" s="130" t="e">
        <f t="shared" si="16"/>
        <v>#N/A</v>
      </c>
      <c r="G83" s="145" t="e">
        <f t="shared" si="17"/>
        <v>#N/A</v>
      </c>
      <c r="H83" s="71" t="e">
        <f>INDEX('FW Catch'!F83:F175, MATCH('FW Summary'!A83, 'FW Catch'!A83:A175))</f>
        <v>#DIV/0!</v>
      </c>
      <c r="I83" s="142">
        <f>INDEX('Pink Proportion'!$S$6:$S$128, MATCH('FW Summary'!A83, 'Pink Proportion'!$A$6:$A$128))/C83</f>
        <v>0.85057471264367812</v>
      </c>
      <c r="J83" s="131" t="e">
        <f t="shared" si="13"/>
        <v>#N/A</v>
      </c>
      <c r="K83" s="130" t="e">
        <f t="shared" si="18"/>
        <v>#N/A</v>
      </c>
      <c r="L83" s="145" t="e">
        <f t="shared" si="19"/>
        <v>#N/A</v>
      </c>
      <c r="M83" s="71" t="e">
        <f>INDEX('FW Catch'!G83:G175, MATCH('FW Summary'!A83, 'FW Catch'!A83:A175))</f>
        <v>#DIV/0!</v>
      </c>
      <c r="N83" s="17">
        <f>INDEX(WhonSpComp!AN85:AN212, MATCH('FW Summary'!A83, WhonSpComp!A85:A212,0))</f>
        <v>2.2988505747126436E-2</v>
      </c>
      <c r="O83" s="131" t="e">
        <f t="shared" si="20"/>
        <v>#N/A</v>
      </c>
      <c r="P83" s="130" t="e">
        <f t="shared" si="21"/>
        <v>#N/A</v>
      </c>
      <c r="Q83" s="145" t="e">
        <f t="shared" si="22"/>
        <v>#N/A</v>
      </c>
      <c r="R83" s="71" t="e">
        <f>INDEX('FW Catch'!H83:H175, MATCH('FW Summary'!A83, 'FW Catch'!A83:A175))</f>
        <v>#DIV/0!</v>
      </c>
      <c r="S83" s="17">
        <f>INDEX(WhonSpComp!AT85:AT212, MATCH('FW Summary'!A83, WhonSpComp!A85:A212,0))</f>
        <v>6.8965517241379309E-2</v>
      </c>
      <c r="T83" s="131" t="e">
        <f t="shared" si="23"/>
        <v>#N/A</v>
      </c>
      <c r="U83" s="130" t="e">
        <f t="shared" si="24"/>
        <v>#N/A</v>
      </c>
      <c r="V83" s="145" t="e">
        <f t="shared" si="25"/>
        <v>#N/A</v>
      </c>
      <c r="W83" s="71" t="e">
        <f>INDEX('FW Catch'!I83:I175, MATCH('FW Summary'!A83, 'FW Catch'!A83:A175))</f>
        <v>#DIV/0!</v>
      </c>
      <c r="X83" s="17">
        <f>INDEX(WhonSpComp!AV85:AV212, MATCH('FW Summary'!A83, WhonSpComp!A85:A212,0))</f>
        <v>0</v>
      </c>
      <c r="Y83" s="131" t="e">
        <f t="shared" si="26"/>
        <v>#N/A</v>
      </c>
    </row>
    <row r="84" spans="1:25" x14ac:dyDescent="0.3">
      <c r="A84" s="1">
        <f t="shared" si="27"/>
        <v>45183</v>
      </c>
      <c r="B84" s="127">
        <f>INDEX('[1]Passage Estimates'!$D$6:$D$128, MATCH($A84, '[1]Passage Estimates'!$A$6:$A$128,0))</f>
        <v>263954.1599999998</v>
      </c>
      <c r="C84" s="128">
        <f>INDEX('2. Salmon Passage by Bin'!$K$6:$K$128, MATCH('FW Summary'!$A84,'2. Salmon Passage by Bin'!$A$6:$A$128,0))</f>
        <v>67168.559999999838</v>
      </c>
      <c r="D84" s="76">
        <f>INDEX('2. Salmon Passage by Bin'!$E$6:$E$128, MATCH('FW Summary'!$A84, '2. Salmon Passage by Bin'!$A$6:$A$128,0))+INDEX('2. Salmon Passage by Bin'!$F$6:$F$128, MATCH('FW Summary'!$A84, '2. Salmon Passage by Bin'!$A$6:$A$128,0))+INDEX('2. Salmon Passage by Bin'!$G$6:$G$128, MATCH('FW Summary'!$A84, '2. Salmon Passage by Bin'!$A$6:$A$128,0))+INDEX('2. Salmon Passage by Bin'!$H$6:$H$128, MATCH('FW Summary'!$A84, '2. Salmon Passage by Bin'!$A$6:$A$128,0))+_xlfn.IFNA(INDEX('2. Salmon Passage by Bin'!$I$6:$I$128, MATCH('FW Summary'!$A84, '2. Salmon Passage by Bin'!$A$6:$A$128,0)),0)+_xlfn.IFNA(INDEX('2. Salmon Passage by Bin'!$J$6:$J$128, MATCH('FW Summary'!$A84, '2. Salmon Passage by Bin'!$A$6:$A$128,0)),0)</f>
        <v>164299.44000000003</v>
      </c>
      <c r="E84" s="129">
        <f>INDEX('2. Salmon Passage by Bin'!$M$6:$M$128, MATCH('FW Summary'!$A84, '2. Salmon Passage by Bin'!$A$6:$A$128,0))+INDEX('2. Salmon Passage by Bin'!$N$6:$N$128, MATCH('FW Summary'!$A84, '2. Salmon Passage by Bin'!$A$6:$A$128,0))+INDEX('2. Salmon Passage by Bin'!$O$6:$O$128, MATCH('FW Summary'!$A84, '2. Salmon Passage by Bin'!$A$6:$A$128,0))</f>
        <v>32258.400000000001</v>
      </c>
      <c r="F84" s="130" t="e">
        <f t="shared" si="16"/>
        <v>#N/A</v>
      </c>
      <c r="G84" s="145" t="e">
        <f t="shared" si="17"/>
        <v>#N/A</v>
      </c>
      <c r="H84" s="71" t="e">
        <f>INDEX('FW Catch'!F84:F176, MATCH('FW Summary'!A84, 'FW Catch'!A84:A176))</f>
        <v>#DIV/0!</v>
      </c>
      <c r="I84" s="142">
        <f>INDEX('Pink Proportion'!$S$6:$S$128, MATCH('FW Summary'!A84, 'Pink Proportion'!$A$6:$A$128))/C84</f>
        <v>0.57377049180327866</v>
      </c>
      <c r="J84" s="131" t="e">
        <f t="shared" si="13"/>
        <v>#N/A</v>
      </c>
      <c r="K84" s="130" t="e">
        <f t="shared" si="18"/>
        <v>#N/A</v>
      </c>
      <c r="L84" s="145" t="e">
        <f t="shared" si="19"/>
        <v>#N/A</v>
      </c>
      <c r="M84" s="71" t="e">
        <f>INDEX('FW Catch'!G84:G176, MATCH('FW Summary'!A84, 'FW Catch'!A84:A176))</f>
        <v>#DIV/0!</v>
      </c>
      <c r="N84" s="17">
        <f>INDEX(WhonSpComp!AN86:AN213, MATCH('FW Summary'!A84, WhonSpComp!A86:A213,0))</f>
        <v>3.2786885245901641E-2</v>
      </c>
      <c r="O84" s="131" t="e">
        <f t="shared" si="20"/>
        <v>#N/A</v>
      </c>
      <c r="P84" s="130" t="e">
        <f t="shared" si="21"/>
        <v>#N/A</v>
      </c>
      <c r="Q84" s="145" t="e">
        <f t="shared" si="22"/>
        <v>#N/A</v>
      </c>
      <c r="R84" s="71" t="e">
        <f>INDEX('FW Catch'!H84:H176, MATCH('FW Summary'!A84, 'FW Catch'!A84:A176))</f>
        <v>#DIV/0!</v>
      </c>
      <c r="S84" s="17">
        <f>INDEX(WhonSpComp!AT86:AT213, MATCH('FW Summary'!A84, WhonSpComp!A86:A213,0))</f>
        <v>0.26229508196721313</v>
      </c>
      <c r="T84" s="131" t="e">
        <f t="shared" si="23"/>
        <v>#N/A</v>
      </c>
      <c r="U84" s="130" t="e">
        <f t="shared" si="24"/>
        <v>#N/A</v>
      </c>
      <c r="V84" s="145" t="e">
        <f t="shared" si="25"/>
        <v>#N/A</v>
      </c>
      <c r="W84" s="71" t="e">
        <f>INDEX('FW Catch'!I84:I176, MATCH('FW Summary'!A84, 'FW Catch'!A84:A176))</f>
        <v>#DIV/0!</v>
      </c>
      <c r="X84" s="17">
        <f>INDEX(WhonSpComp!AV86:AV213, MATCH('FW Summary'!A84, WhonSpComp!A86:A213,0))</f>
        <v>1.6393442622950821E-2</v>
      </c>
      <c r="Y84" s="131" t="e">
        <f t="shared" si="26"/>
        <v>#N/A</v>
      </c>
    </row>
    <row r="85" spans="1:25" x14ac:dyDescent="0.3">
      <c r="A85" s="1">
        <f t="shared" si="27"/>
        <v>45184</v>
      </c>
      <c r="B85" s="127">
        <f>INDEX('[1]Passage Estimates'!$D$6:$D$128, MATCH($A85, '[1]Passage Estimates'!$A$6:$A$128,0))</f>
        <v>208688.39999999997</v>
      </c>
      <c r="C85" s="128">
        <f>INDEX('2. Salmon Passage by Bin'!$K$6:$K$128, MATCH('FW Summary'!$A85,'2. Salmon Passage by Bin'!$A$6:$A$128,0))</f>
        <v>66618.719999999972</v>
      </c>
      <c r="D85" s="76">
        <f>INDEX('2. Salmon Passage by Bin'!$E$6:$E$128, MATCH('FW Summary'!$A85, '2. Salmon Passage by Bin'!$A$6:$A$128,0))+INDEX('2. Salmon Passage by Bin'!$F$6:$F$128, MATCH('FW Summary'!$A85, '2. Salmon Passage by Bin'!$A$6:$A$128,0))+INDEX('2. Salmon Passage by Bin'!$G$6:$G$128, MATCH('FW Summary'!$A85, '2. Salmon Passage by Bin'!$A$6:$A$128,0))+INDEX('2. Salmon Passage by Bin'!$H$6:$H$128, MATCH('FW Summary'!$A85, '2. Salmon Passage by Bin'!$A$6:$A$128,0))+_xlfn.IFNA(INDEX('2. Salmon Passage by Bin'!$I$6:$I$128, MATCH('FW Summary'!$A85, '2. Salmon Passage by Bin'!$A$6:$A$128,0)),0)+_xlfn.IFNA(INDEX('2. Salmon Passage by Bin'!$J$6:$J$128, MATCH('FW Summary'!$A85, '2. Salmon Passage by Bin'!$A$6:$A$128,0)),0)</f>
        <v>128721.84000000001</v>
      </c>
      <c r="E85" s="129">
        <f>INDEX('2. Salmon Passage by Bin'!$M$6:$M$128, MATCH('FW Summary'!$A85, '2. Salmon Passage by Bin'!$A$6:$A$128,0))+INDEX('2. Salmon Passage by Bin'!$N$6:$N$128, MATCH('FW Summary'!$A85, '2. Salmon Passage by Bin'!$A$6:$A$128,0))+INDEX('2. Salmon Passage by Bin'!$O$6:$O$128, MATCH('FW Summary'!$A85, '2. Salmon Passage by Bin'!$A$6:$A$128,0))</f>
        <v>12866.64</v>
      </c>
      <c r="F85" s="130" t="e">
        <f t="shared" si="16"/>
        <v>#N/A</v>
      </c>
      <c r="G85" s="145" t="e">
        <f t="shared" si="17"/>
        <v>#N/A</v>
      </c>
      <c r="H85" s="71" t="e">
        <f>INDEX('FW Catch'!F85:F177, MATCH('FW Summary'!A85, 'FW Catch'!A85:A177))</f>
        <v>#DIV/0!</v>
      </c>
      <c r="I85" s="142">
        <f>INDEX('Pink Proportion'!$S$6:$S$128, MATCH('FW Summary'!A85, 'Pink Proportion'!$A$6:$A$128))/C85</f>
        <v>0.9135802469135802</v>
      </c>
      <c r="J85" s="131" t="e">
        <f t="shared" si="13"/>
        <v>#N/A</v>
      </c>
      <c r="K85" s="130" t="e">
        <f t="shared" si="18"/>
        <v>#N/A</v>
      </c>
      <c r="L85" s="145" t="e">
        <f t="shared" si="19"/>
        <v>#N/A</v>
      </c>
      <c r="M85" s="71" t="e">
        <f>INDEX('FW Catch'!G85:G177, MATCH('FW Summary'!A85, 'FW Catch'!A85:A177))</f>
        <v>#DIV/0!</v>
      </c>
      <c r="N85" s="17">
        <f>INDEX(WhonSpComp!AN87:AN214, MATCH('FW Summary'!A85, WhonSpComp!A87:A214,0))</f>
        <v>0</v>
      </c>
      <c r="O85" s="131" t="e">
        <f t="shared" si="20"/>
        <v>#N/A</v>
      </c>
      <c r="P85" s="130" t="e">
        <f t="shared" si="21"/>
        <v>#N/A</v>
      </c>
      <c r="Q85" s="145" t="e">
        <f t="shared" si="22"/>
        <v>#N/A</v>
      </c>
      <c r="R85" s="71" t="e">
        <f>INDEX('FW Catch'!H85:H177, MATCH('FW Summary'!A85, 'FW Catch'!A85:A177))</f>
        <v>#DIV/0!</v>
      </c>
      <c r="S85" s="17">
        <f>INDEX(WhonSpComp!AT87:AT214, MATCH('FW Summary'!A85, WhonSpComp!A87:A214,0))</f>
        <v>2.4691358024691357E-2</v>
      </c>
      <c r="T85" s="131" t="e">
        <f t="shared" si="23"/>
        <v>#N/A</v>
      </c>
      <c r="U85" s="130" t="e">
        <f t="shared" si="24"/>
        <v>#N/A</v>
      </c>
      <c r="V85" s="145" t="e">
        <f t="shared" si="25"/>
        <v>#N/A</v>
      </c>
      <c r="W85" s="71" t="e">
        <f>INDEX('FW Catch'!I85:I177, MATCH('FW Summary'!A85, 'FW Catch'!A85:A177))</f>
        <v>#DIV/0!</v>
      </c>
      <c r="X85" s="17">
        <f>INDEX(WhonSpComp!AV87:AV214, MATCH('FW Summary'!A85, WhonSpComp!A87:A214,0))</f>
        <v>0</v>
      </c>
      <c r="Y85" s="131" t="e">
        <f t="shared" si="26"/>
        <v>#N/A</v>
      </c>
    </row>
    <row r="86" spans="1:25" x14ac:dyDescent="0.3">
      <c r="A86" s="1">
        <f t="shared" si="27"/>
        <v>45185</v>
      </c>
      <c r="B86" s="127">
        <f>INDEX('[1]Passage Estimates'!$D$6:$D$128, MATCH($A86, '[1]Passage Estimates'!$A$6:$A$128,0))</f>
        <v>214714.8</v>
      </c>
      <c r="C86" s="128">
        <f>INDEX('2. Salmon Passage by Bin'!$K$6:$K$128, MATCH('FW Summary'!$A86,'2. Salmon Passage by Bin'!$A$6:$A$128,0))</f>
        <v>53964.23999999994</v>
      </c>
      <c r="D86" s="76">
        <f>INDEX('2. Salmon Passage by Bin'!$E$6:$E$128, MATCH('FW Summary'!$A86, '2. Salmon Passage by Bin'!$A$6:$A$128,0))+INDEX('2. Salmon Passage by Bin'!$F$6:$F$128, MATCH('FW Summary'!$A86, '2. Salmon Passage by Bin'!$A$6:$A$128,0))+INDEX('2. Salmon Passage by Bin'!$G$6:$G$128, MATCH('FW Summary'!$A86, '2. Salmon Passage by Bin'!$A$6:$A$128,0))+INDEX('2. Salmon Passage by Bin'!$H$6:$H$128, MATCH('FW Summary'!$A86, '2. Salmon Passage by Bin'!$A$6:$A$128,0))+_xlfn.IFNA(INDEX('2. Salmon Passage by Bin'!$I$6:$I$128, MATCH('FW Summary'!$A86, '2. Salmon Passage by Bin'!$A$6:$A$128,0)),0)+_xlfn.IFNA(INDEX('2. Salmon Passage by Bin'!$J$6:$J$128, MATCH('FW Summary'!$A86, '2. Salmon Passage by Bin'!$A$6:$A$128,0)),0)</f>
        <v>148435.68</v>
      </c>
      <c r="E86" s="129">
        <f>INDEX('2. Salmon Passage by Bin'!$M$6:$M$128, MATCH('FW Summary'!$A86, '2. Salmon Passage by Bin'!$A$6:$A$128,0))+INDEX('2. Salmon Passage by Bin'!$N$6:$N$128, MATCH('FW Summary'!$A86, '2. Salmon Passage by Bin'!$A$6:$A$128,0))+INDEX('2. Salmon Passage by Bin'!$O$6:$O$128, MATCH('FW Summary'!$A86, '2. Salmon Passage by Bin'!$A$6:$A$128,0))</f>
        <v>11798.4</v>
      </c>
      <c r="F86" s="130" t="e">
        <f t="shared" si="16"/>
        <v>#N/A</v>
      </c>
      <c r="G86" s="145" t="e">
        <f t="shared" si="17"/>
        <v>#N/A</v>
      </c>
      <c r="H86" s="71" t="e">
        <f>INDEX('FW Catch'!F86:F178, MATCH('FW Summary'!A86, 'FW Catch'!A86:A178))</f>
        <v>#DIV/0!</v>
      </c>
      <c r="I86" s="142">
        <f>INDEX('Pink Proportion'!$S$6:$S$128, MATCH('FW Summary'!A86, 'Pink Proportion'!$A$6:$A$128))/C86</f>
        <v>0.81538461538461537</v>
      </c>
      <c r="J86" s="131" t="e">
        <f t="shared" si="13"/>
        <v>#N/A</v>
      </c>
      <c r="K86" s="130" t="e">
        <f t="shared" si="18"/>
        <v>#N/A</v>
      </c>
      <c r="L86" s="145" t="e">
        <f t="shared" si="19"/>
        <v>#N/A</v>
      </c>
      <c r="M86" s="71" t="e">
        <f>INDEX('FW Catch'!G86:G178, MATCH('FW Summary'!A86, 'FW Catch'!A86:A178))</f>
        <v>#DIV/0!</v>
      </c>
      <c r="N86" s="17">
        <f>INDEX(WhonSpComp!AN88:AN215, MATCH('FW Summary'!A86, WhonSpComp!A88:A215,0))</f>
        <v>3.0769230769230771E-2</v>
      </c>
      <c r="O86" s="131" t="e">
        <f t="shared" si="20"/>
        <v>#N/A</v>
      </c>
      <c r="P86" s="130" t="e">
        <f t="shared" si="21"/>
        <v>#N/A</v>
      </c>
      <c r="Q86" s="145" t="e">
        <f t="shared" si="22"/>
        <v>#N/A</v>
      </c>
      <c r="R86" s="71" t="e">
        <f>INDEX('FW Catch'!H86:H178, MATCH('FW Summary'!A86, 'FW Catch'!A86:A178))</f>
        <v>#DIV/0!</v>
      </c>
      <c r="S86" s="17">
        <f>INDEX(WhonSpComp!AT88:AT215, MATCH('FW Summary'!A86, WhonSpComp!A88:A215,0))</f>
        <v>0.12307692307692308</v>
      </c>
      <c r="T86" s="131" t="e">
        <f t="shared" si="23"/>
        <v>#N/A</v>
      </c>
      <c r="U86" s="130" t="e">
        <f t="shared" si="24"/>
        <v>#N/A</v>
      </c>
      <c r="V86" s="145" t="e">
        <f t="shared" si="25"/>
        <v>#N/A</v>
      </c>
      <c r="W86" s="71" t="e">
        <f>INDEX('FW Catch'!I86:I178, MATCH('FW Summary'!A86, 'FW Catch'!A86:A178))</f>
        <v>#DIV/0!</v>
      </c>
      <c r="X86" s="17">
        <f>INDEX(WhonSpComp!AV88:AV215, MATCH('FW Summary'!A86, WhonSpComp!A88:A215,0))</f>
        <v>0</v>
      </c>
      <c r="Y86" s="131" t="e">
        <f t="shared" si="26"/>
        <v>#N/A</v>
      </c>
    </row>
    <row r="87" spans="1:25" x14ac:dyDescent="0.3">
      <c r="A87" s="1">
        <f t="shared" si="27"/>
        <v>45186</v>
      </c>
      <c r="B87" s="127">
        <f>INDEX('[1]Passage Estimates'!$D$6:$D$128, MATCH($A87, '[1]Passage Estimates'!$A$6:$A$128,0))</f>
        <v>253162.31999999995</v>
      </c>
      <c r="C87" s="128">
        <f>INDEX('2. Salmon Passage by Bin'!$K$6:$K$128, MATCH('FW Summary'!$A87,'2. Salmon Passage by Bin'!$A$6:$A$128,0))</f>
        <v>49747.439999999944</v>
      </c>
      <c r="D87" s="76">
        <f>INDEX('2. Salmon Passage by Bin'!$E$6:$E$128, MATCH('FW Summary'!$A87, '2. Salmon Passage by Bin'!$A$6:$A$128,0))+INDEX('2. Salmon Passage by Bin'!$F$6:$F$128, MATCH('FW Summary'!$A87, '2. Salmon Passage by Bin'!$A$6:$A$128,0))+INDEX('2. Salmon Passage by Bin'!$G$6:$G$128, MATCH('FW Summary'!$A87, '2. Salmon Passage by Bin'!$A$6:$A$128,0))+INDEX('2. Salmon Passage by Bin'!$H$6:$H$128, MATCH('FW Summary'!$A87, '2. Salmon Passage by Bin'!$A$6:$A$128,0))+_xlfn.IFNA(INDEX('2. Salmon Passage by Bin'!$I$6:$I$128, MATCH('FW Summary'!$A87, '2. Salmon Passage by Bin'!$A$6:$A$128,0)),0)+_xlfn.IFNA(INDEX('2. Salmon Passage by Bin'!$J$6:$J$128, MATCH('FW Summary'!$A87, '2. Salmon Passage by Bin'!$A$6:$A$128,0)),0)</f>
        <v>189200.63999999998</v>
      </c>
      <c r="E87" s="129">
        <f>INDEX('2. Salmon Passage by Bin'!$M$6:$M$128, MATCH('FW Summary'!$A87, '2. Salmon Passage by Bin'!$A$6:$A$128,0))+INDEX('2. Salmon Passage by Bin'!$N$6:$N$128, MATCH('FW Summary'!$A87, '2. Salmon Passage by Bin'!$A$6:$A$128,0))+INDEX('2. Salmon Passage by Bin'!$O$6:$O$128, MATCH('FW Summary'!$A87, '2. Salmon Passage by Bin'!$A$6:$A$128,0))</f>
        <v>13638</v>
      </c>
      <c r="F87" s="130" t="e">
        <f t="shared" si="16"/>
        <v>#N/A</v>
      </c>
      <c r="G87" s="145" t="e">
        <f t="shared" si="17"/>
        <v>#N/A</v>
      </c>
      <c r="H87" s="71" t="e">
        <f>INDEX('FW Catch'!F87:F179, MATCH('FW Summary'!A87, 'FW Catch'!A87:A179))</f>
        <v>#DIV/0!</v>
      </c>
      <c r="I87" s="142">
        <f>INDEX('Pink Proportion'!$S$6:$S$128, MATCH('FW Summary'!A87, 'Pink Proportion'!$A$6:$A$128))/C87</f>
        <v>0.78723404255319152</v>
      </c>
      <c r="J87" s="131" t="e">
        <f t="shared" si="13"/>
        <v>#N/A</v>
      </c>
      <c r="K87" s="130" t="e">
        <f t="shared" si="18"/>
        <v>#N/A</v>
      </c>
      <c r="L87" s="145" t="e">
        <f t="shared" si="19"/>
        <v>#N/A</v>
      </c>
      <c r="M87" s="71" t="e">
        <f>INDEX('FW Catch'!G87:G179, MATCH('FW Summary'!A87, 'FW Catch'!A87:A179))</f>
        <v>#DIV/0!</v>
      </c>
      <c r="N87" s="17">
        <f>INDEX(WhonSpComp!AN89:AN216, MATCH('FW Summary'!A87, WhonSpComp!A89:A216,0))</f>
        <v>6.3829787234042548E-2</v>
      </c>
      <c r="O87" s="131" t="e">
        <f t="shared" si="20"/>
        <v>#N/A</v>
      </c>
      <c r="P87" s="130" t="e">
        <f t="shared" si="21"/>
        <v>#N/A</v>
      </c>
      <c r="Q87" s="145" t="e">
        <f t="shared" si="22"/>
        <v>#N/A</v>
      </c>
      <c r="R87" s="71" t="e">
        <f>INDEX('FW Catch'!H87:H179, MATCH('FW Summary'!A87, 'FW Catch'!A87:A179))</f>
        <v>#DIV/0!</v>
      </c>
      <c r="S87" s="17">
        <f>INDEX(WhonSpComp!AT89:AT216, MATCH('FW Summary'!A87, WhonSpComp!A89:A216,0))</f>
        <v>6.3829787234042548E-2</v>
      </c>
      <c r="T87" s="131" t="e">
        <f t="shared" si="23"/>
        <v>#N/A</v>
      </c>
      <c r="U87" s="130" t="e">
        <f t="shared" si="24"/>
        <v>#N/A</v>
      </c>
      <c r="V87" s="145" t="e">
        <f t="shared" si="25"/>
        <v>#N/A</v>
      </c>
      <c r="W87" s="71" t="e">
        <f>INDEX('FW Catch'!I87:I179, MATCH('FW Summary'!A87, 'FW Catch'!A87:A179))</f>
        <v>#DIV/0!</v>
      </c>
      <c r="X87" s="17">
        <f>INDEX(WhonSpComp!AV89:AV216, MATCH('FW Summary'!A87, WhonSpComp!A89:A216,0))</f>
        <v>0</v>
      </c>
      <c r="Y87" s="131" t="e">
        <f t="shared" si="26"/>
        <v>#N/A</v>
      </c>
    </row>
    <row r="88" spans="1:25" x14ac:dyDescent="0.3">
      <c r="A88" s="1">
        <f t="shared" si="27"/>
        <v>45187</v>
      </c>
      <c r="B88" s="127">
        <f>INDEX('[1]Passage Estimates'!$D$6:$D$128, MATCH($A88, '[1]Passage Estimates'!$A$6:$A$128,0))</f>
        <v>305262.95999999985</v>
      </c>
      <c r="C88" s="128">
        <f>INDEX('2. Salmon Passage by Bin'!$K$6:$K$128, MATCH('FW Summary'!$A88,'2. Salmon Passage by Bin'!$A$6:$A$128,0))</f>
        <v>47827.439999999857</v>
      </c>
      <c r="D88" s="76">
        <f>INDEX('2. Salmon Passage by Bin'!$E$6:$E$128, MATCH('FW Summary'!$A88, '2. Salmon Passage by Bin'!$A$6:$A$128,0))+INDEX('2. Salmon Passage by Bin'!$F$6:$F$128, MATCH('FW Summary'!$A88, '2. Salmon Passage by Bin'!$A$6:$A$128,0))+INDEX('2. Salmon Passage by Bin'!$G$6:$G$128, MATCH('FW Summary'!$A88, '2. Salmon Passage by Bin'!$A$6:$A$128,0))+INDEX('2. Salmon Passage by Bin'!$H$6:$H$128, MATCH('FW Summary'!$A88, '2. Salmon Passage by Bin'!$A$6:$A$128,0))+_xlfn.IFNA(INDEX('2. Salmon Passage by Bin'!$I$6:$I$128, MATCH('FW Summary'!$A88, '2. Salmon Passage by Bin'!$A$6:$A$128,0)),0)+_xlfn.IFNA(INDEX('2. Salmon Passage by Bin'!$J$6:$J$128, MATCH('FW Summary'!$A88, '2. Salmon Passage by Bin'!$A$6:$A$128,0)),0)</f>
        <v>245632.80000000002</v>
      </c>
      <c r="E88" s="129">
        <f>INDEX('2. Salmon Passage by Bin'!$M$6:$M$128, MATCH('FW Summary'!$A88, '2. Salmon Passage by Bin'!$A$6:$A$128,0))+INDEX('2. Salmon Passage by Bin'!$N$6:$N$128, MATCH('FW Summary'!$A88, '2. Salmon Passage by Bin'!$A$6:$A$128,0))+INDEX('2. Salmon Passage by Bin'!$O$6:$O$128, MATCH('FW Summary'!$A88, '2. Salmon Passage by Bin'!$A$6:$A$128,0))</f>
        <v>11622.72</v>
      </c>
      <c r="F88" s="130" t="e">
        <f t="shared" si="16"/>
        <v>#N/A</v>
      </c>
      <c r="G88" s="145" t="e">
        <f t="shared" si="17"/>
        <v>#N/A</v>
      </c>
      <c r="H88" s="71" t="e">
        <f>INDEX('FW Catch'!F88:F180, MATCH('FW Summary'!A88, 'FW Catch'!A88:A180))</f>
        <v>#DIV/0!</v>
      </c>
      <c r="I88" s="142">
        <f>INDEX('Pink Proportion'!$S$6:$S$128, MATCH('FW Summary'!A88, 'Pink Proportion'!$A$6:$A$128))/C88</f>
        <v>0.81415929203539827</v>
      </c>
      <c r="J88" s="131" t="e">
        <f t="shared" si="13"/>
        <v>#N/A</v>
      </c>
      <c r="K88" s="130" t="e">
        <f t="shared" si="18"/>
        <v>#N/A</v>
      </c>
      <c r="L88" s="145" t="e">
        <f t="shared" si="19"/>
        <v>#N/A</v>
      </c>
      <c r="M88" s="71" t="e">
        <f>INDEX('FW Catch'!G88:G180, MATCH('FW Summary'!A88, 'FW Catch'!A88:A180))</f>
        <v>#DIV/0!</v>
      </c>
      <c r="N88" s="17">
        <f>INDEX(WhonSpComp!AN90:AN217, MATCH('FW Summary'!A88, WhonSpComp!A90:A217,0))</f>
        <v>1.7699115044247787E-2</v>
      </c>
      <c r="O88" s="131" t="e">
        <f t="shared" si="20"/>
        <v>#N/A</v>
      </c>
      <c r="P88" s="130" t="e">
        <f t="shared" si="21"/>
        <v>#N/A</v>
      </c>
      <c r="Q88" s="145" t="e">
        <f t="shared" si="22"/>
        <v>#N/A</v>
      </c>
      <c r="R88" s="71" t="e">
        <f>INDEX('FW Catch'!H88:H180, MATCH('FW Summary'!A88, 'FW Catch'!A88:A180))</f>
        <v>#DIV/0!</v>
      </c>
      <c r="S88" s="17">
        <f>INDEX(WhonSpComp!AT90:AT217, MATCH('FW Summary'!A88, WhonSpComp!A90:A217,0))</f>
        <v>7.9646017699115043E-2</v>
      </c>
      <c r="T88" s="131" t="e">
        <f t="shared" si="23"/>
        <v>#N/A</v>
      </c>
      <c r="U88" s="130" t="e">
        <f t="shared" si="24"/>
        <v>#N/A</v>
      </c>
      <c r="V88" s="145" t="e">
        <f t="shared" si="25"/>
        <v>#N/A</v>
      </c>
      <c r="W88" s="71" t="e">
        <f>INDEX('FW Catch'!I88:I180, MATCH('FW Summary'!A88, 'FW Catch'!A88:A180))</f>
        <v>#DIV/0!</v>
      </c>
      <c r="X88" s="17">
        <f>INDEX(WhonSpComp!AV90:AV217, MATCH('FW Summary'!A88, WhonSpComp!A90:A217,0))</f>
        <v>0</v>
      </c>
      <c r="Y88" s="131" t="e">
        <f t="shared" si="26"/>
        <v>#N/A</v>
      </c>
    </row>
    <row r="89" spans="1:25" x14ac:dyDescent="0.3">
      <c r="A89" s="1">
        <f t="shared" si="27"/>
        <v>45188</v>
      </c>
      <c r="B89" s="127">
        <f>INDEX('[1]Passage Estimates'!$D$6:$D$128, MATCH($A89, '[1]Passage Estimates'!$A$6:$A$128,0))</f>
        <v>310312.07999999996</v>
      </c>
      <c r="C89" s="128">
        <f>INDEX('2. Salmon Passage by Bin'!$K$6:$K$128, MATCH('FW Summary'!$A89,'2. Salmon Passage by Bin'!$A$6:$A$128,0))</f>
        <v>71238.719999999928</v>
      </c>
      <c r="D89" s="76">
        <f>INDEX('2. Salmon Passage by Bin'!$E$6:$E$128, MATCH('FW Summary'!$A89, '2. Salmon Passage by Bin'!$A$6:$A$128,0))+INDEX('2. Salmon Passage by Bin'!$F$6:$F$128, MATCH('FW Summary'!$A89, '2. Salmon Passage by Bin'!$A$6:$A$128,0))+INDEX('2. Salmon Passage by Bin'!$G$6:$G$128, MATCH('FW Summary'!$A89, '2. Salmon Passage by Bin'!$A$6:$A$128,0))+INDEX('2. Salmon Passage by Bin'!$H$6:$H$128, MATCH('FW Summary'!$A89, '2. Salmon Passage by Bin'!$A$6:$A$128,0))+_xlfn.IFNA(INDEX('2. Salmon Passage by Bin'!$I$6:$I$128, MATCH('FW Summary'!$A89, '2. Salmon Passage by Bin'!$A$6:$A$128,0)),0)+_xlfn.IFNA(INDEX('2. Salmon Passage by Bin'!$J$6:$J$128, MATCH('FW Summary'!$A89, '2. Salmon Passage by Bin'!$A$6:$A$128,0)),0)</f>
        <v>226893.6</v>
      </c>
      <c r="E89" s="129">
        <f>INDEX('2. Salmon Passage by Bin'!$M$6:$M$128, MATCH('FW Summary'!$A89, '2. Salmon Passage by Bin'!$A$6:$A$128,0))+INDEX('2. Salmon Passage by Bin'!$N$6:$N$128, MATCH('FW Summary'!$A89, '2. Salmon Passage by Bin'!$A$6:$A$128,0))+INDEX('2. Salmon Passage by Bin'!$O$6:$O$128, MATCH('FW Summary'!$A89, '2. Salmon Passage by Bin'!$A$6:$A$128,0))</f>
        <v>11861.279999999999</v>
      </c>
      <c r="F89" s="130" t="e">
        <f t="shared" si="16"/>
        <v>#N/A</v>
      </c>
      <c r="G89" s="145" t="e">
        <f t="shared" si="17"/>
        <v>#N/A</v>
      </c>
      <c r="H89" s="71" t="e">
        <f>INDEX('FW Catch'!F89:F181, MATCH('FW Summary'!A89, 'FW Catch'!A89:A181))</f>
        <v>#DIV/0!</v>
      </c>
      <c r="I89" s="142">
        <f>INDEX('Pink Proportion'!$S$6:$S$128, MATCH('FW Summary'!A89, 'Pink Proportion'!$A$6:$A$128))/C89</f>
        <v>0.83333333333333337</v>
      </c>
      <c r="J89" s="131" t="e">
        <f t="shared" si="13"/>
        <v>#N/A</v>
      </c>
      <c r="K89" s="130" t="e">
        <f t="shared" si="18"/>
        <v>#N/A</v>
      </c>
      <c r="L89" s="145" t="e">
        <f t="shared" si="19"/>
        <v>#N/A</v>
      </c>
      <c r="M89" s="71" t="e">
        <f>INDEX('FW Catch'!G89:G181, MATCH('FW Summary'!A89, 'FW Catch'!A89:A181))</f>
        <v>#DIV/0!</v>
      </c>
      <c r="N89" s="17">
        <f>INDEX(WhonSpComp!AN91:AN218, MATCH('FW Summary'!A89, WhonSpComp!A91:A218,0))</f>
        <v>0.05</v>
      </c>
      <c r="O89" s="131" t="e">
        <f t="shared" si="20"/>
        <v>#N/A</v>
      </c>
      <c r="P89" s="130" t="e">
        <f t="shared" si="21"/>
        <v>#N/A</v>
      </c>
      <c r="Q89" s="145" t="e">
        <f t="shared" si="22"/>
        <v>#N/A</v>
      </c>
      <c r="R89" s="71" t="e">
        <f>INDEX('FW Catch'!H89:H181, MATCH('FW Summary'!A89, 'FW Catch'!A89:A181))</f>
        <v>#DIV/0!</v>
      </c>
      <c r="S89" s="17">
        <f>INDEX(WhonSpComp!AT91:AT218, MATCH('FW Summary'!A89, WhonSpComp!A91:A218,0))</f>
        <v>0.05</v>
      </c>
      <c r="T89" s="131" t="e">
        <f t="shared" si="23"/>
        <v>#N/A</v>
      </c>
      <c r="U89" s="130" t="e">
        <f t="shared" si="24"/>
        <v>#N/A</v>
      </c>
      <c r="V89" s="145" t="e">
        <f t="shared" si="25"/>
        <v>#N/A</v>
      </c>
      <c r="W89" s="71" t="e">
        <f>INDEX('FW Catch'!I89:I181, MATCH('FW Summary'!A89, 'FW Catch'!A89:A181))</f>
        <v>#DIV/0!</v>
      </c>
      <c r="X89" s="17">
        <f>INDEX(WhonSpComp!AV91:AV218, MATCH('FW Summary'!A89, WhonSpComp!A91:A218,0))</f>
        <v>0</v>
      </c>
      <c r="Y89" s="131" t="e">
        <f t="shared" si="26"/>
        <v>#N/A</v>
      </c>
    </row>
    <row r="90" spans="1:25" x14ac:dyDescent="0.3">
      <c r="A90" s="1">
        <f t="shared" si="27"/>
        <v>45189</v>
      </c>
      <c r="B90" s="127">
        <f>INDEX('[1]Passage Estimates'!$D$6:$D$128, MATCH($A90, '[1]Passage Estimates'!$A$6:$A$128,0))</f>
        <v>165837.60000000003</v>
      </c>
      <c r="C90" s="128">
        <f>INDEX('2. Salmon Passage by Bin'!$K$6:$K$128, MATCH('FW Summary'!$A90,'2. Salmon Passage by Bin'!$A$6:$A$128,0))</f>
        <v>45783.36000000003</v>
      </c>
      <c r="D90" s="76">
        <f>INDEX('2. Salmon Passage by Bin'!$E$6:$E$128, MATCH('FW Summary'!$A90, '2. Salmon Passage by Bin'!$A$6:$A$128,0))+INDEX('2. Salmon Passage by Bin'!$F$6:$F$128, MATCH('FW Summary'!$A90, '2. Salmon Passage by Bin'!$A$6:$A$128,0))+INDEX('2. Salmon Passage by Bin'!$G$6:$G$128, MATCH('FW Summary'!$A90, '2. Salmon Passage by Bin'!$A$6:$A$128,0))+INDEX('2. Salmon Passage by Bin'!$H$6:$H$128, MATCH('FW Summary'!$A90, '2. Salmon Passage by Bin'!$A$6:$A$128,0))+_xlfn.IFNA(INDEX('2. Salmon Passage by Bin'!$I$6:$I$128, MATCH('FW Summary'!$A90, '2. Salmon Passage by Bin'!$A$6:$A$128,0)),0)+_xlfn.IFNA(INDEX('2. Salmon Passage by Bin'!$J$6:$J$128, MATCH('FW Summary'!$A90, '2. Salmon Passage by Bin'!$A$6:$A$128,0)),0)</f>
        <v>108084.95999999999</v>
      </c>
      <c r="E90" s="129">
        <f>INDEX('2. Salmon Passage by Bin'!$M$6:$M$128, MATCH('FW Summary'!$A90, '2. Salmon Passage by Bin'!$A$6:$A$128,0))+INDEX('2. Salmon Passage by Bin'!$N$6:$N$128, MATCH('FW Summary'!$A90, '2. Salmon Passage by Bin'!$A$6:$A$128,0))+INDEX('2. Salmon Passage by Bin'!$O$6:$O$128, MATCH('FW Summary'!$A90, '2. Salmon Passage by Bin'!$A$6:$A$128,0))</f>
        <v>10479.119999999999</v>
      </c>
      <c r="F90" s="130" t="e">
        <f t="shared" si="16"/>
        <v>#N/A</v>
      </c>
      <c r="G90" s="145" t="e">
        <f t="shared" si="17"/>
        <v>#N/A</v>
      </c>
      <c r="H90" s="71" t="e">
        <f>INDEX('FW Catch'!F90:F182, MATCH('FW Summary'!A90, 'FW Catch'!A90:A182))</f>
        <v>#DIV/0!</v>
      </c>
      <c r="I90" s="142">
        <f>INDEX('Pink Proportion'!$S$6:$S$128, MATCH('FW Summary'!A90, 'Pink Proportion'!$A$6:$A$128))/C90</f>
        <v>0.67213114754098358</v>
      </c>
      <c r="J90" s="131" t="e">
        <f t="shared" si="13"/>
        <v>#N/A</v>
      </c>
      <c r="K90" s="130" t="e">
        <f t="shared" si="18"/>
        <v>#N/A</v>
      </c>
      <c r="L90" s="145" t="e">
        <f t="shared" si="19"/>
        <v>#N/A</v>
      </c>
      <c r="M90" s="71" t="e">
        <f>INDEX('FW Catch'!G90:G182, MATCH('FW Summary'!A90, 'FW Catch'!A90:A182))</f>
        <v>#DIV/0!</v>
      </c>
      <c r="N90" s="17">
        <f>INDEX(WhonSpComp!AN92:AN219, MATCH('FW Summary'!A90, WhonSpComp!A92:A219,0))</f>
        <v>0.11475409836065574</v>
      </c>
      <c r="O90" s="131" t="e">
        <f t="shared" si="20"/>
        <v>#N/A</v>
      </c>
      <c r="P90" s="130" t="e">
        <f t="shared" si="21"/>
        <v>#N/A</v>
      </c>
      <c r="Q90" s="145" t="e">
        <f t="shared" si="22"/>
        <v>#N/A</v>
      </c>
      <c r="R90" s="71" t="e">
        <f>INDEX('FW Catch'!H90:H182, MATCH('FW Summary'!A90, 'FW Catch'!A90:A182))</f>
        <v>#DIV/0!</v>
      </c>
      <c r="S90" s="17">
        <f>INDEX(WhonSpComp!AT92:AT219, MATCH('FW Summary'!A90, WhonSpComp!A92:A219,0))</f>
        <v>0.11475409836065574</v>
      </c>
      <c r="T90" s="131" t="e">
        <f t="shared" si="23"/>
        <v>#N/A</v>
      </c>
      <c r="U90" s="130" t="e">
        <f t="shared" si="24"/>
        <v>#N/A</v>
      </c>
      <c r="V90" s="145" t="e">
        <f t="shared" si="25"/>
        <v>#N/A</v>
      </c>
      <c r="W90" s="71" t="e">
        <f>INDEX('FW Catch'!I90:I182, MATCH('FW Summary'!A90, 'FW Catch'!A90:A182))</f>
        <v>#DIV/0!</v>
      </c>
      <c r="X90" s="17">
        <f>INDEX(WhonSpComp!AV92:AV219, MATCH('FW Summary'!A90, WhonSpComp!A92:A219,0))</f>
        <v>0</v>
      </c>
      <c r="Y90" s="131" t="e">
        <f t="shared" si="26"/>
        <v>#N/A</v>
      </c>
    </row>
    <row r="91" spans="1:25" x14ac:dyDescent="0.3">
      <c r="A91" s="1">
        <f t="shared" si="27"/>
        <v>45190</v>
      </c>
      <c r="B91" s="127">
        <f>INDEX('[1]Passage Estimates'!$D$6:$D$128, MATCH($A91, '[1]Passage Estimates'!$A$6:$A$128,0))</f>
        <v>127990.31999999995</v>
      </c>
      <c r="C91" s="128">
        <f>INDEX('2. Salmon Passage by Bin'!$K$6:$K$128, MATCH('FW Summary'!$A91,'2. Salmon Passage by Bin'!$A$6:$A$128,0))</f>
        <v>45068.879999999954</v>
      </c>
      <c r="D91" s="76">
        <f>INDEX('2. Salmon Passage by Bin'!$E$6:$E$128, MATCH('FW Summary'!$A91, '2. Salmon Passage by Bin'!$A$6:$A$128,0))+INDEX('2. Salmon Passage by Bin'!$F$6:$F$128, MATCH('FW Summary'!$A91, '2. Salmon Passage by Bin'!$A$6:$A$128,0))+INDEX('2. Salmon Passage by Bin'!$G$6:$G$128, MATCH('FW Summary'!$A91, '2. Salmon Passage by Bin'!$A$6:$A$128,0))+INDEX('2. Salmon Passage by Bin'!$H$6:$H$128, MATCH('FW Summary'!$A91, '2. Salmon Passage by Bin'!$A$6:$A$128,0))+_xlfn.IFNA(INDEX('2. Salmon Passage by Bin'!$I$6:$I$128, MATCH('FW Summary'!$A91, '2. Salmon Passage by Bin'!$A$6:$A$128,0)),0)+_xlfn.IFNA(INDEX('2. Salmon Passage by Bin'!$J$6:$J$128, MATCH('FW Summary'!$A91, '2. Salmon Passage by Bin'!$A$6:$A$128,0)),0)</f>
        <v>71440.320000000007</v>
      </c>
      <c r="E91" s="129">
        <f>INDEX('2. Salmon Passage by Bin'!$M$6:$M$128, MATCH('FW Summary'!$A91, '2. Salmon Passage by Bin'!$A$6:$A$128,0))+INDEX('2. Salmon Passage by Bin'!$N$6:$N$128, MATCH('FW Summary'!$A91, '2. Salmon Passage by Bin'!$A$6:$A$128,0))+INDEX('2. Salmon Passage by Bin'!$O$6:$O$128, MATCH('FW Summary'!$A91, '2. Salmon Passage by Bin'!$A$6:$A$128,0))</f>
        <v>11434.8</v>
      </c>
      <c r="F91" s="130" t="e">
        <f t="shared" si="16"/>
        <v>#N/A</v>
      </c>
      <c r="G91" s="145" t="e">
        <f t="shared" si="17"/>
        <v>#N/A</v>
      </c>
      <c r="H91" s="71" t="e">
        <f>INDEX('FW Catch'!F91:F183, MATCH('FW Summary'!A91, 'FW Catch'!A91:A183))</f>
        <v>#DIV/0!</v>
      </c>
      <c r="I91" s="142">
        <f>INDEX('Pink Proportion'!$S$6:$S$128, MATCH('FW Summary'!A91, 'Pink Proportion'!$A$6:$A$128))/C91</f>
        <v>0.88888888888888884</v>
      </c>
      <c r="J91" s="131" t="e">
        <f t="shared" si="13"/>
        <v>#N/A</v>
      </c>
      <c r="K91" s="130" t="e">
        <f t="shared" si="18"/>
        <v>#N/A</v>
      </c>
      <c r="L91" s="145" t="e">
        <f t="shared" si="19"/>
        <v>#N/A</v>
      </c>
      <c r="M91" s="71" t="e">
        <f>INDEX('FW Catch'!G91:G183, MATCH('FW Summary'!A91, 'FW Catch'!A91:A183))</f>
        <v>#DIV/0!</v>
      </c>
      <c r="N91" s="17">
        <f>INDEX(WhonSpComp!AN93:AN220, MATCH('FW Summary'!A91, WhonSpComp!A93:A220,0))</f>
        <v>0</v>
      </c>
      <c r="O91" s="131" t="e">
        <f t="shared" si="20"/>
        <v>#N/A</v>
      </c>
      <c r="P91" s="130" t="e">
        <f t="shared" si="21"/>
        <v>#N/A</v>
      </c>
      <c r="Q91" s="145" t="e">
        <f t="shared" si="22"/>
        <v>#N/A</v>
      </c>
      <c r="R91" s="71" t="e">
        <f>INDEX('FW Catch'!H91:H183, MATCH('FW Summary'!A91, 'FW Catch'!A91:A183))</f>
        <v>#DIV/0!</v>
      </c>
      <c r="S91" s="17">
        <f>INDEX(WhonSpComp!AT93:AT220, MATCH('FW Summary'!A91, WhonSpComp!A93:A220,0))</f>
        <v>0</v>
      </c>
      <c r="T91" s="131" t="e">
        <f t="shared" si="23"/>
        <v>#N/A</v>
      </c>
      <c r="U91" s="130" t="e">
        <f t="shared" si="24"/>
        <v>#N/A</v>
      </c>
      <c r="V91" s="145" t="e">
        <f t="shared" si="25"/>
        <v>#N/A</v>
      </c>
      <c r="W91" s="71" t="e">
        <f>INDEX('FW Catch'!I91:I183, MATCH('FW Summary'!A91, 'FW Catch'!A91:A183))</f>
        <v>#DIV/0!</v>
      </c>
      <c r="X91" s="17">
        <f>INDEX(WhonSpComp!AV93:AV220, MATCH('FW Summary'!A91, WhonSpComp!A93:A220,0))</f>
        <v>0</v>
      </c>
      <c r="Y91" s="131" t="e">
        <f t="shared" si="26"/>
        <v>#N/A</v>
      </c>
    </row>
    <row r="92" spans="1:25" x14ac:dyDescent="0.3">
      <c r="A92" s="1">
        <f t="shared" si="27"/>
        <v>45191</v>
      </c>
      <c r="B92" s="127">
        <f>INDEX('[1]Passage Estimates'!$D$6:$D$128, MATCH($A92, '[1]Passage Estimates'!$A$6:$A$128,0))</f>
        <v>88988.400000000023</v>
      </c>
      <c r="C92" s="128">
        <f>INDEX('2. Salmon Passage by Bin'!$K$6:$K$128, MATCH('FW Summary'!$A92,'2. Salmon Passage by Bin'!$A$6:$A$128,0))</f>
        <v>22056.720000000016</v>
      </c>
      <c r="D92" s="76">
        <f>INDEX('2. Salmon Passage by Bin'!$E$6:$E$128, MATCH('FW Summary'!$A92, '2. Salmon Passage by Bin'!$A$6:$A$128,0))+INDEX('2. Salmon Passage by Bin'!$F$6:$F$128, MATCH('FW Summary'!$A92, '2. Salmon Passage by Bin'!$A$6:$A$128,0))+INDEX('2. Salmon Passage by Bin'!$G$6:$G$128, MATCH('FW Summary'!$A92, '2. Salmon Passage by Bin'!$A$6:$A$128,0))+INDEX('2. Salmon Passage by Bin'!$H$6:$H$128, MATCH('FW Summary'!$A92, '2. Salmon Passage by Bin'!$A$6:$A$128,0))+_xlfn.IFNA(INDEX('2. Salmon Passage by Bin'!$I$6:$I$128, MATCH('FW Summary'!$A92, '2. Salmon Passage by Bin'!$A$6:$A$128,0)),0)+_xlfn.IFNA(INDEX('2. Salmon Passage by Bin'!$J$6:$J$128, MATCH('FW Summary'!$A92, '2. Salmon Passage by Bin'!$A$6:$A$128,0)),0)</f>
        <v>61194.239999999998</v>
      </c>
      <c r="E92" s="129">
        <f>INDEX('2. Salmon Passage by Bin'!$M$6:$M$128, MATCH('FW Summary'!$A92, '2. Salmon Passage by Bin'!$A$6:$A$128,0))+INDEX('2. Salmon Passage by Bin'!$N$6:$N$128, MATCH('FW Summary'!$A92, '2. Salmon Passage by Bin'!$A$6:$A$128,0))+INDEX('2. Salmon Passage by Bin'!$O$6:$O$128, MATCH('FW Summary'!$A92, '2. Salmon Passage by Bin'!$A$6:$A$128,0))</f>
        <v>5604.9599999999991</v>
      </c>
      <c r="F92" s="130" t="e">
        <f t="shared" si="16"/>
        <v>#N/A</v>
      </c>
      <c r="G92" s="145" t="e">
        <f t="shared" si="17"/>
        <v>#N/A</v>
      </c>
      <c r="H92" s="71" t="e">
        <f>INDEX('FW Catch'!F92:F184, MATCH('FW Summary'!A92, 'FW Catch'!A92:A184))</f>
        <v>#DIV/0!</v>
      </c>
      <c r="I92" s="142">
        <f>INDEX('Pink Proportion'!$S$6:$S$128, MATCH('FW Summary'!A92, 'Pink Proportion'!$A$6:$A$128))/C92</f>
        <v>0.45</v>
      </c>
      <c r="J92" s="131" t="e">
        <f t="shared" si="13"/>
        <v>#N/A</v>
      </c>
      <c r="K92" s="130" t="e">
        <f t="shared" si="18"/>
        <v>#N/A</v>
      </c>
      <c r="L92" s="145" t="e">
        <f t="shared" si="19"/>
        <v>#N/A</v>
      </c>
      <c r="M92" s="71" t="e">
        <f>INDEX('FW Catch'!G92:G184, MATCH('FW Summary'!A92, 'FW Catch'!A92:A184))</f>
        <v>#DIV/0!</v>
      </c>
      <c r="N92" s="17">
        <f>INDEX(WhonSpComp!AN94:AN221, MATCH('FW Summary'!A92, WhonSpComp!A94:A221,0))</f>
        <v>0.1</v>
      </c>
      <c r="O92" s="131" t="e">
        <f t="shared" si="20"/>
        <v>#N/A</v>
      </c>
      <c r="P92" s="130" t="e">
        <f t="shared" si="21"/>
        <v>#N/A</v>
      </c>
      <c r="Q92" s="145" t="e">
        <f t="shared" si="22"/>
        <v>#N/A</v>
      </c>
      <c r="R92" s="71" t="e">
        <f>INDEX('FW Catch'!H92:H184, MATCH('FW Summary'!A92, 'FW Catch'!A92:A184))</f>
        <v>#DIV/0!</v>
      </c>
      <c r="S92" s="17">
        <f>INDEX(WhonSpComp!AT94:AT221, MATCH('FW Summary'!A92, WhonSpComp!A94:A221,0))</f>
        <v>0.2</v>
      </c>
      <c r="T92" s="131" t="e">
        <f t="shared" si="23"/>
        <v>#N/A</v>
      </c>
      <c r="U92" s="130" t="e">
        <f t="shared" si="24"/>
        <v>#N/A</v>
      </c>
      <c r="V92" s="145" t="e">
        <f t="shared" si="25"/>
        <v>#N/A</v>
      </c>
      <c r="W92" s="71" t="e">
        <f>INDEX('FW Catch'!I92:I184, MATCH('FW Summary'!A92, 'FW Catch'!A92:A184))</f>
        <v>#DIV/0!</v>
      </c>
      <c r="X92" s="17">
        <f>INDEX(WhonSpComp!AV94:AV221, MATCH('FW Summary'!A92, WhonSpComp!A94:A221,0))</f>
        <v>0</v>
      </c>
      <c r="Y92" s="131" t="e">
        <f t="shared" si="26"/>
        <v>#N/A</v>
      </c>
    </row>
    <row r="93" spans="1:25" x14ac:dyDescent="0.3">
      <c r="A93" s="1">
        <f t="shared" si="27"/>
        <v>45192</v>
      </c>
      <c r="B93" s="127">
        <f>INDEX('[1]Passage Estimates'!$D$6:$D$128, MATCH($A93, '[1]Passage Estimates'!$A$6:$A$128,0))</f>
        <v>72910.140000000043</v>
      </c>
      <c r="C93" s="128">
        <f>INDEX('2. Salmon Passage by Bin'!$K$6:$K$128, MATCH('FW Summary'!$A93,'2. Salmon Passage by Bin'!$A$6:$A$128,0))</f>
        <v>20170.620000000035</v>
      </c>
      <c r="D93" s="76">
        <f>INDEX('2. Salmon Passage by Bin'!$E$6:$E$128, MATCH('FW Summary'!$A93, '2. Salmon Passage by Bin'!$A$6:$A$128,0))+INDEX('2. Salmon Passage by Bin'!$F$6:$F$128, MATCH('FW Summary'!$A93, '2. Salmon Passage by Bin'!$A$6:$A$128,0))+INDEX('2. Salmon Passage by Bin'!$G$6:$G$128, MATCH('FW Summary'!$A93, '2. Salmon Passage by Bin'!$A$6:$A$128,0))+INDEX('2. Salmon Passage by Bin'!$H$6:$H$128, MATCH('FW Summary'!$A93, '2. Salmon Passage by Bin'!$A$6:$A$128,0))+_xlfn.IFNA(INDEX('2. Salmon Passage by Bin'!$I$6:$I$128, MATCH('FW Summary'!$A93, '2. Salmon Passage by Bin'!$A$6:$A$128,0)),0)+_xlfn.IFNA(INDEX('2. Salmon Passage by Bin'!$J$6:$J$128, MATCH('FW Summary'!$A93, '2. Salmon Passage by Bin'!$A$6:$A$128,0)),0)</f>
        <v>44850.96</v>
      </c>
      <c r="E93" s="129">
        <f>INDEX('2. Salmon Passage by Bin'!$M$6:$M$128, MATCH('FW Summary'!$A93, '2. Salmon Passage by Bin'!$A$6:$A$128,0))+INDEX('2. Salmon Passage by Bin'!$N$6:$N$128, MATCH('FW Summary'!$A93, '2. Salmon Passage by Bin'!$A$6:$A$128,0))+INDEX('2. Salmon Passage by Bin'!$O$6:$O$128, MATCH('FW Summary'!$A93, '2. Salmon Passage by Bin'!$A$6:$A$128,0))</f>
        <v>7398.7199999999993</v>
      </c>
      <c r="F93" s="130" t="e">
        <f t="shared" si="16"/>
        <v>#N/A</v>
      </c>
      <c r="G93" s="145" t="e">
        <f t="shared" si="17"/>
        <v>#N/A</v>
      </c>
      <c r="H93" s="71" t="e">
        <f>INDEX('FW Catch'!F93:F185, MATCH('FW Summary'!A93, 'FW Catch'!A93:A185))</f>
        <v>#DIV/0!</v>
      </c>
      <c r="I93" s="142">
        <f>INDEX('Pink Proportion'!$S$6:$S$128, MATCH('FW Summary'!A93, 'Pink Proportion'!$A$6:$A$128))/C93</f>
        <v>0.375</v>
      </c>
      <c r="J93" s="131" t="e">
        <f t="shared" si="13"/>
        <v>#N/A</v>
      </c>
      <c r="K93" s="130" t="e">
        <f t="shared" si="18"/>
        <v>#N/A</v>
      </c>
      <c r="L93" s="145" t="e">
        <f t="shared" si="19"/>
        <v>#N/A</v>
      </c>
      <c r="M93" s="71" t="e">
        <f>INDEX('FW Catch'!G93:G185, MATCH('FW Summary'!A93, 'FW Catch'!A93:A185))</f>
        <v>#DIV/0!</v>
      </c>
      <c r="N93" s="17">
        <f>INDEX(WhonSpComp!AN95:AN222, MATCH('FW Summary'!A93, WhonSpComp!A95:A222,0))</f>
        <v>0.5</v>
      </c>
      <c r="O93" s="131" t="e">
        <f t="shared" si="20"/>
        <v>#N/A</v>
      </c>
      <c r="P93" s="130" t="e">
        <f t="shared" si="21"/>
        <v>#N/A</v>
      </c>
      <c r="Q93" s="145" t="e">
        <f t="shared" si="22"/>
        <v>#N/A</v>
      </c>
      <c r="R93" s="71" t="e">
        <f>INDEX('FW Catch'!H93:H185, MATCH('FW Summary'!A93, 'FW Catch'!A93:A185))</f>
        <v>#DIV/0!</v>
      </c>
      <c r="S93" s="17">
        <f>INDEX(WhonSpComp!AT95:AT222, MATCH('FW Summary'!A93, WhonSpComp!A95:A222,0))</f>
        <v>0</v>
      </c>
      <c r="T93" s="131" t="e">
        <f t="shared" si="23"/>
        <v>#N/A</v>
      </c>
      <c r="U93" s="130" t="e">
        <f t="shared" si="24"/>
        <v>#N/A</v>
      </c>
      <c r="V93" s="145" t="e">
        <f t="shared" si="25"/>
        <v>#N/A</v>
      </c>
      <c r="W93" s="71" t="e">
        <f>INDEX('FW Catch'!I93:I185, MATCH('FW Summary'!A93, 'FW Catch'!A93:A185))</f>
        <v>#DIV/0!</v>
      </c>
      <c r="X93" s="17">
        <f>INDEX(WhonSpComp!AV95:AV222, MATCH('FW Summary'!A93, WhonSpComp!A95:A222,0))</f>
        <v>0</v>
      </c>
      <c r="Y93" s="131" t="e">
        <f t="shared" si="26"/>
        <v>#N/A</v>
      </c>
    </row>
    <row r="94" spans="1:25" x14ac:dyDescent="0.3">
      <c r="A94" s="1">
        <f t="shared" si="27"/>
        <v>45193</v>
      </c>
      <c r="B94" s="127">
        <f>INDEX('[1]Passage Estimates'!$D$6:$D$128, MATCH($A94, '[1]Passage Estimates'!$A$6:$A$128,0))</f>
        <v>55231.751999999979</v>
      </c>
      <c r="C94" s="128">
        <f>INDEX('2. Salmon Passage by Bin'!$K$6:$K$128, MATCH('FW Summary'!$A94,'2. Salmon Passage by Bin'!$A$6:$A$128,0))</f>
        <v>14050.151999999987</v>
      </c>
      <c r="D94" s="76">
        <f>INDEX('2. Salmon Passage by Bin'!$E$6:$E$128, MATCH('FW Summary'!$A94, '2. Salmon Passage by Bin'!$A$6:$A$128,0))+INDEX('2. Salmon Passage by Bin'!$F$6:$F$128, MATCH('FW Summary'!$A94, '2. Salmon Passage by Bin'!$A$6:$A$128,0))+INDEX('2. Salmon Passage by Bin'!$G$6:$G$128, MATCH('FW Summary'!$A94, '2. Salmon Passage by Bin'!$A$6:$A$128,0))+INDEX('2. Salmon Passage by Bin'!$H$6:$H$128, MATCH('FW Summary'!$A94, '2. Salmon Passage by Bin'!$A$6:$A$128,0))+_xlfn.IFNA(INDEX('2. Salmon Passage by Bin'!$I$6:$I$128, MATCH('FW Summary'!$A94, '2. Salmon Passage by Bin'!$A$6:$A$128,0)),0)+_xlfn.IFNA(INDEX('2. Salmon Passage by Bin'!$J$6:$J$128, MATCH('FW Summary'!$A94, '2. Salmon Passage by Bin'!$A$6:$A$128,0)),0)</f>
        <v>37912.32</v>
      </c>
      <c r="E94" s="129">
        <f>INDEX('2. Salmon Passage by Bin'!$M$6:$M$128, MATCH('FW Summary'!$A94, '2. Salmon Passage by Bin'!$A$6:$A$128,0))+INDEX('2. Salmon Passage by Bin'!$N$6:$N$128, MATCH('FW Summary'!$A94, '2. Salmon Passage by Bin'!$A$6:$A$128,0))+INDEX('2. Salmon Passage by Bin'!$O$6:$O$128, MATCH('FW Summary'!$A94, '2. Salmon Passage by Bin'!$A$6:$A$128,0))</f>
        <v>2635.2</v>
      </c>
      <c r="F94" s="130" t="e">
        <f t="shared" si="16"/>
        <v>#N/A</v>
      </c>
      <c r="G94" s="145" t="e">
        <f t="shared" si="17"/>
        <v>#N/A</v>
      </c>
      <c r="H94" s="71" t="e">
        <f>INDEX('FW Catch'!F94:F186, MATCH('FW Summary'!A94, 'FW Catch'!A94:A186))</f>
        <v>#DIV/0!</v>
      </c>
      <c r="I94" s="142">
        <f>INDEX('Pink Proportion'!$S$6:$S$128, MATCH('FW Summary'!A94, 'Pink Proportion'!$A$6:$A$128))/C94</f>
        <v>0.35714285714285715</v>
      </c>
      <c r="J94" s="131" t="e">
        <f t="shared" si="13"/>
        <v>#N/A</v>
      </c>
      <c r="K94" s="130" t="e">
        <f t="shared" si="18"/>
        <v>#N/A</v>
      </c>
      <c r="L94" s="145" t="e">
        <f t="shared" si="19"/>
        <v>#N/A</v>
      </c>
      <c r="M94" s="71" t="e">
        <f>INDEX('FW Catch'!G94:G186, MATCH('FW Summary'!A94, 'FW Catch'!A94:A186))</f>
        <v>#DIV/0!</v>
      </c>
      <c r="N94" s="17">
        <f>INDEX(WhonSpComp!AN96:AN223, MATCH('FW Summary'!A94, WhonSpComp!A96:A223,0))</f>
        <v>0.42857142857142855</v>
      </c>
      <c r="O94" s="131" t="e">
        <f t="shared" si="20"/>
        <v>#N/A</v>
      </c>
      <c r="P94" s="130" t="e">
        <f t="shared" si="21"/>
        <v>#N/A</v>
      </c>
      <c r="Q94" s="145" t="e">
        <f t="shared" si="22"/>
        <v>#N/A</v>
      </c>
      <c r="R94" s="71" t="e">
        <f>INDEX('FW Catch'!H94:H186, MATCH('FW Summary'!A94, 'FW Catch'!A94:A186))</f>
        <v>#DIV/0!</v>
      </c>
      <c r="S94" s="17">
        <f>INDEX(WhonSpComp!AT96:AT223, MATCH('FW Summary'!A94, WhonSpComp!A96:A223,0))</f>
        <v>0</v>
      </c>
      <c r="T94" s="131" t="e">
        <f t="shared" si="23"/>
        <v>#N/A</v>
      </c>
      <c r="U94" s="130" t="e">
        <f t="shared" si="24"/>
        <v>#N/A</v>
      </c>
      <c r="V94" s="145" t="e">
        <f t="shared" si="25"/>
        <v>#N/A</v>
      </c>
      <c r="W94" s="71" t="e">
        <f>INDEX('FW Catch'!I94:I186, MATCH('FW Summary'!A94, 'FW Catch'!A94:A186))</f>
        <v>#DIV/0!</v>
      </c>
      <c r="X94" s="17">
        <f>INDEX(WhonSpComp!AV96:AV223, MATCH('FW Summary'!A94, WhonSpComp!A96:A223,0))</f>
        <v>0</v>
      </c>
      <c r="Y94" s="131" t="e">
        <f t="shared" si="26"/>
        <v>#N/A</v>
      </c>
    </row>
    <row r="95" spans="1:25" ht="15" thickBot="1" x14ac:dyDescent="0.35">
      <c r="A95" s="1">
        <f t="shared" si="27"/>
        <v>45194</v>
      </c>
      <c r="B95" s="132">
        <f>INDEX('[1]Passage Estimates'!$D$6:$D$128, MATCH($A95, '[1]Passage Estimates'!$A$6:$A$128,0))</f>
        <v>45383.520000000011</v>
      </c>
      <c r="C95" s="133">
        <f>INDEX('2. Salmon Passage by Bin'!$K$6:$K$128, MATCH('FW Summary'!$A95,'2. Salmon Passage by Bin'!$A$6:$A$128,0))</f>
        <v>12592.560000000007</v>
      </c>
      <c r="D95" s="76">
        <f>INDEX('2. Salmon Passage by Bin'!$E$6:$E$128, MATCH('FW Summary'!$A95, '2. Salmon Passage by Bin'!$A$6:$A$128,0))+INDEX('2. Salmon Passage by Bin'!$F$6:$F$128, MATCH('FW Summary'!$A95, '2. Salmon Passage by Bin'!$A$6:$A$128,0))+INDEX('2. Salmon Passage by Bin'!$G$6:$G$128, MATCH('FW Summary'!$A95, '2. Salmon Passage by Bin'!$A$6:$A$128,0))+INDEX('2. Salmon Passage by Bin'!$H$6:$H$128, MATCH('FW Summary'!$A95, '2. Salmon Passage by Bin'!$A$6:$A$128,0))+_xlfn.IFNA(INDEX('2. Salmon Passage by Bin'!$I$6:$I$128, MATCH('FW Summary'!$A95, '2. Salmon Passage by Bin'!$A$6:$A$128,0)),0)+_xlfn.IFNA(INDEX('2. Salmon Passage by Bin'!$J$6:$J$128, MATCH('FW Summary'!$A95, '2. Salmon Passage by Bin'!$A$6:$A$128,0)),0)</f>
        <v>26172.719999999998</v>
      </c>
      <c r="E95" s="129">
        <f>INDEX('2. Salmon Passage by Bin'!$M$6:$M$128, MATCH('FW Summary'!$A95, '2. Salmon Passage by Bin'!$A$6:$A$128,0))+INDEX('2. Salmon Passage by Bin'!$N$6:$N$128, MATCH('FW Summary'!$A95, '2. Salmon Passage by Bin'!$A$6:$A$128,0))+INDEX('2. Salmon Passage by Bin'!$O$6:$O$128, MATCH('FW Summary'!$A95, '2. Salmon Passage by Bin'!$A$6:$A$128,0))</f>
        <v>6231.6</v>
      </c>
      <c r="F95" s="134" t="e">
        <f t="shared" si="16"/>
        <v>#N/A</v>
      </c>
      <c r="G95" s="146" t="e">
        <f t="shared" si="17"/>
        <v>#N/A</v>
      </c>
      <c r="H95" s="36" t="e">
        <f>INDEX('FW Catch'!F95:F187, MATCH('FW Summary'!A95, 'FW Catch'!A95:A187))</f>
        <v>#DIV/0!</v>
      </c>
      <c r="I95" s="144">
        <f>INDEX('Pink Proportion'!$S$6:$S$128, MATCH('FW Summary'!A95, 'Pink Proportion'!$A$6:$A$128))/C95</f>
        <v>0.45833333333333331</v>
      </c>
      <c r="J95" s="156" t="e">
        <f t="shared" si="13"/>
        <v>#N/A</v>
      </c>
      <c r="K95" s="134" t="e">
        <f t="shared" si="18"/>
        <v>#N/A</v>
      </c>
      <c r="L95" s="146" t="e">
        <f>O95/B95</f>
        <v>#N/A</v>
      </c>
      <c r="M95" s="36" t="e">
        <f>INDEX('FW Catch'!G95:G187, MATCH('FW Summary'!A95, 'FW Catch'!A95:A187))</f>
        <v>#DIV/0!</v>
      </c>
      <c r="N95" s="17">
        <f>INDEX(WhonSpComp!AN97:AN224, MATCH('FW Summary'!A95, WhonSpComp!A97:A224,0))</f>
        <v>0.125</v>
      </c>
      <c r="O95" s="156" t="e">
        <f t="shared" si="20"/>
        <v>#N/A</v>
      </c>
      <c r="P95" s="134" t="e">
        <f t="shared" si="21"/>
        <v>#N/A</v>
      </c>
      <c r="Q95" s="146" t="e">
        <f t="shared" si="22"/>
        <v>#N/A</v>
      </c>
      <c r="R95" s="36" t="e">
        <f>INDEX('FW Catch'!H95:H187, MATCH('FW Summary'!A95, 'FW Catch'!A95:A187))</f>
        <v>#DIV/0!</v>
      </c>
      <c r="S95" s="17">
        <f>INDEX(WhonSpComp!AT97:AT224, MATCH('FW Summary'!A95, WhonSpComp!A97:A224,0))</f>
        <v>0.125</v>
      </c>
      <c r="T95" s="156" t="e">
        <f t="shared" si="23"/>
        <v>#N/A</v>
      </c>
      <c r="U95" s="134" t="e">
        <f>B95-Y95</f>
        <v>#N/A</v>
      </c>
      <c r="V95" s="146" t="e">
        <f>Y95/B95</f>
        <v>#N/A</v>
      </c>
      <c r="W95" s="36" t="e">
        <f>INDEX('FW Catch'!I95:I187, MATCH('FW Summary'!A95, 'FW Catch'!A95:A187))</f>
        <v>#DIV/0!</v>
      </c>
      <c r="X95" s="17">
        <f>INDEX(WhonSpComp!AV97:AV224, MATCH('FW Summary'!A95, WhonSpComp!A97:A224,0))</f>
        <v>0</v>
      </c>
      <c r="Y95" s="156" t="e">
        <f t="shared" si="26"/>
        <v>#N/A</v>
      </c>
    </row>
  </sheetData>
  <mergeCells count="10">
    <mergeCell ref="B1:E1"/>
    <mergeCell ref="A1:A2"/>
    <mergeCell ref="F1:I1"/>
    <mergeCell ref="J1:J2"/>
    <mergeCell ref="K1:N1"/>
    <mergeCell ref="P1:S1"/>
    <mergeCell ref="T1:T2"/>
    <mergeCell ref="U1:X1"/>
    <mergeCell ref="Y1:Y2"/>
    <mergeCell ref="O1:O2"/>
  </mergeCells>
  <conditionalFormatting sqref="B3:Y95">
    <cfRule type="expression" dxfId="25" priority="1" stopIfTrue="1">
      <formula>ISNA(B3)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27FF-43C2-43F9-9A97-D85926E71B78}">
  <sheetPr codeName="Sheet4">
    <tabColor theme="4" tint="0.59999389629810485"/>
  </sheetPr>
  <dimension ref="A1:AH129"/>
  <sheetViews>
    <sheetView topLeftCell="A72" workbookViewId="0">
      <selection activeCell="H83" sqref="H83"/>
    </sheetView>
  </sheetViews>
  <sheetFormatPr defaultRowHeight="14.4" x14ac:dyDescent="0.3"/>
  <cols>
    <col min="1" max="1" width="12.44140625" bestFit="1" customWidth="1"/>
    <col min="2" max="2" width="15.6640625" customWidth="1"/>
    <col min="3" max="3" width="9.44140625" bestFit="1" customWidth="1"/>
    <col min="4" max="4" width="9.44140625" customWidth="1"/>
    <col min="5" max="5" width="12.6640625" customWidth="1"/>
    <col min="6" max="7" width="9.44140625" bestFit="1" customWidth="1"/>
    <col min="8" max="8" width="12.109375" customWidth="1"/>
    <col min="9" max="11" width="10.5546875" bestFit="1" customWidth="1"/>
    <col min="12" max="12" width="9.44140625" bestFit="1" customWidth="1"/>
    <col min="13" max="13" width="9.44140625" customWidth="1"/>
    <col min="14" max="15" width="9.44140625" bestFit="1" customWidth="1"/>
    <col min="16" max="18" width="9.44140625" customWidth="1"/>
    <col min="19" max="19" width="8.88671875" bestFit="1" customWidth="1"/>
    <col min="20" max="20" width="10.6640625" customWidth="1"/>
    <col min="21" max="23" width="10.5546875" bestFit="1" customWidth="1"/>
    <col min="24" max="24" width="13.6640625" customWidth="1"/>
    <col min="25" max="25" width="18.33203125" bestFit="1" customWidth="1"/>
    <col min="26" max="26" width="15.33203125" bestFit="1" customWidth="1"/>
    <col min="27" max="27" width="9.44140625" customWidth="1"/>
    <col min="28" max="28" width="7.33203125" bestFit="1" customWidth="1"/>
    <col min="29" max="29" width="10.33203125" customWidth="1"/>
  </cols>
  <sheetData>
    <row r="1" spans="1:34" x14ac:dyDescent="0.3">
      <c r="AH1" s="41" t="s">
        <v>158</v>
      </c>
    </row>
    <row r="2" spans="1:34" ht="15" thickBot="1" x14ac:dyDescent="0.35">
      <c r="AH2" s="202" t="s">
        <v>157</v>
      </c>
    </row>
    <row r="3" spans="1:34" ht="21.6" thickBot="1" x14ac:dyDescent="0.45">
      <c r="Y3" s="266" t="s">
        <v>20</v>
      </c>
      <c r="Z3" s="267"/>
      <c r="AA3" s="267"/>
      <c r="AB3" s="267"/>
      <c r="AC3" s="268"/>
    </row>
    <row r="4" spans="1:34" ht="18" x14ac:dyDescent="0.35">
      <c r="A4" s="260" t="s">
        <v>0</v>
      </c>
      <c r="B4" s="253" t="s">
        <v>21</v>
      </c>
      <c r="C4" s="255" t="s">
        <v>16</v>
      </c>
      <c r="D4" s="248"/>
      <c r="E4" s="248"/>
      <c r="F4" s="248"/>
      <c r="G4" s="248"/>
      <c r="H4" s="248"/>
      <c r="I4" s="248"/>
      <c r="J4" s="248"/>
      <c r="K4" s="248"/>
      <c r="L4" s="255" t="s">
        <v>17</v>
      </c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69" t="s">
        <v>19</v>
      </c>
      <c r="Z4" s="286" t="s">
        <v>22</v>
      </c>
      <c r="AA4" s="255" t="s">
        <v>23</v>
      </c>
      <c r="AB4" s="248"/>
      <c r="AC4" s="227"/>
    </row>
    <row r="5" spans="1:34" ht="43.2" x14ac:dyDescent="0.3">
      <c r="A5" s="261"/>
      <c r="B5" s="254"/>
      <c r="C5" s="26" t="s">
        <v>54</v>
      </c>
      <c r="D5" s="26" t="s">
        <v>55</v>
      </c>
      <c r="E5" s="26" t="s">
        <v>106</v>
      </c>
      <c r="F5" s="26" t="s">
        <v>8</v>
      </c>
      <c r="G5" s="26" t="s">
        <v>9</v>
      </c>
      <c r="H5" s="32" t="s">
        <v>33</v>
      </c>
      <c r="I5" s="27" t="s">
        <v>13</v>
      </c>
      <c r="J5" s="27" t="s">
        <v>14</v>
      </c>
      <c r="K5" s="27" t="s">
        <v>15</v>
      </c>
      <c r="L5" s="26" t="s">
        <v>54</v>
      </c>
      <c r="M5" s="26" t="s">
        <v>55</v>
      </c>
      <c r="N5" s="29" t="s">
        <v>8</v>
      </c>
      <c r="O5" s="29" t="s">
        <v>9</v>
      </c>
      <c r="P5" s="29" t="s">
        <v>102</v>
      </c>
      <c r="Q5" s="29" t="s">
        <v>103</v>
      </c>
      <c r="R5" s="29" t="s">
        <v>104</v>
      </c>
      <c r="S5" s="30" t="s">
        <v>18</v>
      </c>
      <c r="T5" s="27" t="s">
        <v>163</v>
      </c>
      <c r="U5" s="27" t="s">
        <v>15</v>
      </c>
      <c r="V5" s="27" t="s">
        <v>14</v>
      </c>
      <c r="W5" s="27" t="s">
        <v>13</v>
      </c>
      <c r="X5" s="26" t="s">
        <v>106</v>
      </c>
      <c r="Y5" s="270"/>
      <c r="Z5" s="287"/>
      <c r="AA5" s="11" t="s">
        <v>24</v>
      </c>
      <c r="AB5" s="31" t="s">
        <v>25</v>
      </c>
      <c r="AC5" s="8" t="s">
        <v>26</v>
      </c>
    </row>
    <row r="6" spans="1:34" x14ac:dyDescent="0.3">
      <c r="A6" s="5">
        <f>'1. Mixture Model Inputs'!A6</f>
        <v>45108</v>
      </c>
      <c r="B6" s="13" t="str">
        <f>IF(ISBLANK('[1]Passage Estimates'!$C6),"",IF('[1]Passage Estimates'!$C6="Imputation",'[1]Passage Estimates'!$B6,'[1]Passage Estimates'!$C6))</f>
        <v>S1+M+A2</v>
      </c>
      <c r="C6" s="17">
        <f>IFERROR(SUM('1. Mixture Model Inputs'!B6,'1. Mixture Model Inputs'!J6)/'1. Mixture Model Inputs'!Z6,NA())</f>
        <v>0</v>
      </c>
      <c r="D6" s="17">
        <f>IFERROR(SUM('1. Mixture Model Inputs'!C6,'1. Mixture Model Inputs'!K6)/'1. Mixture Model Inputs'!AA6,NA())</f>
        <v>0</v>
      </c>
      <c r="E6" s="17">
        <f>IFERROR(SUM('1. Mixture Model Inputs'!D6,'1. Mixture Model Inputs'!L6)/'1. Mixture Model Inputs'!AB6,NA())</f>
        <v>0</v>
      </c>
      <c r="F6" s="17">
        <f>IFERROR(SUM('1. Mixture Model Inputs'!E6,'1. Mixture Model Inputs'!M6)/'1. Mixture Model Inputs'!AC6,NA())</f>
        <v>0.19155639571518587</v>
      </c>
      <c r="G6" s="17">
        <f>IFERROR(SUM('1. Mixture Model Inputs'!F6,'1. Mixture Model Inputs'!N6)/'1. Mixture Model Inputs'!AD6,NA())</f>
        <v>0.87786824574389344</v>
      </c>
      <c r="H6" s="24">
        <f>IFERROR(WhonSpComp!AT21+WhonSpComp!AV21, NA())</f>
        <v>0.5</v>
      </c>
      <c r="I6" s="17" t="e">
        <f>IFERROR(SUM('1. Mixture Model Inputs'!G6,'1. Mixture Model Inputs'!O6)/'1. Mixture Model Inputs'!AE6, NA())</f>
        <v>#N/A</v>
      </c>
      <c r="J6" s="17" t="e">
        <f>IFERROR(SUM('1. Mixture Model Inputs'!H6,'1. Mixture Model Inputs'!P6)/'1. Mixture Model Inputs'!AF6, NA())</f>
        <v>#N/A</v>
      </c>
      <c r="K6" s="17" t="e">
        <f>IFERROR(SUM('1. Mixture Model Inputs'!I6,'1. Mixture Model Inputs'!Q6)/'1. Mixture Model Inputs'!AG6, NA())</f>
        <v>#N/A</v>
      </c>
      <c r="L6" s="22">
        <f>C6*'2. Salmon Passage by Bin'!C6</f>
        <v>0</v>
      </c>
      <c r="M6" s="22">
        <f>D6*'2. Salmon Passage by Bin'!D6</f>
        <v>0</v>
      </c>
      <c r="N6" s="22">
        <f>F6*'2. Salmon Passage by Bin'!F6</f>
        <v>76.913724007561427</v>
      </c>
      <c r="O6" s="22">
        <f>G6*'2. Salmon Passage by Bin'!G6</f>
        <v>226.70069578090306</v>
      </c>
      <c r="P6" s="22">
        <f>$G6*'2. Salmon Passage by Bin'!H6</f>
        <v>235.12823094004446</v>
      </c>
      <c r="Q6" s="22">
        <f>$G6*'2. Salmon Passage by Bin'!I6</f>
        <v>0</v>
      </c>
      <c r="R6" s="22">
        <f>$G6*'2. Salmon Passage by Bin'!J6</f>
        <v>0</v>
      </c>
      <c r="S6" s="25">
        <f>'2. Salmon Passage by Bin'!K6*H6</f>
        <v>1305.2400000000005</v>
      </c>
      <c r="T6" s="25" t="e">
        <f>K6*'2. Salmon Passage by Bin'!L6</f>
        <v>#N/A</v>
      </c>
      <c r="U6" s="25" t="e">
        <f>K6*'2. Salmon Passage by Bin'!M6</f>
        <v>#N/A</v>
      </c>
      <c r="V6" s="25" t="e">
        <f>J6*'2. Salmon Passage by Bin'!N6</f>
        <v>#N/A</v>
      </c>
      <c r="W6" s="25" t="e">
        <f>I6*'2. Salmon Passage by Bin'!O6</f>
        <v>#N/A</v>
      </c>
      <c r="X6" s="22">
        <f>E6*'2. Salmon Passage by Bin'!E6</f>
        <v>0</v>
      </c>
      <c r="Y6" s="41">
        <f>IF(B6="M",S6,IF(AND(ISNUMBER(SEARCH("A1*",B6)),SUMIF(L6:W6,"&lt;&gt;#N/A")&gt;0),SUMIF(L6:W6,"&lt;&gt;#N/A"),IF(SUMIF(N6:X6,"&lt;&gt;#N/A")&gt;0,SUMIF(N6:X6,"&lt;&gt;#N/A"),0)))</f>
        <v>1843.9826507285093</v>
      </c>
      <c r="Z6" s="42">
        <f>Y6/'[1]Passage Estimates'!$D6</f>
        <v>0.40993531692490714</v>
      </c>
      <c r="AA6" s="43">
        <f>IFERROR(SUMIF(L6:R6, "&lt;&gt;#N/A")/SUMIF('2. Salmon Passage by Bin'!E6:J6, "&lt;&gt;#N/A"), NA())</f>
        <v>0.44734177853768836</v>
      </c>
      <c r="AB6" s="42">
        <f>IFERROR(IF(ISNA(S6), NA(), S6/'2. Salmon Passage by Bin'!K6), NA())</f>
        <v>0.5</v>
      </c>
      <c r="AC6" s="44">
        <f>IFERROR(SUMIF(T6:W6, "&lt;&gt;#N/A")/SUMIF('2. Salmon Passage by Bin'!L6:N6, "&lt;&gt;#N/A"), NA())</f>
        <v>0</v>
      </c>
    </row>
    <row r="7" spans="1:34" x14ac:dyDescent="0.3">
      <c r="A7" s="5">
        <f>'1. Mixture Model Inputs'!A7</f>
        <v>45109</v>
      </c>
      <c r="B7" s="13" t="str">
        <f>IF(ISBLANK('[1]Passage Estimates'!$C7),"",IF('[1]Passage Estimates'!$C7="Imputation",'[1]Passage Estimates'!$B7,'[1]Passage Estimates'!$C7))</f>
        <v>S1+M+A2</v>
      </c>
      <c r="C7" s="17">
        <f>IFERROR(SUM('1. Mixture Model Inputs'!B7,'1. Mixture Model Inputs'!J7)/'1. Mixture Model Inputs'!Z7,NA())</f>
        <v>0</v>
      </c>
      <c r="D7" s="17">
        <f>IFERROR(SUM('1. Mixture Model Inputs'!C7,'1. Mixture Model Inputs'!K7)/'1. Mixture Model Inputs'!AA7,NA())</f>
        <v>0</v>
      </c>
      <c r="E7" s="17">
        <f>IFERROR(SUM('1. Mixture Model Inputs'!D7,'1. Mixture Model Inputs'!L7)/'1. Mixture Model Inputs'!AB7,NA())</f>
        <v>0</v>
      </c>
      <c r="F7" s="17">
        <f>IFERROR(SUM('1. Mixture Model Inputs'!E7,'1. Mixture Model Inputs'!M7)/'1. Mixture Model Inputs'!AC7,NA())</f>
        <v>0.19155639571518587</v>
      </c>
      <c r="G7" s="17">
        <f>IFERROR(SUM('1. Mixture Model Inputs'!F7,'1. Mixture Model Inputs'!N7)/'1. Mixture Model Inputs'!AD7,NA())</f>
        <v>0.63151959402311808</v>
      </c>
      <c r="H7" s="24">
        <f>IFERROR(WhonSpComp!AT22+WhonSpComp!AV22, NA())</f>
        <v>1</v>
      </c>
      <c r="I7" s="17" t="e">
        <f>IFERROR(SUM('1. Mixture Model Inputs'!G7,'1. Mixture Model Inputs'!O7)/'1. Mixture Model Inputs'!AE7, NA())</f>
        <v>#N/A</v>
      </c>
      <c r="J7" s="17" t="e">
        <f>IFERROR(SUM('1. Mixture Model Inputs'!H7,'1. Mixture Model Inputs'!P7)/'1. Mixture Model Inputs'!AF7, NA())</f>
        <v>#N/A</v>
      </c>
      <c r="K7" s="17" t="e">
        <f>IFERROR(SUM('1. Mixture Model Inputs'!I7,'1. Mixture Model Inputs'!Q7)/'1. Mixture Model Inputs'!AG7, NA())</f>
        <v>#N/A</v>
      </c>
      <c r="L7" s="22">
        <f>C7*'2. Salmon Passage by Bin'!C7</f>
        <v>0</v>
      </c>
      <c r="M7" s="22">
        <f>D7*'2. Salmon Passage by Bin'!D7</f>
        <v>0</v>
      </c>
      <c r="N7" s="22">
        <f>F7*'2. Salmon Passage by Bin'!F7</f>
        <v>82.936257088846872</v>
      </c>
      <c r="O7" s="22">
        <f>G7*'2. Salmon Passage by Bin'!G7</f>
        <v>154.89912602199041</v>
      </c>
      <c r="P7" s="22">
        <f>$G7*'2. Salmon Passage by Bin'!H7</f>
        <v>143.98646743727093</v>
      </c>
      <c r="Q7" s="22">
        <f>$G7*'2. Salmon Passage by Bin'!I7</f>
        <v>0</v>
      </c>
      <c r="R7" s="22">
        <f>$G7*'2. Salmon Passage by Bin'!J7</f>
        <v>0</v>
      </c>
      <c r="S7" s="25">
        <f>'2. Salmon Passage by Bin'!K7*H7</f>
        <v>1914.4800000000009</v>
      </c>
      <c r="T7" s="25" t="e">
        <f>K7*'2. Salmon Passage by Bin'!L7</f>
        <v>#N/A</v>
      </c>
      <c r="U7" s="25" t="e">
        <f>K7*'2. Salmon Passage by Bin'!M7</f>
        <v>#N/A</v>
      </c>
      <c r="V7" s="25" t="e">
        <f>J7*'2. Salmon Passage by Bin'!N7</f>
        <v>#N/A</v>
      </c>
      <c r="W7" s="25" t="e">
        <f>I7*'2. Salmon Passage by Bin'!O7</f>
        <v>#N/A</v>
      </c>
      <c r="X7" s="22">
        <f>E7*'2. Salmon Passage by Bin'!E7</f>
        <v>0</v>
      </c>
      <c r="Y7" s="41">
        <f t="shared" ref="Y7:Y70" si="0">IF(B7="M",S7,IF(AND(ISNUMBER(SEARCH("A1*",B7)),SUMIF(L7:W7,"&lt;&gt;#N/A")&gt;0),SUMIF(L7:W7,"&lt;&gt;#N/A"),IF(SUMIF(N7:X7,"&lt;&gt;#N/A")&gt;0,SUMIF(N7:X7,"&lt;&gt;#N/A"),0)))</f>
        <v>2296.3018505481091</v>
      </c>
      <c r="Z7" s="42">
        <f>Y7/'[1]Passage Estimates'!$D7</f>
        <v>0.59053226338210041</v>
      </c>
      <c r="AA7" s="43">
        <f>IFERROR(SUMIF(L7:R7, "&lt;&gt;#N/A")/SUMIF('2. Salmon Passage by Bin'!E7:J7, "&lt;&gt;#N/A"), NA())</f>
        <v>0.28202878519478536</v>
      </c>
      <c r="AB7" s="42">
        <f>IFERROR(IF(ISNA(S7), NA(), S7/'2. Salmon Passage by Bin'!K7), NA())</f>
        <v>1</v>
      </c>
      <c r="AC7" s="44">
        <f>IFERROR(SUMIF(T7:W7, "&lt;&gt;#N/A")/SUMIF('2. Salmon Passage by Bin'!L7:N7, "&lt;&gt;#N/A"), NA())</f>
        <v>0</v>
      </c>
    </row>
    <row r="8" spans="1:34" x14ac:dyDescent="0.3">
      <c r="A8" s="5">
        <f>'1. Mixture Model Inputs'!A8</f>
        <v>45110</v>
      </c>
      <c r="B8" s="13" t="str">
        <f>IF(ISBLANK('[1]Passage Estimates'!$C8),"",IF('[1]Passage Estimates'!$C8="Imputation",'[1]Passage Estimates'!$B8,'[1]Passage Estimates'!$C8))</f>
        <v>S1+M+A2</v>
      </c>
      <c r="C8" s="17">
        <f>IFERROR(SUM('1. Mixture Model Inputs'!B8,'1. Mixture Model Inputs'!J8)/'1. Mixture Model Inputs'!Z8,NA())</f>
        <v>1</v>
      </c>
      <c r="D8" s="17">
        <f>IFERROR(SUM('1. Mixture Model Inputs'!C8,'1. Mixture Model Inputs'!K8)/'1. Mixture Model Inputs'!AA8,NA())</f>
        <v>0</v>
      </c>
      <c r="E8" s="17">
        <f>IFERROR(SUM('1. Mixture Model Inputs'!D8,'1. Mixture Model Inputs'!L8)/'1. Mixture Model Inputs'!AB8,NA())</f>
        <v>0.49333333333333335</v>
      </c>
      <c r="F8" s="17">
        <f>IFERROR(SUM('1. Mixture Model Inputs'!E8,'1. Mixture Model Inputs'!M8)/'1. Mixture Model Inputs'!AC8,NA())</f>
        <v>0.31625441696113077</v>
      </c>
      <c r="G8" s="17">
        <f>IFERROR(SUM('1. Mixture Model Inputs'!F8,'1. Mixture Model Inputs'!N8)/'1. Mixture Model Inputs'!AD8,NA())</f>
        <v>0.82963493199713678</v>
      </c>
      <c r="H8" s="24">
        <f>IFERROR(WhonSpComp!AT23+WhonSpComp!AV23, NA())</f>
        <v>1</v>
      </c>
      <c r="I8" s="17" t="e">
        <f>IFERROR(SUM('1. Mixture Model Inputs'!G8,'1. Mixture Model Inputs'!O8)/'1. Mixture Model Inputs'!AE8, NA())</f>
        <v>#N/A</v>
      </c>
      <c r="J8" s="17" t="e">
        <f>IFERROR(SUM('1. Mixture Model Inputs'!H8,'1. Mixture Model Inputs'!P8)/'1. Mixture Model Inputs'!AF8, NA())</f>
        <v>#N/A</v>
      </c>
      <c r="K8" s="17" t="e">
        <f>IFERROR(SUM('1. Mixture Model Inputs'!I8,'1. Mixture Model Inputs'!Q8)/'1. Mixture Model Inputs'!AG8, NA())</f>
        <v>#N/A</v>
      </c>
      <c r="L8" s="22">
        <f>C8*'2. Salmon Passage by Bin'!C8</f>
        <v>88</v>
      </c>
      <c r="M8" s="22">
        <f>D8*'2. Salmon Passage by Bin'!D8</f>
        <v>0</v>
      </c>
      <c r="N8" s="22">
        <f>F8*'2. Salmon Passage by Bin'!F8</f>
        <v>83.491166077738526</v>
      </c>
      <c r="O8" s="22">
        <f>G8*'2. Salmon Passage by Bin'!G8</f>
        <v>216.43516105941305</v>
      </c>
      <c r="P8" s="22">
        <f>$G8*'2. Salmon Passage by Bin'!H8</f>
        <v>198.11682176091625</v>
      </c>
      <c r="Q8" s="22">
        <f>$G8*'2. Salmon Passage by Bin'!I8</f>
        <v>0</v>
      </c>
      <c r="R8" s="22">
        <f>$G8*'2. Salmon Passage by Bin'!J8</f>
        <v>0</v>
      </c>
      <c r="S8" s="25">
        <f>'2. Salmon Passage by Bin'!K8*H8</f>
        <v>1223.5200000000009</v>
      </c>
      <c r="T8" s="25" t="e">
        <f>K8*'2. Salmon Passage by Bin'!L8</f>
        <v>#N/A</v>
      </c>
      <c r="U8" s="25" t="e">
        <f>K8*'2. Salmon Passage by Bin'!M8</f>
        <v>#N/A</v>
      </c>
      <c r="V8" s="25" t="e">
        <f>J8*'2. Salmon Passage by Bin'!N8</f>
        <v>#N/A</v>
      </c>
      <c r="W8" s="25" t="e">
        <f>I8*'2. Salmon Passage by Bin'!O8</f>
        <v>#N/A</v>
      </c>
      <c r="X8" s="22">
        <f>E8*'2. Salmon Passage by Bin'!E8</f>
        <v>84.182400000000001</v>
      </c>
      <c r="Y8" s="41">
        <f t="shared" si="0"/>
        <v>1805.7455488980686</v>
      </c>
      <c r="Z8" s="42">
        <f>Y8/'[1]Passage Estimates'!$D8</f>
        <v>0.7407007816075043</v>
      </c>
      <c r="AA8" s="43">
        <f>IFERROR(SUMIF(L8:R8, "&lt;&gt;#N/A")/SUMIF('2. Salmon Passage by Bin'!E8:J8, "&lt;&gt;#N/A"), NA())</f>
        <v>0.62724029122577685</v>
      </c>
      <c r="AB8" s="42">
        <f>IFERROR(IF(ISNA(S8), NA(), S8/'2. Salmon Passage by Bin'!K8), NA())</f>
        <v>1</v>
      </c>
      <c r="AC8" s="44">
        <f>IFERROR(SUMIF(T8:W8, "&lt;&gt;#N/A")/SUMIF('2. Salmon Passage by Bin'!L8:N8, "&lt;&gt;#N/A"), NA())</f>
        <v>0</v>
      </c>
    </row>
    <row r="9" spans="1:34" x14ac:dyDescent="0.3">
      <c r="A9" s="5">
        <f>'1. Mixture Model Inputs'!A9</f>
        <v>45111</v>
      </c>
      <c r="B9" s="13" t="str">
        <f>IF(ISBLANK('[1]Passage Estimates'!$C9),"",IF('[1]Passage Estimates'!$C9="Imputation",'[1]Passage Estimates'!$B9,'[1]Passage Estimates'!$C9))</f>
        <v>S1+M+A2</v>
      </c>
      <c r="C9" s="17">
        <f>IFERROR(SUM('1. Mixture Model Inputs'!B9,'1. Mixture Model Inputs'!J9)/'1. Mixture Model Inputs'!Z9,NA())</f>
        <v>0</v>
      </c>
      <c r="D9" s="17">
        <f>IFERROR(SUM('1. Mixture Model Inputs'!C9,'1. Mixture Model Inputs'!K9)/'1. Mixture Model Inputs'!AA9,NA())</f>
        <v>0</v>
      </c>
      <c r="E9" s="17">
        <f>IFERROR(SUM('1. Mixture Model Inputs'!D9,'1. Mixture Model Inputs'!L9)/'1. Mixture Model Inputs'!AB9,NA())</f>
        <v>0</v>
      </c>
      <c r="F9" s="17">
        <f>IFERROR(SUM('1. Mixture Model Inputs'!E9,'1. Mixture Model Inputs'!M9)/'1. Mixture Model Inputs'!AC9,NA())</f>
        <v>0.55442840421381201</v>
      </c>
      <c r="G9" s="17">
        <f>IFERROR(SUM('1. Mixture Model Inputs'!F9,'1. Mixture Model Inputs'!N9)/'1. Mixture Model Inputs'!AD9,NA())</f>
        <v>0.63488759367194003</v>
      </c>
      <c r="H9" s="24">
        <f>IFERROR(WhonSpComp!AT24+WhonSpComp!AV24, NA())</f>
        <v>0.66666666666666663</v>
      </c>
      <c r="I9" s="17" t="e">
        <f>IFERROR(SUM('1. Mixture Model Inputs'!G9,'1. Mixture Model Inputs'!O9)/'1. Mixture Model Inputs'!AE9, NA())</f>
        <v>#N/A</v>
      </c>
      <c r="J9" s="17" t="e">
        <f>IFERROR(SUM('1. Mixture Model Inputs'!H9,'1. Mixture Model Inputs'!P9)/'1. Mixture Model Inputs'!AF9, NA())</f>
        <v>#N/A</v>
      </c>
      <c r="K9" s="17" t="e">
        <f>IFERROR(SUM('1. Mixture Model Inputs'!I9,'1. Mixture Model Inputs'!Q9)/'1. Mixture Model Inputs'!AG9, NA())</f>
        <v>#N/A</v>
      </c>
      <c r="L9" s="22">
        <f>C9*'2. Salmon Passage by Bin'!C9</f>
        <v>0</v>
      </c>
      <c r="M9" s="22">
        <f>D9*'2. Salmon Passage by Bin'!D9</f>
        <v>0</v>
      </c>
      <c r="N9" s="22">
        <f>F9*'2. Salmon Passage by Bin'!F9</f>
        <v>200.12647678501756</v>
      </c>
      <c r="O9" s="22">
        <f>G9*'2. Salmon Passage by Bin'!G9</f>
        <v>179.64779350541212</v>
      </c>
      <c r="P9" s="22">
        <f>$G9*'2. Salmon Passage by Bin'!H9</f>
        <v>161.82014987510408</v>
      </c>
      <c r="Q9" s="22">
        <f>$G9*'2. Salmon Passage by Bin'!I9</f>
        <v>0</v>
      </c>
      <c r="R9" s="22">
        <f>$G9*'2. Salmon Passage by Bin'!J9</f>
        <v>0</v>
      </c>
      <c r="S9" s="25">
        <f>'2. Salmon Passage by Bin'!K9*H9</f>
        <v>642.07999999999993</v>
      </c>
      <c r="T9" s="25" t="e">
        <f>K9*'2. Salmon Passage by Bin'!L9</f>
        <v>#N/A</v>
      </c>
      <c r="U9" s="25" t="e">
        <f>K9*'2. Salmon Passage by Bin'!M9</f>
        <v>#N/A</v>
      </c>
      <c r="V9" s="25" t="e">
        <f>J9*'2. Salmon Passage by Bin'!N9</f>
        <v>#N/A</v>
      </c>
      <c r="W9" s="25" t="e">
        <f>I9*'2. Salmon Passage by Bin'!O9</f>
        <v>#N/A</v>
      </c>
      <c r="X9" s="22">
        <f>E9*'2. Salmon Passage by Bin'!E9</f>
        <v>0</v>
      </c>
      <c r="Y9" s="41">
        <f t="shared" si="0"/>
        <v>1183.6744201655338</v>
      </c>
      <c r="Z9" s="42">
        <f>Y9/'[1]Passage Estimates'!$D9</f>
        <v>0.37960531139597842</v>
      </c>
      <c r="AA9" s="43">
        <f>IFERROR(SUMIF(L9:R9, "&lt;&gt;#N/A")/SUMIF('2. Salmon Passage by Bin'!E9:J9, "&lt;&gt;#N/A"), NA())</f>
        <v>0.47598469043585534</v>
      </c>
      <c r="AB9" s="42">
        <f>IFERROR(IF(ISNA(S9), NA(), S9/'2. Salmon Passage by Bin'!K9), NA())</f>
        <v>0.66666666666666663</v>
      </c>
      <c r="AC9" s="44">
        <f>IFERROR(SUMIF(T9:W9, "&lt;&gt;#N/A")/SUMIF('2. Salmon Passage by Bin'!L9:N9, "&lt;&gt;#N/A"), NA())</f>
        <v>0</v>
      </c>
    </row>
    <row r="10" spans="1:34" x14ac:dyDescent="0.3">
      <c r="A10" s="5">
        <f>'1. Mixture Model Inputs'!A10</f>
        <v>45112</v>
      </c>
      <c r="B10" s="13" t="str">
        <f>IF(ISBLANK('[1]Passage Estimates'!$C10),"",IF('[1]Passage Estimates'!$C10="Imputation",'[1]Passage Estimates'!$B10,'[1]Passage Estimates'!$C10))</f>
        <v>S1+M+A2</v>
      </c>
      <c r="C10" s="17">
        <f>IFERROR(SUM('1. Mixture Model Inputs'!B10,'1. Mixture Model Inputs'!J10)/'1. Mixture Model Inputs'!Z10,NA())</f>
        <v>0</v>
      </c>
      <c r="D10" s="17">
        <f>IFERROR(SUM('1. Mixture Model Inputs'!C10,'1. Mixture Model Inputs'!K10)/'1. Mixture Model Inputs'!AA10,NA())</f>
        <v>0</v>
      </c>
      <c r="E10" s="17">
        <f>IFERROR(SUM('1. Mixture Model Inputs'!D10,'1. Mixture Model Inputs'!L10)/'1. Mixture Model Inputs'!AB10,NA())</f>
        <v>0</v>
      </c>
      <c r="F10" s="17">
        <f>IFERROR(SUM('1. Mixture Model Inputs'!E10,'1. Mixture Model Inputs'!M10)/'1. Mixture Model Inputs'!AC10,NA())</f>
        <v>0.28624382207578258</v>
      </c>
      <c r="G10" s="17">
        <f>IFERROR(SUM('1. Mixture Model Inputs'!F10,'1. Mixture Model Inputs'!N10)/'1. Mixture Model Inputs'!AD10,NA())</f>
        <v>1</v>
      </c>
      <c r="H10" s="24">
        <f>IFERROR(WhonSpComp!AT25+WhonSpComp!AV25, NA())</f>
        <v>0.33333333333333331</v>
      </c>
      <c r="I10" s="17" t="e">
        <f>IFERROR(SUM('1. Mixture Model Inputs'!G10,'1. Mixture Model Inputs'!O10)/'1. Mixture Model Inputs'!AE10, NA())</f>
        <v>#N/A</v>
      </c>
      <c r="J10" s="17" t="e">
        <f>IFERROR(SUM('1. Mixture Model Inputs'!H10,'1. Mixture Model Inputs'!P10)/'1. Mixture Model Inputs'!AF10, NA())</f>
        <v>#N/A</v>
      </c>
      <c r="K10" s="17" t="e">
        <f>IFERROR(SUM('1. Mixture Model Inputs'!I10,'1. Mixture Model Inputs'!Q10)/'1. Mixture Model Inputs'!AG10, NA())</f>
        <v>#N/A</v>
      </c>
      <c r="L10" s="22">
        <f>C10*'2. Salmon Passage by Bin'!C10</f>
        <v>0</v>
      </c>
      <c r="M10" s="22">
        <f>D10*'2. Salmon Passage by Bin'!D10</f>
        <v>0</v>
      </c>
      <c r="N10" s="22">
        <f>F10*'2. Salmon Passage by Bin'!F10</f>
        <v>237.18447509060962</v>
      </c>
      <c r="O10" s="22">
        <f>G10*'2. Salmon Passage by Bin'!G10</f>
        <v>352.79244</v>
      </c>
      <c r="P10" s="22">
        <f>$G10*'2. Salmon Passage by Bin'!H10</f>
        <v>604.52858399999991</v>
      </c>
      <c r="Q10" s="22">
        <f>$G10*'2. Salmon Passage by Bin'!I10</f>
        <v>0</v>
      </c>
      <c r="R10" s="22">
        <f>$G10*'2. Salmon Passage by Bin'!J10</f>
        <v>0</v>
      </c>
      <c r="S10" s="25">
        <f>'2. Salmon Passage by Bin'!K10*H10</f>
        <v>917.92000000000007</v>
      </c>
      <c r="T10" s="25" t="e">
        <f>K10*'2. Salmon Passage by Bin'!L10</f>
        <v>#N/A</v>
      </c>
      <c r="U10" s="25" t="e">
        <f>K10*'2. Salmon Passage by Bin'!M10</f>
        <v>#N/A</v>
      </c>
      <c r="V10" s="25" t="e">
        <f>J10*'2. Salmon Passage by Bin'!N10</f>
        <v>#N/A</v>
      </c>
      <c r="W10" s="25" t="e">
        <f>I10*'2. Salmon Passage by Bin'!O10</f>
        <v>#N/A</v>
      </c>
      <c r="X10" s="22">
        <f>E10*'2. Salmon Passage by Bin'!E10</f>
        <v>0</v>
      </c>
      <c r="Y10" s="41">
        <f t="shared" si="0"/>
        <v>2112.4254990906097</v>
      </c>
      <c r="Z10" s="42">
        <f>Y10/'[1]Passage Estimates'!$D10</f>
        <v>0.3424890652381144</v>
      </c>
      <c r="AA10" s="43">
        <f>IFERROR(SUMIF(L10:R10, "&lt;&gt;#N/A")/SUMIF('2. Salmon Passage by Bin'!E10:J10, "&lt;&gt;#N/A"), NA())</f>
        <v>0.53171855655487343</v>
      </c>
      <c r="AB10" s="42">
        <f>IFERROR(IF(ISNA(S10), NA(), S10/'2. Salmon Passage by Bin'!K10), NA())</f>
        <v>0.33333333333333331</v>
      </c>
      <c r="AC10" s="44">
        <f>IFERROR(SUMIF(T10:W10, "&lt;&gt;#N/A")/SUMIF('2. Salmon Passage by Bin'!L10:N10, "&lt;&gt;#N/A"), NA())</f>
        <v>0</v>
      </c>
    </row>
    <row r="11" spans="1:34" x14ac:dyDescent="0.3">
      <c r="A11" s="5">
        <f>'1. Mixture Model Inputs'!A11</f>
        <v>45113</v>
      </c>
      <c r="B11" s="13" t="str">
        <f>IF(ISBLANK('[1]Passage Estimates'!$C11),"",IF('[1]Passage Estimates'!$C11="Imputation",'[1]Passage Estimates'!$B11,'[1]Passage Estimates'!$C11))</f>
        <v>S1+M+A2</v>
      </c>
      <c r="C11" s="17">
        <f>IFERROR(SUM('1. Mixture Model Inputs'!B11,'1. Mixture Model Inputs'!J11)/'1. Mixture Model Inputs'!Z11,NA())</f>
        <v>0</v>
      </c>
      <c r="D11" s="17">
        <f>IFERROR(SUM('1. Mixture Model Inputs'!C11,'1. Mixture Model Inputs'!K11)/'1. Mixture Model Inputs'!AA11,NA())</f>
        <v>0</v>
      </c>
      <c r="E11" s="17">
        <f>IFERROR(SUM('1. Mixture Model Inputs'!D11,'1. Mixture Model Inputs'!L11)/'1. Mixture Model Inputs'!AB11,NA())</f>
        <v>0</v>
      </c>
      <c r="F11" s="17">
        <f>IFERROR(SUM('1. Mixture Model Inputs'!E11,'1. Mixture Model Inputs'!M11)/'1. Mixture Model Inputs'!AC11,NA())</f>
        <v>0.6388415672913117</v>
      </c>
      <c r="G11" s="17">
        <f>IFERROR(SUM('1. Mixture Model Inputs'!F11,'1. Mixture Model Inputs'!N11)/'1. Mixture Model Inputs'!AD11,NA())</f>
        <v>0.66924398625429549</v>
      </c>
      <c r="H11" s="24">
        <f>IFERROR(WhonSpComp!AT26+WhonSpComp!AV26, NA())</f>
        <v>0</v>
      </c>
      <c r="I11" s="17">
        <f>IFERROR(SUM('1. Mixture Model Inputs'!G11,'1. Mixture Model Inputs'!O11)/'1. Mixture Model Inputs'!AE11, NA())</f>
        <v>0</v>
      </c>
      <c r="J11" s="17" t="e">
        <f>IFERROR(SUM('1. Mixture Model Inputs'!H11,'1. Mixture Model Inputs'!P11)/'1. Mixture Model Inputs'!AF11, NA())</f>
        <v>#N/A</v>
      </c>
      <c r="K11" s="17" t="e">
        <f>IFERROR(SUM('1. Mixture Model Inputs'!I11,'1. Mixture Model Inputs'!Q11)/'1. Mixture Model Inputs'!AG11, NA())</f>
        <v>#N/A</v>
      </c>
      <c r="L11" s="22">
        <f>C11*'2. Salmon Passage by Bin'!C11</f>
        <v>0</v>
      </c>
      <c r="M11" s="22">
        <f>D11*'2. Salmon Passage by Bin'!D11</f>
        <v>0</v>
      </c>
      <c r="N11" s="22">
        <f>F11*'2. Salmon Passage by Bin'!F11</f>
        <v>381.77172061328781</v>
      </c>
      <c r="O11" s="22">
        <f>G11*'2. Salmon Passage by Bin'!G11</f>
        <v>283.49175257731957</v>
      </c>
      <c r="P11" s="22">
        <f>$G11*'2. Salmon Passage by Bin'!H11</f>
        <v>312.88494845360822</v>
      </c>
      <c r="Q11" s="22">
        <f>$G11*'2. Salmon Passage by Bin'!I11</f>
        <v>0</v>
      </c>
      <c r="R11" s="22">
        <f>$G11*'2. Salmon Passage by Bin'!J11</f>
        <v>0</v>
      </c>
      <c r="S11" s="25">
        <f>'2. Salmon Passage by Bin'!K11*H11</f>
        <v>0</v>
      </c>
      <c r="T11" s="25" t="e">
        <f>K11*'2. Salmon Passage by Bin'!L11</f>
        <v>#N/A</v>
      </c>
      <c r="U11" s="25" t="e">
        <f>K11*'2. Salmon Passage by Bin'!M11</f>
        <v>#N/A</v>
      </c>
      <c r="V11" s="25" t="e">
        <f>J11*'2. Salmon Passage by Bin'!N11</f>
        <v>#N/A</v>
      </c>
      <c r="W11" s="25">
        <f>I11*'2. Salmon Passage by Bin'!O11</f>
        <v>0</v>
      </c>
      <c r="X11" s="22">
        <f>E11*'2. Salmon Passage by Bin'!E11</f>
        <v>0</v>
      </c>
      <c r="Y11" s="41">
        <f t="shared" si="0"/>
        <v>978.14842164421555</v>
      </c>
      <c r="Z11" s="42">
        <f>Y11/'[1]Passage Estimates'!$D11</f>
        <v>0.20438897838657838</v>
      </c>
      <c r="AA11" s="43">
        <f>IFERROR(SUMIF(L11:R11, "&lt;&gt;#N/A")/SUMIF('2. Salmon Passage by Bin'!E11:J11, "&lt;&gt;#N/A"), NA())</f>
        <v>0.48652482076131853</v>
      </c>
      <c r="AB11" s="42">
        <f>IFERROR(IF(ISNA(S11), NA(), S11/'2. Salmon Passage by Bin'!K11), NA())</f>
        <v>0</v>
      </c>
      <c r="AC11" s="44">
        <f>IFERROR(SUMIF(T11:W11, "&lt;&gt;#N/A")/SUMIF('2. Salmon Passage by Bin'!L11:N11, "&lt;&gt;#N/A"), NA())</f>
        <v>0</v>
      </c>
    </row>
    <row r="12" spans="1:34" x14ac:dyDescent="0.3">
      <c r="A12" s="5">
        <f>'1. Mixture Model Inputs'!A12</f>
        <v>45114</v>
      </c>
      <c r="B12" s="13" t="str">
        <f>IF(ISBLANK('[1]Passage Estimates'!$C12),"",IF('[1]Passage Estimates'!$C12="Imputation",'[1]Passage Estimates'!$B12,'[1]Passage Estimates'!$C12))</f>
        <v>S1+M+A2</v>
      </c>
      <c r="C12" s="17">
        <f>IFERROR(SUM('1. Mixture Model Inputs'!B12,'1. Mixture Model Inputs'!J12)/'1. Mixture Model Inputs'!Z12,NA())</f>
        <v>0</v>
      </c>
      <c r="D12" s="17">
        <f>IFERROR(SUM('1. Mixture Model Inputs'!C12,'1. Mixture Model Inputs'!K12)/'1. Mixture Model Inputs'!AA12,NA())</f>
        <v>0</v>
      </c>
      <c r="E12" s="17">
        <f>IFERROR(SUM('1. Mixture Model Inputs'!D12,'1. Mixture Model Inputs'!L12)/'1. Mixture Model Inputs'!AB12,NA())</f>
        <v>0</v>
      </c>
      <c r="F12" s="17">
        <f>IFERROR(SUM('1. Mixture Model Inputs'!E12,'1. Mixture Model Inputs'!M12)/'1. Mixture Model Inputs'!AC12,NA())</f>
        <v>0.6388415672913117</v>
      </c>
      <c r="G12" s="17">
        <f>IFERROR(SUM('1. Mixture Model Inputs'!F12,'1. Mixture Model Inputs'!N12)/'1. Mixture Model Inputs'!AD12,NA())</f>
        <v>0.66924398625429549</v>
      </c>
      <c r="H12" s="24">
        <f>IFERROR(WhonSpComp!AT27+WhonSpComp!AV27, NA())</f>
        <v>1</v>
      </c>
      <c r="I12" s="17">
        <f>IFERROR(SUM('1. Mixture Model Inputs'!G12,'1. Mixture Model Inputs'!O12)/'1. Mixture Model Inputs'!AE12, NA())</f>
        <v>0</v>
      </c>
      <c r="J12" s="17" t="e">
        <f>IFERROR(SUM('1. Mixture Model Inputs'!H12,'1. Mixture Model Inputs'!P12)/'1. Mixture Model Inputs'!AF12, NA())</f>
        <v>#N/A</v>
      </c>
      <c r="K12" s="17" t="e">
        <f>IFERROR(SUM('1. Mixture Model Inputs'!I12,'1. Mixture Model Inputs'!Q12)/'1. Mixture Model Inputs'!AG12, NA())</f>
        <v>#N/A</v>
      </c>
      <c r="L12" s="22">
        <f>C12*'2. Salmon Passage by Bin'!C12</f>
        <v>0</v>
      </c>
      <c r="M12" s="22">
        <f>D12*'2. Salmon Passage by Bin'!D12</f>
        <v>0</v>
      </c>
      <c r="N12" s="22">
        <f>F12*'2. Salmon Passage by Bin'!F12</f>
        <v>504.42930153321964</v>
      </c>
      <c r="O12" s="22">
        <f>G12*'2. Salmon Passage by Bin'!G12</f>
        <v>167.04329896907217</v>
      </c>
      <c r="P12" s="22">
        <f>$G12*'2. Salmon Passage by Bin'!H12</f>
        <v>205.5917525773196</v>
      </c>
      <c r="Q12" s="22">
        <f>$G12*'2. Salmon Passage by Bin'!I12</f>
        <v>0</v>
      </c>
      <c r="R12" s="22">
        <f>$G12*'2. Salmon Passage by Bin'!J12</f>
        <v>0</v>
      </c>
      <c r="S12" s="25">
        <f>'2. Salmon Passage by Bin'!K12*H12</f>
        <v>2294.88</v>
      </c>
      <c r="T12" s="25" t="e">
        <f>K12*'2. Salmon Passage by Bin'!L12</f>
        <v>#N/A</v>
      </c>
      <c r="U12" s="25" t="e">
        <f>K12*'2. Salmon Passage by Bin'!M12</f>
        <v>#N/A</v>
      </c>
      <c r="V12" s="25" t="e">
        <f>J12*'2. Salmon Passage by Bin'!N12</f>
        <v>#N/A</v>
      </c>
      <c r="W12" s="25">
        <f>I12*'2. Salmon Passage by Bin'!O12</f>
        <v>0</v>
      </c>
      <c r="X12" s="22">
        <f>E12*'2. Salmon Passage by Bin'!E12</f>
        <v>0</v>
      </c>
      <c r="Y12" s="41">
        <f t="shared" si="0"/>
        <v>3171.9443530796116</v>
      </c>
      <c r="Z12" s="42">
        <f>Y12/'[1]Passage Estimates'!$D12</f>
        <v>0.55354090080757168</v>
      </c>
      <c r="AA12" s="43">
        <f>IFERROR(SUMIF(L12:R12, "&lt;&gt;#N/A")/SUMIF('2. Salmon Passage by Bin'!E12:J12, "&lt;&gt;#N/A"), NA())</f>
        <v>0.41717292288794311</v>
      </c>
      <c r="AB12" s="42">
        <f>IFERROR(IF(ISNA(S12), NA(), S12/'2. Salmon Passage by Bin'!K12), NA())</f>
        <v>1</v>
      </c>
      <c r="AC12" s="44">
        <f>IFERROR(SUMIF(T12:W12, "&lt;&gt;#N/A")/SUMIF('2. Salmon Passage by Bin'!L12:N12, "&lt;&gt;#N/A"), NA())</f>
        <v>0</v>
      </c>
    </row>
    <row r="13" spans="1:34" x14ac:dyDescent="0.3">
      <c r="A13" s="5">
        <f>'1. Mixture Model Inputs'!A13</f>
        <v>45115</v>
      </c>
      <c r="B13" s="13" t="str">
        <f>IF(ISBLANK('[1]Passage Estimates'!$C13),"",IF('[1]Passage Estimates'!$C13="Imputation",'[1]Passage Estimates'!$B13,'[1]Passage Estimates'!$C13))</f>
        <v>S1+M+A2</v>
      </c>
      <c r="C13" s="17">
        <f>IFERROR(SUM('1. Mixture Model Inputs'!B13,'1. Mixture Model Inputs'!J13)/'1. Mixture Model Inputs'!Z13,NA())</f>
        <v>0</v>
      </c>
      <c r="D13" s="17">
        <f>IFERROR(SUM('1. Mixture Model Inputs'!C13,'1. Mixture Model Inputs'!K13)/'1. Mixture Model Inputs'!AA13,NA())</f>
        <v>0</v>
      </c>
      <c r="E13" s="17">
        <f>IFERROR(SUM('1. Mixture Model Inputs'!D13,'1. Mixture Model Inputs'!L13)/'1. Mixture Model Inputs'!AB13,NA())</f>
        <v>0</v>
      </c>
      <c r="F13" s="17">
        <f>IFERROR(SUM('1. Mixture Model Inputs'!E13,'1. Mixture Model Inputs'!M13)/'1. Mixture Model Inputs'!AC13,NA())</f>
        <v>0.6388415672913117</v>
      </c>
      <c r="G13" s="17">
        <f>IFERROR(SUM('1. Mixture Model Inputs'!F13,'1. Mixture Model Inputs'!N13)/'1. Mixture Model Inputs'!AD13,NA())</f>
        <v>0.66924398625429549</v>
      </c>
      <c r="H13" s="24">
        <f>IFERROR(WhonSpComp!AT28+WhonSpComp!AV28, NA())</f>
        <v>1</v>
      </c>
      <c r="I13" s="17">
        <f>IFERROR(SUM('1. Mixture Model Inputs'!G13,'1. Mixture Model Inputs'!O13)/'1. Mixture Model Inputs'!AE13, NA())</f>
        <v>0</v>
      </c>
      <c r="J13" s="17" t="e">
        <f>IFERROR(SUM('1. Mixture Model Inputs'!H13,'1. Mixture Model Inputs'!P13)/'1. Mixture Model Inputs'!AF13, NA())</f>
        <v>#N/A</v>
      </c>
      <c r="K13" s="17" t="e">
        <f>IFERROR(SUM('1. Mixture Model Inputs'!I13,'1. Mixture Model Inputs'!Q13)/'1. Mixture Model Inputs'!AG13, NA())</f>
        <v>#N/A</v>
      </c>
      <c r="L13" s="22">
        <f>C13*'2. Salmon Passage by Bin'!C13</f>
        <v>0</v>
      </c>
      <c r="M13" s="22">
        <f>D13*'2. Salmon Passage by Bin'!D13</f>
        <v>0</v>
      </c>
      <c r="N13" s="22">
        <f>F13*'2. Salmon Passage by Bin'!F13</f>
        <v>598.41567291311753</v>
      </c>
      <c r="O13" s="22">
        <f>G13*'2. Salmon Passage by Bin'!G13</f>
        <v>160.29731958762886</v>
      </c>
      <c r="P13" s="22">
        <f>$G13*'2. Salmon Passage by Bin'!H13</f>
        <v>275.6214432989691</v>
      </c>
      <c r="Q13" s="22">
        <f>$G13*'2. Salmon Passage by Bin'!I13</f>
        <v>125.92494845360824</v>
      </c>
      <c r="R13" s="22">
        <f>$G13*'2. Salmon Passage by Bin'!J13</f>
        <v>0</v>
      </c>
      <c r="S13" s="25">
        <f>'2. Salmon Passage by Bin'!K13*H13</f>
        <v>2562.2400000000011</v>
      </c>
      <c r="T13" s="25" t="e">
        <f>K13*'2. Salmon Passage by Bin'!L13</f>
        <v>#N/A</v>
      </c>
      <c r="U13" s="25" t="e">
        <f>K13*'2. Salmon Passage by Bin'!M13</f>
        <v>#N/A</v>
      </c>
      <c r="V13" s="25" t="e">
        <f>J13*'2. Salmon Passage by Bin'!N13</f>
        <v>#N/A</v>
      </c>
      <c r="W13" s="25">
        <f>I13*'2. Salmon Passage by Bin'!O13</f>
        <v>0</v>
      </c>
      <c r="X13" s="22">
        <f>E13*'2. Salmon Passage by Bin'!E13</f>
        <v>0</v>
      </c>
      <c r="Y13" s="41">
        <f t="shared" si="0"/>
        <v>3722.4993842533249</v>
      </c>
      <c r="Z13" s="42">
        <f>Y13/'[1]Passage Estimates'!$D13</f>
        <v>0.66043449131957821</v>
      </c>
      <c r="AA13" s="43">
        <f>IFERROR(SUMIF(L13:R13, "&lt;&gt;#N/A")/SUMIF('2. Salmon Passage by Bin'!E13:J13, "&lt;&gt;#N/A"), NA())</f>
        <v>0.52094979537236163</v>
      </c>
      <c r="AB13" s="42">
        <f>IFERROR(IF(ISNA(S13), NA(), S13/'2. Salmon Passage by Bin'!K13), NA())</f>
        <v>1</v>
      </c>
      <c r="AC13" s="44">
        <f>IFERROR(SUMIF(T13:W13, "&lt;&gt;#N/A")/SUMIF('2. Salmon Passage by Bin'!L13:N13, "&lt;&gt;#N/A"), NA())</f>
        <v>0</v>
      </c>
    </row>
    <row r="14" spans="1:34" x14ac:dyDescent="0.3">
      <c r="A14" s="5">
        <f>'1. Mixture Model Inputs'!A14</f>
        <v>45116</v>
      </c>
      <c r="B14" s="13" t="str">
        <f>IF(ISBLANK('[1]Passage Estimates'!$C14),"",IF('[1]Passage Estimates'!$C14="Imputation",'[1]Passage Estimates'!$B14,'[1]Passage Estimates'!$C14))</f>
        <v>S1+M+A2</v>
      </c>
      <c r="C14" s="17">
        <f>IFERROR(SUM('1. Mixture Model Inputs'!B14,'1. Mixture Model Inputs'!J14)/'1. Mixture Model Inputs'!Z14,NA())</f>
        <v>0</v>
      </c>
      <c r="D14" s="17">
        <f>IFERROR(SUM('1. Mixture Model Inputs'!C14,'1. Mixture Model Inputs'!K14)/'1. Mixture Model Inputs'!AA14,NA())</f>
        <v>0</v>
      </c>
      <c r="E14" s="17">
        <f>IFERROR(SUM('1. Mixture Model Inputs'!D14,'1. Mixture Model Inputs'!L14)/'1. Mixture Model Inputs'!AB14,NA())</f>
        <v>0</v>
      </c>
      <c r="F14" s="17">
        <f>IFERROR(SUM('1. Mixture Model Inputs'!E14,'1. Mixture Model Inputs'!M14)/'1. Mixture Model Inputs'!AC14,NA())</f>
        <v>0.50516917293233088</v>
      </c>
      <c r="G14" s="17">
        <f>IFERROR(SUM('1. Mixture Model Inputs'!F14,'1. Mixture Model Inputs'!N14)/'1. Mixture Model Inputs'!AD14,NA())</f>
        <v>1</v>
      </c>
      <c r="H14" s="24">
        <f>IFERROR(WhonSpComp!AT29+WhonSpComp!AV29, NA())</f>
        <v>1</v>
      </c>
      <c r="I14" s="17">
        <f>IFERROR(SUM('1. Mixture Model Inputs'!G14,'1. Mixture Model Inputs'!O14)/'1. Mixture Model Inputs'!AE14, NA())</f>
        <v>0</v>
      </c>
      <c r="J14" s="17">
        <f>IFERROR(SUM('1. Mixture Model Inputs'!H14,'1. Mixture Model Inputs'!P14)/'1. Mixture Model Inputs'!AF14, NA())</f>
        <v>0.52689873417721522</v>
      </c>
      <c r="K14" s="17">
        <f>IFERROR(SUM('1. Mixture Model Inputs'!I14,'1. Mixture Model Inputs'!Q14)/'1. Mixture Model Inputs'!AG14, NA())</f>
        <v>0.29444208739923633</v>
      </c>
      <c r="L14" s="22">
        <f>C14*'2. Salmon Passage by Bin'!C14</f>
        <v>0</v>
      </c>
      <c r="M14" s="22">
        <f>D14*'2. Salmon Passage by Bin'!D14</f>
        <v>0</v>
      </c>
      <c r="N14" s="22">
        <f>F14*'2. Salmon Passage by Bin'!F14</f>
        <v>441.43703007518798</v>
      </c>
      <c r="O14" s="22">
        <f>G14*'2. Salmon Passage by Bin'!G14</f>
        <v>550.08000000000004</v>
      </c>
      <c r="P14" s="22">
        <f>$G14*'2. Salmon Passage by Bin'!H14</f>
        <v>590.16</v>
      </c>
      <c r="Q14" s="22">
        <f>$G14*'2. Salmon Passage by Bin'!I14</f>
        <v>114.72</v>
      </c>
      <c r="R14" s="22">
        <f>$G14*'2. Salmon Passage by Bin'!J14</f>
        <v>0</v>
      </c>
      <c r="S14" s="25">
        <f>'2. Salmon Passage by Bin'!K14*H14</f>
        <v>2378.88</v>
      </c>
      <c r="T14" s="25">
        <f>K14*'2. Salmon Passage by Bin'!L14</f>
        <v>2.3555366991938906</v>
      </c>
      <c r="U14" s="25">
        <f>K14*'2. Salmon Passage by Bin'!M14</f>
        <v>27.088672040729744</v>
      </c>
      <c r="V14" s="25">
        <f>J14*'2. Salmon Passage by Bin'!N14</f>
        <v>51.63607594936709</v>
      </c>
      <c r="W14" s="25">
        <f>I14*'2. Salmon Passage by Bin'!O14</f>
        <v>0</v>
      </c>
      <c r="X14" s="22">
        <f>E14*'2. Salmon Passage by Bin'!E14</f>
        <v>0</v>
      </c>
      <c r="Y14" s="41">
        <f t="shared" si="0"/>
        <v>4156.3573147644793</v>
      </c>
      <c r="Z14" s="42">
        <f>Y14/'[1]Passage Estimates'!$D14</f>
        <v>0.68086108003926238</v>
      </c>
      <c r="AA14" s="43">
        <f>IFERROR(SUMIF(L14:R14, "&lt;&gt;#N/A")/SUMIF('2. Salmon Passage by Bin'!E14:J14, "&lt;&gt;#N/A"), NA())</f>
        <v>0.6237487609112794</v>
      </c>
      <c r="AB14" s="42">
        <f>IFERROR(IF(ISNA(S14), NA(), S14/'2. Salmon Passage by Bin'!K14), NA())</f>
        <v>1</v>
      </c>
      <c r="AC14" s="44">
        <f>IFERROR(SUMIF(T14:W14, "&lt;&gt;#N/A")/SUMIF('2. Salmon Passage by Bin'!L14:N14, "&lt;&gt;#N/A"), NA())</f>
        <v>0.4094963873196501</v>
      </c>
    </row>
    <row r="15" spans="1:34" x14ac:dyDescent="0.3">
      <c r="A15" s="5">
        <f>'1. Mixture Model Inputs'!A15</f>
        <v>45117</v>
      </c>
      <c r="B15" s="13" t="str">
        <f>IF(ISBLANK('[1]Passage Estimates'!$C15),"",IF('[1]Passage Estimates'!$C15="Imputation",'[1]Passage Estimates'!$B15,'[1]Passage Estimates'!$C15))</f>
        <v>S1+M+A2</v>
      </c>
      <c r="C15" s="17">
        <f>IFERROR(SUM('1. Mixture Model Inputs'!B15,'1. Mixture Model Inputs'!J15)/'1. Mixture Model Inputs'!Z15,NA())</f>
        <v>0</v>
      </c>
      <c r="D15" s="17">
        <f>IFERROR(SUM('1. Mixture Model Inputs'!C15,'1. Mixture Model Inputs'!K15)/'1. Mixture Model Inputs'!AA15,NA())</f>
        <v>0</v>
      </c>
      <c r="E15" s="17">
        <f>IFERROR(SUM('1. Mixture Model Inputs'!D15,'1. Mixture Model Inputs'!L15)/'1. Mixture Model Inputs'!AB15,NA())</f>
        <v>0</v>
      </c>
      <c r="F15" s="17">
        <f>IFERROR(SUM('1. Mixture Model Inputs'!E15,'1. Mixture Model Inputs'!M15)/'1. Mixture Model Inputs'!AC15,NA())</f>
        <v>0.50516917293233088</v>
      </c>
      <c r="G15" s="17">
        <f>IFERROR(SUM('1. Mixture Model Inputs'!F15,'1. Mixture Model Inputs'!N15)/'1. Mixture Model Inputs'!AD15,NA())</f>
        <v>1</v>
      </c>
      <c r="H15" s="24">
        <f>IFERROR(WhonSpComp!AT30+WhonSpComp!AV30, NA())</f>
        <v>1</v>
      </c>
      <c r="I15" s="17">
        <f>IFERROR(SUM('1. Mixture Model Inputs'!G15,'1. Mixture Model Inputs'!O15)/'1. Mixture Model Inputs'!AE15, NA())</f>
        <v>0</v>
      </c>
      <c r="J15" s="17">
        <f>IFERROR(SUM('1. Mixture Model Inputs'!H15,'1. Mixture Model Inputs'!P15)/'1. Mixture Model Inputs'!AF15, NA())</f>
        <v>0.52689873417721522</v>
      </c>
      <c r="K15" s="17">
        <f>IFERROR(SUM('1. Mixture Model Inputs'!I15,'1. Mixture Model Inputs'!Q15)/'1. Mixture Model Inputs'!AG15, NA())</f>
        <v>0.29444208739923633</v>
      </c>
      <c r="L15" s="22">
        <f>C15*'2. Salmon Passage by Bin'!C15</f>
        <v>0</v>
      </c>
      <c r="M15" s="22">
        <f>D15*'2. Salmon Passage by Bin'!D15</f>
        <v>0</v>
      </c>
      <c r="N15" s="22">
        <f>F15*'2. Salmon Passage by Bin'!F15</f>
        <v>492.35808270676694</v>
      </c>
      <c r="O15" s="22">
        <f>G15*'2. Salmon Passage by Bin'!G15</f>
        <v>795.36</v>
      </c>
      <c r="P15" s="22">
        <f>$G15*'2. Salmon Passage by Bin'!H15</f>
        <v>969.60000000000014</v>
      </c>
      <c r="Q15" s="22">
        <f>$G15*'2. Salmon Passage by Bin'!I15</f>
        <v>374.88</v>
      </c>
      <c r="R15" s="22">
        <f>$G15*'2. Salmon Passage by Bin'!J15</f>
        <v>0</v>
      </c>
      <c r="S15" s="25">
        <f>'2. Salmon Passage by Bin'!K15*H15</f>
        <v>1661.0400000000002</v>
      </c>
      <c r="T15" s="25">
        <f>K15*'2. Salmon Passage by Bin'!L15</f>
        <v>-14.722104369961816</v>
      </c>
      <c r="U15" s="25">
        <f>K15*'2. Salmon Passage by Bin'!M15</f>
        <v>126.02121340687314</v>
      </c>
      <c r="V15" s="25">
        <f>J15*'2. Salmon Passage by Bin'!N15</f>
        <v>110.12183544303798</v>
      </c>
      <c r="W15" s="25">
        <f>I15*'2. Salmon Passage by Bin'!O15</f>
        <v>0</v>
      </c>
      <c r="X15" s="22">
        <f>E15*'2. Salmon Passage by Bin'!E15</f>
        <v>0</v>
      </c>
      <c r="Y15" s="41">
        <f t="shared" si="0"/>
        <v>4514.6590271867171</v>
      </c>
      <c r="Z15" s="42">
        <f>Y15/'[1]Passage Estimates'!$D15</f>
        <v>0.68830255082796443</v>
      </c>
      <c r="AA15" s="43">
        <f>IFERROR(SUMIF(L15:R15, "&lt;&gt;#N/A")/SUMIF('2. Salmon Passage by Bin'!E15:J15, "&lt;&gt;#N/A"), NA())</f>
        <v>0.73400428398328188</v>
      </c>
      <c r="AB15" s="42">
        <f>IFERROR(IF(ISNA(S15), NA(), S15/'2. Salmon Passage by Bin'!K15), NA())</f>
        <v>1</v>
      </c>
      <c r="AC15" s="44">
        <f>IFERROR(SUMIF(T15:W15, "&lt;&gt;#N/A")/SUMIF('2. Salmon Passage by Bin'!L15:N15, "&lt;&gt;#N/A"), NA())</f>
        <v>0.37720774187384887</v>
      </c>
    </row>
    <row r="16" spans="1:34" x14ac:dyDescent="0.3">
      <c r="A16" s="5">
        <f>'1. Mixture Model Inputs'!A16</f>
        <v>45118</v>
      </c>
      <c r="B16" s="13" t="str">
        <f>IF(ISBLANK('[1]Passage Estimates'!$C16),"",IF('[1]Passage Estimates'!$C16="Imputation",'[1]Passage Estimates'!$B16,'[1]Passage Estimates'!$C16))</f>
        <v>S1+M+A2</v>
      </c>
      <c r="C16" s="17">
        <f>IFERROR(SUM('1. Mixture Model Inputs'!B16,'1. Mixture Model Inputs'!J16)/'1. Mixture Model Inputs'!Z16,NA())</f>
        <v>0</v>
      </c>
      <c r="D16" s="17">
        <f>IFERROR(SUM('1. Mixture Model Inputs'!C16,'1. Mixture Model Inputs'!K16)/'1. Mixture Model Inputs'!AA16,NA())</f>
        <v>0</v>
      </c>
      <c r="E16" s="17">
        <f>IFERROR(SUM('1. Mixture Model Inputs'!D16,'1. Mixture Model Inputs'!L16)/'1. Mixture Model Inputs'!AB16,NA())</f>
        <v>0</v>
      </c>
      <c r="F16" s="17">
        <f>IFERROR(SUM('1. Mixture Model Inputs'!E16,'1. Mixture Model Inputs'!M16)/'1. Mixture Model Inputs'!AC16,NA())</f>
        <v>0.35832004253056887</v>
      </c>
      <c r="G16" s="17">
        <f>IFERROR(SUM('1. Mixture Model Inputs'!F16,'1. Mixture Model Inputs'!N16)/'1. Mixture Model Inputs'!AD16,NA())</f>
        <v>0.61218548554793095</v>
      </c>
      <c r="H16" s="24">
        <f>IFERROR(WhonSpComp!AT31+WhonSpComp!AV31, NA())</f>
        <v>0</v>
      </c>
      <c r="I16" s="17">
        <f>IFERROR(SUM('1. Mixture Model Inputs'!G16,'1. Mixture Model Inputs'!O16)/'1. Mixture Model Inputs'!AE16, NA())</f>
        <v>0</v>
      </c>
      <c r="J16" s="17">
        <f>IFERROR(SUM('1. Mixture Model Inputs'!H16,'1. Mixture Model Inputs'!P16)/'1. Mixture Model Inputs'!AF16, NA())</f>
        <v>0.52689873417721522</v>
      </c>
      <c r="K16" s="17">
        <f>IFERROR(SUM('1. Mixture Model Inputs'!I16,'1. Mixture Model Inputs'!Q16)/'1. Mixture Model Inputs'!AG16, NA())</f>
        <v>0.29444208739923633</v>
      </c>
      <c r="L16" s="22">
        <f>C16*'2. Salmon Passage by Bin'!C16</f>
        <v>0</v>
      </c>
      <c r="M16" s="22">
        <f>D16*'2. Salmon Passage by Bin'!D16</f>
        <v>0</v>
      </c>
      <c r="N16" s="22">
        <f>F16*'2. Salmon Passage by Bin'!F16</f>
        <v>283.70347687400317</v>
      </c>
      <c r="O16" s="22">
        <f>G16*'2. Salmon Passage by Bin'!G16</f>
        <v>470.01152838427947</v>
      </c>
      <c r="P16" s="22">
        <f>$G16*'2. Salmon Passage by Bin'!H16</f>
        <v>397.57774173424826</v>
      </c>
      <c r="Q16" s="22">
        <f>$G16*'2. Salmon Passage by Bin'!I16</f>
        <v>207.31049282595134</v>
      </c>
      <c r="R16" s="22">
        <f>$G16*'2. Salmon Passage by Bin'!J16</f>
        <v>0</v>
      </c>
      <c r="S16" s="25">
        <f>'2. Salmon Passage by Bin'!K16*H16</f>
        <v>0</v>
      </c>
      <c r="T16" s="25">
        <f>K16*'2. Salmon Passage by Bin'!L16</f>
        <v>-5.3706236741620712</v>
      </c>
      <c r="U16" s="25">
        <f>K16*'2. Salmon Passage by Bin'!M16</f>
        <v>-18.867848960543064</v>
      </c>
      <c r="V16" s="25">
        <f>J16*'2. Salmon Passage by Bin'!N16</f>
        <v>54.249493670886082</v>
      </c>
      <c r="W16" s="25">
        <f>I16*'2. Salmon Passage by Bin'!O16</f>
        <v>0</v>
      </c>
      <c r="X16" s="22">
        <f>E16*'2. Salmon Passage by Bin'!E16</f>
        <v>0</v>
      </c>
      <c r="Y16" s="41">
        <f t="shared" si="0"/>
        <v>1388.6142608546631</v>
      </c>
      <c r="Z16" s="42">
        <f>Y16/'[1]Passage Estimates'!$D16</f>
        <v>0.29344691147543212</v>
      </c>
      <c r="AA16" s="43">
        <f>IFERROR(SUMIF(L16:R16, "&lt;&gt;#N/A")/SUMIF('2. Salmon Passage by Bin'!E16:J16, "&lt;&gt;#N/A"), NA())</f>
        <v>0.45744216828905132</v>
      </c>
      <c r="AB16" s="42">
        <f>IFERROR(IF(ISNA(S16), NA(), S16/'2. Salmon Passage by Bin'!K16), NA())</f>
        <v>0</v>
      </c>
      <c r="AC16" s="44">
        <f>IFERROR(SUMIF(T16:W16, "&lt;&gt;#N/A")/SUMIF('2. Salmon Passage by Bin'!L16:N16, "&lt;&gt;#N/A"), NA())</f>
        <v>1.4540223370242695</v>
      </c>
    </row>
    <row r="17" spans="1:29" x14ac:dyDescent="0.3">
      <c r="A17" s="5">
        <f>'1. Mixture Model Inputs'!A17</f>
        <v>45119</v>
      </c>
      <c r="B17" s="13" t="str">
        <f>IF(ISBLANK('[1]Passage Estimates'!$C17),"",IF('[1]Passage Estimates'!$C17="Imputation",'[1]Passage Estimates'!$B17,'[1]Passage Estimates'!$C17))</f>
        <v>S1+M+A2</v>
      </c>
      <c r="C17" s="17">
        <f>IFERROR(SUM('1. Mixture Model Inputs'!B17,'1. Mixture Model Inputs'!J17)/'1. Mixture Model Inputs'!Z17,NA())</f>
        <v>0.24085365853658536</v>
      </c>
      <c r="D17" s="17">
        <f>IFERROR(SUM('1. Mixture Model Inputs'!C17,'1. Mixture Model Inputs'!K17)/'1. Mixture Model Inputs'!AA17,NA())</f>
        <v>0</v>
      </c>
      <c r="E17" s="17">
        <f>IFERROR(SUM('1. Mixture Model Inputs'!D17,'1. Mixture Model Inputs'!L17)/'1. Mixture Model Inputs'!AB17,NA())</f>
        <v>2.313624678663239E-2</v>
      </c>
      <c r="F17" s="17">
        <f>IFERROR(SUM('1. Mixture Model Inputs'!E17,'1. Mixture Model Inputs'!M17)/'1. Mixture Model Inputs'!AC17,NA())</f>
        <v>0.41083974573435933</v>
      </c>
      <c r="G17" s="17">
        <f>IFERROR(SUM('1. Mixture Model Inputs'!F17,'1. Mixture Model Inputs'!N17)/'1. Mixture Model Inputs'!AD17,NA())</f>
        <v>0.80843218980442444</v>
      </c>
      <c r="H17" s="24">
        <f>IFERROR(WhonSpComp!AT32+WhonSpComp!AV32, NA())</f>
        <v>0</v>
      </c>
      <c r="I17" s="17">
        <f>IFERROR(SUM('1. Mixture Model Inputs'!G17,'1. Mixture Model Inputs'!O17)/'1. Mixture Model Inputs'!AE17, NA())</f>
        <v>0</v>
      </c>
      <c r="J17" s="17">
        <f>IFERROR(SUM('1. Mixture Model Inputs'!H17,'1. Mixture Model Inputs'!P17)/'1. Mixture Model Inputs'!AF17, NA())</f>
        <v>0.21231422505307854</v>
      </c>
      <c r="K17" s="17">
        <f>IFERROR(SUM('1. Mixture Model Inputs'!I17,'1. Mixture Model Inputs'!Q17)/'1. Mixture Model Inputs'!AG17, NA())</f>
        <v>0.25917767988252571</v>
      </c>
      <c r="L17" s="22">
        <f>C17*'2. Salmon Passage by Bin'!C17</f>
        <v>74.63398004434589</v>
      </c>
      <c r="M17" s="22">
        <f>D17*'2. Salmon Passage by Bin'!D17</f>
        <v>0</v>
      </c>
      <c r="N17" s="22">
        <f>F17*'2. Salmon Passage by Bin'!F17</f>
        <v>329.92074941451989</v>
      </c>
      <c r="O17" s="22">
        <f>G17*'2. Salmon Passage by Bin'!G17</f>
        <v>550.32183975050282</v>
      </c>
      <c r="P17" s="22">
        <f>$G17*'2. Salmon Passage by Bin'!H17</f>
        <v>345.09765367687777</v>
      </c>
      <c r="Q17" s="22">
        <f>$G17*'2. Salmon Passage by Bin'!I17</f>
        <v>121.00025066309129</v>
      </c>
      <c r="R17" s="22">
        <f>$G17*'2. Salmon Passage by Bin'!J17</f>
        <v>0</v>
      </c>
      <c r="S17" s="25">
        <f>'2. Salmon Passage by Bin'!K17*H17</f>
        <v>0</v>
      </c>
      <c r="T17" s="25">
        <f>K17*'2. Salmon Passage by Bin'!L17</f>
        <v>-18.66079295154185</v>
      </c>
      <c r="U17" s="25">
        <f>K17*'2. Salmon Passage by Bin'!M17</f>
        <v>-13.684581497797359</v>
      </c>
      <c r="V17" s="25">
        <f>J17*'2. Salmon Passage by Bin'!N17</f>
        <v>-6.6242038216560513</v>
      </c>
      <c r="W17" s="25">
        <f>I17*'2. Salmon Passage by Bin'!O17</f>
        <v>0</v>
      </c>
      <c r="X17" s="22">
        <f>E17*'2. Salmon Passage by Bin'!E17</f>
        <v>14.338583781257302</v>
      </c>
      <c r="Y17" s="41">
        <f t="shared" si="0"/>
        <v>1321.7094990152539</v>
      </c>
      <c r="Z17" s="42">
        <f>Y17/'[1]Passage Estimates'!$D17</f>
        <v>0.2689693462428478</v>
      </c>
      <c r="AA17" s="43">
        <f>IFERROR(SUMIF(L17:R17, "&lt;&gt;#N/A")/SUMIF('2. Salmon Passage by Bin'!E17:J17, "&lt;&gt;#N/A"), NA())</f>
        <v>0.5302028452924602</v>
      </c>
      <c r="AB17" s="42">
        <f>IFERROR(IF(ISNA(S17), NA(), S17/'2. Salmon Passage by Bin'!K17), NA())</f>
        <v>0</v>
      </c>
      <c r="AC17" s="44">
        <f>IFERROR(SUMIF(T17:W17, "&lt;&gt;#N/A")/SUMIF('2. Salmon Passage by Bin'!L17:N17, "&lt;&gt;#N/A"), NA())</f>
        <v>0.2498049889166363</v>
      </c>
    </row>
    <row r="18" spans="1:29" x14ac:dyDescent="0.3">
      <c r="A18" s="5">
        <f>'1. Mixture Model Inputs'!A18</f>
        <v>45120</v>
      </c>
      <c r="B18" s="13" t="str">
        <f>IF(ISBLANK('[1]Passage Estimates'!$C18),"",IF('[1]Passage Estimates'!$C18="Imputation",'[1]Passage Estimates'!$B18,'[1]Passage Estimates'!$C18))</f>
        <v>S1+M+A2</v>
      </c>
      <c r="C18" s="17">
        <f>IFERROR(SUM('1. Mixture Model Inputs'!B18,'1. Mixture Model Inputs'!J18)/'1. Mixture Model Inputs'!Z18,NA())</f>
        <v>0.17073170731707316</v>
      </c>
      <c r="D18" s="17">
        <f>IFERROR(SUM('1. Mixture Model Inputs'!C18,'1. Mixture Model Inputs'!K18)/'1. Mixture Model Inputs'!AA18,NA())</f>
        <v>0</v>
      </c>
      <c r="E18" s="17">
        <f>IFERROR(SUM('1. Mixture Model Inputs'!D18,'1. Mixture Model Inputs'!L18)/'1. Mixture Model Inputs'!AB18,NA())</f>
        <v>0</v>
      </c>
      <c r="F18" s="17">
        <f>IFERROR(SUM('1. Mixture Model Inputs'!E18,'1. Mixture Model Inputs'!M18)/'1. Mixture Model Inputs'!AC18,NA())</f>
        <v>0.48167911775168976</v>
      </c>
      <c r="G18" s="17">
        <f>IFERROR(SUM('1. Mixture Model Inputs'!F18,'1. Mixture Model Inputs'!N18)/'1. Mixture Model Inputs'!AD18,NA())</f>
        <v>0.71767810026385226</v>
      </c>
      <c r="H18" s="24">
        <f>IFERROR(WhonSpComp!AT33+WhonSpComp!AV33, NA())</f>
        <v>0</v>
      </c>
      <c r="I18" s="17">
        <f>IFERROR(SUM('1. Mixture Model Inputs'!G18,'1. Mixture Model Inputs'!O18)/'1. Mixture Model Inputs'!AE18, NA())</f>
        <v>0</v>
      </c>
      <c r="J18" s="17">
        <f>IFERROR(SUM('1. Mixture Model Inputs'!H18,'1. Mixture Model Inputs'!P18)/'1. Mixture Model Inputs'!AF18, NA())</f>
        <v>0.21231422505307854</v>
      </c>
      <c r="K18" s="17">
        <f>IFERROR(SUM('1. Mixture Model Inputs'!I18,'1. Mixture Model Inputs'!Q18)/'1. Mixture Model Inputs'!AG18, NA())</f>
        <v>0.25917767988252571</v>
      </c>
      <c r="L18" s="22">
        <f>C18*'2. Salmon Passage by Bin'!C18</f>
        <v>17.585365853658534</v>
      </c>
      <c r="M18" s="22">
        <f>D18*'2. Salmon Passage by Bin'!D18</f>
        <v>0</v>
      </c>
      <c r="N18" s="22">
        <f>F18*'2. Salmon Passage by Bin'!F18</f>
        <v>549.69220917822827</v>
      </c>
      <c r="O18" s="22">
        <f>G18*'2. Salmon Passage by Bin'!G18</f>
        <v>441.8026385224274</v>
      </c>
      <c r="P18" s="22">
        <f>$G18*'2. Salmon Passage by Bin'!H18</f>
        <v>361.53751978891825</v>
      </c>
      <c r="Q18" s="22">
        <f>$G18*'2. Salmon Passage by Bin'!I18</f>
        <v>89.221741424802104</v>
      </c>
      <c r="R18" s="22">
        <f>$G18*'2. Salmon Passage by Bin'!J18</f>
        <v>0</v>
      </c>
      <c r="S18" s="25">
        <f>'2. Salmon Passage by Bin'!K18*H18</f>
        <v>0</v>
      </c>
      <c r="T18" s="25">
        <f>K18*'2. Salmon Passage by Bin'!L18</f>
        <v>4.9762114537444946</v>
      </c>
      <c r="U18" s="25">
        <f>K18*'2. Salmon Passage by Bin'!M18</f>
        <v>49.762114537444937</v>
      </c>
      <c r="V18" s="25">
        <f>J18*'2. Salmon Passage by Bin'!N18</f>
        <v>16.305732484076433</v>
      </c>
      <c r="W18" s="25">
        <f>I18*'2. Salmon Passage by Bin'!O18</f>
        <v>0</v>
      </c>
      <c r="X18" s="22">
        <f>E18*'2. Salmon Passage by Bin'!E18</f>
        <v>0</v>
      </c>
      <c r="Y18" s="41">
        <f t="shared" si="0"/>
        <v>1513.298167389642</v>
      </c>
      <c r="Z18" s="42">
        <f>Y18/'[1]Passage Estimates'!$D18</f>
        <v>0.26405666195360677</v>
      </c>
      <c r="AA18" s="43">
        <f>IFERROR(SUMIF(L18:R18, "&lt;&gt;#N/A")/SUMIF('2. Salmon Passage by Bin'!E18:J18, "&lt;&gt;#N/A"), NA())</f>
        <v>0.4341659156459774</v>
      </c>
      <c r="AB18" s="42">
        <f>IFERROR(IF(ISNA(S18), NA(), S18/'2. Salmon Passage by Bin'!K18), NA())</f>
        <v>0</v>
      </c>
      <c r="AC18" s="44">
        <f>IFERROR(SUMIF(T18:W18, "&lt;&gt;#N/A")/SUMIF('2. Salmon Passage by Bin'!L18:N18, "&lt;&gt;#N/A"), NA())</f>
        <v>0.24668075859467317</v>
      </c>
    </row>
    <row r="19" spans="1:29" x14ac:dyDescent="0.3">
      <c r="A19" s="5">
        <f>'1. Mixture Model Inputs'!A19</f>
        <v>45121</v>
      </c>
      <c r="B19" s="13" t="str">
        <f>IF(ISBLANK('[1]Passage Estimates'!$C19),"",IF('[1]Passage Estimates'!$C19="Imputation",'[1]Passage Estimates'!$B19,'[1]Passage Estimates'!$C19))</f>
        <v>S1+M+A2</v>
      </c>
      <c r="C19" s="17">
        <f>IFERROR(SUM('1. Mixture Model Inputs'!B19,'1. Mixture Model Inputs'!J19)/'1. Mixture Model Inputs'!Z19,NA())</f>
        <v>0</v>
      </c>
      <c r="D19" s="17">
        <f>IFERROR(SUM('1. Mixture Model Inputs'!C19,'1. Mixture Model Inputs'!K19)/'1. Mixture Model Inputs'!AA19,NA())</f>
        <v>0</v>
      </c>
      <c r="E19" s="17">
        <f>IFERROR(SUM('1. Mixture Model Inputs'!D19,'1. Mixture Model Inputs'!L19)/'1. Mixture Model Inputs'!AB19,NA())</f>
        <v>0</v>
      </c>
      <c r="F19" s="17">
        <f>IFERROR(SUM('1. Mixture Model Inputs'!E19,'1. Mixture Model Inputs'!M19)/'1. Mixture Model Inputs'!AC19,NA())</f>
        <v>0.27233584499461788</v>
      </c>
      <c r="G19" s="17">
        <f>IFERROR(SUM('1. Mixture Model Inputs'!F19,'1. Mixture Model Inputs'!N19)/'1. Mixture Model Inputs'!AD19,NA())</f>
        <v>0.45761150018429786</v>
      </c>
      <c r="H19" s="24">
        <f>IFERROR(WhonSpComp!AT34+WhonSpComp!AV34, NA())</f>
        <v>0.38095238095238093</v>
      </c>
      <c r="I19" s="17">
        <f>IFERROR(SUM('1. Mixture Model Inputs'!G19,'1. Mixture Model Inputs'!O19)/'1. Mixture Model Inputs'!AE19, NA())</f>
        <v>0</v>
      </c>
      <c r="J19" s="17">
        <f>IFERROR(SUM('1. Mixture Model Inputs'!H19,'1. Mixture Model Inputs'!P19)/'1. Mixture Model Inputs'!AF19, NA())</f>
        <v>0.38510101010101006</v>
      </c>
      <c r="K19" s="17">
        <f>IFERROR(SUM('1. Mixture Model Inputs'!I19,'1. Mixture Model Inputs'!Q19)/'1. Mixture Model Inputs'!AG19, NA())</f>
        <v>0.46383928571428573</v>
      </c>
      <c r="L19" s="22">
        <f>C19*'2. Salmon Passage by Bin'!C19</f>
        <v>0</v>
      </c>
      <c r="M19" s="22">
        <f>D19*'2. Salmon Passage by Bin'!D19</f>
        <v>0</v>
      </c>
      <c r="N19" s="22">
        <f>F19*'2. Salmon Passage by Bin'!F19</f>
        <v>212.94484391819159</v>
      </c>
      <c r="O19" s="22">
        <f>G19*'2. Salmon Passage by Bin'!G19</f>
        <v>338.59590121636563</v>
      </c>
      <c r="P19" s="22">
        <f>$G19*'2. Salmon Passage by Bin'!H19</f>
        <v>210.75755252488025</v>
      </c>
      <c r="Q19" s="22">
        <f>$G19*'2. Salmon Passage by Bin'!I19</f>
        <v>121.35856984887582</v>
      </c>
      <c r="R19" s="22">
        <f>$G19*'2. Salmon Passage by Bin'!J19</f>
        <v>0</v>
      </c>
      <c r="S19" s="25">
        <f>'2. Salmon Passage by Bin'!K19*H19</f>
        <v>489.78285714285732</v>
      </c>
      <c r="T19" s="25">
        <f>K19*'2. Salmon Passage by Bin'!L19</f>
        <v>3.7849285714285714</v>
      </c>
      <c r="U19" s="25">
        <f>K19*'2. Salmon Passage by Bin'!M19</f>
        <v>84.492964285714294</v>
      </c>
      <c r="V19" s="25">
        <f>J19*'2. Salmon Passage by Bin'!N19</f>
        <v>48.8</v>
      </c>
      <c r="W19" s="25">
        <f>I19*'2. Salmon Passage by Bin'!O19</f>
        <v>0</v>
      </c>
      <c r="X19" s="22">
        <f>E19*'2. Salmon Passage by Bin'!E19</f>
        <v>0</v>
      </c>
      <c r="Y19" s="41">
        <f t="shared" si="0"/>
        <v>1510.5176175083136</v>
      </c>
      <c r="Z19" s="42">
        <f>Y19/'[1]Passage Estimates'!$D19</f>
        <v>0.33547377038988535</v>
      </c>
      <c r="AA19" s="43">
        <f>IFERROR(SUMIF(L19:R19, "&lt;&gt;#N/A")/SUMIF('2. Salmon Passage by Bin'!E19:J19, "&lt;&gt;#N/A"), NA())</f>
        <v>0.31340684496237425</v>
      </c>
      <c r="AB19" s="42">
        <f>IFERROR(IF(ISNA(S19), NA(), S19/'2. Salmon Passage by Bin'!K19), NA())</f>
        <v>0.38095238095238093</v>
      </c>
      <c r="AC19" s="44">
        <f>IFERROR(SUMIF(T19:W19, "&lt;&gt;#N/A")/SUMIF('2. Salmon Passage by Bin'!L19:N19, "&lt;&gt;#N/A"), NA())</f>
        <v>0.43236781749035724</v>
      </c>
    </row>
    <row r="20" spans="1:29" x14ac:dyDescent="0.3">
      <c r="A20" s="5">
        <f>'1. Mixture Model Inputs'!A20</f>
        <v>45122</v>
      </c>
      <c r="B20" s="13" t="str">
        <f>IF(ISBLANK('[1]Passage Estimates'!$C20),"",IF('[1]Passage Estimates'!$C20="Imputation",'[1]Passage Estimates'!$B20,'[1]Passage Estimates'!$C20))</f>
        <v>S1+M+A2</v>
      </c>
      <c r="C20" s="17">
        <f>IFERROR(SUM('1. Mixture Model Inputs'!B20,'1. Mixture Model Inputs'!J20)/'1. Mixture Model Inputs'!Z20,NA())</f>
        <v>0.94224924012158062</v>
      </c>
      <c r="D20" s="17">
        <f>IFERROR(SUM('1. Mixture Model Inputs'!C20,'1. Mixture Model Inputs'!K20)/'1. Mixture Model Inputs'!AA20,NA())</f>
        <v>0.10294117647058824</v>
      </c>
      <c r="E20" s="17">
        <f>IFERROR(SUM('1. Mixture Model Inputs'!D20,'1. Mixture Model Inputs'!L20)/'1. Mixture Model Inputs'!AB20,NA())</f>
        <v>0.2928709055876686</v>
      </c>
      <c r="F20" s="17">
        <f>IFERROR(SUM('1. Mixture Model Inputs'!E20,'1. Mixture Model Inputs'!M20)/'1. Mixture Model Inputs'!AC20,NA())</f>
        <v>0.65766397755173622</v>
      </c>
      <c r="G20" s="17">
        <f>IFERROR(SUM('1. Mixture Model Inputs'!F20,'1. Mixture Model Inputs'!N20)/'1. Mixture Model Inputs'!AD20,NA())</f>
        <v>0.46911673872760962</v>
      </c>
      <c r="H20" s="24">
        <f>IFERROR(WhonSpComp!AT35+WhonSpComp!AV35, NA())</f>
        <v>0.40909090909090912</v>
      </c>
      <c r="I20" s="17">
        <f>IFERROR(SUM('1. Mixture Model Inputs'!G20,'1. Mixture Model Inputs'!O20)/'1. Mixture Model Inputs'!AE20, NA())</f>
        <v>0</v>
      </c>
      <c r="J20" s="17">
        <f>IFERROR(SUM('1. Mixture Model Inputs'!H20,'1. Mixture Model Inputs'!P20)/'1. Mixture Model Inputs'!AF20, NA())</f>
        <v>0.38510101010101006</v>
      </c>
      <c r="K20" s="17">
        <f>IFERROR(SUM('1. Mixture Model Inputs'!I20,'1. Mixture Model Inputs'!Q20)/'1. Mixture Model Inputs'!AG20, NA())</f>
        <v>0.46383928571428573</v>
      </c>
      <c r="L20" s="22">
        <f>C20*'2. Salmon Passage by Bin'!C20</f>
        <v>47.112462006079028</v>
      </c>
      <c r="M20" s="22">
        <f>D20*'2. Salmon Passage by Bin'!D20</f>
        <v>14.308823529411766</v>
      </c>
      <c r="N20" s="22">
        <f>F20*'2. Salmon Passage by Bin'!F20</f>
        <v>481.56787092248334</v>
      </c>
      <c r="O20" s="22">
        <f>G20*'2. Salmon Passage by Bin'!G20</f>
        <v>272.01264978381715</v>
      </c>
      <c r="P20" s="22">
        <f>$G20*'2. Salmon Passage by Bin'!H20</f>
        <v>253.3230389129092</v>
      </c>
      <c r="Q20" s="22">
        <f>$G20*'2. Salmon Passage by Bin'!I20</f>
        <v>99.640395305744292</v>
      </c>
      <c r="R20" s="22">
        <f>$G20*'2. Salmon Passage by Bin'!J20</f>
        <v>0</v>
      </c>
      <c r="S20" s="25">
        <f>'2. Salmon Passage by Bin'!K20*H20</f>
        <v>300.73090909090905</v>
      </c>
      <c r="T20" s="25">
        <f>K20*'2. Salmon Passage by Bin'!L20</f>
        <v>-88.16657142857143</v>
      </c>
      <c r="U20" s="25">
        <f>K20*'2. Salmon Passage by Bin'!M20</f>
        <v>245.35242857142859</v>
      </c>
      <c r="V20" s="25">
        <f>J20*'2. Salmon Passage by Bin'!N20</f>
        <v>73.199999999999989</v>
      </c>
      <c r="W20" s="25">
        <f>I20*'2. Salmon Passage by Bin'!O20</f>
        <v>0</v>
      </c>
      <c r="X20" s="22">
        <f>E20*'2. Salmon Passage by Bin'!E20</f>
        <v>259.22589595375717</v>
      </c>
      <c r="Y20" s="41">
        <f t="shared" si="0"/>
        <v>1896.8866171124776</v>
      </c>
      <c r="Z20" s="42">
        <f>Y20/'[1]Passage Estimates'!$D20</f>
        <v>0.4375384321284686</v>
      </c>
      <c r="AA20" s="43">
        <f>IFERROR(SUMIF(L20:R20, "&lt;&gt;#N/A")/SUMIF('2. Salmon Passage by Bin'!E20:J20, "&lt;&gt;#N/A"), NA())</f>
        <v>0.39597411190006937</v>
      </c>
      <c r="AB20" s="42">
        <f>IFERROR(IF(ISNA(S20), NA(), S20/'2. Salmon Passage by Bin'!K20), NA())</f>
        <v>0.40909090909090912</v>
      </c>
      <c r="AC20" s="44">
        <f>IFERROR(SUMIF(T20:W20, "&lt;&gt;#N/A")/SUMIF('2. Salmon Passage by Bin'!L20:N20, "&lt;&gt;#N/A"), NA())</f>
        <v>0.43554495073891625</v>
      </c>
    </row>
    <row r="21" spans="1:29" x14ac:dyDescent="0.3">
      <c r="A21" s="5">
        <f>'1. Mixture Model Inputs'!A21</f>
        <v>45123</v>
      </c>
      <c r="B21" s="13" t="str">
        <f>IF(ISBLANK('[1]Passage Estimates'!$C21),"",IF('[1]Passage Estimates'!$C21="Imputation",'[1]Passage Estimates'!$B21,'[1]Passage Estimates'!$C21))</f>
        <v>S1+M+A2</v>
      </c>
      <c r="C21" s="17">
        <f>IFERROR(SUM('1. Mixture Model Inputs'!B21,'1. Mixture Model Inputs'!J21)/'1. Mixture Model Inputs'!Z21,NA())</f>
        <v>0.11206896551724138</v>
      </c>
      <c r="D21" s="17">
        <f>IFERROR(SUM('1. Mixture Model Inputs'!C21,'1. Mixture Model Inputs'!K21)/'1. Mixture Model Inputs'!AA21,NA())</f>
        <v>0</v>
      </c>
      <c r="E21" s="17">
        <f>IFERROR(SUM('1. Mixture Model Inputs'!D21,'1. Mixture Model Inputs'!L21)/'1. Mixture Model Inputs'!AB21,NA())</f>
        <v>6.0085836909871237E-2</v>
      </c>
      <c r="F21" s="17">
        <f>IFERROR(SUM('1. Mixture Model Inputs'!E21,'1. Mixture Model Inputs'!M21)/'1. Mixture Model Inputs'!AC21,NA())</f>
        <v>0.39878366637706347</v>
      </c>
      <c r="G21" s="17">
        <f>IFERROR(SUM('1. Mixture Model Inputs'!F21,'1. Mixture Model Inputs'!N21)/'1. Mixture Model Inputs'!AD21,NA())</f>
        <v>0.48693726937269377</v>
      </c>
      <c r="H21" s="24">
        <f>IFERROR(WhonSpComp!AT36+WhonSpComp!AV36, NA())</f>
        <v>0.1</v>
      </c>
      <c r="I21" s="17">
        <f>IFERROR(SUM('1. Mixture Model Inputs'!G21,'1. Mixture Model Inputs'!O21)/'1. Mixture Model Inputs'!AE21, NA())</f>
        <v>0</v>
      </c>
      <c r="J21" s="17">
        <f>IFERROR(SUM('1. Mixture Model Inputs'!H21,'1. Mixture Model Inputs'!P21)/'1. Mixture Model Inputs'!AF21, NA())</f>
        <v>0.13688760806916425</v>
      </c>
      <c r="K21" s="17">
        <f>IFERROR(SUM('1. Mixture Model Inputs'!I21,'1. Mixture Model Inputs'!Q21)/'1. Mixture Model Inputs'!AG21, NA())</f>
        <v>0.43220338983050849</v>
      </c>
      <c r="L21" s="22">
        <f>C21*'2. Salmon Passage by Bin'!C21</f>
        <v>15.913793103448276</v>
      </c>
      <c r="M21" s="22">
        <f>D21*'2. Salmon Passage by Bin'!D21</f>
        <v>0</v>
      </c>
      <c r="N21" s="22">
        <f>F21*'2. Salmon Passage by Bin'!F21</f>
        <v>394.12587315377937</v>
      </c>
      <c r="O21" s="22">
        <f>G21*'2. Salmon Passage by Bin'!G21</f>
        <v>360.29462435424358</v>
      </c>
      <c r="P21" s="22">
        <f>$G21*'2. Salmon Passage by Bin'!H21</f>
        <v>265.28342435424361</v>
      </c>
      <c r="Q21" s="22">
        <f>$G21*'2. Salmon Passage by Bin'!I21</f>
        <v>197.85235129151292</v>
      </c>
      <c r="R21" s="22">
        <f>$G21*'2. Salmon Passage by Bin'!J21</f>
        <v>0</v>
      </c>
      <c r="S21" s="25">
        <f>'2. Salmon Passage by Bin'!K21*H21</f>
        <v>166.92000000000004</v>
      </c>
      <c r="T21" s="25">
        <f>K21*'2. Salmon Passage by Bin'!L21</f>
        <v>-66.593898305084736</v>
      </c>
      <c r="U21" s="25">
        <f>K21*'2. Salmon Passage by Bin'!M21</f>
        <v>12.862372881355931</v>
      </c>
      <c r="V21" s="25">
        <f>J21*'2. Salmon Passage by Bin'!N21</f>
        <v>27.990778097982705</v>
      </c>
      <c r="W21" s="25">
        <f>I21*'2. Salmon Passage by Bin'!O21</f>
        <v>0</v>
      </c>
      <c r="X21" s="22">
        <f>E21*'2. Salmon Passage by Bin'!E21</f>
        <v>49.54918454935622</v>
      </c>
      <c r="Y21" s="41">
        <f t="shared" si="0"/>
        <v>1408.2847103773895</v>
      </c>
      <c r="Z21" s="42">
        <f>Y21/'[1]Passage Estimates'!$D21</f>
        <v>0.26522568070447428</v>
      </c>
      <c r="AA21" s="43">
        <f>IFERROR(SUMIF(L21:R21, "&lt;&gt;#N/A")/SUMIF('2. Salmon Passage by Bin'!E21:J21, "&lt;&gt;#N/A"), NA())</f>
        <v>0.35201771297295309</v>
      </c>
      <c r="AB21" s="42">
        <f>IFERROR(IF(ISNA(S21), NA(), S21/'2. Salmon Passage by Bin'!K21), NA())</f>
        <v>0.1</v>
      </c>
      <c r="AC21" s="44">
        <f>IFERROR(SUMIF(T21:W21, "&lt;&gt;#N/A")/SUMIF('2. Salmon Passage by Bin'!L21:N21, "&lt;&gt;#N/A"), NA())</f>
        <v>-0.32111710735711202</v>
      </c>
    </row>
    <row r="22" spans="1:29" x14ac:dyDescent="0.3">
      <c r="A22" s="5">
        <f>'1. Mixture Model Inputs'!A22</f>
        <v>45124</v>
      </c>
      <c r="B22" s="13" t="str">
        <f>IF(ISBLANK('[1]Passage Estimates'!$C22),"",IF('[1]Passage Estimates'!$C22="Imputation",'[1]Passage Estimates'!$B22,'[1]Passage Estimates'!$C22))</f>
        <v>S1+M+A2</v>
      </c>
      <c r="C22" s="17">
        <f>IFERROR(SUM('1. Mixture Model Inputs'!B22,'1. Mixture Model Inputs'!J22)/'1. Mixture Model Inputs'!Z22,NA())</f>
        <v>0.32575757575757575</v>
      </c>
      <c r="D22" s="17">
        <f>IFERROR(SUM('1. Mixture Model Inputs'!C22,'1. Mixture Model Inputs'!K22)/'1. Mixture Model Inputs'!AA22,NA())</f>
        <v>0</v>
      </c>
      <c r="E22" s="17">
        <f>IFERROR(SUM('1. Mixture Model Inputs'!D22,'1. Mixture Model Inputs'!L22)/'1. Mixture Model Inputs'!AB22,NA())</f>
        <v>7.4999999999999997E-2</v>
      </c>
      <c r="F22" s="17">
        <f>IFERROR(SUM('1. Mixture Model Inputs'!E22,'1. Mixture Model Inputs'!M22)/'1. Mixture Model Inputs'!AC22,NA())</f>
        <v>0.52590011614401855</v>
      </c>
      <c r="G22" s="17">
        <f>IFERROR(SUM('1. Mixture Model Inputs'!F22,'1. Mixture Model Inputs'!N22)/'1. Mixture Model Inputs'!AD22,NA())</f>
        <v>0.80182198327359633</v>
      </c>
      <c r="H22" s="24">
        <f>IFERROR(WhonSpComp!AT37+WhonSpComp!AV37, NA())</f>
        <v>0.4</v>
      </c>
      <c r="I22" s="17">
        <f>IFERROR(SUM('1. Mixture Model Inputs'!G22,'1. Mixture Model Inputs'!O22)/'1. Mixture Model Inputs'!AE22, NA())</f>
        <v>0</v>
      </c>
      <c r="J22" s="17">
        <f>IFERROR(SUM('1. Mixture Model Inputs'!H22,'1. Mixture Model Inputs'!P22)/'1. Mixture Model Inputs'!AF22, NA())</f>
        <v>0.13688760806916425</v>
      </c>
      <c r="K22" s="17">
        <f>IFERROR(SUM('1. Mixture Model Inputs'!I22,'1. Mixture Model Inputs'!Q22)/'1. Mixture Model Inputs'!AG22, NA())</f>
        <v>0.43220338983050849</v>
      </c>
      <c r="L22" s="22">
        <f>C22*'2. Salmon Passage by Bin'!C22</f>
        <v>30.621212121212121</v>
      </c>
      <c r="M22" s="22">
        <f>D22*'2. Salmon Passage by Bin'!D22</f>
        <v>0</v>
      </c>
      <c r="N22" s="22">
        <f>F22*'2. Salmon Passage by Bin'!F22</f>
        <v>401.99804878048781</v>
      </c>
      <c r="O22" s="22">
        <f>G22*'2. Salmon Passage by Bin'!G22</f>
        <v>481.09318996415777</v>
      </c>
      <c r="P22" s="22">
        <f>$G22*'2. Salmon Passage by Bin'!H22</f>
        <v>563.07146953405027</v>
      </c>
      <c r="Q22" s="22">
        <f>$G22*'2. Salmon Passage by Bin'!I22</f>
        <v>279.9962365591399</v>
      </c>
      <c r="R22" s="22">
        <f>$G22*'2. Salmon Passage by Bin'!J22</f>
        <v>0</v>
      </c>
      <c r="S22" s="25">
        <f>'2. Salmon Passage by Bin'!K22*H22</f>
        <v>1269.8112000000006</v>
      </c>
      <c r="T22" s="25">
        <f>K22*'2. Salmon Passage by Bin'!L22</f>
        <v>3.9416949152542378</v>
      </c>
      <c r="U22" s="25">
        <f>K22*'2. Salmon Passage by Bin'!M22</f>
        <v>105.69966101694915</v>
      </c>
      <c r="V22" s="25">
        <f>J22*'2. Salmon Passage by Bin'!N22</f>
        <v>84.793659942363092</v>
      </c>
      <c r="W22" s="25">
        <f>I22*'2. Salmon Passage by Bin'!O22</f>
        <v>0</v>
      </c>
      <c r="X22" s="22">
        <f>E22*'2. Salmon Passage by Bin'!E22</f>
        <v>126.52199999999998</v>
      </c>
      <c r="Y22" s="41">
        <f t="shared" si="0"/>
        <v>3316.9271607124028</v>
      </c>
      <c r="Z22" s="42">
        <f>Y22/'[1]Passage Estimates'!$D22</f>
        <v>0.40481689727364439</v>
      </c>
      <c r="AA22" s="43">
        <f>IFERROR(SUMIF(L22:R22, "&lt;&gt;#N/A")/SUMIF('2. Salmon Passage by Bin'!E22:J22, "&lt;&gt;#N/A"), NA())</f>
        <v>0.42819054230258558</v>
      </c>
      <c r="AB22" s="42">
        <f>IFERROR(IF(ISNA(S22), NA(), S22/'2. Salmon Passage by Bin'!K22), NA())</f>
        <v>0.4</v>
      </c>
      <c r="AC22" s="44">
        <f>IFERROR(SUMIF(T22:W22, "&lt;&gt;#N/A")/SUMIF('2. Salmon Passage by Bin'!L22:N22, "&lt;&gt;#N/A"), NA())</f>
        <v>0.22268991189592097</v>
      </c>
    </row>
    <row r="23" spans="1:29" x14ac:dyDescent="0.3">
      <c r="A23" s="5">
        <f>'1. Mixture Model Inputs'!A23</f>
        <v>45125</v>
      </c>
      <c r="B23" s="13" t="str">
        <f>IF(ISBLANK('[1]Passage Estimates'!$C23),"",IF('[1]Passage Estimates'!$C23="Imputation",'[1]Passage Estimates'!$B23,'[1]Passage Estimates'!$C23))</f>
        <v>S1+M+A2</v>
      </c>
      <c r="C23" s="17">
        <f>IFERROR(SUM('1. Mixture Model Inputs'!B23,'1. Mixture Model Inputs'!J23)/'1. Mixture Model Inputs'!Z23,NA())</f>
        <v>0.33858267716535428</v>
      </c>
      <c r="D23" s="17">
        <f>IFERROR(SUM('1. Mixture Model Inputs'!C23,'1. Mixture Model Inputs'!K23)/'1. Mixture Model Inputs'!AA23,NA())</f>
        <v>0</v>
      </c>
      <c r="E23" s="17">
        <f>IFERROR(SUM('1. Mixture Model Inputs'!D23,'1. Mixture Model Inputs'!L23)/'1. Mixture Model Inputs'!AB23,NA())</f>
        <v>0.15656565656565655</v>
      </c>
      <c r="F23" s="17">
        <f>IFERROR(SUM('1. Mixture Model Inputs'!E23,'1. Mixture Model Inputs'!M23)/'1. Mixture Model Inputs'!AC23,NA())</f>
        <v>0.19524119947848761</v>
      </c>
      <c r="G23" s="17">
        <f>IFERROR(SUM('1. Mixture Model Inputs'!F23,'1. Mixture Model Inputs'!N23)/'1. Mixture Model Inputs'!AD23,NA())</f>
        <v>0.4130276033299255</v>
      </c>
      <c r="H23" s="24">
        <f>IFERROR(WhonSpComp!AT38+WhonSpComp!AV38, NA())</f>
        <v>0.33333333333333331</v>
      </c>
      <c r="I23" s="17">
        <f>IFERROR(SUM('1. Mixture Model Inputs'!G23,'1. Mixture Model Inputs'!O23)/'1. Mixture Model Inputs'!AE23, NA())</f>
        <v>0</v>
      </c>
      <c r="J23" s="17">
        <f>IFERROR(SUM('1. Mixture Model Inputs'!H23,'1. Mixture Model Inputs'!P23)/'1. Mixture Model Inputs'!AF23, NA())</f>
        <v>0.61188271604938271</v>
      </c>
      <c r="K23" s="17">
        <f>IFERROR(SUM('1. Mixture Model Inputs'!I23,'1. Mixture Model Inputs'!Q23)/'1. Mixture Model Inputs'!AG23, NA())</f>
        <v>0.53946028513238298</v>
      </c>
      <c r="L23" s="22">
        <f>C23*'2. Salmon Passage by Bin'!C23</f>
        <v>42.661417322834637</v>
      </c>
      <c r="M23" s="22">
        <f>D23*'2. Salmon Passage by Bin'!D23</f>
        <v>0</v>
      </c>
      <c r="N23" s="22">
        <f>F23*'2. Salmon Passage by Bin'!F23</f>
        <v>209.6890482398957</v>
      </c>
      <c r="O23" s="22">
        <f>G23*'2. Salmon Passage by Bin'!G23</f>
        <v>549.35975463706723</v>
      </c>
      <c r="P23" s="22">
        <f>$G23*'2. Salmon Passage by Bin'!H23</f>
        <v>413.35802541258948</v>
      </c>
      <c r="Q23" s="22">
        <f>$G23*'2. Salmon Passage by Bin'!I23</f>
        <v>280.6274748064846</v>
      </c>
      <c r="R23" s="22">
        <f>$G23*'2. Salmon Passage by Bin'!J23</f>
        <v>0</v>
      </c>
      <c r="S23" s="25">
        <f>'2. Salmon Passage by Bin'!K23*H23</f>
        <v>964.16000000000031</v>
      </c>
      <c r="T23" s="25">
        <f>K23*'2. Salmon Passage by Bin'!L23</f>
        <v>-43.761018329938906</v>
      </c>
      <c r="U23" s="25">
        <f>K23*'2. Salmon Passage by Bin'!M23</f>
        <v>59.685885947046863</v>
      </c>
      <c r="V23" s="25">
        <f>J23*'2. Salmon Passage by Bin'!N23</f>
        <v>161.24333333333331</v>
      </c>
      <c r="W23" s="25">
        <f>I23*'2. Salmon Passage by Bin'!O23</f>
        <v>0</v>
      </c>
      <c r="X23" s="22">
        <f>E23*'2. Salmon Passage by Bin'!E23</f>
        <v>170.89454545454544</v>
      </c>
      <c r="Y23" s="41">
        <f t="shared" si="0"/>
        <v>2765.2570495010241</v>
      </c>
      <c r="Z23" s="42">
        <f>Y23/'[1]Passage Estimates'!$D23</f>
        <v>0.32830615110189293</v>
      </c>
      <c r="AA23" s="43">
        <f>IFERROR(SUMIF(L23:R23, "&lt;&gt;#N/A")/SUMIF('2. Salmon Passage by Bin'!E23:J23, "&lt;&gt;#N/A"), NA())</f>
        <v>0.28897642129951301</v>
      </c>
      <c r="AB23" s="42">
        <f>IFERROR(IF(ISNA(S23), NA(), S23/'2. Salmon Passage by Bin'!K23), NA())</f>
        <v>0.33333333333333331</v>
      </c>
      <c r="AC23" s="44">
        <f>IFERROR(SUMIF(T23:W23, "&lt;&gt;#N/A")/SUMIF('2. Salmon Passage by Bin'!L23:N23, "&lt;&gt;#N/A"), NA())</f>
        <v>0.60458709033047131</v>
      </c>
    </row>
    <row r="24" spans="1:29" x14ac:dyDescent="0.3">
      <c r="A24" s="5">
        <f>'1. Mixture Model Inputs'!A24</f>
        <v>45126</v>
      </c>
      <c r="B24" s="13" t="str">
        <f>IF(ISBLANK('[1]Passage Estimates'!$C24),"",IF('[1]Passage Estimates'!$C24="Imputation",'[1]Passage Estimates'!$B24,'[1]Passage Estimates'!$C24))</f>
        <v>S1+M2+A2</v>
      </c>
      <c r="C24" s="17">
        <f>IFERROR(SUM('1. Mixture Model Inputs'!B24,'1. Mixture Model Inputs'!J24)/'1. Mixture Model Inputs'!Z24,NA())</f>
        <v>0.51187335092348285</v>
      </c>
      <c r="D24" s="17">
        <f>IFERROR(SUM('1. Mixture Model Inputs'!C24,'1. Mixture Model Inputs'!K24)/'1. Mixture Model Inputs'!AA24,NA())</f>
        <v>0</v>
      </c>
      <c r="E24" s="17">
        <f>IFERROR(SUM('1. Mixture Model Inputs'!D24,'1. Mixture Model Inputs'!L24)/'1. Mixture Model Inputs'!AB24,NA())</f>
        <v>0.34649122807017546</v>
      </c>
      <c r="F24" s="17">
        <f>IFERROR(SUM('1. Mixture Model Inputs'!E24,'1. Mixture Model Inputs'!M24)/'1. Mixture Model Inputs'!AC24,NA())</f>
        <v>5.4669703872437352E-2</v>
      </c>
      <c r="G24" s="17">
        <f>IFERROR(SUM('1. Mixture Model Inputs'!F24,'1. Mixture Model Inputs'!N24)/'1. Mixture Model Inputs'!AD24,NA())</f>
        <v>0.46525771628402007</v>
      </c>
      <c r="H24" s="24">
        <f>IFERROR(WhonSpComp!AT39+WhonSpComp!AV39, NA())</f>
        <v>0.25</v>
      </c>
      <c r="I24" s="17">
        <f>IFERROR(SUM('1. Mixture Model Inputs'!G24,'1. Mixture Model Inputs'!O24)/'1. Mixture Model Inputs'!AE24, NA())</f>
        <v>0</v>
      </c>
      <c r="J24" s="17">
        <f>IFERROR(SUM('1. Mixture Model Inputs'!H24,'1. Mixture Model Inputs'!P24)/'1. Mixture Model Inputs'!AF24, NA())</f>
        <v>0.61188271604938271</v>
      </c>
      <c r="K24" s="17">
        <f>IFERROR(SUM('1. Mixture Model Inputs'!I24,'1. Mixture Model Inputs'!Q24)/'1. Mixture Model Inputs'!AG24, NA())</f>
        <v>0.53946028513238298</v>
      </c>
      <c r="L24" s="22">
        <f>C24*'2. Salmon Passage by Bin'!C24</f>
        <v>37.366754617414252</v>
      </c>
      <c r="M24" s="22">
        <f>D24*'2. Salmon Passage by Bin'!D24</f>
        <v>0</v>
      </c>
      <c r="N24" s="22">
        <f>F24*'2. Salmon Passage by Bin'!F24</f>
        <v>41.632072892938488</v>
      </c>
      <c r="O24" s="22">
        <f>G24*'2. Salmon Passage by Bin'!G24</f>
        <v>376.85875019005624</v>
      </c>
      <c r="P24" s="22">
        <f>$G24*'2. Salmon Passage by Bin'!H24</f>
        <v>417.05701687699565</v>
      </c>
      <c r="Q24" s="22">
        <f>$G24*'2. Salmon Passage by Bin'!I24</f>
        <v>214.72574121940093</v>
      </c>
      <c r="R24" s="22">
        <f>$G24*'2. Salmon Passage by Bin'!J24</f>
        <v>0</v>
      </c>
      <c r="S24" s="25">
        <f>'2. Salmon Passage by Bin'!K24*H24</f>
        <v>2034.4799999999996</v>
      </c>
      <c r="T24" s="25">
        <f>K24*'2. Salmon Passage by Bin'!L24</f>
        <v>-19.938452138492874</v>
      </c>
      <c r="U24" s="25">
        <f>K24*'2. Salmon Passage by Bin'!M24</f>
        <v>-39.747433808553971</v>
      </c>
      <c r="V24" s="25">
        <f>J24*'2. Salmon Passage by Bin'!N24</f>
        <v>17.62222222222222</v>
      </c>
      <c r="W24" s="25">
        <f>I24*'2. Salmon Passage by Bin'!O24</f>
        <v>0</v>
      </c>
      <c r="X24" s="22">
        <f>E24*'2. Salmon Passage by Bin'!E24</f>
        <v>211.80315789473684</v>
      </c>
      <c r="Y24" s="41">
        <f t="shared" si="0"/>
        <v>3254.4930753493036</v>
      </c>
      <c r="Z24" s="42">
        <f>Y24/'[1]Passage Estimates'!$D24</f>
        <v>0.27925591165294661</v>
      </c>
      <c r="AA24" s="43">
        <f>IFERROR(SUMIF(L24:R24, "&lt;&gt;#N/A")/SUMIF('2. Salmon Passage by Bin'!E24:J24, "&lt;&gt;#N/A"), NA())</f>
        <v>0.30718055530988203</v>
      </c>
      <c r="AB24" s="42">
        <f>IFERROR(IF(ISNA(S24), NA(), S24/'2. Salmon Passage by Bin'!K24), NA())</f>
        <v>0.25</v>
      </c>
      <c r="AC24" s="44">
        <f>IFERROR(SUMIF(T24:W24, "&lt;&gt;#N/A")/SUMIF('2. Salmon Passage by Bin'!L24:N24, "&lt;&gt;#N/A"), NA())</f>
        <v>0.51397438568945053</v>
      </c>
    </row>
    <row r="25" spans="1:29" x14ac:dyDescent="0.3">
      <c r="A25" s="5">
        <f>'1. Mixture Model Inputs'!A25</f>
        <v>45127</v>
      </c>
      <c r="B25" s="13" t="str">
        <f>IF(ISBLANK('[1]Passage Estimates'!$C25),"",IF('[1]Passage Estimates'!$C25="Imputation",'[1]Passage Estimates'!$B25,'[1]Passage Estimates'!$C25))</f>
        <v>S1+M2+A2</v>
      </c>
      <c r="C25" s="17">
        <f>IFERROR(SUM('1. Mixture Model Inputs'!B25,'1. Mixture Model Inputs'!J25)/'1. Mixture Model Inputs'!Z25,NA())</f>
        <v>0</v>
      </c>
      <c r="D25" s="17">
        <f>IFERROR(SUM('1. Mixture Model Inputs'!C25,'1. Mixture Model Inputs'!K25)/'1. Mixture Model Inputs'!AA25,NA())</f>
        <v>5.3424657534246578E-2</v>
      </c>
      <c r="E25" s="17">
        <f>IFERROR(SUM('1. Mixture Model Inputs'!D25,'1. Mixture Model Inputs'!L25)/'1. Mixture Model Inputs'!AB25,NA())</f>
        <v>7.6923076923076927E-2</v>
      </c>
      <c r="F25" s="17">
        <f>IFERROR(SUM('1. Mixture Model Inputs'!E25,'1. Mixture Model Inputs'!M25)/'1. Mixture Model Inputs'!AC25,NA())</f>
        <v>0.21176003178386971</v>
      </c>
      <c r="G25" s="17">
        <f>IFERROR(SUM('1. Mixture Model Inputs'!F25,'1. Mixture Model Inputs'!N25)/'1. Mixture Model Inputs'!AD25,NA())</f>
        <v>0.40690866510538642</v>
      </c>
      <c r="H25" s="24">
        <f>IFERROR(WhonSpComp!AT40+WhonSpComp!AV40, NA())</f>
        <v>0.46153846153846156</v>
      </c>
      <c r="I25" s="17">
        <f>IFERROR(SUM('1. Mixture Model Inputs'!G25,'1. Mixture Model Inputs'!O25)/'1. Mixture Model Inputs'!AE25, NA())</f>
        <v>0</v>
      </c>
      <c r="J25" s="17">
        <f>IFERROR(SUM('1. Mixture Model Inputs'!H25,'1. Mixture Model Inputs'!P25)/'1. Mixture Model Inputs'!AF25, NA())</f>
        <v>0.68794326241134762</v>
      </c>
      <c r="K25" s="17">
        <f>IFERROR(SUM('1. Mixture Model Inputs'!I25,'1. Mixture Model Inputs'!Q25)/'1. Mixture Model Inputs'!AG25, NA())</f>
        <v>0.8859999999999999</v>
      </c>
      <c r="L25" s="22">
        <f>C25*'2. Salmon Passage by Bin'!C25</f>
        <v>0</v>
      </c>
      <c r="M25" s="22">
        <f>D25*'2. Salmon Passage by Bin'!D25</f>
        <v>17.523287671232879</v>
      </c>
      <c r="N25" s="22">
        <f>F25*'2. Salmon Passage by Bin'!F25</f>
        <v>167.30736591179979</v>
      </c>
      <c r="O25" s="22">
        <f>G25*'2. Salmon Passage by Bin'!G25</f>
        <v>320.31850117096019</v>
      </c>
      <c r="P25" s="22">
        <f>$G25*'2. Salmon Passage by Bin'!H25</f>
        <v>193.07002341920378</v>
      </c>
      <c r="Q25" s="22">
        <f>$G25*'2. Salmon Passage by Bin'!I25</f>
        <v>61.036299765807961</v>
      </c>
      <c r="R25" s="22">
        <f>$G25*'2. Salmon Passage by Bin'!J25</f>
        <v>0</v>
      </c>
      <c r="S25" s="25">
        <f>'2. Salmon Passage by Bin'!K25*H25</f>
        <v>4905.1938461538475</v>
      </c>
      <c r="T25" s="25">
        <f>K25*'2. Salmon Passage by Bin'!L25</f>
        <v>164.79599999999999</v>
      </c>
      <c r="U25" s="25">
        <f>K25*'2. Salmon Passage by Bin'!M25</f>
        <v>164.58335999999997</v>
      </c>
      <c r="V25" s="25">
        <f>J25*'2. Salmon Passage by Bin'!N25</f>
        <v>127.62723404255321</v>
      </c>
      <c r="W25" s="25">
        <f>I25*'2. Salmon Passage by Bin'!O25</f>
        <v>0</v>
      </c>
      <c r="X25" s="22">
        <f>E25*'2. Salmon Passage by Bin'!E25</f>
        <v>52.320000000000007</v>
      </c>
      <c r="Y25" s="41">
        <f t="shared" si="0"/>
        <v>6156.2526304641715</v>
      </c>
      <c r="Z25" s="42">
        <f>Y25/'[1]Passage Estimates'!$D25</f>
        <v>0.43661366173504751</v>
      </c>
      <c r="AA25" s="43">
        <f>IFERROR(SUMIF(L25:R25, "&lt;&gt;#N/A")/SUMIF('2. Salmon Passage by Bin'!E25:J25, "&lt;&gt;#N/A"), NA())</f>
        <v>0.26345473779251494</v>
      </c>
      <c r="AB25" s="42">
        <f>IFERROR(IF(ISNA(S25), NA(), S25/'2. Salmon Passage by Bin'!K25), NA())</f>
        <v>0.46153846153846156</v>
      </c>
      <c r="AC25" s="44">
        <f>IFERROR(SUMIF(T25:W25, "&lt;&gt;#N/A")/SUMIF('2. Salmon Passage by Bin'!L25:N25, "&lt;&gt;#N/A"), NA())</f>
        <v>0.82006638322307135</v>
      </c>
    </row>
    <row r="26" spans="1:29" x14ac:dyDescent="0.3">
      <c r="A26" s="5">
        <f>'1. Mixture Model Inputs'!A26</f>
        <v>45128</v>
      </c>
      <c r="B26" s="13" t="str">
        <f>IF(ISBLANK('[1]Passage Estimates'!$C26),"",IF('[1]Passage Estimates'!$C26="Imputation",'[1]Passage Estimates'!$B26,'[1]Passage Estimates'!$C26))</f>
        <v>S1+M2+A2</v>
      </c>
      <c r="C26" s="17">
        <f>IFERROR(SUM('1. Mixture Model Inputs'!B26,'1. Mixture Model Inputs'!J26)/'1. Mixture Model Inputs'!Z26,NA())</f>
        <v>0</v>
      </c>
      <c r="D26" s="17">
        <f>IFERROR(SUM('1. Mixture Model Inputs'!C26,'1. Mixture Model Inputs'!K26)/'1. Mixture Model Inputs'!AA26,NA())</f>
        <v>0</v>
      </c>
      <c r="E26" s="17">
        <f>IFERROR(SUM('1. Mixture Model Inputs'!D26,'1. Mixture Model Inputs'!L26)/'1. Mixture Model Inputs'!AB26,NA())</f>
        <v>0</v>
      </c>
      <c r="F26" s="17">
        <f>IFERROR(SUM('1. Mixture Model Inputs'!E26,'1. Mixture Model Inputs'!M26)/'1. Mixture Model Inputs'!AC26,NA())</f>
        <v>0.24645823155837812</v>
      </c>
      <c r="G26" s="17">
        <f>IFERROR(SUM('1. Mixture Model Inputs'!F26,'1. Mixture Model Inputs'!N26)/'1. Mixture Model Inputs'!AD26,NA())</f>
        <v>0.60708487084870855</v>
      </c>
      <c r="H26" s="24">
        <f>IFERROR(WhonSpComp!AT41+WhonSpComp!AV41, NA())</f>
        <v>0.5</v>
      </c>
      <c r="I26" s="17">
        <f>IFERROR(SUM('1. Mixture Model Inputs'!G26,'1. Mixture Model Inputs'!O26)/'1. Mixture Model Inputs'!AE26, NA())</f>
        <v>0</v>
      </c>
      <c r="J26" s="17">
        <f>IFERROR(SUM('1. Mixture Model Inputs'!H26,'1. Mixture Model Inputs'!P26)/'1. Mixture Model Inputs'!AF26, NA())</f>
        <v>0.68794326241134762</v>
      </c>
      <c r="K26" s="17">
        <f>IFERROR(SUM('1. Mixture Model Inputs'!I26,'1. Mixture Model Inputs'!Q26)/'1. Mixture Model Inputs'!AG26, NA())</f>
        <v>0.8859999999999999</v>
      </c>
      <c r="L26" s="22">
        <f>C26*'2. Salmon Passage by Bin'!C26</f>
        <v>0</v>
      </c>
      <c r="M26" s="22">
        <f>D26*'2. Salmon Passage by Bin'!D26</f>
        <v>0</v>
      </c>
      <c r="N26" s="22">
        <f>F26*'2. Salmon Passage by Bin'!F26</f>
        <v>181.53127503663902</v>
      </c>
      <c r="O26" s="22">
        <f>G26*'2. Salmon Passage by Bin'!G26</f>
        <v>341.66736531365314</v>
      </c>
      <c r="P26" s="22">
        <f>$G26*'2. Salmon Passage by Bin'!H26</f>
        <v>377.65535645756466</v>
      </c>
      <c r="Q26" s="22">
        <f>$G26*'2. Salmon Passage by Bin'!I26</f>
        <v>195.82129594095946</v>
      </c>
      <c r="R26" s="22">
        <f>$G26*'2. Salmon Passage by Bin'!J26</f>
        <v>0</v>
      </c>
      <c r="S26" s="25">
        <f>'2. Salmon Passage by Bin'!K26*H26</f>
        <v>3552.4799999999996</v>
      </c>
      <c r="T26" s="25">
        <f>K26*'2. Salmon Passage by Bin'!L26</f>
        <v>93.136319999999998</v>
      </c>
      <c r="U26" s="25">
        <f>K26*'2. Salmon Passage by Bin'!M26</f>
        <v>172.02575999999999</v>
      </c>
      <c r="V26" s="25">
        <f>J26*'2. Salmon Passage by Bin'!N26</f>
        <v>86.020425531914896</v>
      </c>
      <c r="W26" s="25">
        <f>I26*'2. Salmon Passage by Bin'!O26</f>
        <v>0</v>
      </c>
      <c r="X26" s="22">
        <f>E26*'2. Salmon Passage by Bin'!E26</f>
        <v>0</v>
      </c>
      <c r="Y26" s="41">
        <f t="shared" si="0"/>
        <v>5000.3377982807306</v>
      </c>
      <c r="Z26" s="42">
        <f>Y26/'[1]Passage Estimates'!$D26</f>
        <v>0.48974521240585095</v>
      </c>
      <c r="AA26" s="43">
        <f>IFERROR(SUMIF(L26:R26, "&lt;&gt;#N/A")/SUMIF('2. Salmon Passage by Bin'!E26:J26, "&lt;&gt;#N/A"), NA())</f>
        <v>0.41529404584689644</v>
      </c>
      <c r="AB26" s="42">
        <f>IFERROR(IF(ISNA(S26), NA(), S26/'2. Salmon Passage by Bin'!K26), NA())</f>
        <v>0.5</v>
      </c>
      <c r="AC26" s="44">
        <f>IFERROR(SUMIF(T26:W26, "&lt;&gt;#N/A")/SUMIF('2. Salmon Passage by Bin'!L26:N26, "&lt;&gt;#N/A"), NA())</f>
        <v>0.82763599531465626</v>
      </c>
    </row>
    <row r="27" spans="1:29" x14ac:dyDescent="0.3">
      <c r="A27" s="5">
        <f>'1. Mixture Model Inputs'!A27</f>
        <v>45129</v>
      </c>
      <c r="B27" s="13" t="str">
        <f>IF(ISBLANK('[1]Passage Estimates'!$C27),"",IF('[1]Passage Estimates'!$C27="Imputation",'[1]Passage Estimates'!$B27,'[1]Passage Estimates'!$C27))</f>
        <v>S1+M2+A2</v>
      </c>
      <c r="C27" s="17">
        <f>IFERROR(SUM('1. Mixture Model Inputs'!B27,'1. Mixture Model Inputs'!J27)/'1. Mixture Model Inputs'!Z27,NA())</f>
        <v>0</v>
      </c>
      <c r="D27" s="17">
        <f>IFERROR(SUM('1. Mixture Model Inputs'!C27,'1. Mixture Model Inputs'!K27)/'1. Mixture Model Inputs'!AA27,NA())</f>
        <v>0</v>
      </c>
      <c r="E27" s="17">
        <f>IFERROR(SUM('1. Mixture Model Inputs'!D27,'1. Mixture Model Inputs'!L27)/'1. Mixture Model Inputs'!AB27,NA())</f>
        <v>0</v>
      </c>
      <c r="F27" s="17">
        <f>IFERROR(SUM('1. Mixture Model Inputs'!E27,'1. Mixture Model Inputs'!M27)/'1. Mixture Model Inputs'!AC27,NA())</f>
        <v>0.12648221343873517</v>
      </c>
      <c r="G27" s="17">
        <f>IFERROR(SUM('1. Mixture Model Inputs'!F27,'1. Mixture Model Inputs'!N27)/'1. Mixture Model Inputs'!AD27,NA())</f>
        <v>0.6196985629162286</v>
      </c>
      <c r="H27" s="24">
        <f>IFERROR(WhonSpComp!AT42+WhonSpComp!AV42, NA())</f>
        <v>1</v>
      </c>
      <c r="I27" s="17">
        <f>IFERROR(SUM('1. Mixture Model Inputs'!G27,'1. Mixture Model Inputs'!O27)/'1. Mixture Model Inputs'!AE27, NA())</f>
        <v>0</v>
      </c>
      <c r="J27" s="17">
        <f>IFERROR(SUM('1. Mixture Model Inputs'!H27,'1. Mixture Model Inputs'!P27)/'1. Mixture Model Inputs'!AF27, NA())</f>
        <v>0.71680790960451979</v>
      </c>
      <c r="K27" s="17">
        <f>IFERROR(SUM('1. Mixture Model Inputs'!I27,'1. Mixture Model Inputs'!Q27)/'1. Mixture Model Inputs'!AG27, NA())</f>
        <v>0.57235367372353674</v>
      </c>
      <c r="L27" s="22">
        <f>C27*'2. Salmon Passage by Bin'!C27</f>
        <v>0</v>
      </c>
      <c r="M27" s="22">
        <f>D27*'2. Salmon Passage by Bin'!D27</f>
        <v>0</v>
      </c>
      <c r="N27" s="22">
        <f>F27*'2. Salmon Passage by Bin'!F27</f>
        <v>130.22608695652173</v>
      </c>
      <c r="O27" s="22">
        <f>G27*'2. Salmon Passage by Bin'!G27</f>
        <v>660.20206098843335</v>
      </c>
      <c r="P27" s="22">
        <f>$G27*'2. Salmon Passage by Bin'!H27</f>
        <v>659.16096740273395</v>
      </c>
      <c r="Q27" s="22">
        <f>$G27*'2. Salmon Passage by Bin'!I27</f>
        <v>153.04075709779181</v>
      </c>
      <c r="R27" s="22">
        <f>$G27*'2. Salmon Passage by Bin'!J27</f>
        <v>0</v>
      </c>
      <c r="S27" s="25">
        <f ca="1">'2. Salmon Passage by Bin'!K27*H27</f>
        <v>6460.3199999999988</v>
      </c>
      <c r="T27" s="25">
        <f>K27*'2. Salmon Passage by Bin'!L27</f>
        <v>16.071691158156909</v>
      </c>
      <c r="U27" s="25">
        <f>K27*'2. Salmon Passage by Bin'!M27</f>
        <v>102.06210709838106</v>
      </c>
      <c r="V27" s="25">
        <f>J27*'2. Salmon Passage by Bin'!N27</f>
        <v>55.222881355932202</v>
      </c>
      <c r="W27" s="25">
        <f>I27*'2. Salmon Passage by Bin'!O27</f>
        <v>0</v>
      </c>
      <c r="X27" s="22">
        <f>E27*'2. Salmon Passage by Bin'!E27</f>
        <v>0</v>
      </c>
      <c r="Y27" s="41">
        <f t="shared" ca="1" si="0"/>
        <v>8236.3065520579494</v>
      </c>
      <c r="Z27" s="42">
        <f ca="1">Y27/'[1]Passage Estimates'!$D27</f>
        <v>0.7202993864265832</v>
      </c>
      <c r="AA27" s="43">
        <f>IFERROR(SUMIF(L27:R27, "&lt;&gt;#N/A")/SUMIF('2. Salmon Passage by Bin'!E27:J27, "&lt;&gt;#N/A"), NA())</f>
        <v>0.35472108730532997</v>
      </c>
      <c r="AB27" s="42">
        <f ca="1">IFERROR(IF(ISNA(S27), NA(), S27/'2. Salmon Passage by Bin'!K27), NA())</f>
        <v>1</v>
      </c>
      <c r="AC27" s="44">
        <f>IFERROR(SUMIF(T27:W27, "&lt;&gt;#N/A")/SUMIF('2. Salmon Passage by Bin'!L27:N27, "&lt;&gt;#N/A"), NA())</f>
        <v>0.61161684875977351</v>
      </c>
    </row>
    <row r="28" spans="1:29" x14ac:dyDescent="0.3">
      <c r="A28" s="5">
        <f>'1. Mixture Model Inputs'!A28</f>
        <v>45130</v>
      </c>
      <c r="B28" s="13" t="str">
        <f>IF(ISBLANK('[1]Passage Estimates'!$C28),"",IF('[1]Passage Estimates'!$C28="Imputation",'[1]Passage Estimates'!$B28,'[1]Passage Estimates'!$C28))</f>
        <v>S1+M2+A2</v>
      </c>
      <c r="C28" s="17">
        <f>IFERROR(SUM('1. Mixture Model Inputs'!B28,'1. Mixture Model Inputs'!J28)/'1. Mixture Model Inputs'!Z28,NA())</f>
        <v>0</v>
      </c>
      <c r="D28" s="17">
        <f>IFERROR(SUM('1. Mixture Model Inputs'!C28,'1. Mixture Model Inputs'!K28)/'1. Mixture Model Inputs'!AA28,NA())</f>
        <v>0</v>
      </c>
      <c r="E28" s="17">
        <f>IFERROR(SUM('1. Mixture Model Inputs'!D28,'1. Mixture Model Inputs'!L28)/'1. Mixture Model Inputs'!AB28,NA())</f>
        <v>0</v>
      </c>
      <c r="F28" s="17">
        <f>IFERROR(SUM('1. Mixture Model Inputs'!E28,'1. Mixture Model Inputs'!M28)/'1. Mixture Model Inputs'!AC28,NA())</f>
        <v>0.43579164517792685</v>
      </c>
      <c r="G28" s="17">
        <f>IFERROR(SUM('1. Mixture Model Inputs'!F28,'1. Mixture Model Inputs'!N28)/'1. Mixture Model Inputs'!AD28,NA())</f>
        <v>0.63128976286871019</v>
      </c>
      <c r="H28" s="24">
        <f>IFERROR(WhonSpComp!AT43+WhonSpComp!AV43, NA())</f>
        <v>0</v>
      </c>
      <c r="I28" s="17">
        <f>IFERROR(SUM('1. Mixture Model Inputs'!G28,'1. Mixture Model Inputs'!O28)/'1. Mixture Model Inputs'!AE28, NA())</f>
        <v>0</v>
      </c>
      <c r="J28" s="17">
        <f>IFERROR(SUM('1. Mixture Model Inputs'!H28,'1. Mixture Model Inputs'!P28)/'1. Mixture Model Inputs'!AF28, NA())</f>
        <v>0.71680790960451979</v>
      </c>
      <c r="K28" s="17">
        <f>IFERROR(SUM('1. Mixture Model Inputs'!I28,'1. Mixture Model Inputs'!Q28)/'1. Mixture Model Inputs'!AG28, NA())</f>
        <v>0.57235367372353674</v>
      </c>
      <c r="L28" s="22">
        <f>C28*'2. Salmon Passage by Bin'!C28</f>
        <v>0</v>
      </c>
      <c r="M28" s="22">
        <f>D28*'2. Salmon Passage by Bin'!D28</f>
        <v>0</v>
      </c>
      <c r="N28" s="22">
        <f>F28*'2. Salmon Passage by Bin'!F28</f>
        <v>466.26219700876754</v>
      </c>
      <c r="O28" s="22">
        <f>G28*'2. Salmon Passage by Bin'!G28</f>
        <v>811.18209369577789</v>
      </c>
      <c r="P28" s="22">
        <f>$G28*'2. Salmon Passage by Bin'!H28</f>
        <v>607.55326778484675</v>
      </c>
      <c r="Q28" s="22">
        <f>$G28*'2. Salmon Passage by Bin'!I28</f>
        <v>375.59215731636783</v>
      </c>
      <c r="R28" s="22">
        <f>$G28*'2. Salmon Passage by Bin'!J28</f>
        <v>0</v>
      </c>
      <c r="S28" s="25">
        <f>'2. Salmon Passage by Bin'!K28*H28</f>
        <v>0</v>
      </c>
      <c r="T28" s="25">
        <f>K28*'2. Salmon Passage by Bin'!L28</f>
        <v>117.17224408468242</v>
      </c>
      <c r="U28" s="25">
        <f>K28*'2. Salmon Passage by Bin'!M28</f>
        <v>134.20548941469488</v>
      </c>
      <c r="V28" s="25">
        <f>J28*'2. Salmon Passage by Bin'!N28</f>
        <v>182.7</v>
      </c>
      <c r="W28" s="25">
        <f>I28*'2. Salmon Passage by Bin'!O28</f>
        <v>0</v>
      </c>
      <c r="X28" s="22">
        <f>E28*'2. Salmon Passage by Bin'!E28</f>
        <v>0</v>
      </c>
      <c r="Y28" s="41">
        <f t="shared" si="0"/>
        <v>2694.6674493051373</v>
      </c>
      <c r="Z28" s="42">
        <f>Y28/'[1]Passage Estimates'!$D28</f>
        <v>0.25525225722989536</v>
      </c>
      <c r="AA28" s="43">
        <f>IFERROR(SUMIF(L28:R28, "&lt;&gt;#N/A")/SUMIF('2. Salmon Passage by Bin'!E28:J28, "&lt;&gt;#N/A"), NA())</f>
        <v>0.46700995665909728</v>
      </c>
      <c r="AB28" s="42">
        <f>IFERROR(IF(ISNA(S28), NA(), S28/'2. Salmon Passage by Bin'!K28), NA())</f>
        <v>0</v>
      </c>
      <c r="AC28" s="44">
        <f>IFERROR(SUMIF(T28:W28, "&lt;&gt;#N/A")/SUMIF('2. Salmon Passage by Bin'!L28:N28, "&lt;&gt;#N/A"), NA())</f>
        <v>0.62540014623584794</v>
      </c>
    </row>
    <row r="29" spans="1:29" x14ac:dyDescent="0.3">
      <c r="A29" s="5">
        <f>'1. Mixture Model Inputs'!A29</f>
        <v>45131</v>
      </c>
      <c r="B29" s="13" t="str">
        <f>IF(ISBLANK('[1]Passage Estimates'!$C29),"",IF('[1]Passage Estimates'!$C29="Imputation",'[1]Passage Estimates'!$B29,'[1]Passage Estimates'!$C29))</f>
        <v>S1+M2+A2</v>
      </c>
      <c r="C29" s="17">
        <f>IFERROR(SUM('1. Mixture Model Inputs'!B29,'1. Mixture Model Inputs'!J29)/'1. Mixture Model Inputs'!Z29,NA())</f>
        <v>1.6949152542372881E-2</v>
      </c>
      <c r="D29" s="17">
        <f>IFERROR(SUM('1. Mixture Model Inputs'!C29,'1. Mixture Model Inputs'!K29)/'1. Mixture Model Inputs'!AA29,NA())</f>
        <v>0</v>
      </c>
      <c r="E29" s="17">
        <f>IFERROR(SUM('1. Mixture Model Inputs'!D29,'1. Mixture Model Inputs'!L29)/'1. Mixture Model Inputs'!AB29,NA())</f>
        <v>0</v>
      </c>
      <c r="F29" s="17">
        <f>IFERROR(SUM('1. Mixture Model Inputs'!E29,'1. Mixture Model Inputs'!M29)/'1. Mixture Model Inputs'!AC29,NA())</f>
        <v>0.39505261214694481</v>
      </c>
      <c r="G29" s="17">
        <f>IFERROR(SUM('1. Mixture Model Inputs'!F29,'1. Mixture Model Inputs'!N29)/'1. Mixture Model Inputs'!AD29,NA())</f>
        <v>0.76997448637035049</v>
      </c>
      <c r="H29" s="24">
        <f>IFERROR(WhonSpComp!AT44+WhonSpComp!AV44, NA())</f>
        <v>0.16666666666666666</v>
      </c>
      <c r="I29" s="17">
        <f>IFERROR(SUM('1. Mixture Model Inputs'!G29,'1. Mixture Model Inputs'!O29)/'1. Mixture Model Inputs'!AE29, NA())</f>
        <v>0.53402646502835538</v>
      </c>
      <c r="J29" s="17">
        <f>IFERROR(SUM('1. Mixture Model Inputs'!H29,'1. Mixture Model Inputs'!P29)/'1. Mixture Model Inputs'!AF29, NA())</f>
        <v>0.37205162438807293</v>
      </c>
      <c r="K29" s="17">
        <f>IFERROR(SUM('1. Mixture Model Inputs'!I29,'1. Mixture Model Inputs'!Q29)/'1. Mixture Model Inputs'!AG29, NA())</f>
        <v>0.85800052205690414</v>
      </c>
      <c r="L29" s="22">
        <f>C29*'2. Salmon Passage by Bin'!C29</f>
        <v>6.1355932203389827</v>
      </c>
      <c r="M29" s="22">
        <f>D29*'2. Salmon Passage by Bin'!D29</f>
        <v>0</v>
      </c>
      <c r="N29" s="22">
        <f>F29*'2. Salmon Passage by Bin'!F29</f>
        <v>575.79708325641502</v>
      </c>
      <c r="O29" s="22">
        <f>G29*'2. Salmon Passage by Bin'!G29</f>
        <v>1110.4264052638646</v>
      </c>
      <c r="P29" s="22">
        <f>$G29*'2. Salmon Passage by Bin'!H29</f>
        <v>754.14381093057614</v>
      </c>
      <c r="Q29" s="22">
        <f>$G29*'2. Salmon Passage by Bin'!I29</f>
        <v>459.58237142473473</v>
      </c>
      <c r="R29" s="22">
        <f>$G29*'2. Salmon Passage by Bin'!J29</f>
        <v>0</v>
      </c>
      <c r="S29" s="25">
        <f ca="1">'2. Salmon Passage by Bin'!K29*H29</f>
        <v>1253.7589554524034</v>
      </c>
      <c r="T29" s="25">
        <f>K29*'2. Salmon Passage by Bin'!L29</f>
        <v>137.9664839467502</v>
      </c>
      <c r="U29" s="25">
        <f>K29*'2. Salmon Passage by Bin'!M29</f>
        <v>-41.389945184025052</v>
      </c>
      <c r="V29" s="25">
        <f>J29*'2. Salmon Passage by Bin'!N29</f>
        <v>53.932603471295053</v>
      </c>
      <c r="W29" s="25">
        <f>I29*'2. Salmon Passage by Bin'!O29</f>
        <v>78.437807183364839</v>
      </c>
      <c r="X29" s="22">
        <f>E29*'2. Salmon Passage by Bin'!E29</f>
        <v>0</v>
      </c>
      <c r="Y29" s="41">
        <f t="shared" ca="1" si="0"/>
        <v>4382.6555757453789</v>
      </c>
      <c r="Z29" s="42">
        <f ca="1">Y29/'[1]Passage Estimates'!$D29</f>
        <v>0.31092733000287676</v>
      </c>
      <c r="AA29" s="43">
        <f>IFERROR(SUMIF(L29:R29, "&lt;&gt;#N/A")/SUMIF('2. Salmon Passage by Bin'!E29:J29, "&lt;&gt;#N/A"), NA())</f>
        <v>0.47111853553807898</v>
      </c>
      <c r="AB29" s="42">
        <f ca="1">IFERROR(IF(ISNA(S29), NA(), S29/'2. Salmon Passage by Bin'!K29), NA())</f>
        <v>0.16666666666666666</v>
      </c>
      <c r="AC29" s="44">
        <f>IFERROR(SUMIF(T29:W29, "&lt;&gt;#N/A")/SUMIF('2. Salmon Passage by Bin'!L29:N29, "&lt;&gt;#N/A"), NA())</f>
        <v>0.88904531460618597</v>
      </c>
    </row>
    <row r="30" spans="1:29" x14ac:dyDescent="0.3">
      <c r="A30" s="5">
        <f>'1. Mixture Model Inputs'!A30</f>
        <v>45132</v>
      </c>
      <c r="B30" s="13" t="str">
        <f>IF(ISBLANK('[1]Passage Estimates'!$C30),"",IF('[1]Passage Estimates'!$C30="Imputation",'[1]Passage Estimates'!$B30,'[1]Passage Estimates'!$C30))</f>
        <v>S1+M2+A2</v>
      </c>
      <c r="C30" s="17">
        <f>IFERROR(SUM('1. Mixture Model Inputs'!B30,'1. Mixture Model Inputs'!J30)/'1. Mixture Model Inputs'!Z30,NA())</f>
        <v>0</v>
      </c>
      <c r="D30" s="17">
        <f>IFERROR(SUM('1. Mixture Model Inputs'!C30,'1. Mixture Model Inputs'!K30)/'1. Mixture Model Inputs'!AA30,NA())</f>
        <v>0.14786729857819905</v>
      </c>
      <c r="E30" s="17">
        <f>IFERROR(SUM('1. Mixture Model Inputs'!D30,'1. Mixture Model Inputs'!L30)/'1. Mixture Model Inputs'!AB30,NA())</f>
        <v>0.10029940119760479</v>
      </c>
      <c r="F30" s="17">
        <f>IFERROR(SUM('1. Mixture Model Inputs'!E30,'1. Mixture Model Inputs'!M30)/'1. Mixture Model Inputs'!AC30,NA())</f>
        <v>0.44339622641509435</v>
      </c>
      <c r="G30" s="17">
        <f>IFERROR(SUM('1. Mixture Model Inputs'!F30,'1. Mixture Model Inputs'!N30)/'1. Mixture Model Inputs'!AD30,NA())</f>
        <v>0.8442954894567799</v>
      </c>
      <c r="H30" s="24">
        <f>IFERROR(WhonSpComp!AT45+WhonSpComp!AV45, NA())</f>
        <v>0.75</v>
      </c>
      <c r="I30" s="17">
        <f>IFERROR(SUM('1. Mixture Model Inputs'!G30,'1. Mixture Model Inputs'!O30)/'1. Mixture Model Inputs'!AE30, NA())</f>
        <v>0.53402646502835538</v>
      </c>
      <c r="J30" s="17">
        <f>IFERROR(SUM('1. Mixture Model Inputs'!H30,'1. Mixture Model Inputs'!P30)/'1. Mixture Model Inputs'!AF30, NA())</f>
        <v>0.37205162438807293</v>
      </c>
      <c r="K30" s="17">
        <f>IFERROR(SUM('1. Mixture Model Inputs'!I30,'1. Mixture Model Inputs'!Q30)/'1. Mixture Model Inputs'!AG30, NA())</f>
        <v>0.85800052205690414</v>
      </c>
      <c r="L30" s="22">
        <f>C30*'2. Salmon Passage by Bin'!C30</f>
        <v>0</v>
      </c>
      <c r="M30" s="22">
        <f>D30*'2. Salmon Passage by Bin'!D30</f>
        <v>112.82274881516588</v>
      </c>
      <c r="N30" s="22">
        <f>F30*'2. Salmon Passage by Bin'!F30</f>
        <v>545.90943396226407</v>
      </c>
      <c r="O30" s="22">
        <f>G30*'2. Salmon Passage by Bin'!G30</f>
        <v>821.66837033933814</v>
      </c>
      <c r="P30" s="22">
        <f>$G30*'2. Salmon Passage by Bin'!H30</f>
        <v>882.4576455802262</v>
      </c>
      <c r="Q30" s="22">
        <f>$G30*'2. Salmon Passage by Bin'!I30</f>
        <v>420.86441558441567</v>
      </c>
      <c r="R30" s="22">
        <f>$G30*'2. Salmon Passage by Bin'!J30</f>
        <v>0</v>
      </c>
      <c r="S30" s="25">
        <f>'2. Salmon Passage by Bin'!K30*H30</f>
        <v>4722.2999999999993</v>
      </c>
      <c r="T30" s="25">
        <f>K30*'2. Salmon Passage by Bin'!L30</f>
        <v>103.37190289741581</v>
      </c>
      <c r="U30" s="25">
        <f>K30*'2. Salmon Passage by Bin'!M30</f>
        <v>303.52626468285041</v>
      </c>
      <c r="V30" s="25">
        <f>J30*'2. Salmon Passage by Bin'!N30</f>
        <v>70.273110814419212</v>
      </c>
      <c r="W30" s="25">
        <f>I30*'2. Salmon Passage by Bin'!O30</f>
        <v>120.73270321361058</v>
      </c>
      <c r="X30" s="22">
        <f>E30*'2. Salmon Passage by Bin'!E30</f>
        <v>80.496287425149688</v>
      </c>
      <c r="Y30" s="41">
        <f t="shared" si="0"/>
        <v>8071.6001344996894</v>
      </c>
      <c r="Z30" s="42">
        <f>Y30/'[1]Passage Estimates'!$D30</f>
        <v>0.68775009155399769</v>
      </c>
      <c r="AA30" s="43">
        <f>IFERROR(SUMIF(L30:R30, "&lt;&gt;#N/A")/SUMIF('2. Salmon Passage by Bin'!E30:J30, "&lt;&gt;#N/A"), NA())</f>
        <v>0.61172112368401155</v>
      </c>
      <c r="AB30" s="42">
        <f>IFERROR(IF(ISNA(S30), NA(), S30/'2. Salmon Passage by Bin'!K30), NA())</f>
        <v>0.74999999999999989</v>
      </c>
      <c r="AC30" s="44">
        <f>IFERROR(SUMIF(T30:W30, "&lt;&gt;#N/A")/SUMIF('2. Salmon Passage by Bin'!L30:N30, "&lt;&gt;#N/A"), NA())</f>
        <v>0.90165276512289783</v>
      </c>
    </row>
    <row r="31" spans="1:29" x14ac:dyDescent="0.3">
      <c r="A31" s="5">
        <f>'1. Mixture Model Inputs'!A31</f>
        <v>45133</v>
      </c>
      <c r="B31" s="13" t="str">
        <f>IF(ISBLANK('[1]Passage Estimates'!$C31),"",IF('[1]Passage Estimates'!$C31="Imputation",'[1]Passage Estimates'!$B31,'[1]Passage Estimates'!$C31))</f>
        <v>S1+M2+A2</v>
      </c>
      <c r="C31" s="17">
        <f>IFERROR(SUM('1. Mixture Model Inputs'!B31,'1. Mixture Model Inputs'!J31)/'1. Mixture Model Inputs'!Z31,NA())</f>
        <v>0.37000973709834467</v>
      </c>
      <c r="D31" s="17">
        <f>IFERROR(SUM('1. Mixture Model Inputs'!C31,'1. Mixture Model Inputs'!K31)/'1. Mixture Model Inputs'!AA31,NA())</f>
        <v>7.8431372549019607E-2</v>
      </c>
      <c r="E31" s="17">
        <f>IFERROR(SUM('1. Mixture Model Inputs'!D31,'1. Mixture Model Inputs'!L31)/'1. Mixture Model Inputs'!AB31,NA())</f>
        <v>0.13742926434923203</v>
      </c>
      <c r="F31" s="17">
        <f>IFERROR(SUM('1. Mixture Model Inputs'!E31,'1. Mixture Model Inputs'!M31)/'1. Mixture Model Inputs'!AC31,NA())</f>
        <v>0.4627293577981651</v>
      </c>
      <c r="G31" s="17">
        <f>IFERROR(SUM('1. Mixture Model Inputs'!F31,'1. Mixture Model Inputs'!N31)/'1. Mixture Model Inputs'!AD31,NA())</f>
        <v>0.77190812720848068</v>
      </c>
      <c r="H31" s="24">
        <f>IFERROR(WhonSpComp!AT46+WhonSpComp!AV46, NA())</f>
        <v>0.42857142857142855</v>
      </c>
      <c r="I31" s="17">
        <f>IFERROR(SUM('1. Mixture Model Inputs'!G31,'1. Mixture Model Inputs'!O31)/'1. Mixture Model Inputs'!AE31, NA())</f>
        <v>0</v>
      </c>
      <c r="J31" s="17">
        <f>IFERROR(SUM('1. Mixture Model Inputs'!H31,'1. Mixture Model Inputs'!P31)/'1. Mixture Model Inputs'!AF31, NA())</f>
        <v>0.46565847511027086</v>
      </c>
      <c r="K31" s="17">
        <f>IFERROR(SUM('1. Mixture Model Inputs'!I31,'1. Mixture Model Inputs'!Q31)/'1. Mixture Model Inputs'!AG31, NA())</f>
        <v>0.62489044697633656</v>
      </c>
      <c r="L31" s="22">
        <f>C31*'2. Salmon Passage by Bin'!C31</f>
        <v>256.78675754625118</v>
      </c>
      <c r="M31" s="22">
        <f>D31*'2. Salmon Passage by Bin'!D31</f>
        <v>56.078431372549019</v>
      </c>
      <c r="N31" s="22">
        <f>F31*'2. Salmon Passage by Bin'!F31</f>
        <v>530.62100917431189</v>
      </c>
      <c r="O31" s="22">
        <f>G31*'2. Salmon Passage by Bin'!G31</f>
        <v>976.30939929328645</v>
      </c>
      <c r="P31" s="22">
        <f>$G31*'2. Salmon Passage by Bin'!H31</f>
        <v>730.10158303886931</v>
      </c>
      <c r="Q31" s="22">
        <f>$G31*'2. Salmon Passage by Bin'!I31</f>
        <v>453.14094699646648</v>
      </c>
      <c r="R31" s="22">
        <f>$G31*'2. Salmon Passage by Bin'!J31</f>
        <v>0</v>
      </c>
      <c r="S31" s="25">
        <f>'2. Salmon Passage by Bin'!K31*H31</f>
        <v>3633.120000000004</v>
      </c>
      <c r="T31" s="25">
        <f>K31*'2. Salmon Passage by Bin'!L31</f>
        <v>139.9254688869413</v>
      </c>
      <c r="U31" s="25">
        <f>K31*'2. Salmon Passage by Bin'!M31</f>
        <v>25.94545135845749</v>
      </c>
      <c r="V31" s="25">
        <f>J31*'2. Salmon Passage by Bin'!N31</f>
        <v>46.379584120982983</v>
      </c>
      <c r="W31" s="25">
        <f>I31*'2. Salmon Passage by Bin'!O31</f>
        <v>0</v>
      </c>
      <c r="X31" s="22">
        <f>E31*'2. Salmon Passage by Bin'!E31</f>
        <v>96.871139854486671</v>
      </c>
      <c r="Y31" s="41">
        <f t="shared" si="0"/>
        <v>6632.4145827238071</v>
      </c>
      <c r="Z31" s="42">
        <f>Y31/'[1]Passage Estimates'!$D31</f>
        <v>0.48902091205869969</v>
      </c>
      <c r="AA31" s="43">
        <f>IFERROR(SUMIF(L31:R31, "&lt;&gt;#N/A")/SUMIF('2. Salmon Passage by Bin'!E31:J31, "&lt;&gt;#N/A"), NA())</f>
        <v>0.64591466365151906</v>
      </c>
      <c r="AB31" s="42">
        <f>IFERROR(IF(ISNA(S31), NA(), S31/'2. Salmon Passage by Bin'!K31), NA())</f>
        <v>0.42857142857142855</v>
      </c>
      <c r="AC31" s="44">
        <f>IFERROR(SUMIF(T31:W31, "&lt;&gt;#N/A")/SUMIF('2. Salmon Passage by Bin'!L31:N31, "&lt;&gt;#N/A"), NA())</f>
        <v>0.58144451119433971</v>
      </c>
    </row>
    <row r="32" spans="1:29" x14ac:dyDescent="0.3">
      <c r="A32" s="5">
        <f>'1. Mixture Model Inputs'!A32</f>
        <v>45134</v>
      </c>
      <c r="B32" s="13" t="str">
        <f>IF(ISBLANK('[1]Passage Estimates'!$C32),"",IF('[1]Passage Estimates'!$C32="Imputation",'[1]Passage Estimates'!$B32,'[1]Passage Estimates'!$C32))</f>
        <v>S1+M2+A2</v>
      </c>
      <c r="C32" s="17">
        <f>IFERROR(SUM('1. Mixture Model Inputs'!B32,'1. Mixture Model Inputs'!J32)/'1. Mixture Model Inputs'!Z32,NA())</f>
        <v>0</v>
      </c>
      <c r="D32" s="17">
        <f>IFERROR(SUM('1. Mixture Model Inputs'!C32,'1. Mixture Model Inputs'!K32)/'1. Mixture Model Inputs'!AA32,NA())</f>
        <v>0</v>
      </c>
      <c r="E32" s="17">
        <f>IFERROR(SUM('1. Mixture Model Inputs'!D32,'1. Mixture Model Inputs'!L32)/'1. Mixture Model Inputs'!AB32,NA())</f>
        <v>0</v>
      </c>
      <c r="F32" s="17">
        <f>IFERROR(SUM('1. Mixture Model Inputs'!E32,'1. Mixture Model Inputs'!M32)/'1. Mixture Model Inputs'!AC32,NA())</f>
        <v>0.28587278106508879</v>
      </c>
      <c r="G32" s="17">
        <f>IFERROR(SUM('1. Mixture Model Inputs'!F32,'1. Mixture Model Inputs'!N32)/'1. Mixture Model Inputs'!AD32,NA())</f>
        <v>0.71840107190710134</v>
      </c>
      <c r="H32" s="24">
        <f>IFERROR(WhonSpComp!AT47+WhonSpComp!AV47, NA())</f>
        <v>0.75</v>
      </c>
      <c r="I32" s="17">
        <f>IFERROR(SUM('1. Mixture Model Inputs'!G32,'1. Mixture Model Inputs'!O32)/'1. Mixture Model Inputs'!AE32, NA())</f>
        <v>0</v>
      </c>
      <c r="J32" s="17">
        <f>IFERROR(SUM('1. Mixture Model Inputs'!H32,'1. Mixture Model Inputs'!P32)/'1. Mixture Model Inputs'!AF32, NA())</f>
        <v>0.46565847511027086</v>
      </c>
      <c r="K32" s="17">
        <f>IFERROR(SUM('1. Mixture Model Inputs'!I32,'1. Mixture Model Inputs'!Q32)/'1. Mixture Model Inputs'!AG32, NA())</f>
        <v>0.62489044697633656</v>
      </c>
      <c r="L32" s="22">
        <f>C32*'2. Salmon Passage by Bin'!C32</f>
        <v>0</v>
      </c>
      <c r="M32" s="22">
        <f>D32*'2. Salmon Passage by Bin'!D32</f>
        <v>0</v>
      </c>
      <c r="N32" s="22">
        <f>F32*'2. Salmon Passage by Bin'!F32</f>
        <v>315.05467455621306</v>
      </c>
      <c r="O32" s="22">
        <f>G32*'2. Salmon Passage by Bin'!G32</f>
        <v>550.18027690933457</v>
      </c>
      <c r="P32" s="22">
        <f>$G32*'2. Salmon Passage by Bin'!H32</f>
        <v>550.69752568110755</v>
      </c>
      <c r="Q32" s="22">
        <f>$G32*'2. Salmon Passage by Bin'!I32</f>
        <v>311.03892809289857</v>
      </c>
      <c r="R32" s="22">
        <f>$G32*'2. Salmon Passage by Bin'!J32</f>
        <v>0</v>
      </c>
      <c r="S32" s="25">
        <f>'2. Salmon Passage by Bin'!K32*H32</f>
        <v>5528.1600000000008</v>
      </c>
      <c r="T32" s="25">
        <f>K32*'2. Salmon Passage by Bin'!L32</f>
        <v>-10.348185801928132</v>
      </c>
      <c r="U32" s="25">
        <f>K32*'2. Salmon Passage by Bin'!M32</f>
        <v>82.935460122699382</v>
      </c>
      <c r="V32" s="25">
        <f>J32*'2. Salmon Passage by Bin'!N32</f>
        <v>79.795236294896014</v>
      </c>
      <c r="W32" s="25">
        <f>I32*'2. Salmon Passage by Bin'!O32</f>
        <v>0</v>
      </c>
      <c r="X32" s="22">
        <f>E32*'2. Salmon Passage by Bin'!E32</f>
        <v>0</v>
      </c>
      <c r="Y32" s="41">
        <f t="shared" si="0"/>
        <v>7407.5139158552229</v>
      </c>
      <c r="Z32" s="42">
        <f>Y32/'[1]Passage Estimates'!$D32</f>
        <v>0.63899302960671245</v>
      </c>
      <c r="AA32" s="43">
        <f>IFERROR(SUMIF(L32:R32, "&lt;&gt;#N/A")/SUMIF('2. Salmon Passage by Bin'!E32:J32, "&lt;&gt;#N/A"), NA())</f>
        <v>0.44632887907816288</v>
      </c>
      <c r="AB32" s="42">
        <f>IFERROR(IF(ISNA(S32), NA(), S32/'2. Salmon Passage by Bin'!K32), NA())</f>
        <v>0.75</v>
      </c>
      <c r="AC32" s="44">
        <f>IFERROR(SUMIF(T32:W32, "&lt;&gt;#N/A")/SUMIF('2. Salmon Passage by Bin'!L32:N32, "&lt;&gt;#N/A"), NA())</f>
        <v>0.52998925506283845</v>
      </c>
    </row>
    <row r="33" spans="1:29" x14ac:dyDescent="0.3">
      <c r="A33" s="5">
        <f>'1. Mixture Model Inputs'!A33</f>
        <v>45135</v>
      </c>
      <c r="B33" s="13" t="str">
        <f>IF(ISBLANK('[1]Passage Estimates'!$C33),"",IF('[1]Passage Estimates'!$C33="Imputation",'[1]Passage Estimates'!$B33,'[1]Passage Estimates'!$C33))</f>
        <v>S1+M2+A2</v>
      </c>
      <c r="C33" s="17">
        <f>IFERROR(SUM('1. Mixture Model Inputs'!B33,'1. Mixture Model Inputs'!J33)/'1. Mixture Model Inputs'!Z33,NA())</f>
        <v>0.3358778625954198</v>
      </c>
      <c r="D33" s="17">
        <f>IFERROR(SUM('1. Mixture Model Inputs'!C33,'1. Mixture Model Inputs'!K33)/'1. Mixture Model Inputs'!AA33,NA())</f>
        <v>6.781914893617022E-2</v>
      </c>
      <c r="E33" s="17">
        <f>IFERROR(SUM('1. Mixture Model Inputs'!D33,'1. Mixture Model Inputs'!L33)/'1. Mixture Model Inputs'!AB33,NA())</f>
        <v>0.15749656121045391</v>
      </c>
      <c r="F33" s="17">
        <f>IFERROR(SUM('1. Mixture Model Inputs'!E33,'1. Mixture Model Inputs'!M33)/'1. Mixture Model Inputs'!AC33,NA())</f>
        <v>0.34544561748097224</v>
      </c>
      <c r="G33" s="17">
        <f>IFERROR(SUM('1. Mixture Model Inputs'!F33,'1. Mixture Model Inputs'!N33)/'1. Mixture Model Inputs'!AD33,NA())</f>
        <v>0.9219190968955786</v>
      </c>
      <c r="H33" s="24">
        <f>IFERROR(WhonSpComp!AT48+WhonSpComp!AV48, NA())</f>
        <v>0.18181818181818182</v>
      </c>
      <c r="I33" s="17">
        <f>IFERROR(SUM('1. Mixture Model Inputs'!G33,'1. Mixture Model Inputs'!O33)/'1. Mixture Model Inputs'!AE33, NA())</f>
        <v>0</v>
      </c>
      <c r="J33" s="17">
        <f>IFERROR(SUM('1. Mixture Model Inputs'!H33,'1. Mixture Model Inputs'!P33)/'1. Mixture Model Inputs'!AF33, NA())</f>
        <v>0.10526315789473685</v>
      </c>
      <c r="K33" s="17">
        <f>IFERROR(SUM('1. Mixture Model Inputs'!I33,'1. Mixture Model Inputs'!Q33)/'1. Mixture Model Inputs'!AG33, NA())</f>
        <v>0.47177848775292863</v>
      </c>
      <c r="L33" s="22">
        <f>C33*'2. Salmon Passage by Bin'!C33</f>
        <v>81.618320610687007</v>
      </c>
      <c r="M33" s="22">
        <f>D33*'2. Salmon Passage by Bin'!D33</f>
        <v>56.561170212765965</v>
      </c>
      <c r="N33" s="22">
        <f>F33*'2. Salmon Passage by Bin'!F33</f>
        <v>429.04345691136751</v>
      </c>
      <c r="O33" s="22">
        <f>G33*'2. Salmon Passage by Bin'!G33</f>
        <v>839.68391345249302</v>
      </c>
      <c r="P33" s="22">
        <f>$G33*'2. Salmon Passage by Bin'!H33</f>
        <v>494.51740357478843</v>
      </c>
      <c r="Q33" s="22">
        <f>$G33*'2. Salmon Passage by Bin'!I33</f>
        <v>353.13189087488246</v>
      </c>
      <c r="R33" s="22">
        <f>$G33*'2. Salmon Passage by Bin'!J33</f>
        <v>0</v>
      </c>
      <c r="S33" s="25">
        <f>'2. Salmon Passage by Bin'!K33*H33</f>
        <v>1014.9381818181819</v>
      </c>
      <c r="T33" s="25">
        <f>K33*'2. Salmon Passage by Bin'!L33</f>
        <v>15.512076677316294</v>
      </c>
      <c r="U33" s="25">
        <f>K33*'2. Salmon Passage by Bin'!M33</f>
        <v>58.764728434504789</v>
      </c>
      <c r="V33" s="25">
        <f>J33*'2. Salmon Passage by Bin'!N33</f>
        <v>36.151578947368421</v>
      </c>
      <c r="W33" s="25">
        <f>I33*'2. Salmon Passage by Bin'!O33</f>
        <v>0</v>
      </c>
      <c r="X33" s="22">
        <f>E33*'2. Salmon Passage by Bin'!E33</f>
        <v>154.59862448418156</v>
      </c>
      <c r="Y33" s="41">
        <f t="shared" si="0"/>
        <v>3396.3418551750842</v>
      </c>
      <c r="Z33" s="42">
        <f>Y33/'[1]Passage Estimates'!$D33</f>
        <v>0.33031661445690796</v>
      </c>
      <c r="AA33" s="43">
        <f>IFERROR(SUMIF(L33:R33, "&lt;&gt;#N/A")/SUMIF('2. Salmon Passage by Bin'!E33:J33, "&lt;&gt;#N/A"), NA())</f>
        <v>0.55615321661362671</v>
      </c>
      <c r="AB33" s="42">
        <f>IFERROR(IF(ISNA(S33), NA(), S33/'2. Salmon Passage by Bin'!K33), NA())</f>
        <v>0.18181818181818182</v>
      </c>
      <c r="AC33" s="44">
        <f>IFERROR(SUMIF(T33:W33, "&lt;&gt;#N/A")/SUMIF('2. Salmon Passage by Bin'!L33:N33, "&lt;&gt;#N/A"), NA())</f>
        <v>0.22046874313046941</v>
      </c>
    </row>
    <row r="34" spans="1:29" x14ac:dyDescent="0.3">
      <c r="A34" s="5">
        <f>'1. Mixture Model Inputs'!A34</f>
        <v>45136</v>
      </c>
      <c r="B34" s="13" t="str">
        <f>IF(ISBLANK('[1]Passage Estimates'!$C34),"",IF('[1]Passage Estimates'!$C34="Imputation",'[1]Passage Estimates'!$B34,'[1]Passage Estimates'!$C34))</f>
        <v>S1+M2+A2</v>
      </c>
      <c r="C34" s="17">
        <f>IFERROR(SUM('1. Mixture Model Inputs'!B34,'1. Mixture Model Inputs'!J34)/'1. Mixture Model Inputs'!Z34,NA())</f>
        <v>0.37192118226600984</v>
      </c>
      <c r="D34" s="17">
        <f>IFERROR(SUM('1. Mixture Model Inputs'!C34,'1. Mixture Model Inputs'!K34)/'1. Mixture Model Inputs'!AA34,NA())</f>
        <v>0.3160270880361174</v>
      </c>
      <c r="E34" s="17">
        <f>IFERROR(SUM('1. Mixture Model Inputs'!D34,'1. Mixture Model Inputs'!L34)/'1. Mixture Model Inputs'!AB34,NA())</f>
        <v>0.35006435006434999</v>
      </c>
      <c r="F34" s="17">
        <f>IFERROR(SUM('1. Mixture Model Inputs'!E34,'1. Mixture Model Inputs'!M34)/'1. Mixture Model Inputs'!AC34,NA())</f>
        <v>0.54579741379310354</v>
      </c>
      <c r="G34" s="17">
        <f>IFERROR(SUM('1. Mixture Model Inputs'!F34,'1. Mixture Model Inputs'!N34)/'1. Mixture Model Inputs'!AD34,NA())</f>
        <v>0.70074937552039962</v>
      </c>
      <c r="H34" s="24">
        <f>IFERROR(WhonSpComp!AT49+WhonSpComp!AV49, NA())</f>
        <v>0.66666666666666663</v>
      </c>
      <c r="I34" s="17">
        <f>IFERROR(SUM('1. Mixture Model Inputs'!G34,'1. Mixture Model Inputs'!O34)/'1. Mixture Model Inputs'!AE34, NA())</f>
        <v>0</v>
      </c>
      <c r="J34" s="17">
        <f>IFERROR(SUM('1. Mixture Model Inputs'!H34,'1. Mixture Model Inputs'!P34)/'1. Mixture Model Inputs'!AF34, NA())</f>
        <v>0.10526315789473685</v>
      </c>
      <c r="K34" s="17">
        <f>IFERROR(SUM('1. Mixture Model Inputs'!I34,'1. Mixture Model Inputs'!Q34)/'1. Mixture Model Inputs'!AG34, NA())</f>
        <v>0.47177848775292863</v>
      </c>
      <c r="L34" s="22">
        <f>C34*'2. Salmon Passage by Bin'!C34</f>
        <v>82.938423645320199</v>
      </c>
      <c r="M34" s="22">
        <f>D34*'2. Salmon Passage by Bin'!D34</f>
        <v>104.60496613995485</v>
      </c>
      <c r="N34" s="22">
        <f>F34*'2. Salmon Passage by Bin'!F34</f>
        <v>854.84974137931056</v>
      </c>
      <c r="O34" s="22">
        <f>G34*'2. Salmon Passage by Bin'!G34</f>
        <v>841.57197002497912</v>
      </c>
      <c r="P34" s="22">
        <f>$G34*'2. Salmon Passage by Bin'!H34</f>
        <v>600.23388509575341</v>
      </c>
      <c r="Q34" s="22">
        <f>$G34*'2. Salmon Passage by Bin'!I34</f>
        <v>258.1560699417152</v>
      </c>
      <c r="R34" s="22">
        <f>$G34*'2. Salmon Passage by Bin'!J34</f>
        <v>0</v>
      </c>
      <c r="S34" s="25">
        <f>'2. Salmon Passage by Bin'!K34*H34</f>
        <v>4247.0400000000009</v>
      </c>
      <c r="T34" s="25">
        <f>K34*'2. Salmon Passage by Bin'!L34</f>
        <v>27.287667731629394</v>
      </c>
      <c r="U34" s="25">
        <f>K34*'2. Salmon Passage by Bin'!M34</f>
        <v>117.18977635782745</v>
      </c>
      <c r="V34" s="25">
        <f>J34*'2. Salmon Passage by Bin'!N34</f>
        <v>51.107368421052634</v>
      </c>
      <c r="W34" s="25">
        <f>I34*'2. Salmon Passage by Bin'!O34</f>
        <v>0</v>
      </c>
      <c r="X34" s="22">
        <f>E34*'2. Salmon Passage by Bin'!E34</f>
        <v>410.33142857142849</v>
      </c>
      <c r="Y34" s="41">
        <f t="shared" si="0"/>
        <v>7407.7679075236956</v>
      </c>
      <c r="Z34" s="42">
        <f>Y34/'[1]Passage Estimates'!$D34</f>
        <v>0.58669998697337078</v>
      </c>
      <c r="AA34" s="43">
        <f>IFERROR(SUMIF(L34:R34, "&lt;&gt;#N/A")/SUMIF('2. Salmon Passage by Bin'!E34:J34, "&lt;&gt;#N/A"), NA())</f>
        <v>0.5310195836483862</v>
      </c>
      <c r="AB34" s="42">
        <f>IFERROR(IF(ISNA(S34), NA(), S34/'2. Salmon Passage by Bin'!K34), NA())</f>
        <v>0.66666666666666663</v>
      </c>
      <c r="AC34" s="44">
        <f>IFERROR(SUMIF(T34:W34, "&lt;&gt;#N/A")/SUMIF('2. Salmon Passage by Bin'!L34:N34, "&lt;&gt;#N/A"), NA())</f>
        <v>0.24702537702145785</v>
      </c>
    </row>
    <row r="35" spans="1:29" x14ac:dyDescent="0.3">
      <c r="A35" s="5">
        <f>'1. Mixture Model Inputs'!A35</f>
        <v>45137</v>
      </c>
      <c r="B35" s="13" t="str">
        <f>IF(ISBLANK('[1]Passage Estimates'!$C35),"",IF('[1]Passage Estimates'!$C35="Imputation",'[1]Passage Estimates'!$B35,'[1]Passage Estimates'!$C35))</f>
        <v>S1+M2+A2</v>
      </c>
      <c r="C35" s="17">
        <f>IFERROR(SUM('1. Mixture Model Inputs'!B35,'1. Mixture Model Inputs'!J35)/'1. Mixture Model Inputs'!Z35,NA())</f>
        <v>0</v>
      </c>
      <c r="D35" s="17">
        <f>IFERROR(SUM('1. Mixture Model Inputs'!C35,'1. Mixture Model Inputs'!K35)/'1. Mixture Model Inputs'!AA35,NA())</f>
        <v>0.23806451612903226</v>
      </c>
      <c r="E35" s="17">
        <f>IFERROR(SUM('1. Mixture Model Inputs'!D35,'1. Mixture Model Inputs'!L35)/'1. Mixture Model Inputs'!AB35,NA())</f>
        <v>0.1793103448275862</v>
      </c>
      <c r="F35" s="17">
        <f>IFERROR(SUM('1. Mixture Model Inputs'!E35,'1. Mixture Model Inputs'!M35)/'1. Mixture Model Inputs'!AC35,NA())</f>
        <v>0.71147821133580169</v>
      </c>
      <c r="G35" s="17">
        <f>IFERROR(SUM('1. Mixture Model Inputs'!F35,'1. Mixture Model Inputs'!N35)/'1. Mixture Model Inputs'!AD35,NA())</f>
        <v>0.66027193145837204</v>
      </c>
      <c r="H35" s="24">
        <f>IFERROR(WhonSpComp!AT50+WhonSpComp!AV50, NA())</f>
        <v>0.54545454545454541</v>
      </c>
      <c r="I35" s="17">
        <f>IFERROR(SUM('1. Mixture Model Inputs'!G35,'1. Mixture Model Inputs'!O35)/'1. Mixture Model Inputs'!AE35, NA())</f>
        <v>0.19946091644204852</v>
      </c>
      <c r="J35" s="17">
        <f>IFERROR(SUM('1. Mixture Model Inputs'!H35,'1. Mixture Model Inputs'!P35)/'1. Mixture Model Inputs'!AF35, NA())</f>
        <v>0.70893371757925072</v>
      </c>
      <c r="K35" s="17">
        <f>IFERROR(SUM('1. Mixture Model Inputs'!I35,'1. Mixture Model Inputs'!Q35)/'1. Mixture Model Inputs'!AG35, NA())</f>
        <v>0.72517047139045365</v>
      </c>
      <c r="L35" s="22">
        <f>C35*'2. Salmon Passage by Bin'!C35</f>
        <v>0</v>
      </c>
      <c r="M35" s="22">
        <f>D35*'2. Salmon Passage by Bin'!D35</f>
        <v>148.07612903225805</v>
      </c>
      <c r="N35" s="22">
        <f>F35*'2. Salmon Passage by Bin'!F35</f>
        <v>838.74743377954985</v>
      </c>
      <c r="O35" s="22">
        <f>G35*'2. Salmon Passage by Bin'!G35</f>
        <v>592.1846898863846</v>
      </c>
      <c r="P35" s="22">
        <f>$G35*'2. Salmon Passage by Bin'!H35</f>
        <v>694.07785434904054</v>
      </c>
      <c r="Q35" s="22">
        <f>$G35*'2. Salmon Passage by Bin'!I35</f>
        <v>428.33160737567505</v>
      </c>
      <c r="R35" s="22">
        <f>$G35*'2. Salmon Passage by Bin'!J35</f>
        <v>0</v>
      </c>
      <c r="S35" s="25">
        <f>'2. Salmon Passage by Bin'!K35*H35</f>
        <v>2366.05090909091</v>
      </c>
      <c r="T35" s="25">
        <f>K35*'2. Salmon Passage by Bin'!L35</f>
        <v>191.09692262081234</v>
      </c>
      <c r="U35" s="25">
        <f>K35*'2. Salmon Passage by Bin'!M35</f>
        <v>273.94039727245774</v>
      </c>
      <c r="V35" s="25">
        <f>J35*'2. Salmon Passage by Bin'!N35</f>
        <v>217.27400576368876</v>
      </c>
      <c r="W35" s="25">
        <f>I35*'2. Salmon Passage by Bin'!O35</f>
        <v>52.753423180592996</v>
      </c>
      <c r="X35" s="22">
        <f>E35*'2. Salmon Passage by Bin'!E35</f>
        <v>157.07586206896551</v>
      </c>
      <c r="Y35" s="41">
        <f t="shared" si="0"/>
        <v>5811.5331053880773</v>
      </c>
      <c r="Z35" s="42">
        <f>Y35/'[1]Passage Estimates'!$D35</f>
        <v>0.56966432052250959</v>
      </c>
      <c r="AA35" s="43">
        <f>IFERROR(SUMIF(L35:R35, "&lt;&gt;#N/A")/SUMIF('2. Salmon Passage by Bin'!E35:J35, "&lt;&gt;#N/A"), NA())</f>
        <v>0.58074023028731725</v>
      </c>
      <c r="AB35" s="42">
        <f>IFERROR(IF(ISNA(S35), NA(), S35/'2. Salmon Passage by Bin'!K35), NA())</f>
        <v>0.54545454545454541</v>
      </c>
      <c r="AC35" s="44">
        <f>IFERROR(SUMIF(T35:W35, "&lt;&gt;#N/A")/SUMIF('2. Salmon Passage by Bin'!L35:N35, "&lt;&gt;#N/A"), NA())</f>
        <v>0.77558110580479434</v>
      </c>
    </row>
    <row r="36" spans="1:29" x14ac:dyDescent="0.3">
      <c r="A36" s="5">
        <f>'1. Mixture Model Inputs'!A36</f>
        <v>45138</v>
      </c>
      <c r="B36" s="13" t="str">
        <f>IF(ISBLANK('[1]Passage Estimates'!$C36),"",IF('[1]Passage Estimates'!$C36="Imputation",'[1]Passage Estimates'!$B36,'[1]Passage Estimates'!$C36))</f>
        <v>S1+M2+A2</v>
      </c>
      <c r="C36" s="17">
        <f>IFERROR(SUM('1. Mixture Model Inputs'!B36,'1. Mixture Model Inputs'!J36)/'1. Mixture Model Inputs'!Z36,NA())</f>
        <v>0.1702127659574468</v>
      </c>
      <c r="D36" s="17">
        <f>IFERROR(SUM('1. Mixture Model Inputs'!C36,'1. Mixture Model Inputs'!K36)/'1. Mixture Model Inputs'!AA36,NA())</f>
        <v>0</v>
      </c>
      <c r="E36" s="17">
        <f>IFERROR(SUM('1. Mixture Model Inputs'!D36,'1. Mixture Model Inputs'!L36)/'1. Mixture Model Inputs'!AB36,NA())</f>
        <v>3.2871972318339104E-2</v>
      </c>
      <c r="F36" s="17">
        <f>IFERROR(SUM('1. Mixture Model Inputs'!E36,'1. Mixture Model Inputs'!M36)/'1. Mixture Model Inputs'!AC36,NA())</f>
        <v>0.47529917152500767</v>
      </c>
      <c r="G36" s="17">
        <f>IFERROR(SUM('1. Mixture Model Inputs'!F36,'1. Mixture Model Inputs'!N36)/'1. Mixture Model Inputs'!AD36,NA())</f>
        <v>0.77584364025041985</v>
      </c>
      <c r="H36" s="24">
        <f>IFERROR(WhonSpComp!AT51+WhonSpComp!AV51, NA())</f>
        <v>0.125</v>
      </c>
      <c r="I36" s="17">
        <f>IFERROR(SUM('1. Mixture Model Inputs'!G36,'1. Mixture Model Inputs'!O36)/'1. Mixture Model Inputs'!AE36, NA())</f>
        <v>0.19946091644204852</v>
      </c>
      <c r="J36" s="17">
        <f>IFERROR(SUM('1. Mixture Model Inputs'!H36,'1. Mixture Model Inputs'!P36)/'1. Mixture Model Inputs'!AF36, NA())</f>
        <v>0.70893371757925072</v>
      </c>
      <c r="K36" s="17">
        <f>IFERROR(SUM('1. Mixture Model Inputs'!I36,'1. Mixture Model Inputs'!Q36)/'1. Mixture Model Inputs'!AG36, NA())</f>
        <v>0.72517047139045365</v>
      </c>
      <c r="L36" s="22">
        <f>C36*'2. Salmon Passage by Bin'!C36</f>
        <v>24.170212765957448</v>
      </c>
      <c r="M36" s="22">
        <f>D36*'2. Salmon Passage by Bin'!D36</f>
        <v>0</v>
      </c>
      <c r="N36" s="22">
        <f>F36*'2. Salmon Passage by Bin'!F36</f>
        <v>619.86616753605392</v>
      </c>
      <c r="O36" s="22">
        <f>G36*'2. Salmon Passage by Bin'!G36</f>
        <v>1195.2336784241868</v>
      </c>
      <c r="P36" s="22">
        <f>$G36*'2. Salmon Passage by Bin'!H36</f>
        <v>904.19921209344932</v>
      </c>
      <c r="Q36" s="22">
        <f>$G36*'2. Salmon Passage by Bin'!I36</f>
        <v>729.54129180027473</v>
      </c>
      <c r="R36" s="22">
        <f>$G36*'2. Salmon Passage by Bin'!J36</f>
        <v>0</v>
      </c>
      <c r="S36" s="25">
        <f>'2. Salmon Passage by Bin'!K36*H36</f>
        <v>1028.5500000000002</v>
      </c>
      <c r="T36" s="25">
        <f>K36*'2. Salmon Passage by Bin'!L36</f>
        <v>93.459970352801662</v>
      </c>
      <c r="U36" s="25">
        <f>K36*'2. Salmon Passage by Bin'!M36</f>
        <v>87.542579306255561</v>
      </c>
      <c r="V36" s="25">
        <f>J36*'2. Salmon Passage by Bin'!N36</f>
        <v>276.48414985590779</v>
      </c>
      <c r="W36" s="25">
        <f>I36*'2. Salmon Passage by Bin'!O36</f>
        <v>45.955795148247972</v>
      </c>
      <c r="X36" s="22">
        <f>E36*'2. Salmon Passage by Bin'!E36</f>
        <v>24.661868512110729</v>
      </c>
      <c r="Y36" s="41">
        <f t="shared" si="0"/>
        <v>5005.4947130292903</v>
      </c>
      <c r="Z36" s="42">
        <f>Y36/'[1]Passage Estimates'!$D36</f>
        <v>0.33822921315789661</v>
      </c>
      <c r="AA36" s="43">
        <f>IFERROR(SUMIF(L36:R36, "&lt;&gt;#N/A")/SUMIF('2. Salmon Passage by Bin'!E36:J36, "&lt;&gt;#N/A"), NA())</f>
        <v>0.60922314420282397</v>
      </c>
      <c r="AB36" s="42">
        <f>IFERROR(IF(ISNA(S36), NA(), S36/'2. Salmon Passage by Bin'!K36), NA())</f>
        <v>0.125</v>
      </c>
      <c r="AC36" s="44">
        <f>IFERROR(SUMIF(T36:W36, "&lt;&gt;#N/A")/SUMIF('2. Salmon Passage by Bin'!L36:N36, "&lt;&gt;#N/A"), NA())</f>
        <v>0.78712084844154617</v>
      </c>
    </row>
    <row r="37" spans="1:29" x14ac:dyDescent="0.3">
      <c r="A37" s="5">
        <f>'1. Mixture Model Inputs'!A37</f>
        <v>45139</v>
      </c>
      <c r="B37" s="13" t="str">
        <f>IF(ISBLANK('[1]Passage Estimates'!$C37),"",IF('[1]Passage Estimates'!$C37="Imputation",'[1]Passage Estimates'!$B37,'[1]Passage Estimates'!$C37))</f>
        <v>S1+M2+A2</v>
      </c>
      <c r="C37" s="17">
        <f>IFERROR(SUM('1. Mixture Model Inputs'!B37,'1. Mixture Model Inputs'!J37)/'1. Mixture Model Inputs'!Z37,NA())</f>
        <v>0.16927083333333334</v>
      </c>
      <c r="D37" s="17">
        <f>IFERROR(SUM('1. Mixture Model Inputs'!C37,'1. Mixture Model Inputs'!K37)/'1. Mixture Model Inputs'!AA37,NA())</f>
        <v>0.10096153846153846</v>
      </c>
      <c r="E37" s="17">
        <f>IFERROR(SUM('1. Mixture Model Inputs'!D37,'1. Mixture Model Inputs'!L37)/'1. Mixture Model Inputs'!AB37,NA())</f>
        <v>0.11585365853658536</v>
      </c>
      <c r="F37" s="17">
        <f>IFERROR(SUM('1. Mixture Model Inputs'!E37,'1. Mixture Model Inputs'!M37)/'1. Mixture Model Inputs'!AC37,NA())</f>
        <v>0.44634053849070915</v>
      </c>
      <c r="G37" s="17">
        <f>IFERROR(SUM('1. Mixture Model Inputs'!F37,'1. Mixture Model Inputs'!N37)/'1. Mixture Model Inputs'!AD37,NA())</f>
        <v>0.77029675251959684</v>
      </c>
      <c r="H37" s="24">
        <f>IFERROR(WhonSpComp!AT52+WhonSpComp!AV52, NA())</f>
        <v>0.3888888888888889</v>
      </c>
      <c r="I37" s="17">
        <f>IFERROR(SUM('1. Mixture Model Inputs'!G37,'1. Mixture Model Inputs'!O37)/'1. Mixture Model Inputs'!AE37, NA())</f>
        <v>0.56343283582089554</v>
      </c>
      <c r="J37" s="17">
        <f>IFERROR(SUM('1. Mixture Model Inputs'!H37,'1. Mixture Model Inputs'!P37)/'1. Mixture Model Inputs'!AF37, NA())</f>
        <v>0.67497850386930347</v>
      </c>
      <c r="K37" s="17">
        <f>IFERROR(SUM('1. Mixture Model Inputs'!I37,'1. Mixture Model Inputs'!Q37)/'1. Mixture Model Inputs'!AG37, NA())</f>
        <v>0.51261620185922974</v>
      </c>
      <c r="L37" s="22">
        <f>C37*'2. Salmon Passage by Bin'!C37</f>
        <v>107.82552083333334</v>
      </c>
      <c r="M37" s="22">
        <f>D37*'2. Salmon Passage by Bin'!D37</f>
        <v>65.019230769230774</v>
      </c>
      <c r="N37" s="22">
        <f>F37*'2. Salmon Passage by Bin'!F37</f>
        <v>403.09906712172921</v>
      </c>
      <c r="O37" s="22">
        <f>G37*'2. Salmon Passage by Bin'!G37</f>
        <v>848.7437737961925</v>
      </c>
      <c r="P37" s="22">
        <f>$G37*'2. Salmon Passage by Bin'!H37</f>
        <v>622.64627099664051</v>
      </c>
      <c r="Q37" s="22">
        <f>$G37*'2. Salmon Passage by Bin'!I37</f>
        <v>748.5435722284434</v>
      </c>
      <c r="R37" s="22">
        <f>$G37*'2. Salmon Passage by Bin'!J37</f>
        <v>0</v>
      </c>
      <c r="S37" s="25">
        <f>'2. Salmon Passage by Bin'!K37*H37</f>
        <v>3375.4000000000015</v>
      </c>
      <c r="T37" s="25">
        <f>K37*'2. Salmon Passage by Bin'!L37</f>
        <v>-139.26756972111554</v>
      </c>
      <c r="U37" s="25">
        <f>K37*'2. Salmon Passage by Bin'!M37</f>
        <v>-43.059760956175296</v>
      </c>
      <c r="V37" s="25">
        <f>J37*'2. Salmon Passage by Bin'!N37</f>
        <v>52.648323301805668</v>
      </c>
      <c r="W37" s="25">
        <f>I37*'2. Salmon Passage by Bin'!O37</f>
        <v>70.451641791044779</v>
      </c>
      <c r="X37" s="22">
        <f>E37*'2. Salmon Passage by Bin'!E37</f>
        <v>72.153658536585368</v>
      </c>
      <c r="Y37" s="41">
        <f t="shared" si="0"/>
        <v>6011.3589770951512</v>
      </c>
      <c r="Z37" s="42">
        <f>Y37/'[1]Passage Estimates'!$D37</f>
        <v>0.46474309437294353</v>
      </c>
      <c r="AA37" s="43">
        <f>IFERROR(SUMIF(L37:R37, "&lt;&gt;#N/A")/SUMIF('2. Salmon Passage by Bin'!E37:J37, "&lt;&gt;#N/A"), NA())</f>
        <v>0.63429648892554391</v>
      </c>
      <c r="AB37" s="42">
        <f>IFERROR(IF(ISNA(S37), NA(), S37/'2. Salmon Passage by Bin'!K37), NA())</f>
        <v>0.3888888888888889</v>
      </c>
      <c r="AC37" s="44">
        <f>IFERROR(SUMIF(T37:W37, "&lt;&gt;#N/A")/SUMIF('2. Salmon Passage by Bin'!L37:N37, "&lt;&gt;#N/A"), NA())</f>
        <v>0.2132935954495836</v>
      </c>
    </row>
    <row r="38" spans="1:29" x14ac:dyDescent="0.3">
      <c r="A38" s="5">
        <f>'1. Mixture Model Inputs'!A38</f>
        <v>45140</v>
      </c>
      <c r="B38" s="13" t="str">
        <f>IF(ISBLANK('[1]Passage Estimates'!$C38),"",IF('[1]Passage Estimates'!$C38="Imputation",'[1]Passage Estimates'!$B38,'[1]Passage Estimates'!$C38))</f>
        <v>S1+M2+A2</v>
      </c>
      <c r="C38" s="17">
        <f>IFERROR(SUM('1. Mixture Model Inputs'!B38,'1. Mixture Model Inputs'!J38)/'1. Mixture Model Inputs'!Z38,NA())</f>
        <v>0</v>
      </c>
      <c r="D38" s="17">
        <f>IFERROR(SUM('1. Mixture Model Inputs'!C38,'1. Mixture Model Inputs'!K38)/'1. Mixture Model Inputs'!AA38,NA())</f>
        <v>0</v>
      </c>
      <c r="E38" s="17">
        <f>IFERROR(SUM('1. Mixture Model Inputs'!D38,'1. Mixture Model Inputs'!L38)/'1. Mixture Model Inputs'!AB38,NA())</f>
        <v>0</v>
      </c>
      <c r="F38" s="17">
        <f>IFERROR(SUM('1. Mixture Model Inputs'!E38,'1. Mixture Model Inputs'!M38)/'1. Mixture Model Inputs'!AC38,NA())</f>
        <v>0.46240831295843521</v>
      </c>
      <c r="G38" s="17">
        <f>IFERROR(SUM('1. Mixture Model Inputs'!F38,'1. Mixture Model Inputs'!N38)/'1. Mixture Model Inputs'!AD38,NA())</f>
        <v>0.49982981620149763</v>
      </c>
      <c r="H38" s="24">
        <f>IFERROR(WhonSpComp!AT53+WhonSpComp!AV53, NA())</f>
        <v>0.5</v>
      </c>
      <c r="I38" s="17">
        <f>IFERROR(SUM('1. Mixture Model Inputs'!G38,'1. Mixture Model Inputs'!O38)/'1. Mixture Model Inputs'!AE38, NA())</f>
        <v>0.56343283582089554</v>
      </c>
      <c r="J38" s="17">
        <f>IFERROR(SUM('1. Mixture Model Inputs'!H38,'1. Mixture Model Inputs'!P38)/'1. Mixture Model Inputs'!AF38, NA())</f>
        <v>0.67497850386930347</v>
      </c>
      <c r="K38" s="17">
        <f>IFERROR(SUM('1. Mixture Model Inputs'!I38,'1. Mixture Model Inputs'!Q38)/'1. Mixture Model Inputs'!AG38, NA())</f>
        <v>0.51261620185922974</v>
      </c>
      <c r="L38" s="22">
        <f>C38*'2. Salmon Passage by Bin'!C38</f>
        <v>0</v>
      </c>
      <c r="M38" s="22">
        <f>D38*'2. Salmon Passage by Bin'!D38</f>
        <v>0</v>
      </c>
      <c r="N38" s="22">
        <f>F38*'2. Salmon Passage by Bin'!F38</f>
        <v>606.60572127139358</v>
      </c>
      <c r="O38" s="22">
        <f>G38*'2. Salmon Passage by Bin'!G38</f>
        <v>788.85140912185147</v>
      </c>
      <c r="P38" s="22">
        <f>$G38*'2. Salmon Passage by Bin'!H38</f>
        <v>543.89481279782171</v>
      </c>
      <c r="Q38" s="22">
        <f>$G38*'2. Salmon Passage by Bin'!I38</f>
        <v>340.68400272294076</v>
      </c>
      <c r="R38" s="22">
        <f>$G38*'2. Salmon Passage by Bin'!J38</f>
        <v>0</v>
      </c>
      <c r="S38" s="25">
        <f>'2. Salmon Passage by Bin'!K38*H38</f>
        <v>3026.7599999999998</v>
      </c>
      <c r="T38" s="25">
        <f>K38*'2. Salmon Passage by Bin'!L38</f>
        <v>-34.447808764940234</v>
      </c>
      <c r="U38" s="25">
        <f>K38*'2. Salmon Passage by Bin'!M38</f>
        <v>64.589641434262944</v>
      </c>
      <c r="V38" s="25">
        <f>J38*'2. Salmon Passage by Bin'!N38</f>
        <v>248.98607050730865</v>
      </c>
      <c r="W38" s="25">
        <f>I38*'2. Salmon Passage by Bin'!O38</f>
        <v>76.807164179104475</v>
      </c>
      <c r="X38" s="22">
        <f>E38*'2. Salmon Passage by Bin'!E38</f>
        <v>0</v>
      </c>
      <c r="Y38" s="41">
        <f t="shared" si="0"/>
        <v>5662.7310132697439</v>
      </c>
      <c r="Z38" s="42">
        <f>Y38/'[1]Passage Estimates'!$D38</f>
        <v>0.47341865918839859</v>
      </c>
      <c r="AA38" s="43">
        <f>IFERROR(SUMIF(L38:R38, "&lt;&gt;#N/A")/SUMIF('2. Salmon Passage by Bin'!E38:J38, "&lt;&gt;#N/A"), NA())</f>
        <v>0.42666620743023886</v>
      </c>
      <c r="AB38" s="42">
        <f>IFERROR(IF(ISNA(S38), NA(), S38/'2. Salmon Passage by Bin'!K38), NA())</f>
        <v>0.5</v>
      </c>
      <c r="AC38" s="44">
        <f>IFERROR(SUMIF(T38:W38, "&lt;&gt;#N/A")/SUMIF('2. Salmon Passage by Bin'!L38:N38, "&lt;&gt;#N/A"), NA())</f>
        <v>0.83224622932036996</v>
      </c>
    </row>
    <row r="39" spans="1:29" x14ac:dyDescent="0.3">
      <c r="A39" s="5">
        <f>'1. Mixture Model Inputs'!A39</f>
        <v>45141</v>
      </c>
      <c r="B39" s="13" t="str">
        <f>IF(ISBLANK('[1]Passage Estimates'!$C39),"",IF('[1]Passage Estimates'!$C39="Imputation",'[1]Passage Estimates'!$B39,'[1]Passage Estimates'!$C39))</f>
        <v>S1+M2+A2</v>
      </c>
      <c r="C39" s="17">
        <f>IFERROR(SUM('1. Mixture Model Inputs'!B39,'1. Mixture Model Inputs'!J39)/'1. Mixture Model Inputs'!Z39,NA())</f>
        <v>0</v>
      </c>
      <c r="D39" s="17">
        <f>IFERROR(SUM('1. Mixture Model Inputs'!C39,'1. Mixture Model Inputs'!K39)/'1. Mixture Model Inputs'!AA39,NA())</f>
        <v>0</v>
      </c>
      <c r="E39" s="17">
        <f>IFERROR(SUM('1. Mixture Model Inputs'!D39,'1. Mixture Model Inputs'!L39)/'1. Mixture Model Inputs'!AB39,NA())</f>
        <v>0</v>
      </c>
      <c r="F39" s="17">
        <f>IFERROR(SUM('1. Mixture Model Inputs'!E39,'1. Mixture Model Inputs'!M39)/'1. Mixture Model Inputs'!AC39,NA())</f>
        <v>0.23662346294449982</v>
      </c>
      <c r="G39" s="17">
        <f>IFERROR(SUM('1. Mixture Model Inputs'!F39,'1. Mixture Model Inputs'!N39)/'1. Mixture Model Inputs'!AD39,NA())</f>
        <v>0.54178861788617882</v>
      </c>
      <c r="H39" s="24">
        <f>IFERROR(WhonSpComp!AT54+WhonSpComp!AV54, NA())</f>
        <v>0.26666666666666666</v>
      </c>
      <c r="I39" s="17">
        <f>IFERROR(SUM('1. Mixture Model Inputs'!G39,'1. Mixture Model Inputs'!O39)/'1. Mixture Model Inputs'!AE39, NA())</f>
        <v>0</v>
      </c>
      <c r="J39" s="17">
        <f>IFERROR(SUM('1. Mixture Model Inputs'!H39,'1. Mixture Model Inputs'!P39)/'1. Mixture Model Inputs'!AF39, NA())</f>
        <v>0.31353591160220995</v>
      </c>
      <c r="K39" s="17">
        <f>IFERROR(SUM('1. Mixture Model Inputs'!I39,'1. Mixture Model Inputs'!Q39)/'1. Mixture Model Inputs'!AG39, NA())</f>
        <v>0.78280542986425328</v>
      </c>
      <c r="L39" s="22">
        <f>C39*'2. Salmon Passage by Bin'!C39</f>
        <v>0</v>
      </c>
      <c r="M39" s="22">
        <f>D39*'2. Salmon Passage by Bin'!D39</f>
        <v>0</v>
      </c>
      <c r="N39" s="22">
        <f>F39*'2. Salmon Passage by Bin'!F39</f>
        <v>416.83589232303092</v>
      </c>
      <c r="O39" s="22">
        <f>G39*'2. Salmon Passage by Bin'!G39</f>
        <v>754.03972682926826</v>
      </c>
      <c r="P39" s="22">
        <f>$G39*'2. Salmon Passage by Bin'!H39</f>
        <v>897.46200975609759</v>
      </c>
      <c r="Q39" s="22">
        <f>$G39*'2. Salmon Passage by Bin'!I39</f>
        <v>504.51356097560966</v>
      </c>
      <c r="R39" s="22">
        <f>$G39*'2. Salmon Passage by Bin'!J39</f>
        <v>0</v>
      </c>
      <c r="S39" s="25">
        <f>'2. Salmon Passage by Bin'!K39*H39</f>
        <v>3670.4640000000013</v>
      </c>
      <c r="T39" s="25">
        <f>K39*'2. Salmon Passage by Bin'!L39</f>
        <v>70.45248868778279</v>
      </c>
      <c r="U39" s="25">
        <f>K39*'2. Salmon Passage by Bin'!M39</f>
        <v>231.64778280542984</v>
      </c>
      <c r="V39" s="25">
        <f>J39*'2. Salmon Passage by Bin'!N39</f>
        <v>133.19005524861876</v>
      </c>
      <c r="W39" s="25">
        <f>I39*'2. Salmon Passage by Bin'!O39</f>
        <v>0</v>
      </c>
      <c r="X39" s="22">
        <f>E39*'2. Salmon Passage by Bin'!E39</f>
        <v>0</v>
      </c>
      <c r="Y39" s="41">
        <f t="shared" si="0"/>
        <v>6678.6055166258384</v>
      </c>
      <c r="Z39" s="42">
        <f>Y39/'[1]Passage Estimates'!$D39</f>
        <v>0.30382708795655622</v>
      </c>
      <c r="AA39" s="43">
        <f>IFERROR(SUMIF(L39:R39, "&lt;&gt;#N/A")/SUMIF('2. Salmon Passage by Bin'!E39:J39, "&lt;&gt;#N/A"), NA())</f>
        <v>0.3742437874387628</v>
      </c>
      <c r="AB39" s="42">
        <f>IFERROR(IF(ISNA(S39), NA(), S39/'2. Salmon Passage by Bin'!K39), NA())</f>
        <v>0.26666666666666666</v>
      </c>
      <c r="AC39" s="44">
        <f>IFERROR(SUMIF(T39:W39, "&lt;&gt;#N/A")/SUMIF('2. Salmon Passage by Bin'!L39:N39, "&lt;&gt;#N/A"), NA())</f>
        <v>0.53691820448716121</v>
      </c>
    </row>
    <row r="40" spans="1:29" x14ac:dyDescent="0.3">
      <c r="A40" s="5">
        <f>'1. Mixture Model Inputs'!A40</f>
        <v>45142</v>
      </c>
      <c r="B40" s="13" t="str">
        <f>IF(ISBLANK('[1]Passage Estimates'!$C40),"",IF('[1]Passage Estimates'!$C40="Imputation",'[1]Passage Estimates'!$B40,'[1]Passage Estimates'!$C40))</f>
        <v>A1+S1+M2+A2</v>
      </c>
      <c r="C40" s="17">
        <f>IFERROR(SUM('1. Mixture Model Inputs'!B40,'1. Mixture Model Inputs'!J40)/'1. Mixture Model Inputs'!Z40,NA())</f>
        <v>8.2706766917293228E-2</v>
      </c>
      <c r="D40" s="17">
        <f>IFERROR(SUM('1. Mixture Model Inputs'!C40,'1. Mixture Model Inputs'!K40)/'1. Mixture Model Inputs'!AA40,NA())</f>
        <v>0</v>
      </c>
      <c r="E40" s="17">
        <f>IFERROR(SUM('1. Mixture Model Inputs'!D40,'1. Mixture Model Inputs'!M40)/'1. Mixture Model Inputs'!AC40,NA())</f>
        <v>1.0374493927125507E-2</v>
      </c>
      <c r="F40" s="17">
        <f>IFERROR(SUM('1. Mixture Model Inputs'!E40,'1. Mixture Model Inputs'!N40)/'1. Mixture Model Inputs'!AD40,NA())</f>
        <v>0.10222496909765141</v>
      </c>
      <c r="G40" s="17">
        <f>IFERROR(SUM('1. Mixture Model Inputs'!F40,'1. Mixture Model Inputs'!N40)/'1. Mixture Model Inputs'!AD40,NA())</f>
        <v>0.49517923362175525</v>
      </c>
      <c r="H40" s="24">
        <f>IFERROR(WhonSpComp!AT55+WhonSpComp!AV55, NA())</f>
        <v>0.33333333333333331</v>
      </c>
      <c r="I40" s="17">
        <f>IFERROR(SUM('1. Mixture Model Inputs'!G40,'1. Mixture Model Inputs'!O40)/'1. Mixture Model Inputs'!AE40, NA())</f>
        <v>0</v>
      </c>
      <c r="J40" s="17">
        <f>IFERROR(SUM('1. Mixture Model Inputs'!H40,'1. Mixture Model Inputs'!P40)/'1. Mixture Model Inputs'!AF40, NA())</f>
        <v>0.31609529343404996</v>
      </c>
      <c r="K40" s="17">
        <f>IFERROR(SUM('1. Mixture Model Inputs'!I40,'1. Mixture Model Inputs'!Q40)/'1. Mixture Model Inputs'!AG40, NA())</f>
        <v>0.28503638089212274</v>
      </c>
      <c r="L40" s="22">
        <f>C40*'2. Salmon Passage by Bin'!C40</f>
        <v>9.1804511278195484</v>
      </c>
      <c r="M40" s="22">
        <f>D40*'2. Salmon Passage by Bin'!D40</f>
        <v>0</v>
      </c>
      <c r="N40" s="22">
        <f>F40*'2. Salmon Passage by Bin'!F40</f>
        <v>89.352800988875146</v>
      </c>
      <c r="O40" s="22">
        <f>G40*'2. Salmon Passage by Bin'!G40</f>
        <v>708.42321878862788</v>
      </c>
      <c r="P40" s="22">
        <f>$G40*'2. Salmon Passage by Bin'!H40</f>
        <v>651.73510012360941</v>
      </c>
      <c r="Q40" s="22">
        <f>$G40*'2. Salmon Passage by Bin'!I40</f>
        <v>423.19998022249689</v>
      </c>
      <c r="R40" s="22">
        <f>$G40*'2. Salmon Passage by Bin'!J40</f>
        <v>0</v>
      </c>
      <c r="S40" s="25">
        <f>'2. Salmon Passage by Bin'!K40*H40</f>
        <v>3920.4672000000014</v>
      </c>
      <c r="T40" s="25">
        <f>K40*'2. Salmon Passage by Bin'!L40</f>
        <v>4.7202024675735519</v>
      </c>
      <c r="U40" s="25">
        <f>K40*'2. Salmon Passage by Bin'!M40</f>
        <v>63.893755140778232</v>
      </c>
      <c r="V40" s="25">
        <f>J40*'2. Salmon Passage by Bin'!N40</f>
        <v>114.78052295177223</v>
      </c>
      <c r="W40" s="25">
        <f>I40*'2. Salmon Passage by Bin'!O40</f>
        <v>0</v>
      </c>
      <c r="X40" s="22">
        <f>E40*'2. Salmon Passage by Bin'!E40</f>
        <v>7.2828947368421062</v>
      </c>
      <c r="Y40" s="41">
        <f t="shared" si="0"/>
        <v>5985.7532318115545</v>
      </c>
      <c r="Z40" s="42">
        <f>Y40/'[1]Passage Estimates'!$D40</f>
        <v>0.33009544286558751</v>
      </c>
      <c r="AA40" s="43">
        <f>IFERROR(SUMIF(L40:R40, "&lt;&gt;#N/A")/SUMIF('2. Salmon Passage by Bin'!E40:J40, "&lt;&gt;#N/A"), NA())</f>
        <v>0.36347354549116734</v>
      </c>
      <c r="AB40" s="42">
        <f>IFERROR(IF(ISNA(S40), NA(), S40/'2. Salmon Passage by Bin'!K40), NA())</f>
        <v>0.33333333333333331</v>
      </c>
      <c r="AC40" s="44">
        <f>IFERROR(SUMIF(T40:W40, "&lt;&gt;#N/A")/SUMIF('2. Salmon Passage by Bin'!L40:N40, "&lt;&gt;#N/A"), NA())</f>
        <v>0.30371369992071412</v>
      </c>
    </row>
    <row r="41" spans="1:29" x14ac:dyDescent="0.3">
      <c r="A41" s="5">
        <f>'1. Mixture Model Inputs'!A41</f>
        <v>45143</v>
      </c>
      <c r="B41" s="13" t="str">
        <f>IF(ISBLANK('[1]Passage Estimates'!$C41),"",IF('[1]Passage Estimates'!$C41="Imputation",'[1]Passage Estimates'!$B41,'[1]Passage Estimates'!$C41))</f>
        <v>A1+S1+M2+A2</v>
      </c>
      <c r="C41" s="17">
        <f>IFERROR(SUM('1. Mixture Model Inputs'!B41,'1. Mixture Model Inputs'!J41)/'1. Mixture Model Inputs'!Z41,NA())</f>
        <v>4.8646528050215763E-2</v>
      </c>
      <c r="D41" s="17">
        <f>IFERROR(SUM('1. Mixture Model Inputs'!C41,'1. Mixture Model Inputs'!K41)/'1. Mixture Model Inputs'!AA41,NA())</f>
        <v>3.0805687203791472E-2</v>
      </c>
      <c r="E41" s="17">
        <f>IFERROR(SUM('1. Mixture Model Inputs'!D41,'1. Mixture Model Inputs'!L41)/'1. Mixture Model Inputs'!AB41,NA())</f>
        <v>3.6121673003802278E-2</v>
      </c>
      <c r="F41" s="17">
        <f>IFERROR(SUM('1. Mixture Model Inputs'!E41,'1. Mixture Model Inputs'!M41)/'1. Mixture Model Inputs'!AC41,NA())</f>
        <v>0.25036770714168982</v>
      </c>
      <c r="G41" s="17">
        <f>IFERROR(SUM('1. Mixture Model Inputs'!F41,'1. Mixture Model Inputs'!N41)/'1. Mixture Model Inputs'!AD41,NA())</f>
        <v>0.60619575699132111</v>
      </c>
      <c r="H41" s="24">
        <f>IFERROR(WhonSpComp!AT56+WhonSpComp!AV56, NA())</f>
        <v>0.2</v>
      </c>
      <c r="I41" s="17">
        <f>IFERROR(SUM('1. Mixture Model Inputs'!G41,'1. Mixture Model Inputs'!O41)/'1. Mixture Model Inputs'!AE41, NA())</f>
        <v>0</v>
      </c>
      <c r="J41" s="17">
        <f>IFERROR(SUM('1. Mixture Model Inputs'!H41,'1. Mixture Model Inputs'!P41)/'1. Mixture Model Inputs'!AF41, NA())</f>
        <v>0.29393939393939394</v>
      </c>
      <c r="K41" s="17">
        <f>IFERROR(SUM('1. Mixture Model Inputs'!I41,'1. Mixture Model Inputs'!Q41)/'1. Mixture Model Inputs'!AG41, NA())</f>
        <v>0.33018549747048903</v>
      </c>
      <c r="L41" s="22">
        <f>C41*'2. Salmon Passage by Bin'!C41</f>
        <v>56.721851706551583</v>
      </c>
      <c r="M41" s="22">
        <f>D41*'2. Salmon Passage by Bin'!D41</f>
        <v>61.303317535545027</v>
      </c>
      <c r="N41" s="22">
        <f>F41*'2. Salmon Passage by Bin'!F41</f>
        <v>971.98752737375389</v>
      </c>
      <c r="O41" s="22">
        <f>G41*'2. Salmon Passage by Bin'!G41</f>
        <v>1388.9642140790741</v>
      </c>
      <c r="P41" s="22">
        <f>$G41*'2. Salmon Passage by Bin'!H41</f>
        <v>1188.6286403085826</v>
      </c>
      <c r="Q41" s="22">
        <f>$G41*'2. Salmon Passage by Bin'!I41</f>
        <v>1037.1766923818707</v>
      </c>
      <c r="R41" s="22">
        <f>$G41*'2. Salmon Passage by Bin'!J41</f>
        <v>0</v>
      </c>
      <c r="S41" s="25">
        <f>'2. Salmon Passage by Bin'!K41*H41</f>
        <v>2101.248</v>
      </c>
      <c r="T41" s="25">
        <f>K41*'2. Salmon Passage by Bin'!L41</f>
        <v>51.667426644182122</v>
      </c>
      <c r="U41" s="25">
        <f>K41*'2. Salmon Passage by Bin'!M41</f>
        <v>149.45516357504215</v>
      </c>
      <c r="V41" s="25">
        <f>J41*'2. Salmon Passage by Bin'!N41</f>
        <v>77.741090909090914</v>
      </c>
      <c r="W41" s="25">
        <f>I41*'2. Salmon Passage by Bin'!O41</f>
        <v>0</v>
      </c>
      <c r="X41" s="22">
        <f>E41*'2. Salmon Passage by Bin'!E41</f>
        <v>114.00866920152089</v>
      </c>
      <c r="Y41" s="41">
        <f t="shared" si="0"/>
        <v>7084.8939245136935</v>
      </c>
      <c r="Z41" s="42">
        <f>Y41/'[1]Passage Estimates'!$D41</f>
        <v>0.28675050852994122</v>
      </c>
      <c r="AA41" s="43">
        <f>IFERROR(SUMIF(L41:R41, "&lt;&gt;#N/A")/SUMIF('2. Salmon Passage by Bin'!E41:J41, "&lt;&gt;#N/A"), NA())</f>
        <v>0.3618640161600627</v>
      </c>
      <c r="AB41" s="42">
        <f>IFERROR(IF(ISNA(S41), NA(), S41/'2. Salmon Passage by Bin'!K41), NA())</f>
        <v>0.2</v>
      </c>
      <c r="AC41" s="44">
        <f>IFERROR(SUMIF(T41:W41, "&lt;&gt;#N/A")/SUMIF('2. Salmon Passage by Bin'!L41:N41, "&lt;&gt;#N/A"), NA())</f>
        <v>0.31921208920365751</v>
      </c>
    </row>
    <row r="42" spans="1:29" x14ac:dyDescent="0.3">
      <c r="A42" s="5">
        <f>'1. Mixture Model Inputs'!A42</f>
        <v>45144</v>
      </c>
      <c r="B42" s="13" t="str">
        <f>IF(ISBLANK('[1]Passage Estimates'!$C42),"",IF('[1]Passage Estimates'!$C42="Imputation",'[1]Passage Estimates'!$B42,'[1]Passage Estimates'!$C42))</f>
        <v>A1+S1+M2+A2</v>
      </c>
      <c r="C42" s="17">
        <f>IFERROR(SUM('1. Mixture Model Inputs'!B42,'1. Mixture Model Inputs'!J42)/'1. Mixture Model Inputs'!Z42,NA())</f>
        <v>0.12694202349374764</v>
      </c>
      <c r="D42" s="17">
        <f>IFERROR(SUM('1. Mixture Model Inputs'!C42,'1. Mixture Model Inputs'!K42)/'1. Mixture Model Inputs'!AA42,NA())</f>
        <v>0.18129447644866148</v>
      </c>
      <c r="E42" s="17">
        <f>IFERROR(SUM('1. Mixture Model Inputs'!D42,'1. Mixture Model Inputs'!L42)/'1. Mixture Model Inputs'!AB42,NA())</f>
        <v>0.15660919540229887</v>
      </c>
      <c r="F42" s="17">
        <f>IFERROR(SUM('1. Mixture Model Inputs'!E42,'1. Mixture Model Inputs'!M42)/'1. Mixture Model Inputs'!AC42,NA())</f>
        <v>0.47094222833562582</v>
      </c>
      <c r="G42" s="17">
        <f>IFERROR(SUM('1. Mixture Model Inputs'!F42,'1. Mixture Model Inputs'!N42)/'1. Mixture Model Inputs'!AD42,NA())</f>
        <v>0.85733645435505723</v>
      </c>
      <c r="H42" s="24">
        <f>IFERROR(WhonSpComp!AT57+WhonSpComp!AV57, NA())</f>
        <v>0.4</v>
      </c>
      <c r="I42" s="17">
        <f>IFERROR(SUM('1. Mixture Model Inputs'!G42,'1. Mixture Model Inputs'!O42)/'1. Mixture Model Inputs'!AE42, NA())</f>
        <v>0</v>
      </c>
      <c r="J42" s="17">
        <f>IFERROR(SUM('1. Mixture Model Inputs'!H42,'1. Mixture Model Inputs'!P42)/'1. Mixture Model Inputs'!AF42, NA())</f>
        <v>0.29393939393939394</v>
      </c>
      <c r="K42" s="17">
        <f>IFERROR(SUM('1. Mixture Model Inputs'!I42,'1. Mixture Model Inputs'!Q42)/'1. Mixture Model Inputs'!AG42, NA())</f>
        <v>0.33018549747048903</v>
      </c>
      <c r="L42" s="22">
        <f>C42*'2. Salmon Passage by Bin'!C42</f>
        <v>158.16976127320956</v>
      </c>
      <c r="M42" s="22">
        <f>D42*'2. Salmon Passage by Bin'!D42</f>
        <v>595.91494408675032</v>
      </c>
      <c r="N42" s="22">
        <f>F42*'2. Salmon Passage by Bin'!F42</f>
        <v>1253.5728610729022</v>
      </c>
      <c r="O42" s="22">
        <f>G42*'2. Salmon Passage by Bin'!G42</f>
        <v>3485.381328076875</v>
      </c>
      <c r="P42" s="22">
        <f>$G42*'2. Salmon Passage by Bin'!H42</f>
        <v>2284.1500751509179</v>
      </c>
      <c r="Q42" s="22">
        <f>$G42*'2. Salmon Passage by Bin'!I42</f>
        <v>1443.6174153012196</v>
      </c>
      <c r="R42" s="22">
        <f>$G42*'2. Salmon Passage by Bin'!J42</f>
        <v>0</v>
      </c>
      <c r="S42" s="25">
        <f>'2. Salmon Passage by Bin'!K42*H42</f>
        <v>5156.3520000000026</v>
      </c>
      <c r="T42" s="25">
        <f>K42*'2. Salmon Passage by Bin'!L42</f>
        <v>73.380424957841484</v>
      </c>
      <c r="U42" s="25">
        <f>K42*'2. Salmon Passage by Bin'!M42</f>
        <v>154.92303541315346</v>
      </c>
      <c r="V42" s="25">
        <f>J42*'2. Salmon Passage by Bin'!N42</f>
        <v>68.922909090909087</v>
      </c>
      <c r="W42" s="25">
        <f>I42*'2. Salmon Passage by Bin'!O42</f>
        <v>0</v>
      </c>
      <c r="X42" s="22">
        <f>E42*'2. Salmon Passage by Bin'!E42</f>
        <v>709.81551724137933</v>
      </c>
      <c r="Y42" s="41">
        <f t="shared" si="0"/>
        <v>14674.38475442378</v>
      </c>
      <c r="Z42" s="42">
        <f>Y42/'[1]Passage Estimates'!$D42</f>
        <v>0.49227704045810627</v>
      </c>
      <c r="AA42" s="43">
        <f>IFERROR(SUMIF(L42:R42, "&lt;&gt;#N/A")/SUMIF('2. Salmon Passage by Bin'!E42:J42, "&lt;&gt;#N/A"), NA())</f>
        <v>0.59078648363894404</v>
      </c>
      <c r="AB42" s="42">
        <f>IFERROR(IF(ISNA(S42), NA(), S42/'2. Salmon Passage by Bin'!K42), NA())</f>
        <v>0.40000000000000008</v>
      </c>
      <c r="AC42" s="44">
        <f>IFERROR(SUMIF(T42:W42, "&lt;&gt;#N/A")/SUMIF('2. Salmon Passage by Bin'!L42:N42, "&lt;&gt;#N/A"), NA())</f>
        <v>0.32100653346067048</v>
      </c>
    </row>
    <row r="43" spans="1:29" x14ac:dyDescent="0.3">
      <c r="A43" s="5">
        <f>'1. Mixture Model Inputs'!A43</f>
        <v>45145</v>
      </c>
      <c r="B43" s="13" t="str">
        <f>IF(ISBLANK('[1]Passage Estimates'!$C43),"",IF('[1]Passage Estimates'!$C43="Imputation",'[1]Passage Estimates'!$B43,'[1]Passage Estimates'!$C43))</f>
        <v>A1+S1+M2+A2</v>
      </c>
      <c r="C43" s="17">
        <f>IFERROR(SUM('1. Mixture Model Inputs'!B43,'1. Mixture Model Inputs'!J43)/'1. Mixture Model Inputs'!Z43,NA())</f>
        <v>0.20795942255169725</v>
      </c>
      <c r="D43" s="17">
        <f>IFERROR(SUM('1. Mixture Model Inputs'!C43,'1. Mixture Model Inputs'!K43)/'1. Mixture Model Inputs'!AA43,NA())</f>
        <v>0.11102514506769826</v>
      </c>
      <c r="E43" s="17">
        <f>IFERROR(SUM('1. Mixture Model Inputs'!D43,'1. Mixture Model Inputs'!L43)/'1. Mixture Model Inputs'!AB43,NA())</f>
        <v>0.16079039132119335</v>
      </c>
      <c r="F43" s="17">
        <f>IFERROR(SUM('1. Mixture Model Inputs'!E43,'1. Mixture Model Inputs'!M43)/'1. Mixture Model Inputs'!AC43,NA())</f>
        <v>0.58362337424436705</v>
      </c>
      <c r="G43" s="17">
        <f>IFERROR(SUM('1. Mixture Model Inputs'!F43,'1. Mixture Model Inputs'!N43)/'1. Mixture Model Inputs'!AD43,NA())</f>
        <v>0.7857142857142857</v>
      </c>
      <c r="H43" s="24">
        <f>IFERROR(WhonSpComp!AT58+WhonSpComp!AV58, NA())</f>
        <v>0.5</v>
      </c>
      <c r="I43" s="17">
        <f>IFERROR(SUM('1. Mixture Model Inputs'!G43,'1. Mixture Model Inputs'!O43)/'1. Mixture Model Inputs'!AE43, NA())</f>
        <v>0.1402284263959391</v>
      </c>
      <c r="J43" s="17">
        <f>IFERROR(SUM('1. Mixture Model Inputs'!H43,'1. Mixture Model Inputs'!P43)/'1. Mixture Model Inputs'!AF43, NA())</f>
        <v>0.40315495207667729</v>
      </c>
      <c r="K43" s="17">
        <f>IFERROR(SUM('1. Mixture Model Inputs'!I43,'1. Mixture Model Inputs'!Q43)/'1. Mixture Model Inputs'!AG43, NA())</f>
        <v>0.56939862978939348</v>
      </c>
      <c r="L43" s="22">
        <f>C43*'2. Salmon Passage by Bin'!C43</f>
        <v>353.73897776043702</v>
      </c>
      <c r="M43" s="22">
        <f>D43*'2. Salmon Passage by Bin'!D43</f>
        <v>263.90676982591873</v>
      </c>
      <c r="N43" s="22">
        <f>F43*'2. Salmon Passage by Bin'!F43</f>
        <v>2358.3520205165778</v>
      </c>
      <c r="O43" s="22">
        <f>G43*'2. Salmon Passage by Bin'!G43</f>
        <v>2999.4171428571431</v>
      </c>
      <c r="P43" s="22">
        <f>$G43*'2. Salmon Passage by Bin'!H43</f>
        <v>2251.92</v>
      </c>
      <c r="Q43" s="22">
        <f>$G43*'2. Salmon Passage by Bin'!I43</f>
        <v>1548.9257142857143</v>
      </c>
      <c r="R43" s="22">
        <f>$G43*'2. Salmon Passage by Bin'!J43</f>
        <v>0</v>
      </c>
      <c r="S43" s="25">
        <f>'2. Salmon Passage by Bin'!K43*H43</f>
        <v>6532.3199999999988</v>
      </c>
      <c r="T43" s="25">
        <f>K43*'2. Salmon Passage by Bin'!L43</f>
        <v>117.66053285968026</v>
      </c>
      <c r="U43" s="25">
        <f>K43*'2. Salmon Passage by Bin'!M43</f>
        <v>240.92394823648817</v>
      </c>
      <c r="V43" s="25">
        <f>J43*'2. Salmon Passage by Bin'!N43</f>
        <v>282.53099041533545</v>
      </c>
      <c r="W43" s="25">
        <f>I43*'2. Salmon Passage by Bin'!O43</f>
        <v>66.973096446700509</v>
      </c>
      <c r="X43" s="22">
        <f>E43*'2. Salmon Passage by Bin'!E43</f>
        <v>655.71607903913218</v>
      </c>
      <c r="Y43" s="41">
        <f t="shared" si="0"/>
        <v>17016.669193203998</v>
      </c>
      <c r="Z43" s="42">
        <f>Y43/'[1]Passage Estimates'!$D43</f>
        <v>0.53770855905094495</v>
      </c>
      <c r="AA43" s="43">
        <f>IFERROR(SUMIF(L43:R43, "&lt;&gt;#N/A")/SUMIF('2. Salmon Passage by Bin'!E43:J43, "&lt;&gt;#N/A"), NA())</f>
        <v>0.58282782149142898</v>
      </c>
      <c r="AB43" s="42">
        <f>IFERROR(IF(ISNA(S43), NA(), S43/'2. Salmon Passage by Bin'!K43), NA())</f>
        <v>0.5</v>
      </c>
      <c r="AC43" s="44">
        <f>IFERROR(SUMIF(T43:W43, "&lt;&gt;#N/A")/SUMIF('2. Salmon Passage by Bin'!L43:N43, "&lt;&gt;#N/A"), NA())</f>
        <v>0.5321733465294346</v>
      </c>
    </row>
    <row r="44" spans="1:29" x14ac:dyDescent="0.3">
      <c r="A44" s="5">
        <f>'1. Mixture Model Inputs'!A44</f>
        <v>45146</v>
      </c>
      <c r="B44" s="13" t="str">
        <f>IF(ISBLANK('[1]Passage Estimates'!$C44),"",IF('[1]Passage Estimates'!$C44="Imputation",'[1]Passage Estimates'!$B44,'[1]Passage Estimates'!$C44))</f>
        <v>A1+S1+M2+A2</v>
      </c>
      <c r="C44" s="17">
        <f>IFERROR(SUM('1. Mixture Model Inputs'!B44,'1. Mixture Model Inputs'!J44)/'1. Mixture Model Inputs'!Z44,NA())</f>
        <v>3.8378611470461406E-2</v>
      </c>
      <c r="D44" s="17">
        <f>IFERROR(SUM('1. Mixture Model Inputs'!C44,'1. Mixture Model Inputs'!K44)/'1. Mixture Model Inputs'!AA44,NA())</f>
        <v>5.126658624849216E-2</v>
      </c>
      <c r="E44" s="17">
        <f>IFERROR(SUM('1. Mixture Model Inputs'!D44,'1. Mixture Model Inputs'!L44)/'1. Mixture Model Inputs'!AB44,NA())</f>
        <v>4.529370134465676E-2</v>
      </c>
      <c r="F44" s="17">
        <f>IFERROR(SUM('1. Mixture Model Inputs'!E44,'1. Mixture Model Inputs'!M44)/'1. Mixture Model Inputs'!AC44,NA())</f>
        <v>0.54784810126582273</v>
      </c>
      <c r="G44" s="17">
        <f>IFERROR(SUM('1. Mixture Model Inputs'!F44,'1. Mixture Model Inputs'!N44)/'1. Mixture Model Inputs'!AD44,NA())</f>
        <v>0.73348745046235142</v>
      </c>
      <c r="H44" s="24">
        <f>IFERROR(WhonSpComp!AT59+WhonSpComp!AV59, NA())</f>
        <v>0.47826086956521741</v>
      </c>
      <c r="I44" s="17">
        <f>IFERROR(SUM('1. Mixture Model Inputs'!G44,'1. Mixture Model Inputs'!O44)/'1. Mixture Model Inputs'!AE44, NA())</f>
        <v>0.1402284263959391</v>
      </c>
      <c r="J44" s="17">
        <f>IFERROR(SUM('1. Mixture Model Inputs'!H44,'1. Mixture Model Inputs'!P44)/'1. Mixture Model Inputs'!AF44, NA())</f>
        <v>0.40315495207667729</v>
      </c>
      <c r="K44" s="17">
        <f>IFERROR(SUM('1. Mixture Model Inputs'!I44,'1. Mixture Model Inputs'!Q44)/'1. Mixture Model Inputs'!AG44, NA())</f>
        <v>0.56939862978939348</v>
      </c>
      <c r="L44" s="22">
        <f>C44*'2. Salmon Passage by Bin'!C44</f>
        <v>46.438119879258302</v>
      </c>
      <c r="M44" s="22">
        <f>D44*'2. Salmon Passage by Bin'!D44</f>
        <v>215.21712907117009</v>
      </c>
      <c r="N44" s="22">
        <f>F44*'2. Salmon Passage by Bin'!F44</f>
        <v>2248.1056405063287</v>
      </c>
      <c r="O44" s="22">
        <f>G44*'2. Salmon Passage by Bin'!G44</f>
        <v>2954.7808454425362</v>
      </c>
      <c r="P44" s="22">
        <f>$G44*'2. Salmon Passage by Bin'!H44</f>
        <v>1633.2711756935273</v>
      </c>
      <c r="Q44" s="22">
        <f>$G44*'2. Salmon Passage by Bin'!I44</f>
        <v>1308.4829326287982</v>
      </c>
      <c r="R44" s="22">
        <f>$G44*'2. Salmon Passage by Bin'!J44</f>
        <v>0</v>
      </c>
      <c r="S44" s="25">
        <f>'2. Salmon Passage by Bin'!K44*H44</f>
        <v>7989.7878260869475</v>
      </c>
      <c r="T44" s="25">
        <f>K44*'2. Salmon Passage by Bin'!L44</f>
        <v>72.837472722659214</v>
      </c>
      <c r="U44" s="25">
        <f>K44*'2. Salmon Passage by Bin'!M44</f>
        <v>330.57006851053029</v>
      </c>
      <c r="V44" s="25">
        <f>J44*'2. Salmon Passage by Bin'!N44</f>
        <v>331.10309904153348</v>
      </c>
      <c r="W44" s="25">
        <f>I44*'2. Salmon Passage by Bin'!O44</f>
        <v>116.44568527918784</v>
      </c>
      <c r="X44" s="22">
        <f>E44*'2. Salmon Passage by Bin'!E44</f>
        <v>244.95558386411889</v>
      </c>
      <c r="Y44" s="41">
        <f t="shared" si="0"/>
        <v>17247.039994862476</v>
      </c>
      <c r="Z44" s="42">
        <f>Y44/'[1]Passage Estimates'!$D44</f>
        <v>0.47101439762247072</v>
      </c>
      <c r="AA44" s="43">
        <f>IFERROR(SUMIF(L44:R44, "&lt;&gt;#N/A")/SUMIF('2. Salmon Passage by Bin'!E44:J44, "&lt;&gt;#N/A"), NA())</f>
        <v>0.47897156602245478</v>
      </c>
      <c r="AB44" s="42">
        <f>IFERROR(IF(ISNA(S44), NA(), S44/'2. Salmon Passage by Bin'!K44), NA())</f>
        <v>0.47826086956521741</v>
      </c>
      <c r="AC44" s="44">
        <f>IFERROR(SUMIF(T44:W44, "&lt;&gt;#N/A")/SUMIF('2. Salmon Passage by Bin'!L44:N44, "&lt;&gt;#N/A"), NA())</f>
        <v>0.55626786264114036</v>
      </c>
    </row>
    <row r="45" spans="1:29" x14ac:dyDescent="0.3">
      <c r="A45" s="5">
        <f>'1. Mixture Model Inputs'!A45</f>
        <v>45147</v>
      </c>
      <c r="B45" s="13" t="str">
        <f>IF(ISBLANK('[1]Passage Estimates'!$C45),"",IF('[1]Passage Estimates'!$C45="Imputation",'[1]Passage Estimates'!$B45,'[1]Passage Estimates'!$C45))</f>
        <v>A1+S1+M2+A2</v>
      </c>
      <c r="C45" s="17">
        <f>IFERROR(SUM('1. Mixture Model Inputs'!B45,'1. Mixture Model Inputs'!J45)/'1. Mixture Model Inputs'!Z45,NA())</f>
        <v>5.4536440257808627E-2</v>
      </c>
      <c r="D45" s="17">
        <f>IFERROR(SUM('1. Mixture Model Inputs'!C45,'1. Mixture Model Inputs'!K45)/'1. Mixture Model Inputs'!AA45,NA())</f>
        <v>0.11035653650254668</v>
      </c>
      <c r="E45" s="17">
        <f>IFERROR(SUM('1. Mixture Model Inputs'!D45,'1. Mixture Model Inputs'!L45)/'1. Mixture Model Inputs'!AB45,NA())</f>
        <v>9.3492208982584785E-2</v>
      </c>
      <c r="F45" s="17">
        <f>IFERROR(SUM('1. Mixture Model Inputs'!E45,'1. Mixture Model Inputs'!M45)/'1. Mixture Model Inputs'!AC45,NA())</f>
        <v>0.27708731676226894</v>
      </c>
      <c r="G45" s="17">
        <f>IFERROR(SUM('1. Mixture Model Inputs'!F45,'1. Mixture Model Inputs'!N45)/'1. Mixture Model Inputs'!AD45,NA())</f>
        <v>0.53851444291609352</v>
      </c>
      <c r="H45" s="24">
        <f>IFERROR(WhonSpComp!AT60+WhonSpComp!AV60, NA())</f>
        <v>0.25</v>
      </c>
      <c r="I45" s="17">
        <f>IFERROR(SUM('1. Mixture Model Inputs'!G45,'1. Mixture Model Inputs'!O45)/'1. Mixture Model Inputs'!AE45, NA())</f>
        <v>0.14168039538714994</v>
      </c>
      <c r="J45" s="17">
        <f>IFERROR(SUM('1. Mixture Model Inputs'!H45,'1. Mixture Model Inputs'!P45)/'1. Mixture Model Inputs'!AF45, NA())</f>
        <v>0.24088707621718075</v>
      </c>
      <c r="K45" s="17">
        <f>IFERROR(SUM('1. Mixture Model Inputs'!I45,'1. Mixture Model Inputs'!Q45)/'1. Mixture Model Inputs'!AG45, NA())</f>
        <v>0.3922466011576255</v>
      </c>
      <c r="L45" s="22">
        <f>C45*'2. Salmon Passage by Bin'!C45</f>
        <v>53.17302925136341</v>
      </c>
      <c r="M45" s="22">
        <f>D45*'2. Salmon Passage by Bin'!D45</f>
        <v>180.21222410865872</v>
      </c>
      <c r="N45" s="22">
        <f>F45*'2. Salmon Passage by Bin'!F45</f>
        <v>745.07671128107074</v>
      </c>
      <c r="O45" s="22">
        <f>G45*'2. Salmon Passage by Bin'!G45</f>
        <v>1610.1151031636864</v>
      </c>
      <c r="P45" s="22">
        <f>$G45*'2. Salmon Passage by Bin'!H45</f>
        <v>1130.7510866574964</v>
      </c>
      <c r="Q45" s="22">
        <f>$G45*'2. Salmon Passage by Bin'!I45</f>
        <v>681.37155433287478</v>
      </c>
      <c r="R45" s="22">
        <f>$G45*'2. Salmon Passage by Bin'!J45</f>
        <v>0</v>
      </c>
      <c r="S45" s="25">
        <f>'2. Salmon Passage by Bin'!K45*H45</f>
        <v>2984.4600000000009</v>
      </c>
      <c r="T45" s="25">
        <f>K45*'2. Salmon Passage by Bin'!L45</f>
        <v>-125.01683672095838</v>
      </c>
      <c r="U45" s="25">
        <f>K45*'2. Salmon Passage by Bin'!M45</f>
        <v>214.82561852200837</v>
      </c>
      <c r="V45" s="25">
        <f>J45*'2. Salmon Passage by Bin'!N45</f>
        <v>84.291205709915886</v>
      </c>
      <c r="W45" s="25">
        <f>I45*'2. Salmon Passage by Bin'!O45</f>
        <v>75.691334431630978</v>
      </c>
      <c r="X45" s="22">
        <f>E45*'2. Salmon Passage by Bin'!E45</f>
        <v>243.76784601283228</v>
      </c>
      <c r="Y45" s="41">
        <f t="shared" si="0"/>
        <v>7634.9510307377477</v>
      </c>
      <c r="Z45" s="42">
        <f>Y45/'[1]Passage Estimates'!$D45</f>
        <v>0.30907929931608413</v>
      </c>
      <c r="AA45" s="43">
        <f>IFERROR(SUMIF(L45:R45, "&lt;&gt;#N/A")/SUMIF('2. Salmon Passage by Bin'!E45:J45, "&lt;&gt;#N/A"), NA())</f>
        <v>0.37770096579904955</v>
      </c>
      <c r="AB45" s="42">
        <f>IFERROR(IF(ISNA(S45), NA(), S45/'2. Salmon Passage by Bin'!K45), NA())</f>
        <v>0.25</v>
      </c>
      <c r="AC45" s="44">
        <f>IFERROR(SUMIF(T45:W45, "&lt;&gt;#N/A")/SUMIF('2. Salmon Passage by Bin'!L45:N45, "&lt;&gt;#N/A"), NA())</f>
        <v>0.43150794973500006</v>
      </c>
    </row>
    <row r="46" spans="1:29" x14ac:dyDescent="0.3">
      <c r="A46" s="5">
        <f>'1. Mixture Model Inputs'!A46</f>
        <v>45148</v>
      </c>
      <c r="B46" s="13" t="str">
        <f>IF(ISBLANK('[1]Passage Estimates'!$C46),"",IF('[1]Passage Estimates'!$C46="Imputation",'[1]Passage Estimates'!$B46,'[1]Passage Estimates'!$C46))</f>
        <v>A1+S1+M2+A2</v>
      </c>
      <c r="C46" s="17">
        <f>IFERROR(SUM('1. Mixture Model Inputs'!B46,'1. Mixture Model Inputs'!J46)/'1. Mixture Model Inputs'!Z46,NA())</f>
        <v>2.0382165605095544E-2</v>
      </c>
      <c r="D46" s="17">
        <f>IFERROR(SUM('1. Mixture Model Inputs'!C46,'1. Mixture Model Inputs'!K46)/'1. Mixture Model Inputs'!AA46,NA())</f>
        <v>5.0789044077634684E-3</v>
      </c>
      <c r="E46" s="17">
        <f>IFERROR(SUM('1. Mixture Model Inputs'!D46,'1. Mixture Model Inputs'!L46)/'1. Mixture Model Inputs'!AB46,NA())</f>
        <v>1.0375835831219737E-2</v>
      </c>
      <c r="F46" s="17">
        <f>IFERROR(SUM('1. Mixture Model Inputs'!E46,'1. Mixture Model Inputs'!M46)/'1. Mixture Model Inputs'!AC46,NA())</f>
        <v>0.25356022206130824</v>
      </c>
      <c r="G46" s="17">
        <f>IFERROR(SUM('1. Mixture Model Inputs'!F46,'1. Mixture Model Inputs'!N46)/'1. Mixture Model Inputs'!AD46,NA())</f>
        <v>0.43728100911002105</v>
      </c>
      <c r="H46" s="24">
        <f>IFERROR(WhonSpComp!AT61+WhonSpComp!AV61, NA())</f>
        <v>0.33333333333333331</v>
      </c>
      <c r="I46" s="17">
        <f>IFERROR(SUM('1. Mixture Model Inputs'!G46,'1. Mixture Model Inputs'!O46)/'1. Mixture Model Inputs'!AE46, NA())</f>
        <v>0.14168039538714994</v>
      </c>
      <c r="J46" s="17">
        <f>IFERROR(SUM('1. Mixture Model Inputs'!H46,'1. Mixture Model Inputs'!P46)/'1. Mixture Model Inputs'!AF46, NA())</f>
        <v>0.24088707621718075</v>
      </c>
      <c r="K46" s="17">
        <f>IFERROR(SUM('1. Mixture Model Inputs'!I46,'1. Mixture Model Inputs'!Q46)/'1. Mixture Model Inputs'!AG46, NA())</f>
        <v>0.3922466011576255</v>
      </c>
      <c r="L46" s="22">
        <f>C46*'2. Salmon Passage by Bin'!C46</f>
        <v>35.91337579617835</v>
      </c>
      <c r="M46" s="22">
        <f>D46*'2. Salmon Passage by Bin'!D46</f>
        <v>23.139488481770361</v>
      </c>
      <c r="N46" s="22">
        <f>F46*'2. Salmon Passage by Bin'!F46</f>
        <v>1956.348964518465</v>
      </c>
      <c r="O46" s="22">
        <f>G46*'2. Salmon Passage by Bin'!G46</f>
        <v>2360.3729222144361</v>
      </c>
      <c r="P46" s="22">
        <f>$G46*'2. Salmon Passage by Bin'!H46</f>
        <v>1130.3888997897689</v>
      </c>
      <c r="Q46" s="22">
        <f>$G46*'2. Salmon Passage by Bin'!I46</f>
        <v>847.03080588647526</v>
      </c>
      <c r="R46" s="22">
        <f>$G46*'2. Salmon Passage by Bin'!J46</f>
        <v>0</v>
      </c>
      <c r="S46" s="25">
        <f>'2. Salmon Passage by Bin'!K46*H46</f>
        <v>4760.8799999999956</v>
      </c>
      <c r="T46" s="25">
        <f>K46*'2. Salmon Passage by Bin'!L46</f>
        <v>-38.314648001076861</v>
      </c>
      <c r="U46" s="25">
        <f>K46*'2. Salmon Passage by Bin'!M46</f>
        <v>76.723435186431558</v>
      </c>
      <c r="V46" s="25">
        <f>J46*'2. Salmon Passage by Bin'!N46</f>
        <v>64.345755799133329</v>
      </c>
      <c r="W46" s="25">
        <f>I46*'2. Salmon Passage by Bin'!O46</f>
        <v>11.18708401976936</v>
      </c>
      <c r="X46" s="22">
        <f>E46*'2. Salmon Passage by Bin'!E46</f>
        <v>65.557020982245788</v>
      </c>
      <c r="Y46" s="41">
        <f t="shared" si="0"/>
        <v>11228.016083691347</v>
      </c>
      <c r="Z46" s="42">
        <f>Y46/'[1]Passage Estimates'!$D46</f>
        <v>0.29027722841205422</v>
      </c>
      <c r="AA46" s="43">
        <f>IFERROR(SUMIF(L46:R46, "&lt;&gt;#N/A")/SUMIF('2. Salmon Passage by Bin'!E46:J46, "&lt;&gt;#N/A"), NA())</f>
        <v>0.26522832636518034</v>
      </c>
      <c r="AB46" s="42">
        <f>IFERROR(IF(ISNA(S46), NA(), S46/'2. Salmon Passage by Bin'!K46), NA())</f>
        <v>0.33333333333333331</v>
      </c>
      <c r="AC46" s="44">
        <f>IFERROR(SUMIF(T46:W46, "&lt;&gt;#N/A")/SUMIF('2. Salmon Passage by Bin'!L46:N46, "&lt;&gt;#N/A"), NA())</f>
        <v>0.31213463457225887</v>
      </c>
    </row>
    <row r="47" spans="1:29" x14ac:dyDescent="0.3">
      <c r="A47" s="5">
        <f>'1. Mixture Model Inputs'!A47</f>
        <v>45149</v>
      </c>
      <c r="B47" s="13" t="str">
        <f>IF(ISBLANK('[1]Passage Estimates'!$C47),"",IF('[1]Passage Estimates'!$C47="Imputation",'[1]Passage Estimates'!$B47,'[1]Passage Estimates'!$C47))</f>
        <v>A1+S1+M2+A2</v>
      </c>
      <c r="C47" s="17">
        <f>IFERROR(SUM('1. Mixture Model Inputs'!B47,'1. Mixture Model Inputs'!J47)/'1. Mixture Model Inputs'!Z47,NA())</f>
        <v>5.5618615209988648E-2</v>
      </c>
      <c r="D47" s="17">
        <f>IFERROR(SUM('1. Mixture Model Inputs'!C47,'1. Mixture Model Inputs'!K47)/'1. Mixture Model Inputs'!AA47,NA())</f>
        <v>0.11463213006337833</v>
      </c>
      <c r="E47" s="17">
        <f>IFERROR(SUM('1. Mixture Model Inputs'!D47,'1. Mixture Model Inputs'!L47)/'1. Mixture Model Inputs'!AB47,NA())</f>
        <v>0.10281038776236213</v>
      </c>
      <c r="F47" s="17">
        <f>IFERROR(SUM('1. Mixture Model Inputs'!E47,'1. Mixture Model Inputs'!M47)/'1. Mixture Model Inputs'!AC47,NA())</f>
        <v>0.48492142149228373</v>
      </c>
      <c r="G47" s="17">
        <f>IFERROR(SUM('1. Mixture Model Inputs'!F47,'1. Mixture Model Inputs'!N47)/'1. Mixture Model Inputs'!AD47,NA())</f>
        <v>0.60407167850705112</v>
      </c>
      <c r="H47" s="24">
        <f>IFERROR(WhonSpComp!AT62+WhonSpComp!AV62, NA())</f>
        <v>0.13157894736842105</v>
      </c>
      <c r="I47" s="17">
        <f>IFERROR(SUM('1. Mixture Model Inputs'!G47,'1. Mixture Model Inputs'!O47)/'1. Mixture Model Inputs'!AE47, NA())</f>
        <v>0.29914529914529914</v>
      </c>
      <c r="J47" s="17">
        <f>IFERROR(SUM('1. Mixture Model Inputs'!H47,'1. Mixture Model Inputs'!P47)/'1. Mixture Model Inputs'!AF47, NA())</f>
        <v>0.34555148283905368</v>
      </c>
      <c r="K47" s="17">
        <f>IFERROR(SUM('1. Mixture Model Inputs'!I47,'1. Mixture Model Inputs'!Q47)/'1. Mixture Model Inputs'!AG47, NA())</f>
        <v>0.14995099640640316</v>
      </c>
      <c r="L47" s="22">
        <f>C47*'2. Salmon Passage by Bin'!C47</f>
        <v>63.349602724177068</v>
      </c>
      <c r="M47" s="22">
        <f>D47*'2. Salmon Passage by Bin'!D47</f>
        <v>416.80242491044362</v>
      </c>
      <c r="N47" s="22">
        <f>F47*'2. Salmon Passage by Bin'!F47</f>
        <v>2977.7278776723774</v>
      </c>
      <c r="O47" s="22">
        <f>G47*'2. Salmon Passage by Bin'!G47</f>
        <v>3526.715436327006</v>
      </c>
      <c r="P47" s="22">
        <f>$G47*'2. Salmon Passage by Bin'!H47</f>
        <v>3559.0453525607036</v>
      </c>
      <c r="Q47" s="22">
        <f>$G47*'2. Salmon Passage by Bin'!I47</f>
        <v>1805.5460841904355</v>
      </c>
      <c r="R47" s="22">
        <f>$G47*'2. Salmon Passage by Bin'!J47</f>
        <v>0</v>
      </c>
      <c r="S47" s="25">
        <f>'2. Salmon Passage by Bin'!K47*H47</f>
        <v>2201.0526315789489</v>
      </c>
      <c r="T47" s="25">
        <f>K47*'2. Salmon Passage by Bin'!L47</f>
        <v>-12.991754328650771</v>
      </c>
      <c r="U47" s="25">
        <f>K47*'2. Salmon Passage by Bin'!M47</f>
        <v>92.165880431231642</v>
      </c>
      <c r="V47" s="25">
        <f>J47*'2. Salmon Passage by Bin'!N47</f>
        <v>143.63884038653782</v>
      </c>
      <c r="W47" s="25">
        <f>I47*'2. Salmon Passage by Bin'!O47</f>
        <v>167.2820512820513</v>
      </c>
      <c r="X47" s="22">
        <f>E47*'2. Salmon Passage by Bin'!E47</f>
        <v>490.89903948772667</v>
      </c>
      <c r="Y47" s="41">
        <f t="shared" si="0"/>
        <v>14940.334427735261</v>
      </c>
      <c r="Z47" s="42">
        <f>Y47/'[1]Passage Estimates'!$D47</f>
        <v>0.34059589788860939</v>
      </c>
      <c r="AA47" s="43">
        <f>IFERROR(SUMIF(L47:R47, "&lt;&gt;#N/A")/SUMIF('2. Salmon Passage by Bin'!E47:J47, "&lt;&gt;#N/A"), NA())</f>
        <v>0.48174276668793264</v>
      </c>
      <c r="AB47" s="42">
        <f>IFERROR(IF(ISNA(S47), NA(), S47/'2. Salmon Passage by Bin'!K47), NA())</f>
        <v>0.13157894736842105</v>
      </c>
      <c r="AC47" s="44">
        <f>IFERROR(SUMIF(T47:W47, "&lt;&gt;#N/A")/SUMIF('2. Salmon Passage by Bin'!L47:N47, "&lt;&gt;#N/A"), NA())</f>
        <v>0.41337637522377285</v>
      </c>
    </row>
    <row r="48" spans="1:29" x14ac:dyDescent="0.3">
      <c r="A48" s="5">
        <f>'1. Mixture Model Inputs'!A48</f>
        <v>45150</v>
      </c>
      <c r="B48" s="13" t="str">
        <f>IF(ISBLANK('[1]Passage Estimates'!$C48),"",IF('[1]Passage Estimates'!$C48="Imputation",'[1]Passage Estimates'!$B48,'[1]Passage Estimates'!$C48))</f>
        <v>A1+S1+M2+A2</v>
      </c>
      <c r="C48" s="17">
        <f>IFERROR(SUM('1. Mixture Model Inputs'!B48,'1. Mixture Model Inputs'!J48)/'1. Mixture Model Inputs'!Z48,NA())</f>
        <v>5.6936936936936938E-2</v>
      </c>
      <c r="D48" s="17">
        <f>IFERROR(SUM('1. Mixture Model Inputs'!C48,'1. Mixture Model Inputs'!K48)/'1. Mixture Model Inputs'!AA48,NA())</f>
        <v>6.9304071614207333E-2</v>
      </c>
      <c r="E48" s="17">
        <f>IFERROR(SUM('1. Mixture Model Inputs'!D48,'1. Mixture Model Inputs'!L48)/'1. Mixture Model Inputs'!AB48,NA())</f>
        <v>6.3747585318737934E-2</v>
      </c>
      <c r="F48" s="17">
        <f>IFERROR(SUM('1. Mixture Model Inputs'!E48,'1. Mixture Model Inputs'!M48)/'1. Mixture Model Inputs'!AC48,NA())</f>
        <v>0.51823015571591335</v>
      </c>
      <c r="G48" s="17">
        <f>IFERROR(SUM('1. Mixture Model Inputs'!F48,'1. Mixture Model Inputs'!N48)/'1. Mixture Model Inputs'!AD48,NA())</f>
        <v>0.55192700204106138</v>
      </c>
      <c r="H48" s="24">
        <f>IFERROR(WhonSpComp!AT63+WhonSpComp!AV63, NA())</f>
        <v>0.25974025974025972</v>
      </c>
      <c r="I48" s="17">
        <f>IFERROR(SUM('1. Mixture Model Inputs'!G48,'1. Mixture Model Inputs'!O48)/'1. Mixture Model Inputs'!AE48, NA())</f>
        <v>0.29914529914529914</v>
      </c>
      <c r="J48" s="17">
        <f>IFERROR(SUM('1. Mixture Model Inputs'!H48,'1. Mixture Model Inputs'!P48)/'1. Mixture Model Inputs'!AF48, NA())</f>
        <v>0.34555148283905368</v>
      </c>
      <c r="K48" s="17">
        <f>IFERROR(SUM('1. Mixture Model Inputs'!I48,'1. Mixture Model Inputs'!Q48)/'1. Mixture Model Inputs'!AG48, NA())</f>
        <v>0.14995099640640316</v>
      </c>
      <c r="L48" s="22">
        <f>C48*'2. Salmon Passage by Bin'!C48</f>
        <v>118.94126126126126</v>
      </c>
      <c r="M48" s="22">
        <f>D48*'2. Salmon Passage by Bin'!D48</f>
        <v>195.36817788045047</v>
      </c>
      <c r="N48" s="22">
        <f>F48*'2. Salmon Passage by Bin'!F48</f>
        <v>1761.7752373718192</v>
      </c>
      <c r="O48" s="22">
        <f>G48*'2. Salmon Passage by Bin'!G48</f>
        <v>1203.4216352503299</v>
      </c>
      <c r="P48" s="22">
        <f>$G48*'2. Salmon Passage by Bin'!H48</f>
        <v>1203.4216352503299</v>
      </c>
      <c r="Q48" s="22">
        <f>$G48*'2. Salmon Passage by Bin'!I48</f>
        <v>1131.3620458638493</v>
      </c>
      <c r="R48" s="22">
        <f>$G48*'2. Salmon Passage by Bin'!J48</f>
        <v>0</v>
      </c>
      <c r="S48" s="25">
        <f>'2. Salmon Passage by Bin'!K48*H48</f>
        <v>6677.9985038961004</v>
      </c>
      <c r="T48" s="25">
        <f>K48*'2. Salmon Passage by Bin'!L48</f>
        <v>43.869663508657311</v>
      </c>
      <c r="U48" s="25">
        <f>K48*'2. Salmon Passage by Bin'!M48</f>
        <v>84.50038549493631</v>
      </c>
      <c r="V48" s="25">
        <f>J48*'2. Salmon Passage by Bin'!N48</f>
        <v>346.98897700766418</v>
      </c>
      <c r="W48" s="25">
        <f>I48*'2. Salmon Passage by Bin'!O48</f>
        <v>394.15384615384613</v>
      </c>
      <c r="X48" s="22">
        <f>E48*'2. Salmon Passage by Bin'!E48</f>
        <v>312.88844816484226</v>
      </c>
      <c r="Y48" s="41">
        <f t="shared" si="0"/>
        <v>13161.801368939245</v>
      </c>
      <c r="Z48" s="42">
        <f>Y48/'[1]Passage Estimates'!$D48</f>
        <v>0.30183038968583881</v>
      </c>
      <c r="AA48" s="43">
        <f>IFERROR(SUMIF(L48:R48, "&lt;&gt;#N/A")/SUMIF('2. Salmon Passage by Bin'!E48:J48, "&lt;&gt;#N/A"), NA())</f>
        <v>0.38144495850645183</v>
      </c>
      <c r="AB48" s="42">
        <f>IFERROR(IF(ISNA(S48), NA(), S48/'2. Salmon Passage by Bin'!K48), NA())</f>
        <v>0.25974025974025972</v>
      </c>
      <c r="AC48" s="44">
        <f>IFERROR(SUMIF(T48:W48, "&lt;&gt;#N/A")/SUMIF('2. Salmon Passage by Bin'!L48:N48, "&lt;&gt;#N/A"), NA())</f>
        <v>0.46741972657565906</v>
      </c>
    </row>
    <row r="49" spans="1:29" x14ac:dyDescent="0.3">
      <c r="A49" s="5">
        <f>'1. Mixture Model Inputs'!A49</f>
        <v>45151</v>
      </c>
      <c r="B49" s="13" t="str">
        <f>IF(ISBLANK('[1]Passage Estimates'!$C49),"",IF('[1]Passage Estimates'!$C49="Imputation",'[1]Passage Estimates'!$B49,'[1]Passage Estimates'!$C49))</f>
        <v>A1+S1+M2+A2</v>
      </c>
      <c r="C49" s="17">
        <f>IFERROR(SUM('1. Mixture Model Inputs'!B49,'1. Mixture Model Inputs'!J49)/'1. Mixture Model Inputs'!Z49,NA())</f>
        <v>0.17034358047016274</v>
      </c>
      <c r="D49" s="17">
        <f>IFERROR(SUM('1. Mixture Model Inputs'!C49,'1. Mixture Model Inputs'!K49)/'1. Mixture Model Inputs'!AA49,NA())</f>
        <v>0.15842167255594816</v>
      </c>
      <c r="E49" s="17">
        <f>IFERROR(SUM('1. Mixture Model Inputs'!D49,'1. Mixture Model Inputs'!L49)/'1. Mixture Model Inputs'!AB49,NA())</f>
        <v>0.16507098052162431</v>
      </c>
      <c r="F49" s="17">
        <f>IFERROR(SUM('1. Mixture Model Inputs'!E49,'1. Mixture Model Inputs'!M49)/'1. Mixture Model Inputs'!AC49,NA())</f>
        <v>0.43024286474029422</v>
      </c>
      <c r="G49" s="17">
        <f>IFERROR(SUM('1. Mixture Model Inputs'!F49,'1. Mixture Model Inputs'!N49)/'1. Mixture Model Inputs'!AD49,NA())</f>
        <v>0.75215629221656444</v>
      </c>
      <c r="H49" s="24">
        <f>IFERROR(WhonSpComp!AT64+WhonSpComp!AV64, NA())</f>
        <v>0.17307692307692307</v>
      </c>
      <c r="I49" s="17">
        <f>IFERROR(SUM('1. Mixture Model Inputs'!G49,'1. Mixture Model Inputs'!O49)/'1. Mixture Model Inputs'!AE49, NA())</f>
        <v>0.2550267243573428</v>
      </c>
      <c r="J49" s="17">
        <f>IFERROR(SUM('1. Mixture Model Inputs'!H49,'1. Mixture Model Inputs'!P49)/'1. Mixture Model Inputs'!AF49, NA())</f>
        <v>0.66382616105666803</v>
      </c>
      <c r="K49" s="17">
        <f>IFERROR(SUM('1. Mixture Model Inputs'!I49,'1. Mixture Model Inputs'!Q49)/'1. Mixture Model Inputs'!AG49, NA())</f>
        <v>0.5967494994700272</v>
      </c>
      <c r="L49" s="22">
        <f>C49*'2. Salmon Passage by Bin'!C49</f>
        <v>249.55334538878841</v>
      </c>
      <c r="M49" s="22">
        <f>D49*'2. Salmon Passage by Bin'!D49</f>
        <v>490.7903415783274</v>
      </c>
      <c r="N49" s="22">
        <f>F49*'2. Salmon Passage by Bin'!F49</f>
        <v>2239.9820315546885</v>
      </c>
      <c r="O49" s="22">
        <f>G49*'2. Salmon Passage by Bin'!G49</f>
        <v>3564.6792725761193</v>
      </c>
      <c r="P49" s="22">
        <f>$G49*'2. Salmon Passage by Bin'!H49</f>
        <v>2963.1949288163773</v>
      </c>
      <c r="Q49" s="22">
        <f>$G49*'2. Salmon Passage by Bin'!I49</f>
        <v>2877.6296290138212</v>
      </c>
      <c r="R49" s="22">
        <f>$G49*'2. Salmon Passage by Bin'!J49</f>
        <v>0</v>
      </c>
      <c r="S49" s="25">
        <f>'2. Salmon Passage by Bin'!K49*H49</f>
        <v>2651.940000000001</v>
      </c>
      <c r="T49" s="25">
        <f>K49*'2. Salmon Passage by Bin'!L49</f>
        <v>376.6682840654812</v>
      </c>
      <c r="U49" s="25">
        <f>K49*'2. Salmon Passage by Bin'!M49</f>
        <v>675.42495348015552</v>
      </c>
      <c r="V49" s="25">
        <f>J49*'2. Salmon Passage by Bin'!N49</f>
        <v>524.95372816361316</v>
      </c>
      <c r="W49" s="25">
        <f>I49*'2. Salmon Passage by Bin'!O49</f>
        <v>369.99277169763297</v>
      </c>
      <c r="X49" s="22">
        <f>E49*'2. Salmon Passage by Bin'!E49</f>
        <v>753.19907560250908</v>
      </c>
      <c r="Y49" s="41">
        <f t="shared" si="0"/>
        <v>16984.809286335007</v>
      </c>
      <c r="Z49" s="42">
        <f>Y49/'[1]Passage Estimates'!$D49</f>
        <v>0.40828004807434376</v>
      </c>
      <c r="AA49" s="43">
        <f>IFERROR(SUMIF(L49:R49, "&lt;&gt;#N/A")/SUMIF('2. Salmon Passage by Bin'!E49:J49, "&lt;&gt;#N/A"), NA())</f>
        <v>0.55606869149786486</v>
      </c>
      <c r="AB49" s="42">
        <f>IFERROR(IF(ISNA(S49), NA(), S49/'2. Salmon Passage by Bin'!K49), NA())</f>
        <v>0.17307692307692307</v>
      </c>
      <c r="AC49" s="44">
        <f>IFERROR(SUMIF(T49:W49, "&lt;&gt;#N/A")/SUMIF('2. Salmon Passage by Bin'!L49:N49, "&lt;&gt;#N/A"), NA())</f>
        <v>0.76239691500128548</v>
      </c>
    </row>
    <row r="50" spans="1:29" x14ac:dyDescent="0.3">
      <c r="A50" s="5">
        <f>'1. Mixture Model Inputs'!A50</f>
        <v>45152</v>
      </c>
      <c r="B50" s="13" t="str">
        <f>IF(ISBLANK('[1]Passage Estimates'!$C50),"",IF('[1]Passage Estimates'!$C50="Imputation",'[1]Passage Estimates'!$B50,'[1]Passage Estimates'!$C50))</f>
        <v>A1+S1+M2+A2</v>
      </c>
      <c r="C50" s="17">
        <f>IFERROR(SUM('1. Mixture Model Inputs'!B50,'1. Mixture Model Inputs'!J50)/'1. Mixture Model Inputs'!Z50,NA())</f>
        <v>2.2663682148852823E-2</v>
      </c>
      <c r="D50" s="17">
        <f>IFERROR(SUM('1. Mixture Model Inputs'!C50,'1. Mixture Model Inputs'!K50)/'1. Mixture Model Inputs'!AA50,NA())</f>
        <v>0.21079622132253711</v>
      </c>
      <c r="E50" s="17">
        <f>IFERROR(SUM('1. Mixture Model Inputs'!D50,'1. Mixture Model Inputs'!L50)/'1. Mixture Model Inputs'!AB50,NA())</f>
        <v>0.12093663911845731</v>
      </c>
      <c r="F50" s="17">
        <f>IFERROR(SUM('1. Mixture Model Inputs'!E50,'1. Mixture Model Inputs'!M50)/'1. Mixture Model Inputs'!AC50,NA())</f>
        <v>0.40477068732325094</v>
      </c>
      <c r="G50" s="17">
        <f>IFERROR(SUM('1. Mixture Model Inputs'!F50,'1. Mixture Model Inputs'!N50)/'1. Mixture Model Inputs'!AD50,NA())</f>
        <v>0.67846638655462188</v>
      </c>
      <c r="H50" s="24">
        <f>IFERROR(WhonSpComp!AT65+WhonSpComp!AV65, NA())</f>
        <v>7.0422535211267609E-2</v>
      </c>
      <c r="I50" s="17">
        <f>IFERROR(SUM('1. Mixture Model Inputs'!G50,'1. Mixture Model Inputs'!O50)/'1. Mixture Model Inputs'!AE50, NA())</f>
        <v>0.2550267243573428</v>
      </c>
      <c r="J50" s="17">
        <f>IFERROR(SUM('1. Mixture Model Inputs'!H50,'1. Mixture Model Inputs'!P50)/'1. Mixture Model Inputs'!AF50, NA())</f>
        <v>0.66382616105666803</v>
      </c>
      <c r="K50" s="17">
        <f>IFERROR(SUM('1. Mixture Model Inputs'!I50,'1. Mixture Model Inputs'!Q50)/'1. Mixture Model Inputs'!AG50, NA())</f>
        <v>0.5967494994700272</v>
      </c>
      <c r="L50" s="22">
        <f>C50*'2. Salmon Passage by Bin'!C50</f>
        <v>62.529099048684941</v>
      </c>
      <c r="M50" s="22">
        <f>D50*'2. Salmon Passage by Bin'!D50</f>
        <v>1214.6078272604589</v>
      </c>
      <c r="N50" s="22">
        <f>F50*'2. Salmon Passage by Bin'!F50</f>
        <v>2509.4487347842123</v>
      </c>
      <c r="O50" s="22">
        <f>G50*'2. Salmon Passage by Bin'!G50</f>
        <v>2396.0718907563028</v>
      </c>
      <c r="P50" s="22">
        <f>$G50*'2. Salmon Passage by Bin'!H50</f>
        <v>1581.423731092437</v>
      </c>
      <c r="Q50" s="22">
        <f>$G50*'2. Salmon Passage by Bin'!I50</f>
        <v>1334.8961848739496</v>
      </c>
      <c r="R50" s="22">
        <f>$G50*'2. Salmon Passage by Bin'!J50</f>
        <v>0</v>
      </c>
      <c r="S50" s="25">
        <f>'2. Salmon Passage by Bin'!K50*H50</f>
        <v>617.07042253521195</v>
      </c>
      <c r="T50" s="25">
        <f>K50*'2. Salmon Passage by Bin'!L50</f>
        <v>-84.499729124955863</v>
      </c>
      <c r="U50" s="25">
        <f>K50*'2. Salmon Passage by Bin'!M50</f>
        <v>318.23457307737607</v>
      </c>
      <c r="V50" s="25">
        <f>J50*'2. Salmon Passage by Bin'!N50</f>
        <v>485.76143161482742</v>
      </c>
      <c r="W50" s="25">
        <f>I50*'2. Salmon Passage by Bin'!O50</f>
        <v>165.31852379740391</v>
      </c>
      <c r="X50" s="22">
        <f>E50*'2. Salmon Passage by Bin'!E50</f>
        <v>1030.4962644628101</v>
      </c>
      <c r="Y50" s="41">
        <f t="shared" si="0"/>
        <v>10600.862689715908</v>
      </c>
      <c r="Z50" s="42">
        <f>Y50/'[1]Passage Estimates'!$D50</f>
        <v>0.32041566891652418</v>
      </c>
      <c r="AA50" s="43">
        <f>IFERROR(SUMIF(L50:R50, "&lt;&gt;#N/A")/SUMIF('2. Salmon Passage by Bin'!E50:J50, "&lt;&gt;#N/A"), NA())</f>
        <v>0.40349087510669523</v>
      </c>
      <c r="AB50" s="42">
        <f>IFERROR(IF(ISNA(S50), NA(), S50/'2. Salmon Passage by Bin'!K50), NA())</f>
        <v>7.0422535211267609E-2</v>
      </c>
      <c r="AC50" s="44">
        <f>IFERROR(SUMIF(T50:W50, "&lt;&gt;#N/A")/SUMIF('2. Salmon Passage by Bin'!L50:N50, "&lt;&gt;#N/A"), NA())</f>
        <v>0.78759417446828628</v>
      </c>
    </row>
    <row r="51" spans="1:29" x14ac:dyDescent="0.3">
      <c r="A51" s="5">
        <f>'1. Mixture Model Inputs'!A51</f>
        <v>45153</v>
      </c>
      <c r="B51" s="13" t="str">
        <f>IF(ISBLANK('[1]Passage Estimates'!$C51),"",IF('[1]Passage Estimates'!$C51="Imputation",'[1]Passage Estimates'!$B51,'[1]Passage Estimates'!$C51))</f>
        <v>A1+S1+M2+A2</v>
      </c>
      <c r="C51" s="17">
        <f>IFERROR(SUM('1. Mixture Model Inputs'!B51,'1. Mixture Model Inputs'!J51)/'1. Mixture Model Inputs'!Z51,NA())</f>
        <v>0.19222115075538412</v>
      </c>
      <c r="D51" s="17">
        <f>IFERROR(SUM('1. Mixture Model Inputs'!C51,'1. Mixture Model Inputs'!K51)/'1. Mixture Model Inputs'!AA51,NA())</f>
        <v>8.9533417402269846E-2</v>
      </c>
      <c r="E51" s="17">
        <f>IFERROR(SUM('1. Mixture Model Inputs'!D51,'1. Mixture Model Inputs'!L51)/'1. Mixture Model Inputs'!AB51,NA())</f>
        <v>0.14769230769230771</v>
      </c>
      <c r="F51" s="17">
        <f>IFERROR(SUM('1. Mixture Model Inputs'!E51,'1. Mixture Model Inputs'!M51)/'1. Mixture Model Inputs'!AC51,NA())</f>
        <v>0.3247911652272405</v>
      </c>
      <c r="G51" s="17">
        <f>IFERROR(SUM('1. Mixture Model Inputs'!F51,'1. Mixture Model Inputs'!N51)/'1. Mixture Model Inputs'!AD51,NA())</f>
        <v>0.62754449226474351</v>
      </c>
      <c r="H51" s="24">
        <f>IFERROR(WhonSpComp!AT66+WhonSpComp!AV66, NA())</f>
        <v>0.16101694915254239</v>
      </c>
      <c r="I51" s="17">
        <f>IFERROR(SUM('1. Mixture Model Inputs'!G51,'1. Mixture Model Inputs'!O51)/'1. Mixture Model Inputs'!AE51, NA())</f>
        <v>0.28564429201371877</v>
      </c>
      <c r="J51" s="17">
        <f>IFERROR(SUM('1. Mixture Model Inputs'!H51,'1. Mixture Model Inputs'!P51)/'1. Mixture Model Inputs'!AF51, NA())</f>
        <v>0.40848270638727591</v>
      </c>
      <c r="K51" s="17">
        <f>IFERROR(SUM('1. Mixture Model Inputs'!I51,'1. Mixture Model Inputs'!Q51)/'1. Mixture Model Inputs'!AG51, NA())</f>
        <v>0.56326970443349755</v>
      </c>
      <c r="L51" s="22">
        <f>C51*'2. Salmon Passage by Bin'!C51</f>
        <v>430.38315654130503</v>
      </c>
      <c r="M51" s="22">
        <f>D51*'2. Salmon Passage by Bin'!D51</f>
        <v>713.22320302648154</v>
      </c>
      <c r="N51" s="22">
        <f>F51*'2. Salmon Passage by Bin'!F51</f>
        <v>2066.2174600028316</v>
      </c>
      <c r="O51" s="22">
        <f>G51*'2. Salmon Passage by Bin'!G51</f>
        <v>2262.3229963940908</v>
      </c>
      <c r="P51" s="22">
        <f>$G51*'2. Salmon Passage by Bin'!H51</f>
        <v>1724.0404327090844</v>
      </c>
      <c r="Q51" s="22">
        <f>$G51*'2. Salmon Passage by Bin'!I51</f>
        <v>1327.1812958008609</v>
      </c>
      <c r="R51" s="22">
        <f>$G51*'2. Salmon Passage by Bin'!J51</f>
        <v>0</v>
      </c>
      <c r="S51" s="25">
        <f>'2. Salmon Passage by Bin'!K51*H51</f>
        <v>2024.4081355932192</v>
      </c>
      <c r="T51" s="25">
        <f>K51*'2. Salmon Passage by Bin'!L51</f>
        <v>287.53791871921186</v>
      </c>
      <c r="U51" s="25">
        <f>K51*'2. Salmon Passage by Bin'!M51</f>
        <v>140.86248768472905</v>
      </c>
      <c r="V51" s="25">
        <f>J51*'2. Salmon Passage by Bin'!N51</f>
        <v>201.16956324160566</v>
      </c>
      <c r="W51" s="25">
        <f>I51*'2. Salmon Passage by Bin'!O51</f>
        <v>143.55339539441451</v>
      </c>
      <c r="X51" s="22">
        <f>E51*'2. Salmon Passage by Bin'!E51</f>
        <v>1507.1704615384615</v>
      </c>
      <c r="Y51" s="41">
        <f t="shared" si="0"/>
        <v>11320.900045107834</v>
      </c>
      <c r="Z51" s="42">
        <f>Y51/'[1]Passage Estimates'!$D51</f>
        <v>0.28761046323725659</v>
      </c>
      <c r="AA51" s="43">
        <f>IFERROR(SUMIF(L51:R51, "&lt;&gt;#N/A")/SUMIF('2. Salmon Passage by Bin'!E51:J51, "&lt;&gt;#N/A"), NA())</f>
        <v>0.34047605244113743</v>
      </c>
      <c r="AB51" s="42">
        <f>IFERROR(IF(ISNA(S51), NA(), S51/'2. Salmon Passage by Bin'!K51), NA())</f>
        <v>0.16101694915254239</v>
      </c>
      <c r="AC51" s="44">
        <f>IFERROR(SUMIF(T51:W51, "&lt;&gt;#N/A")/SUMIF('2. Salmon Passage by Bin'!L51:N51, "&lt;&gt;#N/A"), NA())</f>
        <v>0.61699815252502799</v>
      </c>
    </row>
    <row r="52" spans="1:29" x14ac:dyDescent="0.3">
      <c r="A52" s="5">
        <f>'1. Mixture Model Inputs'!A52</f>
        <v>45154</v>
      </c>
      <c r="B52" s="13" t="str">
        <f>IF(ISBLANK('[1]Passage Estimates'!$C52),"",IF('[1]Passage Estimates'!$C52="Imputation",'[1]Passage Estimates'!$B52,'[1]Passage Estimates'!$C52))</f>
        <v>A1+S1+M2+A2</v>
      </c>
      <c r="C52" s="17">
        <f>IFERROR(SUM('1. Mixture Model Inputs'!B52,'1. Mixture Model Inputs'!J52)/'1. Mixture Model Inputs'!Z52,NA())</f>
        <v>0.19176262178919398</v>
      </c>
      <c r="D52" s="17">
        <f>IFERROR(SUM('1. Mixture Model Inputs'!C52,'1. Mixture Model Inputs'!K52)/'1. Mixture Model Inputs'!AA52,NA())</f>
        <v>0.10871113220982673</v>
      </c>
      <c r="E52" s="17">
        <f>IFERROR(SUM('1. Mixture Model Inputs'!D52,'1. Mixture Model Inputs'!L52)/'1. Mixture Model Inputs'!AB52,NA())</f>
        <v>0.14683782091421413</v>
      </c>
      <c r="F52" s="17">
        <f>IFERROR(SUM('1. Mixture Model Inputs'!E52,'1. Mixture Model Inputs'!M52)/'1. Mixture Model Inputs'!AC52,NA())</f>
        <v>0.32994855131329542</v>
      </c>
      <c r="G52" s="17">
        <f>IFERROR(SUM('1. Mixture Model Inputs'!F52,'1. Mixture Model Inputs'!N52)/'1. Mixture Model Inputs'!AD52,NA())</f>
        <v>0.50720853672380517</v>
      </c>
      <c r="H52" s="24">
        <f>IFERROR(WhonSpComp!AT67+WhonSpComp!AV67, NA())</f>
        <v>5.3763440860215062E-2</v>
      </c>
      <c r="I52" s="17">
        <f>IFERROR(SUM('1. Mixture Model Inputs'!G52,'1. Mixture Model Inputs'!O52)/'1. Mixture Model Inputs'!AE52, NA())</f>
        <v>0.28564429201371877</v>
      </c>
      <c r="J52" s="17">
        <f>IFERROR(SUM('1. Mixture Model Inputs'!H52,'1. Mixture Model Inputs'!P52)/'1. Mixture Model Inputs'!AF52, NA())</f>
        <v>0.40848270638727591</v>
      </c>
      <c r="K52" s="17">
        <f>IFERROR(SUM('1. Mixture Model Inputs'!I52,'1. Mixture Model Inputs'!Q52)/'1. Mixture Model Inputs'!AG52, NA())</f>
        <v>0.56326970443349755</v>
      </c>
      <c r="L52" s="22">
        <f>C52*'2. Salmon Passage by Bin'!C52</f>
        <v>413.24844995571306</v>
      </c>
      <c r="M52" s="22">
        <f>D52*'2. Salmon Passage by Bin'!D52</f>
        <v>974.92143365772608</v>
      </c>
      <c r="N52" s="22">
        <f>F52*'2. Salmon Passage by Bin'!F52</f>
        <v>2737.9130787977256</v>
      </c>
      <c r="O52" s="22">
        <f>G52*'2. Salmon Passage by Bin'!G52</f>
        <v>2769.48034056079</v>
      </c>
      <c r="P52" s="22">
        <f>$G52*'2. Salmon Passage by Bin'!H52</f>
        <v>1856.1397843114992</v>
      </c>
      <c r="Q52" s="22">
        <f>$G52*'2. Salmon Passage by Bin'!I52</f>
        <v>1779.0846634124191</v>
      </c>
      <c r="R52" s="22">
        <f>$G52*'2. Salmon Passage by Bin'!J52</f>
        <v>0</v>
      </c>
      <c r="S52" s="25">
        <f>'2. Salmon Passage by Bin'!K52*H52</f>
        <v>713.56129032257991</v>
      </c>
      <c r="T52" s="25">
        <f>K52*'2. Salmon Passage by Bin'!L52</f>
        <v>191.69194581280789</v>
      </c>
      <c r="U52" s="25">
        <f>K52*'2. Salmon Passage by Bin'!M52</f>
        <v>157.89576354679804</v>
      </c>
      <c r="V52" s="25">
        <f>J52*'2. Salmon Passage by Bin'!N52</f>
        <v>284.69610704367585</v>
      </c>
      <c r="W52" s="25">
        <f>I52*'2. Salmon Passage by Bin'!O52</f>
        <v>114.89756001959825</v>
      </c>
      <c r="X52" s="22">
        <f>E52*'2. Salmon Passage by Bin'!E52</f>
        <v>1633.177232310582</v>
      </c>
      <c r="Y52" s="41">
        <f t="shared" si="0"/>
        <v>11993.530417441334</v>
      </c>
      <c r="Z52" s="42">
        <f>Y52/'[1]Passage Estimates'!$D52</f>
        <v>0.25496580801945712</v>
      </c>
      <c r="AA52" s="43">
        <f>IFERROR(SUMIF(L52:R52, "&lt;&gt;#N/A")/SUMIF('2. Salmon Passage by Bin'!E52:J52, "&lt;&gt;#N/A"), NA())</f>
        <v>0.32859750692392942</v>
      </c>
      <c r="AB52" s="42">
        <f>IFERROR(IF(ISNA(S52), NA(), S52/'2. Salmon Passage by Bin'!K52), NA())</f>
        <v>5.3763440860215068E-2</v>
      </c>
      <c r="AC52" s="44">
        <f>IFERROR(SUMIF(T52:W52, "&lt;&gt;#N/A")/SUMIF('2. Salmon Passage by Bin'!L52:N52, "&lt;&gt;#N/A"), NA())</f>
        <v>0.56859545873017614</v>
      </c>
    </row>
    <row r="53" spans="1:29" x14ac:dyDescent="0.3">
      <c r="A53" s="5">
        <f>'1. Mixture Model Inputs'!A53</f>
        <v>45155</v>
      </c>
      <c r="B53" s="13" t="str">
        <f>IF(ISBLANK('[1]Passage Estimates'!$C53),"",IF('[1]Passage Estimates'!$C53="Imputation",'[1]Passage Estimates'!$B53,'[1]Passage Estimates'!$C53))</f>
        <v>A1+S1+M2+A2</v>
      </c>
      <c r="C53" s="17">
        <f>IFERROR(SUM('1. Mixture Model Inputs'!B53,'1. Mixture Model Inputs'!J53)/'1. Mixture Model Inputs'!Z53,NA())</f>
        <v>7.1131047741108622E-2</v>
      </c>
      <c r="D53" s="17">
        <f>IFERROR(SUM('1. Mixture Model Inputs'!C53,'1. Mixture Model Inputs'!K53)/'1. Mixture Model Inputs'!AA53,NA())</f>
        <v>8.0992815153494449E-2</v>
      </c>
      <c r="E53" s="17">
        <f>IFERROR(SUM('1. Mixture Model Inputs'!D53,'1. Mixture Model Inputs'!L53)/'1. Mixture Model Inputs'!AB53,NA())</f>
        <v>7.6999999999999999E-2</v>
      </c>
      <c r="F53" s="17">
        <f>IFERROR(SUM('1. Mixture Model Inputs'!E53,'1. Mixture Model Inputs'!M53)/'1. Mixture Model Inputs'!AC53,NA())</f>
        <v>0.26709041380204956</v>
      </c>
      <c r="G53" s="17">
        <f>IFERROR(SUM('1. Mixture Model Inputs'!F53,'1. Mixture Model Inputs'!N53)/'1. Mixture Model Inputs'!AD53,NA())</f>
        <v>0.41889203057911828</v>
      </c>
      <c r="H53" s="24">
        <f>IFERROR(WhonSpComp!AT68+WhonSpComp!AV68, NA())</f>
        <v>3.5714285714285712E-2</v>
      </c>
      <c r="I53" s="17">
        <f>IFERROR(SUM('1. Mixture Model Inputs'!G53,'1. Mixture Model Inputs'!O53)/'1. Mixture Model Inputs'!AE53, NA())</f>
        <v>0.12783553875236295</v>
      </c>
      <c r="J53" s="17">
        <f>IFERROR(SUM('1. Mixture Model Inputs'!H53,'1. Mixture Model Inputs'!P53)/'1. Mixture Model Inputs'!AF53, NA())</f>
        <v>0.18098390251241164</v>
      </c>
      <c r="K53" s="17">
        <f>IFERROR(SUM('1. Mixture Model Inputs'!I53,'1. Mixture Model Inputs'!Q53)/'1. Mixture Model Inputs'!AG53, NA())</f>
        <v>0.35243519702429388</v>
      </c>
      <c r="L53" s="22">
        <f>C53*'2. Salmon Passage by Bin'!C53</f>
        <v>206.280038449215</v>
      </c>
      <c r="M53" s="22">
        <f>D53*'2. Salmon Passage by Bin'!D53</f>
        <v>875.28935336381448</v>
      </c>
      <c r="N53" s="22">
        <f>F53*'2. Salmon Passage by Bin'!F53</f>
        <v>2179.2013698274741</v>
      </c>
      <c r="O53" s="22">
        <f>G53*'2. Salmon Passage by Bin'!G53</f>
        <v>2517.1724787935914</v>
      </c>
      <c r="P53" s="22">
        <f>$G53*'2. Salmon Passage by Bin'!H53</f>
        <v>1656.8017593465288</v>
      </c>
      <c r="Q53" s="22">
        <f>$G53*'2. Salmon Passage by Bin'!I53</f>
        <v>1667.3578385171227</v>
      </c>
      <c r="R53" s="22">
        <f>$G53*'2. Salmon Passage by Bin'!J53</f>
        <v>0</v>
      </c>
      <c r="S53" s="25">
        <f>'2. Salmon Passage by Bin'!K53*H53</f>
        <v>904.85142857142841</v>
      </c>
      <c r="T53" s="25">
        <f>K53*'2. Salmon Passage by Bin'!L53</f>
        <v>184.81701731953973</v>
      </c>
      <c r="U53" s="25">
        <f>K53*'2. Salmon Passage by Bin'!M53</f>
        <v>346.11955829361852</v>
      </c>
      <c r="V53" s="25">
        <f>J53*'2. Salmon Passage by Bin'!N53</f>
        <v>259.05311870016556</v>
      </c>
      <c r="W53" s="25">
        <f>I53*'2. Salmon Passage by Bin'!O53</f>
        <v>115.51219281663515</v>
      </c>
      <c r="X53" s="22">
        <f>E53*'2. Salmon Passage by Bin'!E53</f>
        <v>1055.41128</v>
      </c>
      <c r="Y53" s="41">
        <f t="shared" si="0"/>
        <v>10912.456153999132</v>
      </c>
      <c r="Z53" s="42">
        <f>Y53/'[1]Passage Estimates'!$D53</f>
        <v>0.16791576732696309</v>
      </c>
      <c r="AA53" s="43">
        <f>IFERROR(SUMIF(L53:R53, "&lt;&gt;#N/A")/SUMIF('2. Salmon Passage by Bin'!E53:J53, "&lt;&gt;#N/A"), NA())</f>
        <v>0.25417484413180935</v>
      </c>
      <c r="AB53" s="42">
        <f>IFERROR(IF(ISNA(S53), NA(), S53/'2. Salmon Passage by Bin'!K53), NA())</f>
        <v>3.5714285714285712E-2</v>
      </c>
      <c r="AC53" s="44">
        <f>IFERROR(SUMIF(T53:W53, "&lt;&gt;#N/A")/SUMIF('2. Salmon Passage by Bin'!L53:N53, "&lt;&gt;#N/A"), NA())</f>
        <v>0.30822028671743829</v>
      </c>
    </row>
    <row r="54" spans="1:29" x14ac:dyDescent="0.3">
      <c r="A54" s="5">
        <f>'1. Mixture Model Inputs'!A54</f>
        <v>45156</v>
      </c>
      <c r="B54" s="13" t="str">
        <f>IF(ISBLANK('[1]Passage Estimates'!$C54),"",IF('[1]Passage Estimates'!$C54="Imputation",'[1]Passage Estimates'!$B54,'[1]Passage Estimates'!$C54))</f>
        <v>A1+S1+M2+A2</v>
      </c>
      <c r="C54" s="17">
        <f>IFERROR(SUM('1. Mixture Model Inputs'!B54,'1. Mixture Model Inputs'!J54)/'1. Mixture Model Inputs'!Z54,NA())</f>
        <v>0.14422110552763817</v>
      </c>
      <c r="D54" s="17">
        <f>IFERROR(SUM('1. Mixture Model Inputs'!C54,'1. Mixture Model Inputs'!K54)/'1. Mixture Model Inputs'!AA54,NA())</f>
        <v>8.4273709483793521E-2</v>
      </c>
      <c r="E54" s="17">
        <f>IFERROR(SUM('1. Mixture Model Inputs'!D54,'1. Mixture Model Inputs'!L54)/'1. Mixture Model Inputs'!AB54,NA())</f>
        <v>0.10499265785609398</v>
      </c>
      <c r="F54" s="17">
        <f>IFERROR(SUM('1. Mixture Model Inputs'!E54,'1. Mixture Model Inputs'!M54)/'1. Mixture Model Inputs'!AC54,NA())</f>
        <v>0.34207481681450058</v>
      </c>
      <c r="G54" s="17">
        <f>IFERROR(SUM('1. Mixture Model Inputs'!F54,'1. Mixture Model Inputs'!N54)/'1. Mixture Model Inputs'!AD54,NA())</f>
        <v>0.60202424090965889</v>
      </c>
      <c r="H54" s="24">
        <f>IFERROR(WhonSpComp!AT69+WhonSpComp!AV69, NA())</f>
        <v>4.1666666666666664E-2</v>
      </c>
      <c r="I54" s="17">
        <f>IFERROR(SUM('1. Mixture Model Inputs'!G54,'1. Mixture Model Inputs'!O54)/'1. Mixture Model Inputs'!AE54, NA())</f>
        <v>0.12783553875236295</v>
      </c>
      <c r="J54" s="17">
        <f>IFERROR(SUM('1. Mixture Model Inputs'!H54,'1. Mixture Model Inputs'!P54)/'1. Mixture Model Inputs'!AF54, NA())</f>
        <v>0.18098390251241164</v>
      </c>
      <c r="K54" s="17">
        <f>IFERROR(SUM('1. Mixture Model Inputs'!I54,'1. Mixture Model Inputs'!Q54)/'1. Mixture Model Inputs'!AG54, NA())</f>
        <v>0.35243519702429388</v>
      </c>
      <c r="L54" s="22">
        <f>C54*'2. Salmon Passage by Bin'!C53</f>
        <v>418.24120603015069</v>
      </c>
      <c r="M54" s="22">
        <f>D54*'2. Salmon Passage by Bin'!D53</f>
        <v>910.74597839135663</v>
      </c>
      <c r="N54" s="22">
        <f>F54*'2. Salmon Passage by Bin'!F54</f>
        <v>6021.474585422292</v>
      </c>
      <c r="O54" s="22">
        <f>G54*'2. Salmon Passage by Bin'!G54</f>
        <v>6090.0772210421092</v>
      </c>
      <c r="P54" s="22">
        <f>$G54*'2. Salmon Passage by Bin'!H54</f>
        <v>4673.8272347869552</v>
      </c>
      <c r="Q54" s="22">
        <f>$G54*'2. Salmon Passage by Bin'!I54</f>
        <v>3149.9353142571535</v>
      </c>
      <c r="R54" s="22">
        <f>$G54*'2. Salmon Passage by Bin'!J54</f>
        <v>0</v>
      </c>
      <c r="S54" s="25">
        <f>'2. Salmon Passage by Bin'!K54*H54</f>
        <v>968.62000000000126</v>
      </c>
      <c r="T54" s="25">
        <f>K54*'2. Salmon Passage by Bin'!L54</f>
        <v>349.16459839590846</v>
      </c>
      <c r="U54" s="25">
        <f>K54*'2. Salmon Passage by Bin'!M54</f>
        <v>307.8028036731373</v>
      </c>
      <c r="V54" s="25">
        <f>J54*'2. Salmon Passage by Bin'!N54</f>
        <v>236.33601925680762</v>
      </c>
      <c r="W54" s="25">
        <f>I54*'2. Salmon Passage by Bin'!O54</f>
        <v>160.91937618147449</v>
      </c>
      <c r="X54" s="22">
        <f>E54*'2. Salmon Passage by Bin'!E54</f>
        <v>1745.0283700440527</v>
      </c>
      <c r="Y54" s="41">
        <f t="shared" si="0"/>
        <v>23287.144337437348</v>
      </c>
      <c r="Z54" s="42">
        <f>Y54/'[1]Passage Estimates'!$D54</f>
        <v>0.27393211411462537</v>
      </c>
      <c r="AA54" s="43">
        <f>IFERROR(SUMIF(L54:R54, "&lt;&gt;#N/A")/SUMIF('2. Salmon Passage by Bin'!E54:J54, "&lt;&gt;#N/A"), NA())</f>
        <v>0.37087794026009252</v>
      </c>
      <c r="AB54" s="42">
        <f>IFERROR(IF(ISNA(S54), NA(), S54/'2. Salmon Passage by Bin'!K54), NA())</f>
        <v>4.1666666666666664E-2</v>
      </c>
      <c r="AC54" s="44">
        <f>IFERROR(SUMIF(T54:W54, "&lt;&gt;#N/A")/SUMIF('2. Salmon Passage by Bin'!L54:N54, "&lt;&gt;#N/A"), NA())</f>
        <v>0.33257078964369063</v>
      </c>
    </row>
    <row r="55" spans="1:29" x14ac:dyDescent="0.3">
      <c r="A55" s="5">
        <f>'1. Mixture Model Inputs'!A55</f>
        <v>45157</v>
      </c>
      <c r="B55" s="13" t="str">
        <f>IF(ISBLANK('[1]Passage Estimates'!$C55),"",IF('[1]Passage Estimates'!$C55="Imputation",'[1]Passage Estimates'!$B55,'[1]Passage Estimates'!$C55))</f>
        <v>A1+S1+M2+A2</v>
      </c>
      <c r="C55" s="17">
        <f>IFERROR(SUM('1. Mixture Model Inputs'!B55,'1. Mixture Model Inputs'!J55)/'1. Mixture Model Inputs'!Z55,NA())</f>
        <v>1.7126878713736454E-2</v>
      </c>
      <c r="D55" s="17">
        <f>IFERROR(SUM('1. Mixture Model Inputs'!C55,'1. Mixture Model Inputs'!K55)/'1. Mixture Model Inputs'!AA55,NA())</f>
        <v>0.1313052522100884</v>
      </c>
      <c r="E55" s="17">
        <f>IFERROR(SUM('1. Mixture Model Inputs'!D55,'1. Mixture Model Inputs'!L55)/'1. Mixture Model Inputs'!AB55,NA())</f>
        <v>8.5431654676258989E-2</v>
      </c>
      <c r="F55" s="17">
        <f>IFERROR(SUM('1. Mixture Model Inputs'!E55,'1. Mixture Model Inputs'!M55)/'1. Mixture Model Inputs'!AC55,NA())</f>
        <v>0.19323554370226692</v>
      </c>
      <c r="G55" s="17">
        <f>IFERROR(SUM('1. Mixture Model Inputs'!F55,'1. Mixture Model Inputs'!N55)/'1. Mixture Model Inputs'!AD55,NA())</f>
        <v>0.63951756998213227</v>
      </c>
      <c r="H55" s="24">
        <f>IFERROR(WhonSpComp!AT70+WhonSpComp!AV70, NA())</f>
        <v>7.4999999999999997E-2</v>
      </c>
      <c r="I55" s="17">
        <f>IFERROR(SUM('1. Mixture Model Inputs'!G55,'1. Mixture Model Inputs'!O55)/'1. Mixture Model Inputs'!AE55, NA())</f>
        <v>0.1656291265798906</v>
      </c>
      <c r="J55" s="17">
        <f>IFERROR(SUM('1. Mixture Model Inputs'!H55,'1. Mixture Model Inputs'!P55)/'1. Mixture Model Inputs'!AF55, NA())</f>
        <v>0.39072137302225796</v>
      </c>
      <c r="K55" s="17">
        <f>IFERROR(SUM('1. Mixture Model Inputs'!I55,'1. Mixture Model Inputs'!Q55)/'1. Mixture Model Inputs'!AG55, NA())</f>
        <v>0.55599110075219838</v>
      </c>
      <c r="L55" s="22">
        <f>C55*'2. Salmon Passage by Bin'!C55</f>
        <v>46.413841314225792</v>
      </c>
      <c r="M55" s="22">
        <f>D55*'2. Salmon Passage by Bin'!D55</f>
        <v>1106.6406656266252</v>
      </c>
      <c r="N55" s="22">
        <f>F55*'2. Salmon Passage by Bin'!F55</f>
        <v>3257.9976433507086</v>
      </c>
      <c r="O55" s="22">
        <f>G55*'2. Salmon Passage by Bin'!G55</f>
        <v>6649.7036926742112</v>
      </c>
      <c r="P55" s="22">
        <f>$G55*'2. Salmon Passage by Bin'!H55</f>
        <v>3865.193031566409</v>
      </c>
      <c r="Q55" s="22">
        <f>$G55*'2. Salmon Passage by Bin'!I55</f>
        <v>1686.6380583680764</v>
      </c>
      <c r="R55" s="22">
        <f>$G55*'2. Salmon Passage by Bin'!J55</f>
        <v>0</v>
      </c>
      <c r="S55" s="25">
        <f>'2. Salmon Passage by Bin'!K55*H55</f>
        <v>1985.0252399999961</v>
      </c>
      <c r="T55" s="25">
        <f>K55*'2. Salmon Passage by Bin'!L55</f>
        <v>988.24082212098756</v>
      </c>
      <c r="U55" s="25">
        <f>K55*'2. Salmon Passage by Bin'!M55</f>
        <v>2201.1910075219835</v>
      </c>
      <c r="V55" s="25">
        <f>J55*'2. Salmon Passage by Bin'!N55</f>
        <v>1605.3022043443279</v>
      </c>
      <c r="W55" s="25">
        <f>I55*'2. Salmon Passage by Bin'!O55</f>
        <v>567.08762874929266</v>
      </c>
      <c r="X55" s="22">
        <f>E55*'2. Salmon Passage by Bin'!E55</f>
        <v>951.5309352517985</v>
      </c>
      <c r="Y55" s="41">
        <f t="shared" si="0"/>
        <v>23959.433835636843</v>
      </c>
      <c r="Z55" s="42">
        <f>Y55/'[1]Passage Estimates'!$D55</f>
        <v>0.27598798148112891</v>
      </c>
      <c r="AA55" s="43">
        <f>IFERROR(SUMIF(L55:R55, "&lt;&gt;#N/A")/SUMIF('2. Salmon Passage by Bin'!E55:J55, "&lt;&gt;#N/A"), NA())</f>
        <v>0.35287787383724045</v>
      </c>
      <c r="AB55" s="42">
        <f>IFERROR(IF(ISNA(S55), NA(), S55/'2. Salmon Passage by Bin'!K55), NA())</f>
        <v>7.4999999999999997E-2</v>
      </c>
      <c r="AC55" s="44">
        <f>IFERROR(SUMIF(T55:W55, "&lt;&gt;#N/A")/SUMIF('2. Salmon Passage by Bin'!L55:N55, "&lt;&gt;#N/A"), NA())</f>
        <v>0.5446216229427806</v>
      </c>
    </row>
    <row r="56" spans="1:29" x14ac:dyDescent="0.3">
      <c r="A56" s="5">
        <f>'1. Mixture Model Inputs'!A56</f>
        <v>45158</v>
      </c>
      <c r="B56" s="13" t="str">
        <f>IF(ISBLANK('[1]Passage Estimates'!$C56),"",IF('[1]Passage Estimates'!$C56="Imputation",'[1]Passage Estimates'!$B56,'[1]Passage Estimates'!$C56))</f>
        <v>A1+S1+M2+A2</v>
      </c>
      <c r="C56" s="17">
        <f>IFERROR(SUM('1. Mixture Model Inputs'!B56,'1. Mixture Model Inputs'!J56)/'1. Mixture Model Inputs'!Z56,NA())</f>
        <v>0.23089941972920697</v>
      </c>
      <c r="D56" s="17">
        <f>IFERROR(SUM('1. Mixture Model Inputs'!C56,'1. Mixture Model Inputs'!K56)/'1. Mixture Model Inputs'!AA56,NA())</f>
        <v>0.12587264649883648</v>
      </c>
      <c r="E56" s="17">
        <f>IFERROR(SUM('1. Mixture Model Inputs'!D56,'1. Mixture Model Inputs'!L56)/'1. Mixture Model Inputs'!AB56,NA())</f>
        <v>0.16861510791366907</v>
      </c>
      <c r="F56" s="17">
        <f>IFERROR(SUM('1. Mixture Model Inputs'!E56,'1. Mixture Model Inputs'!M56)/'1. Mixture Model Inputs'!AC56,NA())</f>
        <v>0.33170243522739912</v>
      </c>
      <c r="G56" s="17">
        <f>IFERROR(SUM('1. Mixture Model Inputs'!F56,'1. Mixture Model Inputs'!N56)/'1. Mixture Model Inputs'!AD56,NA())</f>
        <v>0.71259105098855358</v>
      </c>
      <c r="H56" s="24">
        <f>IFERROR(WhonSpComp!AT71+WhonSpComp!AV71, NA())</f>
        <v>0.19337016574585636</v>
      </c>
      <c r="I56" s="17">
        <f>IFERROR(SUM('1. Mixture Model Inputs'!G56,'1. Mixture Model Inputs'!O56)/'1. Mixture Model Inputs'!AE56, NA())</f>
        <v>0.1378906902891526</v>
      </c>
      <c r="J56" s="17">
        <f>IFERROR(SUM('1. Mixture Model Inputs'!H56,'1. Mixture Model Inputs'!P56)/'1. Mixture Model Inputs'!AF56, NA())</f>
        <v>0.63662075750122971</v>
      </c>
      <c r="K56" s="17">
        <f>IFERROR(SUM('1. Mixture Model Inputs'!I56,'1. Mixture Model Inputs'!Q56)/'1. Mixture Model Inputs'!AG56, NA())</f>
        <v>0.72091007583965327</v>
      </c>
      <c r="L56" s="22">
        <f>C56*'2. Salmon Passage by Bin'!C56</f>
        <v>1155.4206963249517</v>
      </c>
      <c r="M56" s="22">
        <f>D56*'2. Salmon Passage by Bin'!D56</f>
        <v>1453.9549397080602</v>
      </c>
      <c r="N56" s="22">
        <f>F56*'2. Salmon Passage by Bin'!F56</f>
        <v>8249.1211297675982</v>
      </c>
      <c r="O56" s="22">
        <f>G56*'2. Salmon Passage by Bin'!G56</f>
        <v>10571.202730489074</v>
      </c>
      <c r="P56" s="22">
        <f>$G56*'2. Salmon Passage by Bin'!H56</f>
        <v>6433.1579937565039</v>
      </c>
      <c r="Q56" s="22">
        <f>$G56*'2. Salmon Passage by Bin'!I56</f>
        <v>4283.9263766909471</v>
      </c>
      <c r="R56" s="22">
        <f>$G56*'2. Salmon Passage by Bin'!J56</f>
        <v>0</v>
      </c>
      <c r="S56" s="25">
        <f>'2. Salmon Passage by Bin'!K56*H56</f>
        <v>4933.8165745856459</v>
      </c>
      <c r="T56" s="25">
        <f>K56*'2. Salmon Passage by Bin'!L56</f>
        <v>1624.4699284940411</v>
      </c>
      <c r="U56" s="25">
        <f>K56*'2. Salmon Passage by Bin'!M56</f>
        <v>2032.7933954496204</v>
      </c>
      <c r="V56" s="25">
        <f>J56*'2. Salmon Passage by Bin'!N56</f>
        <v>2914.7554058042306</v>
      </c>
      <c r="W56" s="25">
        <f>I56*'2. Salmon Passage by Bin'!O56</f>
        <v>526.45562426876154</v>
      </c>
      <c r="X56" s="22">
        <f>E56*'2. Salmon Passage by Bin'!E56</f>
        <v>2791.4568345323737</v>
      </c>
      <c r="Y56" s="41">
        <f t="shared" si="0"/>
        <v>44179.074795339431</v>
      </c>
      <c r="Z56" s="42">
        <f>Y56/'[1]Passage Estimates'!$D56</f>
        <v>0.40059688912808605</v>
      </c>
      <c r="AA56" s="43">
        <f>IFERROR(SUMIF(L56:R56, "&lt;&gt;#N/A")/SUMIF('2. Salmon Passage by Bin'!E56:J56, "&lt;&gt;#N/A"), NA())</f>
        <v>0.4508746281383052</v>
      </c>
      <c r="AB56" s="42">
        <f>IFERROR(IF(ISNA(S56), NA(), S56/'2. Salmon Passage by Bin'!K56), NA())</f>
        <v>0.19337016574585636</v>
      </c>
      <c r="AC56" s="44">
        <f>IFERROR(SUMIF(T56:W56, "&lt;&gt;#N/A")/SUMIF('2. Salmon Passage by Bin'!L56:N56, "&lt;&gt;#N/A"), NA())</f>
        <v>0.73547125388709167</v>
      </c>
    </row>
    <row r="57" spans="1:29" x14ac:dyDescent="0.3">
      <c r="A57" s="5">
        <f>'1. Mixture Model Inputs'!A57</f>
        <v>45159</v>
      </c>
      <c r="B57" s="13" t="str">
        <f>IF(ISBLANK('[1]Passage Estimates'!$C57),"",IF('[1]Passage Estimates'!$C57="Imputation",'[1]Passage Estimates'!$B57,'[1]Passage Estimates'!$C57))</f>
        <v>A1+S1+M2+A2</v>
      </c>
      <c r="C57" s="17">
        <f>IFERROR(SUM('1. Mixture Model Inputs'!B57,'1. Mixture Model Inputs'!J57)/'1. Mixture Model Inputs'!Z57,NA())</f>
        <v>0.25135913015669975</v>
      </c>
      <c r="D57" s="17">
        <f>IFERROR(SUM('1. Mixture Model Inputs'!C57,'1. Mixture Model Inputs'!K57)/'1. Mixture Model Inputs'!AA57,NA())</f>
        <v>0.16579723293263779</v>
      </c>
      <c r="E57" s="17">
        <f>IFERROR(SUM('1. Mixture Model Inputs'!D57,'1. Mixture Model Inputs'!L57)/'1. Mixture Model Inputs'!AB57,NA())</f>
        <v>0.20042474117334749</v>
      </c>
      <c r="F57" s="17">
        <f>IFERROR(SUM('1. Mixture Model Inputs'!E57,'1. Mixture Model Inputs'!M57)/'1. Mixture Model Inputs'!AC57,NA())</f>
        <v>0.34164093515659461</v>
      </c>
      <c r="G57" s="17">
        <f>IFERROR(SUM('1. Mixture Model Inputs'!F57,'1. Mixture Model Inputs'!N57)/'1. Mixture Model Inputs'!AD57,NA())</f>
        <v>0.65990876837303603</v>
      </c>
      <c r="H57" s="24">
        <f>IFERROR(WhonSpComp!AT72+WhonSpComp!AV72, NA())</f>
        <v>0.34722222222222221</v>
      </c>
      <c r="I57" s="17">
        <f>IFERROR(SUM('1. Mixture Model Inputs'!G57,'1. Mixture Model Inputs'!O57)/'1. Mixture Model Inputs'!AE57, NA())</f>
        <v>0.25135913015669975</v>
      </c>
      <c r="J57" s="17">
        <f>IFERROR(SUM('1. Mixture Model Inputs'!H57,'1. Mixture Model Inputs'!P57)/'1. Mixture Model Inputs'!AF57, NA())</f>
        <v>0.56208999884911959</v>
      </c>
      <c r="K57" s="17">
        <f>IFERROR(SUM('1. Mixture Model Inputs'!I57,'1. Mixture Model Inputs'!Q57)/'1. Mixture Model Inputs'!AG57, NA())</f>
        <v>0.76672884122172991</v>
      </c>
      <c r="L57" s="22">
        <f>C57*'2. Salmon Passage by Bin'!C57</f>
        <v>1095.1717300927407</v>
      </c>
      <c r="M57" s="22">
        <f>D57*'2. Salmon Passage by Bin'!D57</f>
        <v>2019.4102971195282</v>
      </c>
      <c r="N57" s="22">
        <f>F57*'2. Salmon Passage by Bin'!F57</f>
        <v>12580.394477282753</v>
      </c>
      <c r="O57" s="22">
        <f>G57*'2. Salmon Passage by Bin'!G57</f>
        <v>11963.406872782565</v>
      </c>
      <c r="P57" s="22">
        <f>$G57*'2. Salmon Passage by Bin'!H57</f>
        <v>8796.1615408008111</v>
      </c>
      <c r="Q57" s="22">
        <f>$G57*'2. Salmon Passage by Bin'!I57</f>
        <v>4252.4521033958445</v>
      </c>
      <c r="R57" s="22">
        <f>$G57*'2. Salmon Passage by Bin'!J57</f>
        <v>0</v>
      </c>
      <c r="S57" s="25">
        <f>'2. Salmon Passage by Bin'!K57*H57</f>
        <v>12670.000000000011</v>
      </c>
      <c r="T57" s="25">
        <f>K57*'2. Salmon Passage by Bin'!L57</f>
        <v>1644.9093868034506</v>
      </c>
      <c r="U57" s="25">
        <f>K57*'2. Salmon Passage by Bin'!M57</f>
        <v>2738.6940825367215</v>
      </c>
      <c r="V57" s="25">
        <f>J57*'2. Salmon Passage by Bin'!N57</f>
        <v>3336.2514627690189</v>
      </c>
      <c r="W57" s="25">
        <f>I57*'2. Salmon Passage by Bin'!O57</f>
        <v>793.41006715701974</v>
      </c>
      <c r="X57" s="22">
        <f>E57*'2. Salmon Passage by Bin'!E57</f>
        <v>3314.4640297318815</v>
      </c>
      <c r="Y57" s="41">
        <f t="shared" si="0"/>
        <v>61890.262020740462</v>
      </c>
      <c r="Z57" s="42">
        <f>Y57/'[1]Passage Estimates'!$D57</f>
        <v>0.43412971859436877</v>
      </c>
      <c r="AA57" s="43">
        <f>IFERROR(SUMIF(L57:R57, "&lt;&gt;#N/A")/SUMIF('2. Salmon Passage by Bin'!E57:J57, "&lt;&gt;#N/A"), NA())</f>
        <v>0.44604111793835827</v>
      </c>
      <c r="AB57" s="42">
        <f>IFERROR(IF(ISNA(S57), NA(), S57/'2. Salmon Passage by Bin'!K57), NA())</f>
        <v>0.34722222222222221</v>
      </c>
      <c r="AC57" s="44">
        <f>IFERROR(SUMIF(T57:W57, "&lt;&gt;#N/A")/SUMIF('2. Salmon Passage by Bin'!L57:N57, "&lt;&gt;#N/A"), NA())</f>
        <v>0.73058178685029851</v>
      </c>
    </row>
    <row r="58" spans="1:29" x14ac:dyDescent="0.3">
      <c r="A58" s="5">
        <f>'1. Mixture Model Inputs'!A58</f>
        <v>45160</v>
      </c>
      <c r="B58" s="13" t="str">
        <f>IF(ISBLANK('[1]Passage Estimates'!$C58),"",IF('[1]Passage Estimates'!$C58="Imputation",'[1]Passage Estimates'!$B58,'[1]Passage Estimates'!$C58))</f>
        <v>A1+S1+M2+A2</v>
      </c>
      <c r="C58" s="17">
        <f>IFERROR(SUM('1. Mixture Model Inputs'!B58,'1. Mixture Model Inputs'!J58)/'1. Mixture Model Inputs'!Z58,NA())</f>
        <v>8.9299661546472273E-2</v>
      </c>
      <c r="D58" s="17">
        <f>IFERROR(SUM('1. Mixture Model Inputs'!C58,'1. Mixture Model Inputs'!K58)/'1. Mixture Model Inputs'!AA58,NA())</f>
        <v>0.10203703703703704</v>
      </c>
      <c r="E58" s="17">
        <f>IFERROR(SUM('1. Mixture Model Inputs'!D58,'1. Mixture Model Inputs'!L58)/'1. Mixture Model Inputs'!AB58,NA())</f>
        <v>0.11374080882352942</v>
      </c>
      <c r="F58" s="17">
        <f>IFERROR(SUM('1. Mixture Model Inputs'!E58,'1. Mixture Model Inputs'!M58)/'1. Mixture Model Inputs'!AC58,NA())</f>
        <v>0.4173778920308483</v>
      </c>
      <c r="G58" s="17">
        <f>IFERROR(SUM('1. Mixture Model Inputs'!F58,'1. Mixture Model Inputs'!N58)/'1. Mixture Model Inputs'!AD58,NA())</f>
        <v>0.75835010060362174</v>
      </c>
      <c r="H58" s="24">
        <f>IFERROR(WhonSpComp!AT73+WhonSpComp!AV73, NA())</f>
        <v>0.55102040816326536</v>
      </c>
      <c r="I58" s="17">
        <f>IFERROR(SUM('1. Mixture Model Inputs'!G58,'1. Mixture Model Inputs'!O58)/'1. Mixture Model Inputs'!AE58, NA())</f>
        <v>0.16038968753712726</v>
      </c>
      <c r="J58" s="17">
        <f>IFERROR(SUM('1. Mixture Model Inputs'!H58,'1. Mixture Model Inputs'!P58)/'1. Mixture Model Inputs'!AF58, NA())</f>
        <v>0.52499712676703825</v>
      </c>
      <c r="K58" s="17">
        <f>IFERROR(SUM('1. Mixture Model Inputs'!I58,'1. Mixture Model Inputs'!Q58)/'1. Mixture Model Inputs'!AG58, NA())</f>
        <v>0.76706200582605066</v>
      </c>
      <c r="L58" s="22">
        <f>C58*'2. Salmon Passage by Bin'!C58</f>
        <v>672.87294975266855</v>
      </c>
      <c r="M58" s="22">
        <f>D58*'2. Salmon Passage by Bin'!D58</f>
        <v>2221.9585185185183</v>
      </c>
      <c r="N58" s="22">
        <f>F58*'2. Salmon Passage by Bin'!F58</f>
        <v>20856.640386632389</v>
      </c>
      <c r="O58" s="22">
        <f>G58*'2. Salmon Passage by Bin'!G58</f>
        <v>25407.397762575456</v>
      </c>
      <c r="P58" s="22">
        <f>$G58*'2. Salmon Passage by Bin'!H58</f>
        <v>15302.352338028169</v>
      </c>
      <c r="Q58" s="22">
        <f>$G58*'2. Salmon Passage by Bin'!I58</f>
        <v>9782.5342937625755</v>
      </c>
      <c r="R58" s="22">
        <f>$G58*'2. Salmon Passage by Bin'!J58</f>
        <v>0</v>
      </c>
      <c r="S58" s="25">
        <f>'2. Salmon Passage by Bin'!K58*H58</f>
        <v>23668.398367346974</v>
      </c>
      <c r="T58" s="25">
        <f>K58*'2. Salmon Passage by Bin'!L58</f>
        <v>2076.7743570536827</v>
      </c>
      <c r="U58" s="25">
        <f>K58*'2. Salmon Passage by Bin'!M58</f>
        <v>4366.1783021223464</v>
      </c>
      <c r="V58" s="25">
        <f>J58*'2. Salmon Passage by Bin'!N58</f>
        <v>3325.6257993334093</v>
      </c>
      <c r="W58" s="25">
        <f>I58*'2. Salmon Passage by Bin'!O58</f>
        <v>984.31792800285154</v>
      </c>
      <c r="X58" s="22">
        <f>E58*'2. Salmon Passage by Bin'!E58</f>
        <v>3333.8250000000003</v>
      </c>
      <c r="Y58" s="41">
        <f t="shared" si="0"/>
        <v>108665.05100312906</v>
      </c>
      <c r="Z58" s="42">
        <f>Y58/'[1]Passage Estimates'!$D58</f>
        <v>0.51822255447678944</v>
      </c>
      <c r="AA58" s="43">
        <f>IFERROR(SUMIF(L58:R58, "&lt;&gt;#N/A")/SUMIF('2. Salmon Passage by Bin'!E58:J58, "&lt;&gt;#N/A"), NA())</f>
        <v>0.50899607967572447</v>
      </c>
      <c r="AB58" s="42">
        <f>IFERROR(IF(ISNA(S58), NA(), S58/'2. Salmon Passage by Bin'!K58), NA())</f>
        <v>0.55102040816326536</v>
      </c>
      <c r="AC58" s="44">
        <f>IFERROR(SUMIF(T58:W58, "&lt;&gt;#N/A")/SUMIF('2. Salmon Passage by Bin'!L58:N58, "&lt;&gt;#N/A"), NA())</f>
        <v>0.7297976111513097</v>
      </c>
    </row>
    <row r="59" spans="1:29" x14ac:dyDescent="0.3">
      <c r="A59" s="5">
        <f>'1. Mixture Model Inputs'!A59</f>
        <v>45161</v>
      </c>
      <c r="B59" s="13" t="str">
        <f>IF(ISBLANK('[1]Passage Estimates'!$C59),"",IF('[1]Passage Estimates'!$C59="Imputation",'[1]Passage Estimates'!$B59,'[1]Passage Estimates'!$C59))</f>
        <v>A1+S1+M2+A2</v>
      </c>
      <c r="C59" s="17">
        <f>IFERROR(SUM('1. Mixture Model Inputs'!B59,'1. Mixture Model Inputs'!J59)/'1. Mixture Model Inputs'!Z59,NA())</f>
        <v>0.17197452229299365</v>
      </c>
      <c r="D59" s="17">
        <f>IFERROR(SUM('1. Mixture Model Inputs'!C59,'1. Mixture Model Inputs'!K59)/'1. Mixture Model Inputs'!AA59,NA())</f>
        <v>8.4766397808552732E-2</v>
      </c>
      <c r="E59" s="17">
        <f>IFERROR(SUM('1. Mixture Model Inputs'!D59,'1. Mixture Model Inputs'!L59)/'1. Mixture Model Inputs'!AB59,NA())</f>
        <v>0.12208258527827648</v>
      </c>
      <c r="F59" s="17">
        <f>IFERROR(SUM('1. Mixture Model Inputs'!E59,'1. Mixture Model Inputs'!M59)/'1. Mixture Model Inputs'!AC59,NA())</f>
        <v>0.32600808541515497</v>
      </c>
      <c r="G59" s="17">
        <f>IFERROR(SUM('1. Mixture Model Inputs'!F59,'1. Mixture Model Inputs'!N59)/'1. Mixture Model Inputs'!AD59,NA())</f>
        <v>0.69190495368505844</v>
      </c>
      <c r="H59" s="24">
        <f>IFERROR(WhonSpComp!AT74+WhonSpComp!AV74, NA())</f>
        <v>0.34246575342465752</v>
      </c>
      <c r="I59" s="17">
        <f>IFERROR(SUM('1. Mixture Model Inputs'!G59,'1. Mixture Model Inputs'!O59)/'1. Mixture Model Inputs'!AE59, NA())</f>
        <v>0.11066027296200663</v>
      </c>
      <c r="J59" s="17">
        <f>IFERROR(SUM('1. Mixture Model Inputs'!H59,'1. Mixture Model Inputs'!P59)/'1. Mixture Model Inputs'!AF59, NA())</f>
        <v>0.43674286316233013</v>
      </c>
      <c r="K59" s="17">
        <f>IFERROR(SUM('1. Mixture Model Inputs'!I59,'1. Mixture Model Inputs'!Q59)/'1. Mixture Model Inputs'!AG59, NA())</f>
        <v>0.62376640553464235</v>
      </c>
      <c r="L59" s="22">
        <f>C59*'2. Salmon Passage by Bin'!C59</f>
        <v>1356.8789808917199</v>
      </c>
      <c r="M59" s="22">
        <f>D59*'2. Salmon Passage by Bin'!D59</f>
        <v>2529.0054786181709</v>
      </c>
      <c r="N59" s="22">
        <f>F59*'2. Salmon Passage by Bin'!F59</f>
        <v>14817.302207940293</v>
      </c>
      <c r="O59" s="22">
        <f>G59*'2. Salmon Passage by Bin'!G59</f>
        <v>15792.038662907775</v>
      </c>
      <c r="P59" s="22">
        <f>$G59*'2. Salmon Passage by Bin'!H59</f>
        <v>9282.5968586387444</v>
      </c>
      <c r="Q59" s="22">
        <f>$G59*'2. Salmon Passage by Bin'!I59</f>
        <v>4464.1154087797022</v>
      </c>
      <c r="R59" s="22">
        <f>$G59*'2. Salmon Passage by Bin'!J59</f>
        <v>0</v>
      </c>
      <c r="S59" s="25">
        <f>'2. Salmon Passage by Bin'!K59*H59</f>
        <v>19598.301369863013</v>
      </c>
      <c r="T59" s="25">
        <f>K59*'2. Salmon Passage by Bin'!L59</f>
        <v>2822.6677383253641</v>
      </c>
      <c r="U59" s="25">
        <f>K59*'2. Salmon Passage by Bin'!M59</f>
        <v>6598.6501495574312</v>
      </c>
      <c r="V59" s="25">
        <f>J59*'2. Salmon Passage by Bin'!N59</f>
        <v>5887.6431897187404</v>
      </c>
      <c r="W59" s="25">
        <f>I59*'2. Salmon Passage by Bin'!O59</f>
        <v>1757.4533382515676</v>
      </c>
      <c r="X59" s="22">
        <f>E59*'2. Salmon Passage by Bin'!E59</f>
        <v>4605.6094793536804</v>
      </c>
      <c r="Y59" s="41">
        <f t="shared" si="0"/>
        <v>84906.653383492536</v>
      </c>
      <c r="Z59" s="42">
        <f>Y59/'[1]Passage Estimates'!$D59</f>
        <v>0.37311555543848474</v>
      </c>
      <c r="AA59" s="43">
        <f>IFERROR(SUMIF(L59:R59, "&lt;&gt;#N/A")/SUMIF('2. Salmon Passage by Bin'!E59:J59, "&lt;&gt;#N/A"), NA())</f>
        <v>0.38327404580811969</v>
      </c>
      <c r="AB59" s="42">
        <f>IFERROR(IF(ISNA(S59), NA(), S59/'2. Salmon Passage by Bin'!K59), NA())</f>
        <v>0.34246575342465752</v>
      </c>
      <c r="AC59" s="44">
        <f>IFERROR(SUMIF(T59:W59, "&lt;&gt;#N/A")/SUMIF('2. Salmon Passage by Bin'!L59:N59, "&lt;&gt;#N/A"), NA())</f>
        <v>0.59704675840284971</v>
      </c>
    </row>
    <row r="60" spans="1:29" x14ac:dyDescent="0.3">
      <c r="A60" s="5">
        <f>'1. Mixture Model Inputs'!A60</f>
        <v>45162</v>
      </c>
      <c r="B60" s="13" t="str">
        <f>IF(ISBLANK('[1]Passage Estimates'!$C60),"",IF('[1]Passage Estimates'!$C60="Imputation",'[1]Passage Estimates'!$B60,'[1]Passage Estimates'!$C60))</f>
        <v>A1+S1+M2+A2</v>
      </c>
      <c r="C60" s="17">
        <f>IFERROR(SUM('1. Mixture Model Inputs'!B60,'1. Mixture Model Inputs'!J60)/'1. Mixture Model Inputs'!Z60,NA())</f>
        <v>0.20666666666666667</v>
      </c>
      <c r="D60" s="17">
        <f>IFERROR(SUM('1. Mixture Model Inputs'!C60,'1. Mixture Model Inputs'!K60)/'1. Mixture Model Inputs'!AA60,NA())</f>
        <v>8.1098442267544563E-2</v>
      </c>
      <c r="E60" s="17">
        <f>IFERROR(SUM('1. Mixture Model Inputs'!D60,'1. Mixture Model Inputs'!L60)/'1. Mixture Model Inputs'!AB60,NA())</f>
        <v>0.11821161048689138</v>
      </c>
      <c r="F60" s="17">
        <f>IFERROR(SUM('1. Mixture Model Inputs'!E60,'1. Mixture Model Inputs'!M60)/'1. Mixture Model Inputs'!AC60,NA())</f>
        <v>0.3027923211169285</v>
      </c>
      <c r="G60" s="17">
        <f>IFERROR(SUM('1. Mixture Model Inputs'!F60,'1. Mixture Model Inputs'!N60)/'1. Mixture Model Inputs'!AD60,NA())</f>
        <v>0.65665625314924925</v>
      </c>
      <c r="H60" s="24">
        <f>IFERROR(WhonSpComp!AT75+WhonSpComp!AV75, NA())</f>
        <v>0.11363636363636363</v>
      </c>
      <c r="I60" s="17">
        <f>IFERROR(SUM('1. Mixture Model Inputs'!G60,'1. Mixture Model Inputs'!O60)/'1. Mixture Model Inputs'!AE60, NA())</f>
        <v>0.11066027296200663</v>
      </c>
      <c r="J60" s="17">
        <f>IFERROR(SUM('1. Mixture Model Inputs'!H60,'1. Mixture Model Inputs'!P60)/'1. Mixture Model Inputs'!AF60, NA())</f>
        <v>0.43674286316233013</v>
      </c>
      <c r="K60" s="17">
        <f>IFERROR(SUM('1. Mixture Model Inputs'!I60,'1. Mixture Model Inputs'!Q60)/'1. Mixture Model Inputs'!AG60, NA())</f>
        <v>0.62376640553464235</v>
      </c>
      <c r="L60" s="22">
        <f>C60*'2. Salmon Passage by Bin'!C60</f>
        <v>878.74666666666667</v>
      </c>
      <c r="M60" s="22">
        <f>D60*'2. Salmon Passage by Bin'!D60</f>
        <v>1944.8217440179862</v>
      </c>
      <c r="N60" s="22">
        <f>F60*'2. Salmon Passage by Bin'!F60</f>
        <v>10235.736963350786</v>
      </c>
      <c r="O60" s="22">
        <f>G60*'2. Salmon Passage by Bin'!G60</f>
        <v>14404.411569081931</v>
      </c>
      <c r="P60" s="22">
        <f>$G60*'2. Salmon Passage by Bin'!H60</f>
        <v>9944.4022976922297</v>
      </c>
      <c r="Q60" s="22">
        <f>$G60*'2. Salmon Passage by Bin'!I60</f>
        <v>6944.8490658067103</v>
      </c>
      <c r="R60" s="22">
        <f>$G60*'2. Salmon Passage by Bin'!J60</f>
        <v>0</v>
      </c>
      <c r="S60" s="25">
        <f>'2. Salmon Passage by Bin'!K60*H60</f>
        <v>6119.2363636363671</v>
      </c>
      <c r="T60" s="25">
        <f>K60*'2. Salmon Passage by Bin'!L60</f>
        <v>2554.5479865703528</v>
      </c>
      <c r="U60" s="25">
        <f>K60*'2. Salmon Passage by Bin'!M60</f>
        <v>4394.109968460677</v>
      </c>
      <c r="V60" s="25">
        <f>J60*'2. Salmon Passage by Bin'!N60</f>
        <v>3787.9232613504682</v>
      </c>
      <c r="W60" s="25">
        <f>I60*'2. Salmon Passage by Bin'!O60</f>
        <v>816.54002213205445</v>
      </c>
      <c r="X60" s="22">
        <f>E60*'2. Salmon Passage by Bin'!E60</f>
        <v>3337.5109550561797</v>
      </c>
      <c r="Y60" s="41">
        <f t="shared" si="0"/>
        <v>62025.325908766223</v>
      </c>
      <c r="Z60" s="42">
        <f>Y60/'[1]Passage Estimates'!$D60</f>
        <v>0.32519117580104989</v>
      </c>
      <c r="AA60" s="43">
        <f>IFERROR(SUMIF(L60:R60, "&lt;&gt;#N/A")/SUMIF('2. Salmon Passage by Bin'!E60:J60, "&lt;&gt;#N/A"), NA())</f>
        <v>0.40433388018785643</v>
      </c>
      <c r="AB60" s="42">
        <f>IFERROR(IF(ISNA(S60), NA(), S60/'2. Salmon Passage by Bin'!K60), NA())</f>
        <v>0.11363636363636365</v>
      </c>
      <c r="AC60" s="44">
        <f>IFERROR(SUMIF(T60:W60, "&lt;&gt;#N/A")/SUMIF('2. Salmon Passage by Bin'!L60:N60, "&lt;&gt;#N/A"), NA())</f>
        <v>0.58310930010021489</v>
      </c>
    </row>
    <row r="61" spans="1:29" x14ac:dyDescent="0.3">
      <c r="A61" s="5">
        <f>'1. Mixture Model Inputs'!A61</f>
        <v>45163</v>
      </c>
      <c r="B61" s="13" t="str">
        <f>IF(ISBLANK('[1]Passage Estimates'!$C61),"",IF('[1]Passage Estimates'!$C61="Imputation",'[1]Passage Estimates'!$B61,'[1]Passage Estimates'!$C61))</f>
        <v>A1+S1+M2+A2</v>
      </c>
      <c r="C61" s="17">
        <f>IFERROR(SUM('1. Mixture Model Inputs'!B61,'1. Mixture Model Inputs'!J61)/'1. Mixture Model Inputs'!Z61,NA())</f>
        <v>0</v>
      </c>
      <c r="D61" s="17">
        <f>IFERROR(SUM('1. Mixture Model Inputs'!C61,'1. Mixture Model Inputs'!K61)/'1. Mixture Model Inputs'!AA61,NA())</f>
        <v>1.7610343290236294E-2</v>
      </c>
      <c r="E61" s="17">
        <f>IFERROR(SUM('1. Mixture Model Inputs'!D61,'1. Mixture Model Inputs'!L61)/'1. Mixture Model Inputs'!AB61,NA())</f>
        <v>1.2048192771084338E-2</v>
      </c>
      <c r="F61" s="17">
        <f>IFERROR(SUM('1. Mixture Model Inputs'!E61,'1. Mixture Model Inputs'!M61)/'1. Mixture Model Inputs'!AC61,NA())</f>
        <v>0.26959587740710605</v>
      </c>
      <c r="G61" s="17">
        <f>IFERROR(SUM('1. Mixture Model Inputs'!F61,'1. Mixture Model Inputs'!N61)/'1. Mixture Model Inputs'!AD61,NA())</f>
        <v>0.53753753753753752</v>
      </c>
      <c r="H61" s="24">
        <f>IFERROR(WhonSpComp!AT76+WhonSpComp!AV76, NA())</f>
        <v>0.17543859649122806</v>
      </c>
      <c r="I61" s="17">
        <f>IFERROR(SUM('1. Mixture Model Inputs'!G61,'1. Mixture Model Inputs'!O61)/'1. Mixture Model Inputs'!AE61, NA())</f>
        <v>0.2002245508982036</v>
      </c>
      <c r="J61" s="17">
        <f>IFERROR(SUM('1. Mixture Model Inputs'!H61,'1. Mixture Model Inputs'!P61)/'1. Mixture Model Inputs'!AF61, NA())</f>
        <v>0.34408221119773208</v>
      </c>
      <c r="K61" s="17">
        <f>IFERROR(SUM('1. Mixture Model Inputs'!I61,'1. Mixture Model Inputs'!Q61)/'1. Mixture Model Inputs'!AG61, NA())</f>
        <v>0.6426504031424437</v>
      </c>
      <c r="L61" s="22">
        <f>C61*'2. Salmon Passage by Bin'!C61</f>
        <v>0</v>
      </c>
      <c r="M61" s="22">
        <f>D61*'2. Salmon Passage by Bin'!D61</f>
        <v>140.86513597860011</v>
      </c>
      <c r="N61" s="22">
        <f>F61*'2. Salmon Passage by Bin'!F61</f>
        <v>5243.2731651749391</v>
      </c>
      <c r="O61" s="22">
        <f>G61*'2. Salmon Passage by Bin'!G61</f>
        <v>6676.2162162162158</v>
      </c>
      <c r="P61" s="22">
        <f>$G61*'2. Salmon Passage by Bin'!H61</f>
        <v>4225.0450450450453</v>
      </c>
      <c r="Q61" s="22">
        <f>$G61*'2. Salmon Passage by Bin'!I61</f>
        <v>3724.4900900900898</v>
      </c>
      <c r="R61" s="22">
        <f>$G61*'2. Salmon Passage by Bin'!J61</f>
        <v>0</v>
      </c>
      <c r="S61" s="25">
        <f>'2. Salmon Passage by Bin'!K61*H61</f>
        <v>8400.1684210526237</v>
      </c>
      <c r="T61" s="25">
        <f>K61*'2. Salmon Passage by Bin'!L61</f>
        <v>2230.716667355799</v>
      </c>
      <c r="U61" s="25">
        <f>K61*'2. Salmon Passage by Bin'!M61</f>
        <v>3763.8234690924132</v>
      </c>
      <c r="V61" s="25">
        <f>J61*'2. Salmon Passage by Bin'!N61</f>
        <v>2016.3492841956058</v>
      </c>
      <c r="W61" s="25">
        <f>I61*'2. Salmon Passage by Bin'!O61</f>
        <v>830.65958083832345</v>
      </c>
      <c r="X61" s="22">
        <f>E61*'2. Salmon Passage by Bin'!E61</f>
        <v>119.72240963855424</v>
      </c>
      <c r="Y61" s="41">
        <f t="shared" si="0"/>
        <v>37251.607075039647</v>
      </c>
      <c r="Z61" s="42">
        <f>Y61/'[1]Passage Estimates'!$D61</f>
        <v>0.300872541795973</v>
      </c>
      <c r="AA61" s="43">
        <f>IFERROR(SUMIF(L61:R61, "&lt;&gt;#N/A")/SUMIF('2. Salmon Passage by Bin'!E61:J61, "&lt;&gt;#N/A"), NA())</f>
        <v>0.35356660115673799</v>
      </c>
      <c r="AB61" s="42">
        <f>IFERROR(IF(ISNA(S61), NA(), S61/'2. Salmon Passage by Bin'!K61), NA())</f>
        <v>0.17543859649122806</v>
      </c>
      <c r="AC61" s="44">
        <f>IFERROR(SUMIF(T61:W61, "&lt;&gt;#N/A")/SUMIF('2. Salmon Passage by Bin'!L61:N61, "&lt;&gt;#N/A"), NA())</f>
        <v>0.58214350625247835</v>
      </c>
    </row>
    <row r="62" spans="1:29" x14ac:dyDescent="0.3">
      <c r="A62" s="5">
        <f>'1. Mixture Model Inputs'!A62</f>
        <v>45164</v>
      </c>
      <c r="B62" s="13" t="str">
        <f>IF(ISBLANK('[1]Passage Estimates'!$C62),"",IF('[1]Passage Estimates'!$C62="Imputation",'[1]Passage Estimates'!$B62,'[1]Passage Estimates'!$C62))</f>
        <v>A1+S1+M2+A2</v>
      </c>
      <c r="C62" s="17">
        <f>IFERROR(SUM('1. Mixture Model Inputs'!B62,'1. Mixture Model Inputs'!J62)/'1. Mixture Model Inputs'!Z62,NA())</f>
        <v>9.9581589958159009E-2</v>
      </c>
      <c r="D62" s="17">
        <f>IFERROR(SUM('1. Mixture Model Inputs'!C62,'1. Mixture Model Inputs'!K62)/'1. Mixture Model Inputs'!AA62,NA())</f>
        <v>9.9656357388316144E-3</v>
      </c>
      <c r="E62" s="17">
        <f>IFERROR(SUM('1. Mixture Model Inputs'!D62,'1. Mixture Model Inputs'!L62)/'1. Mixture Model Inputs'!AB62,NA())</f>
        <v>4.913728432108027E-2</v>
      </c>
      <c r="F62" s="17">
        <f>IFERROR(SUM('1. Mixture Model Inputs'!E62,'1. Mixture Model Inputs'!M62)/'1. Mixture Model Inputs'!AC62,NA())</f>
        <v>0.49845869297163997</v>
      </c>
      <c r="G62" s="17">
        <f>IFERROR(SUM('1. Mixture Model Inputs'!F62,'1. Mixture Model Inputs'!N62)/'1. Mixture Model Inputs'!AD62,NA())</f>
        <v>0.64471158702899278</v>
      </c>
      <c r="H62" s="24">
        <f>IFERROR(WhonSpComp!AT77+WhonSpComp!AV77, NA())</f>
        <v>0.34020618556701027</v>
      </c>
      <c r="I62" s="17">
        <f>IFERROR(SUM('1. Mixture Model Inputs'!G62,'1. Mixture Model Inputs'!O62)/'1. Mixture Model Inputs'!AE62, NA())</f>
        <v>0.2002245508982036</v>
      </c>
      <c r="J62" s="17">
        <f>IFERROR(SUM('1. Mixture Model Inputs'!H62,'1. Mixture Model Inputs'!P62)/'1. Mixture Model Inputs'!AF62, NA())</f>
        <v>0.34408221119773208</v>
      </c>
      <c r="K62" s="17">
        <f>IFERROR(SUM('1. Mixture Model Inputs'!I62,'1. Mixture Model Inputs'!Q62)/'1. Mixture Model Inputs'!AG62, NA())</f>
        <v>0.6426504031424437</v>
      </c>
      <c r="L62" s="22">
        <f>C62*'2. Salmon Passage by Bin'!C62</f>
        <v>163.7121338912134</v>
      </c>
      <c r="M62" s="22">
        <f>D62*'2. Salmon Passage by Bin'!D62</f>
        <v>76.994501718213058</v>
      </c>
      <c r="N62" s="22">
        <f>F62*'2. Salmon Passage by Bin'!F62</f>
        <v>6738.5235018495687</v>
      </c>
      <c r="O62" s="22">
        <f>G62*'2. Salmon Passage by Bin'!G62</f>
        <v>6297.5427820992018</v>
      </c>
      <c r="P62" s="22">
        <f>$G62*'2. Salmon Passage by Bin'!H62</f>
        <v>4386.6176381452669</v>
      </c>
      <c r="Q62" s="22">
        <f>$G62*'2. Salmon Passage by Bin'!I62</f>
        <v>4153.7478129103956</v>
      </c>
      <c r="R62" s="22">
        <f>$G62*'2. Salmon Passage by Bin'!J62</f>
        <v>0</v>
      </c>
      <c r="S62" s="25">
        <f>'2. Salmon Passage by Bin'!K62*H62</f>
        <v>18836.291134020619</v>
      </c>
      <c r="T62" s="25">
        <f>K62*'2. Salmon Passage by Bin'!L62</f>
        <v>1526.9373578664463</v>
      </c>
      <c r="U62" s="25">
        <f>K62*'2. Salmon Passage by Bin'!M62</f>
        <v>2633.889824271243</v>
      </c>
      <c r="V62" s="25">
        <f>J62*'2. Salmon Passage by Bin'!N62</f>
        <v>1406.580552799433</v>
      </c>
      <c r="W62" s="25">
        <f>I62*'2. Salmon Passage by Bin'!O62</f>
        <v>585.77694610778451</v>
      </c>
      <c r="X62" s="22">
        <f>E62*'2. Salmon Passage by Bin'!E62</f>
        <v>460.43207801950484</v>
      </c>
      <c r="Y62" s="41">
        <f t="shared" si="0"/>
        <v>46806.614185679384</v>
      </c>
      <c r="Z62" s="42">
        <f>Y62/'[1]Passage Estimates'!$D62</f>
        <v>0.40786836101287088</v>
      </c>
      <c r="AA62" s="43">
        <f>IFERROR(SUMIF(L62:R62, "&lt;&gt;#N/A")/SUMIF('2. Salmon Passage by Bin'!E62:J62, "&lt;&gt;#N/A"), NA())</f>
        <v>0.47527915683336858</v>
      </c>
      <c r="AB62" s="42">
        <f>IFERROR(IF(ISNA(S62), NA(), S62/'2. Salmon Passage by Bin'!K62), NA())</f>
        <v>0.34020618556701027</v>
      </c>
      <c r="AC62" s="44">
        <f>IFERROR(SUMIF(T62:W62, "&lt;&gt;#N/A")/SUMIF('2. Salmon Passage by Bin'!L62:N62, "&lt;&gt;#N/A"), NA())</f>
        <v>0.58255554429342815</v>
      </c>
    </row>
    <row r="63" spans="1:29" x14ac:dyDescent="0.3">
      <c r="A63" s="5">
        <f>'1. Mixture Model Inputs'!A63</f>
        <v>45165</v>
      </c>
      <c r="B63" s="13" t="str">
        <f>IF(ISBLANK('[1]Passage Estimates'!$C63),"",IF('[1]Passage Estimates'!$C63="Imputation",'[1]Passage Estimates'!$B63,'[1]Passage Estimates'!$C63))</f>
        <v>A1+S1+M2+A2</v>
      </c>
      <c r="C63" s="17">
        <f>IFERROR(SUM('1. Mixture Model Inputs'!B63,'1. Mixture Model Inputs'!J63)/'1. Mixture Model Inputs'!Z63,NA())</f>
        <v>0.16555109326193665</v>
      </c>
      <c r="D63" s="17">
        <f>IFERROR(SUM('1. Mixture Model Inputs'!C63,'1. Mixture Model Inputs'!K63)/'1. Mixture Model Inputs'!AA63,NA())</f>
        <v>4.9528301886792456E-2</v>
      </c>
      <c r="E63" s="17">
        <f>IFERROR(SUM('1. Mixture Model Inputs'!D63,'1. Mixture Model Inputs'!L63)/'1. Mixture Model Inputs'!AB63,NA())</f>
        <v>8.6928934010152295E-2</v>
      </c>
      <c r="F63" s="17">
        <f>IFERROR(SUM('1. Mixture Model Inputs'!E63,'1. Mixture Model Inputs'!M63)/'1. Mixture Model Inputs'!AC63,NA())</f>
        <v>0.27356005954425744</v>
      </c>
      <c r="G63" s="17">
        <f>IFERROR(SUM('1. Mixture Model Inputs'!F63,'1. Mixture Model Inputs'!N63)/'1. Mixture Model Inputs'!AD63,NA())</f>
        <v>0.55067772607728094</v>
      </c>
      <c r="H63" s="24">
        <f>IFERROR(WhonSpComp!AT78+WhonSpComp!AV78, NA())</f>
        <v>0.13636363636363635</v>
      </c>
      <c r="I63" s="17">
        <f>IFERROR(SUM('1. Mixture Model Inputs'!G63,'1. Mixture Model Inputs'!O63)/'1. Mixture Model Inputs'!AE63, NA())</f>
        <v>0.10577622581114506</v>
      </c>
      <c r="J63" s="17">
        <f>IFERROR(SUM('1. Mixture Model Inputs'!H63,'1. Mixture Model Inputs'!P63)/'1. Mixture Model Inputs'!AF63, NA())</f>
        <v>0.32911670883291166</v>
      </c>
      <c r="K63" s="17">
        <f>IFERROR(SUM('1. Mixture Model Inputs'!I63,'1. Mixture Model Inputs'!Q63)/'1. Mixture Model Inputs'!AG63, NA())</f>
        <v>0.71085505061382726</v>
      </c>
      <c r="L63" s="22">
        <f>C63*'2. Salmon Passage by Bin'!C63</f>
        <v>428.93482102322344</v>
      </c>
      <c r="M63" s="22">
        <f>D63*'2. Salmon Passage by Bin'!D63</f>
        <v>299.42597621000823</v>
      </c>
      <c r="N63" s="22">
        <f>F63*'2. Salmon Passage by Bin'!F63</f>
        <v>6440.7551327050323</v>
      </c>
      <c r="O63" s="22">
        <f>G63*'2. Salmon Passage by Bin'!G63</f>
        <v>8601.0765847179573</v>
      </c>
      <c r="P63" s="22">
        <f>$G63*'2. Salmon Passage by Bin'!H63</f>
        <v>6042.5311416231989</v>
      </c>
      <c r="Q63" s="22">
        <f>$G63*'2. Salmon Passage by Bin'!I63</f>
        <v>3605.6155638628188</v>
      </c>
      <c r="R63" s="22">
        <f>$G63*'2. Salmon Passage by Bin'!J63</f>
        <v>0</v>
      </c>
      <c r="S63" s="25">
        <f>'2. Salmon Passage by Bin'!K63*H63</f>
        <v>2904.8269090909034</v>
      </c>
      <c r="T63" s="25">
        <f>K63*'2. Salmon Passage by Bin'!L63</f>
        <v>1407.6636054275255</v>
      </c>
      <c r="U63" s="25">
        <f>K63*'2. Salmon Passage by Bin'!M63</f>
        <v>2428.3945897049321</v>
      </c>
      <c r="V63" s="25">
        <f>J63*'2. Salmon Passage by Bin'!N63</f>
        <v>1361.7532944670554</v>
      </c>
      <c r="W63" s="25">
        <f>I63*'2. Salmon Passage by Bin'!O63</f>
        <v>297.98432125709297</v>
      </c>
      <c r="X63" s="22">
        <f>E63*'2. Salmon Passage by Bin'!E63</f>
        <v>750.76211653056748</v>
      </c>
      <c r="Y63" s="41">
        <f t="shared" si="0"/>
        <v>33818.961940089743</v>
      </c>
      <c r="Z63" s="42">
        <f>Y63/'[1]Passage Estimates'!$D63</f>
        <v>0.31716485079916984</v>
      </c>
      <c r="AA63" s="43">
        <f>IFERROR(SUMIF(L63:R63, "&lt;&gt;#N/A")/SUMIF('2. Salmon Passage by Bin'!E63:J63, "&lt;&gt;#N/A"), NA())</f>
        <v>0.38913393920896977</v>
      </c>
      <c r="AB63" s="42">
        <f>IFERROR(IF(ISNA(S63), NA(), S63/'2. Salmon Passage by Bin'!K63), NA())</f>
        <v>0.13636363636363635</v>
      </c>
      <c r="AC63" s="44">
        <f>IFERROR(SUMIF(T63:W63, "&lt;&gt;#N/A")/SUMIF('2. Salmon Passage by Bin'!L63:N63, "&lt;&gt;#N/A"), NA())</f>
        <v>0.57644176744877351</v>
      </c>
    </row>
    <row r="64" spans="1:29" x14ac:dyDescent="0.3">
      <c r="A64" s="5">
        <f>'1. Mixture Model Inputs'!A64</f>
        <v>45166</v>
      </c>
      <c r="B64" s="13" t="str">
        <f>IF(ISBLANK('[1]Passage Estimates'!$C64),"",IF('[1]Passage Estimates'!$C64="Imputation",'[1]Passage Estimates'!$B64,'[1]Passage Estimates'!$C64))</f>
        <v>A1+S1+M2+A2</v>
      </c>
      <c r="C64" s="17">
        <f>IFERROR(SUM('1. Mixture Model Inputs'!B64,'1. Mixture Model Inputs'!J64)/'1. Mixture Model Inputs'!Z64,NA())</f>
        <v>4.3070510593956238E-2</v>
      </c>
      <c r="D64" s="17">
        <f>IFERROR(SUM('1. Mixture Model Inputs'!C64,'1. Mixture Model Inputs'!K64)/'1. Mixture Model Inputs'!AA64,NA())</f>
        <v>7.9147640791476393E-3</v>
      </c>
      <c r="E64" s="17">
        <f>IFERROR(SUM('1. Mixture Model Inputs'!D64,'1. Mixture Model Inputs'!L64)/'1. Mixture Model Inputs'!AB64,NA())</f>
        <v>1.3510568751361952E-2</v>
      </c>
      <c r="F64" s="17">
        <f>IFERROR(SUM('1. Mixture Model Inputs'!E64,'1. Mixture Model Inputs'!M64)/'1. Mixture Model Inputs'!AC64,NA())</f>
        <v>0.11652498444951274</v>
      </c>
      <c r="G64" s="17">
        <f>IFERROR(SUM('1. Mixture Model Inputs'!F64,'1. Mixture Model Inputs'!N64)/'1. Mixture Model Inputs'!AD64,NA())</f>
        <v>0.56862546778598166</v>
      </c>
      <c r="H64" s="24">
        <f>IFERROR(WhonSpComp!AT79+WhonSpComp!AV79, NA())</f>
        <v>0.31481481481481483</v>
      </c>
      <c r="I64" s="17">
        <f>IFERROR(SUM('1. Mixture Model Inputs'!G64,'1. Mixture Model Inputs'!O64)/'1. Mixture Model Inputs'!AE64, NA())</f>
        <v>0.10577622581114506</v>
      </c>
      <c r="J64" s="17">
        <f>IFERROR(SUM('1. Mixture Model Inputs'!H64,'1. Mixture Model Inputs'!P64)/'1. Mixture Model Inputs'!AF64, NA())</f>
        <v>0.32911670883291166</v>
      </c>
      <c r="K64" s="17">
        <f>IFERROR(SUM('1. Mixture Model Inputs'!I64,'1. Mixture Model Inputs'!Q64)/'1. Mixture Model Inputs'!AG64, NA())</f>
        <v>0.71085505061382726</v>
      </c>
      <c r="L64" s="22">
        <f>C64*'2. Salmon Passage by Bin'!C64</f>
        <v>267.72629385203197</v>
      </c>
      <c r="M64" s="22">
        <f>D64*'2. Salmon Passage by Bin'!D64</f>
        <v>279.6286149162861</v>
      </c>
      <c r="N64" s="22">
        <f>F64*'2. Salmon Passage by Bin'!F64</f>
        <v>10245.874086668047</v>
      </c>
      <c r="O64" s="22">
        <f>G64*'2. Salmon Passage by Bin'!G64</f>
        <v>14332.364130676648</v>
      </c>
      <c r="P64" s="22">
        <f>$G64*'2. Salmon Passage by Bin'!H64</f>
        <v>4766.0822008698296</v>
      </c>
      <c r="Q64" s="22">
        <f>$G64*'2. Salmon Passage by Bin'!I64</f>
        <v>2449.7749853342775</v>
      </c>
      <c r="R64" s="22">
        <f>$G64*'2. Salmon Passage by Bin'!J64</f>
        <v>0</v>
      </c>
      <c r="S64" s="25">
        <f>'2. Salmon Passage by Bin'!K64*H64</f>
        <v>3840.1111111111045</v>
      </c>
      <c r="T64" s="25">
        <f>K64*'2. Salmon Passage by Bin'!L64</f>
        <v>576.1338014214947</v>
      </c>
      <c r="U64" s="25">
        <f>K64*'2. Salmon Passage by Bin'!M64</f>
        <v>1448.779461555029</v>
      </c>
      <c r="V64" s="25">
        <f>J64*'2. Salmon Passage by Bin'!N64</f>
        <v>1267.5205983940159</v>
      </c>
      <c r="W64" s="25">
        <f>I64*'2. Salmon Passage by Bin'!O64</f>
        <v>537.80864251418586</v>
      </c>
      <c r="X64" s="22">
        <f>E64*'2. Salmon Passage by Bin'!E64</f>
        <v>561.30900849858358</v>
      </c>
      <c r="Y64" s="41">
        <f t="shared" si="0"/>
        <v>40011.803927312954</v>
      </c>
      <c r="Z64" s="42">
        <f>Y64/'[1]Passage Estimates'!$D64</f>
        <v>0.20910052639801494</v>
      </c>
      <c r="AA64" s="43">
        <f>IFERROR(SUMIF(L64:R64, "&lt;&gt;#N/A")/SUMIF('2. Salmon Passage by Bin'!E64:J64, "&lt;&gt;#N/A"), NA())</f>
        <v>0.19323353461412099</v>
      </c>
      <c r="AB64" s="42">
        <f>IFERROR(IF(ISNA(S64), NA(), S64/'2. Salmon Passage by Bin'!K64), NA())</f>
        <v>0.31481481481481483</v>
      </c>
      <c r="AC64" s="44">
        <f>IFERROR(SUMIF(T64:W64, "&lt;&gt;#N/A")/SUMIF('2. Salmon Passage by Bin'!L64:N64, "&lt;&gt;#N/A"), NA())</f>
        <v>0.57169163799206035</v>
      </c>
    </row>
    <row r="65" spans="1:29" x14ac:dyDescent="0.3">
      <c r="A65" s="5">
        <f>'1. Mixture Model Inputs'!A65</f>
        <v>45167</v>
      </c>
      <c r="B65" s="13" t="str">
        <f>IF(ISBLANK('[1]Passage Estimates'!$C65),"",IF('[1]Passage Estimates'!$C65="Imputation",'[1]Passage Estimates'!$B65,'[1]Passage Estimates'!$C65))</f>
        <v>A1+S1+M2+A2</v>
      </c>
      <c r="C65" s="17">
        <f>IFERROR(SUM('1. Mixture Model Inputs'!B65,'1. Mixture Model Inputs'!J65)/'1. Mixture Model Inputs'!Z65,NA())</f>
        <v>7.9513564078578125E-2</v>
      </c>
      <c r="D65" s="17">
        <f>IFERROR(SUM('1. Mixture Model Inputs'!C65,'1. Mixture Model Inputs'!K65)/'1. Mixture Model Inputs'!AA65,NA())</f>
        <v>3.0050979339951704E-2</v>
      </c>
      <c r="E65" s="17">
        <f>IFERROR(SUM('1. Mixture Model Inputs'!D65,'1. Mixture Model Inputs'!L65)/'1. Mixture Model Inputs'!AB65,NA())</f>
        <v>2.7255029201817004E-2</v>
      </c>
      <c r="F65" s="17">
        <f>IFERROR(SUM('1. Mixture Model Inputs'!E65,'1. Mixture Model Inputs'!M65)/'1. Mixture Model Inputs'!AC65,NA())</f>
        <v>0.10395180230777086</v>
      </c>
      <c r="G65" s="17">
        <f>IFERROR(SUM('1. Mixture Model Inputs'!F65,'1. Mixture Model Inputs'!N65)/'1. Mixture Model Inputs'!AD65,NA())</f>
        <v>0.52442133170184557</v>
      </c>
      <c r="H65" s="24">
        <f>IFERROR(WhonSpComp!AT80+WhonSpComp!AV80, NA())</f>
        <v>0.16666666666666666</v>
      </c>
      <c r="I65" s="17">
        <f>IFERROR(SUM('1. Mixture Model Inputs'!G65,'1. Mixture Model Inputs'!O65)/'1. Mixture Model Inputs'!AE65, NA())</f>
        <v>1.9509835536923575E-2</v>
      </c>
      <c r="J65" s="17">
        <f>IFERROR(SUM('1. Mixture Model Inputs'!H65,'1. Mixture Model Inputs'!P65)/'1. Mixture Model Inputs'!AF65, NA())</f>
        <v>0.33517928838432781</v>
      </c>
      <c r="K65" s="17">
        <f>IFERROR(SUM('1. Mixture Model Inputs'!I65,'1. Mixture Model Inputs'!Q65)/'1. Mixture Model Inputs'!AG65, NA())</f>
        <v>0.67551876142350276</v>
      </c>
      <c r="L65" s="22">
        <f>C65*'2. Salmon Passage by Bin'!C65</f>
        <v>1083.4518241347055</v>
      </c>
      <c r="M65" s="22">
        <f>D65*'2. Salmon Passage by Bin'!D65</f>
        <v>3955.6104105178429</v>
      </c>
      <c r="N65" s="22">
        <f>F65*'2. Salmon Passage by Bin'!F65</f>
        <v>6639.9255304809558</v>
      </c>
      <c r="O65" s="22">
        <f>G65*'2. Salmon Passage by Bin'!G65</f>
        <v>10454.150455796878</v>
      </c>
      <c r="P65" s="22">
        <f>$G65*'2. Salmon Passage by Bin'!H65</f>
        <v>4478.5162190272249</v>
      </c>
      <c r="Q65" s="22">
        <f>$G65*'2. Salmon Passage by Bin'!I65</f>
        <v>1957.0145487916793</v>
      </c>
      <c r="R65" s="22">
        <f>$G65*'2. Salmon Passage by Bin'!J65</f>
        <v>0</v>
      </c>
      <c r="S65" s="25">
        <f>'2. Salmon Passage by Bin'!K65*H65</f>
        <v>1469.0799999999872</v>
      </c>
      <c r="T65" s="25">
        <f>K65*'2. Salmon Passage by Bin'!L65</f>
        <v>724.6965272551339</v>
      </c>
      <c r="U65" s="25">
        <f>K65*'2. Salmon Passage by Bin'!M65</f>
        <v>1256.6270207504569</v>
      </c>
      <c r="V65" s="25">
        <f>J65*'2. Salmon Passage by Bin'!N65</f>
        <v>1043.0243167658866</v>
      </c>
      <c r="W65" s="25">
        <f>I65*'2. Salmon Passage by Bin'!O65</f>
        <v>147.67228635923897</v>
      </c>
      <c r="X65" s="22">
        <f>E65*'2. Salmon Passage by Bin'!E65</f>
        <v>3958.9608825438031</v>
      </c>
      <c r="Y65" s="41">
        <f t="shared" si="0"/>
        <v>33209.769139879987</v>
      </c>
      <c r="Z65" s="42">
        <f>Y65/'[1]Passage Estimates'!$D65</f>
        <v>0.12590617873372612</v>
      </c>
      <c r="AA65" s="43">
        <f>IFERROR(SUMIF(L65:R65, "&lt;&gt;#N/A")/SUMIF('2. Salmon Passage by Bin'!E65:J65, "&lt;&gt;#N/A"), NA())</f>
        <v>0.11837640905877081</v>
      </c>
      <c r="AB65" s="42">
        <f>IFERROR(IF(ISNA(S65), NA(), S65/'2. Salmon Passage by Bin'!K65), NA())</f>
        <v>0.16666666666666666</v>
      </c>
      <c r="AC65" s="44">
        <f>IFERROR(SUMIF(T65:W65, "&lt;&gt;#N/A")/SUMIF('2. Salmon Passage by Bin'!L65:N65, "&lt;&gt;#N/A"), NA())</f>
        <v>0.52474493308894732</v>
      </c>
    </row>
    <row r="66" spans="1:29" x14ac:dyDescent="0.3">
      <c r="A66" s="5">
        <f>'1. Mixture Model Inputs'!A66</f>
        <v>45168</v>
      </c>
      <c r="B66" s="13" t="str">
        <f>IF(ISBLANK('[1]Passage Estimates'!$C66),"",IF('[1]Passage Estimates'!$C66="Imputation",'[1]Passage Estimates'!$B66,'[1]Passage Estimates'!$C66))</f>
        <v>A1+S1+M2+A2</v>
      </c>
      <c r="C66" s="17">
        <f>IFERROR(SUM('1. Mixture Model Inputs'!B66,'1. Mixture Model Inputs'!J66)/'1. Mixture Model Inputs'!Z66,NA())</f>
        <v>3.5403366221706326E-2</v>
      </c>
      <c r="D66" s="17">
        <f>IFERROR(SUM('1. Mixture Model Inputs'!C66,'1. Mixture Model Inputs'!K66)/'1. Mixture Model Inputs'!AA66,NA())</f>
        <v>1.0752688172043012E-2</v>
      </c>
      <c r="E66" s="17">
        <f>IFERROR(SUM('1. Mixture Model Inputs'!D66,'1. Mixture Model Inputs'!L66)/'1. Mixture Model Inputs'!AB66,NA())</f>
        <v>1.2566137566137567E-2</v>
      </c>
      <c r="F66" s="17">
        <f>IFERROR(SUM('1. Mixture Model Inputs'!E66,'1. Mixture Model Inputs'!M66)/'1. Mixture Model Inputs'!AC66,NA())</f>
        <v>7.615859399518779E-2</v>
      </c>
      <c r="G66" s="17">
        <f>IFERROR(SUM('1. Mixture Model Inputs'!F66,'1. Mixture Model Inputs'!N66)/'1. Mixture Model Inputs'!AD66,NA())</f>
        <v>0.27549140049140047</v>
      </c>
      <c r="H66" s="24">
        <f>IFERROR(WhonSpComp!AT81+WhonSpComp!AV81, NA())</f>
        <v>0.14925373134328357</v>
      </c>
      <c r="I66" s="17">
        <f>IFERROR(SUM('1. Mixture Model Inputs'!G66,'1. Mixture Model Inputs'!O66)/'1. Mixture Model Inputs'!AE66, NA())</f>
        <v>1.9509835536923575E-2</v>
      </c>
      <c r="J66" s="17">
        <f>IFERROR(SUM('1. Mixture Model Inputs'!H66,'1. Mixture Model Inputs'!P66)/'1. Mixture Model Inputs'!AF66, NA())</f>
        <v>0.33517928838432781</v>
      </c>
      <c r="K66" s="17">
        <f>IFERROR(SUM('1. Mixture Model Inputs'!I66,'1. Mixture Model Inputs'!Q66)/'1. Mixture Model Inputs'!AG66, NA())</f>
        <v>0.67551876142350276</v>
      </c>
      <c r="L66" s="22">
        <f>C66*'2. Salmon Passage by Bin'!C66</f>
        <v>156.27045850261172</v>
      </c>
      <c r="M66" s="22">
        <f>D66*'2. Salmon Passage by Bin'!D66</f>
        <v>1368.9569892473119</v>
      </c>
      <c r="N66" s="22">
        <f>F66*'2. Salmon Passage by Bin'!F66</f>
        <v>9561.8028664086214</v>
      </c>
      <c r="O66" s="22">
        <f>G66*'2. Salmon Passage by Bin'!G66</f>
        <v>6279.2865110565108</v>
      </c>
      <c r="P66" s="22">
        <f>$G66*'2. Salmon Passage by Bin'!H66</f>
        <v>2330.9217199017198</v>
      </c>
      <c r="Q66" s="22">
        <f>$G66*'2. Salmon Passage by Bin'!I66</f>
        <v>1974.2154545454546</v>
      </c>
      <c r="R66" s="22">
        <f>$G66*'2. Salmon Passage by Bin'!J66</f>
        <v>0</v>
      </c>
      <c r="S66" s="25">
        <f>'2. Salmon Passage by Bin'!K66*H66</f>
        <v>3060.2543283582095</v>
      </c>
      <c r="T66" s="25">
        <f>K66*'2. Salmon Passage by Bin'!L66</f>
        <v>362.34826362756695</v>
      </c>
      <c r="U66" s="25">
        <f>K66*'2. Salmon Passage by Bin'!M66</f>
        <v>1526.4021933125471</v>
      </c>
      <c r="V66" s="25">
        <f>J66*'2. Salmon Passage by Bin'!N66</f>
        <v>1437.5169320227049</v>
      </c>
      <c r="W66" s="25">
        <f>I66*'2. Salmon Passage by Bin'!O66</f>
        <v>164.77226701064171</v>
      </c>
      <c r="X66" s="22">
        <f>E66*'2. Salmon Passage by Bin'!E66</f>
        <v>1655.3011111111111</v>
      </c>
      <c r="Y66" s="41">
        <f t="shared" si="0"/>
        <v>28222.747983993897</v>
      </c>
      <c r="Z66" s="42">
        <f>Y66/'[1]Passage Estimates'!$D66</f>
        <v>8.5076803863180034E-2</v>
      </c>
      <c r="AA66" s="43">
        <f>IFERROR(SUMIF(L66:R66, "&lt;&gt;#N/A")/SUMIF('2. Salmon Passage by Bin'!E66:J66, "&lt;&gt;#N/A"), NA())</f>
        <v>7.3289027389191283E-2</v>
      </c>
      <c r="AB66" s="42">
        <f>IFERROR(IF(ISNA(S66), NA(), S66/'2. Salmon Passage by Bin'!K66), NA())</f>
        <v>0.14925373134328357</v>
      </c>
      <c r="AC66" s="44">
        <f>IFERROR(SUMIF(T66:W66, "&lt;&gt;#N/A")/SUMIF('2. Salmon Passage by Bin'!L66:N66, "&lt;&gt;#N/A"), NA())</f>
        <v>0.4927506289483769</v>
      </c>
    </row>
    <row r="67" spans="1:29" x14ac:dyDescent="0.3">
      <c r="A67" s="5">
        <f>'1. Mixture Model Inputs'!A67</f>
        <v>45169</v>
      </c>
      <c r="B67" s="13" t="str">
        <f>IF(ISBLANK('[1]Passage Estimates'!$C67),"",IF('[1]Passage Estimates'!$C67="Imputation",'[1]Passage Estimates'!$B67,'[1]Passage Estimates'!$C67))</f>
        <v>A1+S1+M2+A2</v>
      </c>
      <c r="C67" s="17">
        <f>IFERROR(SUM('1. Mixture Model Inputs'!B67,'1. Mixture Model Inputs'!J67)/'1. Mixture Model Inputs'!Z67,NA())</f>
        <v>0</v>
      </c>
      <c r="D67" s="17">
        <f>IFERROR(SUM('1. Mixture Model Inputs'!C67,'1. Mixture Model Inputs'!K67)/'1. Mixture Model Inputs'!AA67,NA())</f>
        <v>4.193548387096774E-3</v>
      </c>
      <c r="E67" s="17">
        <f>IFERROR(SUM('1. Mixture Model Inputs'!D67,'1. Mixture Model Inputs'!L67)/'1. Mixture Model Inputs'!AB67,NA())</f>
        <v>2.0232458028411535E-2</v>
      </c>
      <c r="F67" s="17">
        <f>IFERROR(SUM('1. Mixture Model Inputs'!E67,'1. Mixture Model Inputs'!M67)/'1. Mixture Model Inputs'!AC67,NA())</f>
        <v>0.1077623323902079</v>
      </c>
      <c r="G67" s="17">
        <f>IFERROR(SUM('1. Mixture Model Inputs'!F67,'1. Mixture Model Inputs'!N67)/'1. Mixture Model Inputs'!AD67,NA())</f>
        <v>0.40904874780995565</v>
      </c>
      <c r="H67" s="24">
        <f>IFERROR(WhonSpComp!AT82+WhonSpComp!AV82, NA())</f>
        <v>0.38157894736842102</v>
      </c>
      <c r="I67" s="17">
        <f>IFERROR(SUM('1. Mixture Model Inputs'!G67,'1. Mixture Model Inputs'!O67)/'1. Mixture Model Inputs'!AE67, NA())</f>
        <v>2.7816846382247226E-2</v>
      </c>
      <c r="J67" s="17">
        <f>IFERROR(SUM('1. Mixture Model Inputs'!H67,'1. Mixture Model Inputs'!P67)/'1. Mixture Model Inputs'!AF67, NA())</f>
        <v>0.22535211267605634</v>
      </c>
      <c r="K67" s="17">
        <f>IFERROR(SUM('1. Mixture Model Inputs'!I67,'1. Mixture Model Inputs'!Q67)/'1. Mixture Model Inputs'!AG67, NA())</f>
        <v>0.48964985685972251</v>
      </c>
      <c r="L67" s="22">
        <f>C67*'2. Salmon Passage by Bin'!C67</f>
        <v>0</v>
      </c>
      <c r="M67" s="22">
        <f>D67*'2. Salmon Passage by Bin'!D67</f>
        <v>294.49193548387098</v>
      </c>
      <c r="N67" s="22">
        <f>F67*'2. Salmon Passage by Bin'!F67</f>
        <v>10897.228785828514</v>
      </c>
      <c r="O67" s="22">
        <f>G67*'2. Salmon Passage by Bin'!G67</f>
        <v>11879.462838297433</v>
      </c>
      <c r="P67" s="22">
        <f>$G67*'2. Salmon Passage by Bin'!H67</f>
        <v>5442.7371905596201</v>
      </c>
      <c r="Q67" s="22">
        <f>$G67*'2. Salmon Passage by Bin'!I67</f>
        <v>4654.6147871792218</v>
      </c>
      <c r="R67" s="22">
        <f>$G67*'2. Salmon Passage by Bin'!J67</f>
        <v>0</v>
      </c>
      <c r="S67" s="25">
        <f>'2. Salmon Passage by Bin'!K67*H67</f>
        <v>5371.8378947368074</v>
      </c>
      <c r="T67" s="25">
        <f>K67*'2. Salmon Passage by Bin'!L67</f>
        <v>1306.189958158996</v>
      </c>
      <c r="U67" s="25">
        <f>K67*'2. Salmon Passage by Bin'!M67</f>
        <v>2618.1381986346619</v>
      </c>
      <c r="V67" s="25">
        <f>J67*'2. Salmon Passage by Bin'!N67</f>
        <v>1402.3571830985918</v>
      </c>
      <c r="W67" s="25">
        <f>I67*'2. Salmon Passage by Bin'!O67</f>
        <v>225.55011720581342</v>
      </c>
      <c r="X67" s="22">
        <f>E67*'2. Salmon Passage by Bin'!E67</f>
        <v>1481.2732845458459</v>
      </c>
      <c r="Y67" s="41">
        <f t="shared" si="0"/>
        <v>44092.608889183532</v>
      </c>
      <c r="Z67" s="42">
        <f>Y67/'[1]Passage Estimates'!$D67</f>
        <v>0.16671055893008913</v>
      </c>
      <c r="AA67" s="43">
        <f>IFERROR(SUMIF(L67:R67, "&lt;&gt;#N/A")/SUMIF('2. Salmon Passage by Bin'!E67:J67, "&lt;&gt;#N/A"), NA())</f>
        <v>0.14543638250794724</v>
      </c>
      <c r="AB67" s="42">
        <f>IFERROR(IF(ISNA(S67), NA(), S67/'2. Salmon Passage by Bin'!K67), NA())</f>
        <v>0.38157894736842102</v>
      </c>
      <c r="AC67" s="44">
        <f>IFERROR(SUMIF(T67:W67, "&lt;&gt;#N/A")/SUMIF('2. Salmon Passage by Bin'!L67:N67, "&lt;&gt;#N/A"), NA())</f>
        <v>0.38997209184591575</v>
      </c>
    </row>
    <row r="68" spans="1:29" x14ac:dyDescent="0.3">
      <c r="A68" s="5">
        <f>'1. Mixture Model Inputs'!A68</f>
        <v>45170</v>
      </c>
      <c r="B68" s="13" t="str">
        <f>IF(ISBLANK('[1]Passage Estimates'!$C68),"",IF('[1]Passage Estimates'!$C68="Imputation",'[1]Passage Estimates'!$B68,'[1]Passage Estimates'!$C68))</f>
        <v>A1+S1+M2+A2</v>
      </c>
      <c r="C68" s="17">
        <f>IFERROR('1. Mixture Model Inputs'!B68/'1. Mixture Model Inputs'!Z68,NA())</f>
        <v>2.3837902264600714E-3</v>
      </c>
      <c r="D68" s="17">
        <f>IFERROR(SUM('1. Mixture Model Inputs'!C68,'1. Mixture Model Inputs'!K68)/'1. Mixture Model Inputs'!AA68,NA())</f>
        <v>0</v>
      </c>
      <c r="E68" s="17">
        <f>IFERROR(SUM('1. Mixture Model Inputs'!D68,'1. Mixture Model Inputs'!L68)/'1. Mixture Model Inputs'!AB68,NA())</f>
        <v>0</v>
      </c>
      <c r="F68" s="17">
        <f>IFERROR('1. Mixture Model Inputs'!E68/'1. Mixture Model Inputs'!AC68, NA())</f>
        <v>9.0027700831024918E-2</v>
      </c>
      <c r="G68" s="17">
        <f>IFERROR('1. Mixture Model Inputs'!F68/'1. Mixture Model Inputs'!AD68, NA())</f>
        <v>0.40083769633507854</v>
      </c>
      <c r="H68" s="24">
        <f>IFERROR(WhonSpComp!AT83+WhonSpComp!AV83, NA())</f>
        <v>0.27407407407407408</v>
      </c>
      <c r="I68" s="17">
        <f>IFERROR(SUM('1. Mixture Model Inputs'!G68,'1. Mixture Model Inputs'!O68)/'1. Mixture Model Inputs'!AE68, NA())</f>
        <v>2.3837902264600714E-3</v>
      </c>
      <c r="J68" s="17">
        <f>IFERROR(SUM('1. Mixture Model Inputs'!H68,'1. Mixture Model Inputs'!P68)/'1. Mixture Model Inputs'!AF68, NA())</f>
        <v>0.28973988439306358</v>
      </c>
      <c r="K68" s="17">
        <f>IFERROR(SUM('1. Mixture Model Inputs'!I68,'1. Mixture Model Inputs'!Q68)/'1. Mixture Model Inputs'!AG68, NA())</f>
        <v>0.44563147873915804</v>
      </c>
      <c r="L68" s="22">
        <f>C68*'2. Salmon Passage by Bin'!C68</f>
        <v>4.6436233611442193</v>
      </c>
      <c r="M68" s="22">
        <f>D68*'2. Salmon Passage by Bin'!D68</f>
        <v>0</v>
      </c>
      <c r="N68" s="22">
        <f>F68*'2. Salmon Passage by Bin'!F68</f>
        <v>7572.3091412742378</v>
      </c>
      <c r="O68" s="22">
        <f>G68*'2. Salmon Passage by Bin'!G68</f>
        <v>16614.594245026179</v>
      </c>
      <c r="P68" s="22">
        <f>$G68*'2. Salmon Passage by Bin'!H68</f>
        <v>6661.1529047120412</v>
      </c>
      <c r="Q68" s="22">
        <f>$G68*'2. Salmon Passage by Bin'!I68</f>
        <v>6296.069930890053</v>
      </c>
      <c r="R68" s="22">
        <f>$G68*'2. Salmon Passage by Bin'!J68</f>
        <v>0</v>
      </c>
      <c r="S68" s="25">
        <f>'2. Salmon Passage by Bin'!K68*H68</f>
        <v>7732.7697777777312</v>
      </c>
      <c r="T68" s="25">
        <f>K68*'2. Salmon Passage by Bin'!L68</f>
        <v>281.81734715464358</v>
      </c>
      <c r="U68" s="25">
        <f>K68*'2. Salmon Passage by Bin'!M68</f>
        <v>892.51072561878584</v>
      </c>
      <c r="V68" s="25">
        <f>J68*'2. Salmon Passage by Bin'!N68</f>
        <v>1429.3447976878615</v>
      </c>
      <c r="W68" s="25">
        <f>I68*'2. Salmon Passage by Bin'!O68</f>
        <v>4.6918712753277712</v>
      </c>
      <c r="X68" s="22">
        <f>E68*'2. Salmon Passage by Bin'!E68</f>
        <v>0</v>
      </c>
      <c r="Y68" s="41">
        <f t="shared" si="0"/>
        <v>47489.904364777998</v>
      </c>
      <c r="Z68" s="42">
        <f>Y68/'[1]Passage Estimates'!$D68</f>
        <v>0.19834070217000799</v>
      </c>
      <c r="AA68" s="43">
        <f>IFERROR(SUMIF(L68:R68, "&lt;&gt;#N/A")/SUMIF('2. Salmon Passage by Bin'!E68:J68, "&lt;&gt;#N/A"), NA())</f>
        <v>0.18419184870909544</v>
      </c>
      <c r="AB68" s="42">
        <f>IFERROR(IF(ISNA(S68), NA(), S68/'2. Salmon Passage by Bin'!K68), NA())</f>
        <v>0.27407407407407408</v>
      </c>
      <c r="AC68" s="44">
        <f>IFERROR(SUMIF(T68:W68, "&lt;&gt;#N/A")/SUMIF('2. Salmon Passage by Bin'!L68:N68, "&lt;&gt;#N/A"), NA())</f>
        <v>0.34463885916925879</v>
      </c>
    </row>
    <row r="69" spans="1:29" x14ac:dyDescent="0.3">
      <c r="A69" s="5">
        <f>'1. Mixture Model Inputs'!A69</f>
        <v>45171</v>
      </c>
      <c r="B69" s="13" t="str">
        <f>IF(ISBLANK('[1]Passage Estimates'!$C69),"",IF('[1]Passage Estimates'!$C69="Imputation",'[1]Passage Estimates'!$B69,'[1]Passage Estimates'!$C69))</f>
        <v>A1+S1+M2+A2</v>
      </c>
      <c r="C69" s="17">
        <f>IFERROR('1. Mixture Model Inputs'!B69/'1. Mixture Model Inputs'!Z69,NA())</f>
        <v>2.0817270624518117E-2</v>
      </c>
      <c r="D69" s="17">
        <f>IFERROR(SUM('1. Mixture Model Inputs'!C69,'1. Mixture Model Inputs'!K69)/'1. Mixture Model Inputs'!AA69,NA())</f>
        <v>0</v>
      </c>
      <c r="E69" s="17">
        <f>IFERROR(SUM('1. Mixture Model Inputs'!D69,'1. Mixture Model Inputs'!L69)/'1. Mixture Model Inputs'!AB69,NA())</f>
        <v>1.8899622007559848E-3</v>
      </c>
      <c r="F69" s="17">
        <f>IFERROR('1. Mixture Model Inputs'!E69/'1. Mixture Model Inputs'!AC69, NA())</f>
        <v>0.13838487094301047</v>
      </c>
      <c r="G69" s="17">
        <f>IFERROR('1. Mixture Model Inputs'!F69/'1. Mixture Model Inputs'!AD69, NA())</f>
        <v>0.23110086224182877</v>
      </c>
      <c r="H69" s="24">
        <f>IFERROR(WhonSpComp!AT84+WhonSpComp!AV84, NA())</f>
        <v>0.19256756756756757</v>
      </c>
      <c r="I69" s="17">
        <f>IFERROR(SUM('1. Mixture Model Inputs'!G69,'1. Mixture Model Inputs'!O69)/'1. Mixture Model Inputs'!AE69, NA())</f>
        <v>2.3837902264600714E-3</v>
      </c>
      <c r="J69" s="17">
        <f>IFERROR(SUM('1. Mixture Model Inputs'!H69,'1. Mixture Model Inputs'!P69)/'1. Mixture Model Inputs'!AF69, NA())</f>
        <v>0.28973988439306358</v>
      </c>
      <c r="K69" s="17">
        <f>IFERROR(SUM('1. Mixture Model Inputs'!I69,'1. Mixture Model Inputs'!Q69)/'1. Mixture Model Inputs'!AG69, NA())</f>
        <v>0.44563147873915804</v>
      </c>
      <c r="L69" s="22">
        <f>C69*'2. Salmon Passage by Bin'!C69</f>
        <v>433.74865073245945</v>
      </c>
      <c r="M69" s="22">
        <f>D69*'2. Salmon Passage by Bin'!D69</f>
        <v>0</v>
      </c>
      <c r="N69" s="22">
        <f>F69*'2. Salmon Passage by Bin'!F69</f>
        <v>26156.168740097113</v>
      </c>
      <c r="O69" s="22">
        <f>G69*'2. Salmon Passage by Bin'!G69</f>
        <v>32904.750872267898</v>
      </c>
      <c r="P69" s="22">
        <f>$G69*'2. Salmon Passage by Bin'!H69</f>
        <v>16204.644555845198</v>
      </c>
      <c r="Q69" s="22">
        <f>$G69*'2. Salmon Passage by Bin'!I69</f>
        <v>4793.1058351714464</v>
      </c>
      <c r="R69" s="22">
        <f>$G69*'2. Salmon Passage by Bin'!J69</f>
        <v>0</v>
      </c>
      <c r="S69" s="25">
        <f>'2. Salmon Passage by Bin'!K69*H69</f>
        <v>7233.5662054053573</v>
      </c>
      <c r="T69" s="25">
        <f>K69*'2. Salmon Passage by Bin'!L69</f>
        <v>657.64511106409986</v>
      </c>
      <c r="U69" s="25">
        <f>K69*'2. Salmon Passage by Bin'!M69</f>
        <v>2092.9349777871798</v>
      </c>
      <c r="V69" s="25">
        <f>J69*'2. Salmon Passage by Bin'!N69</f>
        <v>2282.6403468208091</v>
      </c>
      <c r="W69" s="25">
        <f>I69*'2. Salmon Passage by Bin'!O69</f>
        <v>9.3431227651966626</v>
      </c>
      <c r="X69" s="22">
        <f>E69*'2. Salmon Passage by Bin'!E69</f>
        <v>218.17406131877362</v>
      </c>
      <c r="Y69" s="41">
        <f t="shared" si="0"/>
        <v>92768.548417956772</v>
      </c>
      <c r="Z69" s="42">
        <f>Y69/'[1]Passage Estimates'!$D69</f>
        <v>0.15638010653878753</v>
      </c>
      <c r="AA69" s="43">
        <f>IFERROR(SUMIF(L69:R69, "&lt;&gt;#N/A")/SUMIF('2. Salmon Passage by Bin'!E69:J69, "&lt;&gt;#N/A"), NA())</f>
        <v>0.14970015239630236</v>
      </c>
      <c r="AB69" s="42">
        <f>IFERROR(IF(ISNA(S69), NA(), S69/'2. Salmon Passage by Bin'!K69), NA())</f>
        <v>0.19256756756756757</v>
      </c>
      <c r="AC69" s="44">
        <f>IFERROR(SUMIF(T69:W69, "&lt;&gt;#N/A")/SUMIF('2. Salmon Passage by Bin'!L69:N69, "&lt;&gt;#N/A"), NA())</f>
        <v>0.35888701649167615</v>
      </c>
    </row>
    <row r="70" spans="1:29" x14ac:dyDescent="0.3">
      <c r="A70" s="5">
        <f>'1. Mixture Model Inputs'!A70</f>
        <v>45172</v>
      </c>
      <c r="B70" s="13" t="str">
        <f>IF(ISBLANK('[1]Passage Estimates'!$C70),"",IF('[1]Passage Estimates'!$C70="Imputation",'[1]Passage Estimates'!$B70,'[1]Passage Estimates'!$C70))</f>
        <v>A1+S1+M2+A2</v>
      </c>
      <c r="C70" s="17">
        <f>IFERROR('1. Mixture Model Inputs'!B70/'1. Mixture Model Inputs'!Z70,NA())</f>
        <v>0</v>
      </c>
      <c r="D70" s="17">
        <f>IFERROR(SUM('1. Mixture Model Inputs'!C70,'1. Mixture Model Inputs'!K70)/'1. Mixture Model Inputs'!AA70,NA())</f>
        <v>0</v>
      </c>
      <c r="E70" s="17">
        <f>IFERROR(SUM('1. Mixture Model Inputs'!D70,'1. Mixture Model Inputs'!L70)/'1. Mixture Model Inputs'!AB70,NA())</f>
        <v>0</v>
      </c>
      <c r="F70" s="17">
        <f>IFERROR('1. Mixture Model Inputs'!E70/'1. Mixture Model Inputs'!AC70, NA())</f>
        <v>0.24464119291705497</v>
      </c>
      <c r="G70" s="17">
        <f>IFERROR('1. Mixture Model Inputs'!F70/'1. Mixture Model Inputs'!AD70, NA())</f>
        <v>0.43796758104738154</v>
      </c>
      <c r="H70" s="24">
        <f>IFERROR(WhonSpComp!AT85+WhonSpComp!AV85, NA())</f>
        <v>0.3380281690140845</v>
      </c>
      <c r="I70" s="17">
        <f>IFERROR(SUM('1. Mixture Model Inputs'!G70,'1. Mixture Model Inputs'!O70)/'1. Mixture Model Inputs'!AE70, NA())</f>
        <v>2.0925808497146481E-2</v>
      </c>
      <c r="J70" s="17">
        <f>IFERROR(SUM('1. Mixture Model Inputs'!H70,'1. Mixture Model Inputs'!P70)/'1. Mixture Model Inputs'!AF70, NA())</f>
        <v>0.38675799086757989</v>
      </c>
      <c r="K70" s="17">
        <f>IFERROR(SUM('1. Mixture Model Inputs'!I70,'1. Mixture Model Inputs'!Q70)/'1. Mixture Model Inputs'!AG70, NA())</f>
        <v>0.56905792620078344</v>
      </c>
      <c r="L70" s="22">
        <f>C70*'2. Salmon Passage by Bin'!C70</f>
        <v>0</v>
      </c>
      <c r="M70" s="22">
        <f>D70*'2. Salmon Passage by Bin'!D70</f>
        <v>0</v>
      </c>
      <c r="N70" s="22">
        <f>F70*'2. Salmon Passage by Bin'!F70</f>
        <v>64697.418452935693</v>
      </c>
      <c r="O70" s="22">
        <f>G70*'2. Salmon Passage by Bin'!G70</f>
        <v>53366.630049875304</v>
      </c>
      <c r="P70" s="22">
        <f>$G70*'2. Salmon Passage by Bin'!H70</f>
        <v>18525.187780548629</v>
      </c>
      <c r="Q70" s="22">
        <f>$G70*'2. Salmon Passage by Bin'!I70</f>
        <v>10485.784788029925</v>
      </c>
      <c r="R70" s="22">
        <f>$G70*'2. Salmon Passage by Bin'!J70</f>
        <v>0</v>
      </c>
      <c r="S70" s="25">
        <f>'2. Salmon Passage by Bin'!K70*H70</f>
        <v>7936.031459154894</v>
      </c>
      <c r="T70" s="25">
        <f>K70*'2. Salmon Passage by Bin'!L70</f>
        <v>1654.4562523191098</v>
      </c>
      <c r="U70" s="25">
        <f>K70*'2. Salmon Passage by Bin'!M70</f>
        <v>4704.424638218924</v>
      </c>
      <c r="V70" s="25">
        <f>J70*'2. Salmon Passage by Bin'!N70</f>
        <v>9605.6761643835598</v>
      </c>
      <c r="W70" s="25">
        <f>I70*'2. Salmon Passage by Bin'!O70</f>
        <v>1232.7276601141409</v>
      </c>
      <c r="X70" s="22">
        <f>E70*'2. Salmon Passage by Bin'!E70</f>
        <v>0</v>
      </c>
      <c r="Y70" s="41">
        <f t="shared" si="0"/>
        <v>172208.33724558019</v>
      </c>
      <c r="Z70" s="42">
        <f>Y70/'[1]Passage Estimates'!$D70</f>
        <v>0.22139255634632934</v>
      </c>
      <c r="AA70" s="43">
        <f>IFERROR(SUMIF(L70:R70, "&lt;&gt;#N/A")/SUMIF('2. Salmon Passage by Bin'!E70:J70, "&lt;&gt;#N/A"), NA())</f>
        <v>0.22302885296355385</v>
      </c>
      <c r="AB70" s="42">
        <f>IFERROR(IF(ISNA(S70), NA(), S70/'2. Salmon Passage by Bin'!K70), NA())</f>
        <v>0.3380281690140845</v>
      </c>
      <c r="AC70" s="44">
        <f>IFERROR(SUMIF(T70:W70, "&lt;&gt;#N/A")/SUMIF('2. Salmon Passage by Bin'!L70:N70, "&lt;&gt;#N/A"), NA())</f>
        <v>0.4775590854697962</v>
      </c>
    </row>
    <row r="71" spans="1:29" x14ac:dyDescent="0.3">
      <c r="A71" s="5">
        <f>'1. Mixture Model Inputs'!A71</f>
        <v>45173</v>
      </c>
      <c r="B71" s="13" t="str">
        <f>IF(ISBLANK('[1]Passage Estimates'!$C71),"",IF('[1]Passage Estimates'!$C71="Imputation",'[1]Passage Estimates'!$B71,'[1]Passage Estimates'!$C71))</f>
        <v>A1+S1+M2+A2</v>
      </c>
      <c r="C71" s="17">
        <f>IFERROR('1. Mixture Model Inputs'!B71/'1. Mixture Model Inputs'!Z71,NA())</f>
        <v>1.8416206261510127E-2</v>
      </c>
      <c r="D71" s="17">
        <f>IFERROR(SUM('1. Mixture Model Inputs'!C71,'1. Mixture Model Inputs'!K71)/'1. Mixture Model Inputs'!AA71,NA())</f>
        <v>2.0418452230904965E-2</v>
      </c>
      <c r="E71" s="17">
        <f>IFERROR(SUM('1. Mixture Model Inputs'!D71,'1. Mixture Model Inputs'!L71)/'1. Mixture Model Inputs'!AB71,NA())</f>
        <v>1.8721755971594575E-2</v>
      </c>
      <c r="F71" s="17">
        <f>IFERROR('1. Mixture Model Inputs'!E71/'1. Mixture Model Inputs'!AC71, NA())</f>
        <v>0.22314814814814815</v>
      </c>
      <c r="G71" s="17">
        <f>IFERROR('1. Mixture Model Inputs'!F71/'1. Mixture Model Inputs'!AD71, NA())</f>
        <v>0.42832781623031396</v>
      </c>
      <c r="H71" s="24">
        <f>IFERROR(WhonSpComp!AT86+WhonSpComp!AV86, NA())</f>
        <v>0.1116751269035533</v>
      </c>
      <c r="I71" s="17">
        <f>IFERROR(SUM('1. Mixture Model Inputs'!G71,'1. Mixture Model Inputs'!O71)/'1. Mixture Model Inputs'!AE71, NA())</f>
        <v>2.0925808497146481E-2</v>
      </c>
      <c r="J71" s="17">
        <f>IFERROR(SUM('1. Mixture Model Inputs'!H71,'1. Mixture Model Inputs'!P71)/'1. Mixture Model Inputs'!AF71, NA())</f>
        <v>0.38675799086757989</v>
      </c>
      <c r="K71" s="17">
        <f>IFERROR(SUM('1. Mixture Model Inputs'!I71,'1. Mixture Model Inputs'!Q71)/'1. Mixture Model Inputs'!AG71, NA())</f>
        <v>0.56905792620078344</v>
      </c>
      <c r="L71" s="22">
        <f>C71*'2. Salmon Passage by Bin'!C71</f>
        <v>228.39779005524861</v>
      </c>
      <c r="M71" s="22">
        <f>D71*'2. Salmon Passage by Bin'!D71</f>
        <v>1264.6372573733299</v>
      </c>
      <c r="N71" s="22">
        <f>F71*'2. Salmon Passage by Bin'!F71</f>
        <v>38700.529777777781</v>
      </c>
      <c r="O71" s="22">
        <f>G71*'2. Salmon Passage by Bin'!G71</f>
        <v>58518.146253385494</v>
      </c>
      <c r="P71" s="22">
        <f>$G71*'2. Salmon Passage by Bin'!H71</f>
        <v>23628.275654529039</v>
      </c>
      <c r="Q71" s="22">
        <f>$G71*'2. Salmon Passage by Bin'!I71</f>
        <v>14928.320914835991</v>
      </c>
      <c r="R71" s="22">
        <f>$G71*'2. Salmon Passage by Bin'!J71</f>
        <v>0</v>
      </c>
      <c r="S71" s="25">
        <f>'2. Salmon Passage by Bin'!K71*H71</f>
        <v>4029.3636548223672</v>
      </c>
      <c r="T71" s="25">
        <f>K71*'2. Salmon Passage by Bin'!L71</f>
        <v>2301.1336796536802</v>
      </c>
      <c r="U71" s="25">
        <f>K71*'2. Salmon Passage by Bin'!M71</f>
        <v>3526.6113048855914</v>
      </c>
      <c r="V71" s="25">
        <f>J71*'2. Salmon Passage by Bin'!N71</f>
        <v>5583.6096438356162</v>
      </c>
      <c r="W71" s="25">
        <f>I71*'2. Salmon Passage by Bin'!O71</f>
        <v>1192.0679771718451</v>
      </c>
      <c r="X71" s="22">
        <f>E71*'2. Salmon Passage by Bin'!E71</f>
        <v>1391.7483795997416</v>
      </c>
      <c r="Y71" s="41">
        <f t="shared" ref="Y71:Y128" si="1">IF(B71="M",S71,IF(AND(ISNUMBER(SEARCH("A1*",B71)),SUMIF(L71:W71,"&lt;&gt;#N/A")&gt;0),SUMIF(L71:W71,"&lt;&gt;#N/A"),IF(SUMIF(N71:X71,"&lt;&gt;#N/A")&gt;0,SUMIF(N71:X71,"&lt;&gt;#N/A"),0)))</f>
        <v>153901.093908326</v>
      </c>
      <c r="Z71" s="42">
        <f>Y71/'[1]Passage Estimates'!$D71</f>
        <v>0.25991081340921851</v>
      </c>
      <c r="AA71" s="43">
        <f>IFERROR(SUMIF(L71:R71, "&lt;&gt;#N/A")/SUMIF('2. Salmon Passage by Bin'!E71:J71, "&lt;&gt;#N/A"), NA())</f>
        <v>0.28934843091824197</v>
      </c>
      <c r="AB71" s="42">
        <f>IFERROR(IF(ISNA(S71), NA(), S71/'2. Salmon Passage by Bin'!K71), NA())</f>
        <v>0.1116751269035533</v>
      </c>
      <c r="AC71" s="44">
        <f>IFERROR(SUMIF(T71:W71, "&lt;&gt;#N/A")/SUMIF('2. Salmon Passage by Bin'!L71:N71, "&lt;&gt;#N/A"), NA())</f>
        <v>0.51071491229219279</v>
      </c>
    </row>
    <row r="72" spans="1:29" x14ac:dyDescent="0.3">
      <c r="A72" s="5">
        <f>'1. Mixture Model Inputs'!A72</f>
        <v>45174</v>
      </c>
      <c r="B72" s="13" t="str">
        <f>IF(ISBLANK('[1]Passage Estimates'!$C72),"",IF('[1]Passage Estimates'!$C72="Imputation",'[1]Passage Estimates'!$B72,'[1]Passage Estimates'!$C72))</f>
        <v>A1+S1+M2+A2</v>
      </c>
      <c r="C72" s="17">
        <f>IFERROR('1. Mixture Model Inputs'!B72/'1. Mixture Model Inputs'!Z72,NA())</f>
        <v>6.1524334251606978E-2</v>
      </c>
      <c r="D72" s="17">
        <f>IFERROR(SUM('1. Mixture Model Inputs'!C72,'1. Mixture Model Inputs'!K72)/'1. Mixture Model Inputs'!AA72,NA())</f>
        <v>1.9309161124222269E-3</v>
      </c>
      <c r="E72" s="17">
        <f>IFERROR(SUM('1. Mixture Model Inputs'!D72,'1. Mixture Model Inputs'!L72)/'1. Mixture Model Inputs'!AB72,NA())</f>
        <v>2.0989893754858768E-2</v>
      </c>
      <c r="F72" s="17">
        <f>IFERROR('1. Mixture Model Inputs'!E72/'1. Mixture Model Inputs'!AC72, NA())</f>
        <v>8.7089561021537004E-2</v>
      </c>
      <c r="G72" s="17">
        <f>IFERROR('1. Mixture Model Inputs'!F72/'1. Mixture Model Inputs'!AD72, NA())</f>
        <v>0.32173561242034993</v>
      </c>
      <c r="H72" s="24">
        <f>IFERROR(WhonSpComp!AT87+WhonSpComp!AV87, NA())</f>
        <v>0.16666666666666666</v>
      </c>
      <c r="I72" s="17">
        <f>IFERROR(SUM('1. Mixture Model Inputs'!G72,'1. Mixture Model Inputs'!O72)/'1. Mixture Model Inputs'!AE72, NA())</f>
        <v>3.4248936903804164E-2</v>
      </c>
      <c r="J72" s="17">
        <f>IFERROR(SUM('1. Mixture Model Inputs'!H72,'1. Mixture Model Inputs'!P72)/'1. Mixture Model Inputs'!AF72, NA())</f>
        <v>0.2423172024019781</v>
      </c>
      <c r="K72" s="17">
        <f>IFERROR(SUM('1. Mixture Model Inputs'!I72,'1. Mixture Model Inputs'!Q72)/'1. Mixture Model Inputs'!AG72, NA())</f>
        <v>0.49138958085129425</v>
      </c>
      <c r="L72" s="22">
        <f>C72*'2. Salmon Passage by Bin'!C72</f>
        <v>773.2993572084481</v>
      </c>
      <c r="M72" s="22">
        <f>D72*'2. Salmon Passage by Bin'!D72</f>
        <v>67.87556318386612</v>
      </c>
      <c r="N72" s="22">
        <f>F72*'2. Salmon Passage by Bin'!F72</f>
        <v>7869.015605507826</v>
      </c>
      <c r="O72" s="22">
        <f>G72*'2. Salmon Passage by Bin'!G72</f>
        <v>21494.692966521692</v>
      </c>
      <c r="P72" s="22">
        <f>$G72*'2. Salmon Passage by Bin'!H72</f>
        <v>10020.700167897239</v>
      </c>
      <c r="Q72" s="22">
        <f>$G72*'2. Salmon Passage by Bin'!I72</f>
        <v>5752.1694507939719</v>
      </c>
      <c r="R72" s="22">
        <f>$G72*'2. Salmon Passage by Bin'!J72</f>
        <v>0</v>
      </c>
      <c r="S72" s="25">
        <f>'2. Salmon Passage by Bin'!K72*H72</f>
        <v>8836.9600000000137</v>
      </c>
      <c r="T72" s="25">
        <f>K72*'2. Salmon Passage by Bin'!L72</f>
        <v>671.51334560814462</v>
      </c>
      <c r="U72" s="25">
        <f>K72*'2. Salmon Passage by Bin'!M72</f>
        <v>2747.6146691216286</v>
      </c>
      <c r="V72" s="25">
        <f>J72*'2. Salmon Passage by Bin'!N72</f>
        <v>2509.9021971034972</v>
      </c>
      <c r="W72" s="25">
        <f>I72*'2. Salmon Passage by Bin'!O72</f>
        <v>1058.6209401218252</v>
      </c>
      <c r="X72" s="22">
        <f>E72*'2. Salmon Passage by Bin'!E72</f>
        <v>1001.6562010883647</v>
      </c>
      <c r="Y72" s="41">
        <f t="shared" si="1"/>
        <v>61802.364263068142</v>
      </c>
      <c r="Z72" s="42">
        <f>Y72/'[1]Passage Estimates'!$D72</f>
        <v>0.17401442412627299</v>
      </c>
      <c r="AA72" s="43">
        <f>IFERROR(SUMIF(L72:R72, "&lt;&gt;#N/A")/SUMIF('2. Salmon Passage by Bin'!E72:J72, "&lt;&gt;#N/A"), NA())</f>
        <v>0.18107950838769543</v>
      </c>
      <c r="AB72" s="42">
        <f>IFERROR(IF(ISNA(S72), NA(), S72/'2. Salmon Passage by Bin'!K72), NA())</f>
        <v>0.16666666666666666</v>
      </c>
      <c r="AC72" s="44">
        <f>IFERROR(SUMIF(T72:W72, "&lt;&gt;#N/A")/SUMIF('2. Salmon Passage by Bin'!L72:N72, "&lt;&gt;#N/A"), NA())</f>
        <v>0.40353725756266429</v>
      </c>
    </row>
    <row r="73" spans="1:29" x14ac:dyDescent="0.3">
      <c r="A73" s="5">
        <f>'1. Mixture Model Inputs'!A73</f>
        <v>45175</v>
      </c>
      <c r="B73" s="13" t="str">
        <f>IF(ISBLANK('[1]Passage Estimates'!$C73),"",IF('[1]Passage Estimates'!$C73="Imputation",'[1]Passage Estimates'!$B73,'[1]Passage Estimates'!$C73))</f>
        <v>A1+S1+M2+A2</v>
      </c>
      <c r="C73" s="17">
        <f>IFERROR('1. Mixture Model Inputs'!B73/'1. Mixture Model Inputs'!Z73,NA())</f>
        <v>0.11568322981366459</v>
      </c>
      <c r="D73" s="17">
        <f>IFERROR(SUM('1. Mixture Model Inputs'!C73,'1. Mixture Model Inputs'!K73)/'1. Mixture Model Inputs'!AA73,NA())</f>
        <v>3.98345334763291E-3</v>
      </c>
      <c r="E73" s="17">
        <f>IFERROR(SUM('1. Mixture Model Inputs'!D73,'1. Mixture Model Inputs'!L73)/'1. Mixture Model Inputs'!AB73,NA())</f>
        <v>1.1527377521613834E-2</v>
      </c>
      <c r="F73" s="17">
        <f>IFERROR('1. Mixture Model Inputs'!E73/'1. Mixture Model Inputs'!AC73, NA())</f>
        <v>9.6870342771982115E-2</v>
      </c>
      <c r="G73" s="17">
        <f>IFERROR('1. Mixture Model Inputs'!F73/'1. Mixture Model Inputs'!AD73, NA())</f>
        <v>0.44029544521953223</v>
      </c>
      <c r="H73" s="24">
        <f>IFERROR(WhonSpComp!AT88+WhonSpComp!AV88, NA())</f>
        <v>7.6923076923076927E-2</v>
      </c>
      <c r="I73" s="17">
        <f>IFERROR(SUM('1. Mixture Model Inputs'!G73,'1. Mixture Model Inputs'!O73)/'1. Mixture Model Inputs'!AE73, NA())</f>
        <v>3.4248936903804164E-2</v>
      </c>
      <c r="J73" s="17">
        <f>IFERROR(SUM('1. Mixture Model Inputs'!H73,'1. Mixture Model Inputs'!P73)/'1. Mixture Model Inputs'!AF73, NA())</f>
        <v>0.2423172024019781</v>
      </c>
      <c r="K73" s="17">
        <f>IFERROR(SUM('1. Mixture Model Inputs'!I73,'1. Mixture Model Inputs'!Q73)/'1. Mixture Model Inputs'!AG73, NA())</f>
        <v>0.49138958085129425</v>
      </c>
      <c r="L73" s="22">
        <f>C73*'2. Salmon Passage by Bin'!C73</f>
        <v>654.53571428571422</v>
      </c>
      <c r="M73" s="22">
        <f>D73*'2. Salmon Passage by Bin'!D73</f>
        <v>161.06695265818908</v>
      </c>
      <c r="N73" s="22">
        <f>F73*'2. Salmon Passage by Bin'!F73</f>
        <v>6224.1675111773466</v>
      </c>
      <c r="O73" s="22">
        <f>G73*'2. Salmon Passage by Bin'!G73</f>
        <v>21342.458727944195</v>
      </c>
      <c r="P73" s="22">
        <f>$G73*'2. Salmon Passage by Bin'!H73</f>
        <v>7421.6904718916703</v>
      </c>
      <c r="Q73" s="22">
        <f>$G73*'2. Salmon Passage by Bin'!I73</f>
        <v>5857.0213541239227</v>
      </c>
      <c r="R73" s="22">
        <f>$G73*'2. Salmon Passage by Bin'!J73</f>
        <v>0</v>
      </c>
      <c r="S73" s="25">
        <f>'2. Salmon Passage by Bin'!K73*H73</f>
        <v>2178.2953846153746</v>
      </c>
      <c r="T73" s="25">
        <f>K73*'2. Salmon Passage by Bin'!L73</f>
        <v>700.76085346041361</v>
      </c>
      <c r="U73" s="25">
        <f>K73*'2. Salmon Passage by Bin'!M73</f>
        <v>1354.2303736596989</v>
      </c>
      <c r="V73" s="25">
        <f>J73*'2. Salmon Passage by Bin'!N73</f>
        <v>1607.3190815966088</v>
      </c>
      <c r="W73" s="25">
        <f>I73*'2. Salmon Passage by Bin'!O73</f>
        <v>609.29680726353297</v>
      </c>
      <c r="X73" s="22">
        <f>E73*'2. Salmon Passage by Bin'!E73</f>
        <v>531.32541786743514</v>
      </c>
      <c r="Y73" s="41">
        <f t="shared" si="1"/>
        <v>48110.843232676671</v>
      </c>
      <c r="Z73" s="42">
        <f>Y73/'[1]Passage Estimates'!$D73</f>
        <v>0.1956521304792482</v>
      </c>
      <c r="AA73" s="43">
        <f>IFERROR(SUMIF(L73:R73, "&lt;&gt;#N/A")/SUMIF('2. Salmon Passage by Bin'!E73:J73, "&lt;&gt;#N/A"), NA())</f>
        <v>0.22045541234963245</v>
      </c>
      <c r="AB73" s="42">
        <f>IFERROR(IF(ISNA(S73), NA(), S73/'2. Salmon Passage by Bin'!K73), NA())</f>
        <v>7.6923076923076927E-2</v>
      </c>
      <c r="AC73" s="44">
        <f>IFERROR(SUMIF(T73:W73, "&lt;&gt;#N/A")/SUMIF('2. Salmon Passage by Bin'!L73:N73, "&lt;&gt;#N/A"), NA())</f>
        <v>0.39496622469101172</v>
      </c>
    </row>
    <row r="74" spans="1:29" x14ac:dyDescent="0.3">
      <c r="A74" s="5">
        <f>'1. Mixture Model Inputs'!A74</f>
        <v>45176</v>
      </c>
      <c r="B74" s="13" t="str">
        <f>IF(ISBLANK('[1]Passage Estimates'!$C74),"",IF('[1]Passage Estimates'!$C74="Imputation",'[1]Passage Estimates'!$B74,'[1]Passage Estimates'!$C74))</f>
        <v>A1+S1+M2+A2</v>
      </c>
      <c r="C74" s="17">
        <f>IFERROR('1. Mixture Model Inputs'!B74/'1. Mixture Model Inputs'!Z74,NA())</f>
        <v>5.6667925953910094E-3</v>
      </c>
      <c r="D74" s="17">
        <f>IFERROR(SUM('1. Mixture Model Inputs'!C74,'1. Mixture Model Inputs'!K74)/'1. Mixture Model Inputs'!AA74,NA())</f>
        <v>1.020408163265306E-2</v>
      </c>
      <c r="E74" s="17">
        <f>IFERROR(SUM('1. Mixture Model Inputs'!D74,'1. Mixture Model Inputs'!L74)/'1. Mixture Model Inputs'!AB74,NA())</f>
        <v>8.1026333558406483E-3</v>
      </c>
      <c r="F74" s="17">
        <f>IFERROR('1. Mixture Model Inputs'!E74/'1. Mixture Model Inputs'!AC74, NA())</f>
        <v>0.16491847543877869</v>
      </c>
      <c r="G74" s="17">
        <f>IFERROR('1. Mixture Model Inputs'!F74/'1. Mixture Model Inputs'!AD74, NA())</f>
        <v>0.45322580645161292</v>
      </c>
      <c r="H74" s="24">
        <f>IFERROR(WhonSpComp!AT89+WhonSpComp!AV89, NA())</f>
        <v>0.18000000000000002</v>
      </c>
      <c r="I74" s="17">
        <f>IFERROR(SUM('1. Mixture Model Inputs'!G74,'1. Mixture Model Inputs'!O74)/'1. Mixture Model Inputs'!AE74, NA())</f>
        <v>2.8757527344230063E-2</v>
      </c>
      <c r="J74" s="17">
        <f>IFERROR(SUM('1. Mixture Model Inputs'!H74,'1. Mixture Model Inputs'!P74)/'1. Mixture Model Inputs'!AF74, NA())</f>
        <v>0.22647841684990166</v>
      </c>
      <c r="K74" s="17">
        <f>IFERROR(SUM('1. Mixture Model Inputs'!I74,'1. Mixture Model Inputs'!Q74)/'1. Mixture Model Inputs'!AG74, NA())</f>
        <v>0.42967728963506585</v>
      </c>
      <c r="L74" s="22">
        <f>C74*'2. Salmon Passage by Bin'!C74</f>
        <v>26.985266339251986</v>
      </c>
      <c r="M74" s="22">
        <f>D74*'2. Salmon Passage by Bin'!D74</f>
        <v>383.77551020408163</v>
      </c>
      <c r="N74" s="22">
        <f>F74*'2. Salmon Passage by Bin'!F74</f>
        <v>13082.402143524769</v>
      </c>
      <c r="O74" s="22">
        <f>G74*'2. Salmon Passage by Bin'!G74</f>
        <v>54422.230838709678</v>
      </c>
      <c r="P74" s="22">
        <f>$G74*'2. Salmon Passage by Bin'!H74</f>
        <v>7028.4445161290323</v>
      </c>
      <c r="Q74" s="22">
        <f>$G74*'2. Salmon Passage by Bin'!I74</f>
        <v>5396.8316129032255</v>
      </c>
      <c r="R74" s="22">
        <f>$G74*'2. Salmon Passage by Bin'!J74</f>
        <v>0</v>
      </c>
      <c r="S74" s="25">
        <f>'2. Salmon Passage by Bin'!K74*H74</f>
        <v>4195.3680000000149</v>
      </c>
      <c r="T74" s="25">
        <f>K74*'2. Salmon Passage by Bin'!L74</f>
        <v>654.82818940384038</v>
      </c>
      <c r="U74" s="25">
        <f>K74*'2. Salmon Passage by Bin'!M74</f>
        <v>1438.5595656982005</v>
      </c>
      <c r="V74" s="25">
        <f>J74*'2. Salmon Passage by Bin'!N74</f>
        <v>1473.994009952552</v>
      </c>
      <c r="W74" s="25">
        <f>I74*'2. Salmon Passage by Bin'!O74</f>
        <v>330.01678259800912</v>
      </c>
      <c r="X74" s="22">
        <f>E74*'2. Salmon Passage by Bin'!E74</f>
        <v>343.3286698176907</v>
      </c>
      <c r="Y74" s="41">
        <f t="shared" si="1"/>
        <v>88433.43643546266</v>
      </c>
      <c r="Z74" s="42">
        <f>Y74/'[1]Passage Estimates'!$D74</f>
        <v>0.2804246422242237</v>
      </c>
      <c r="AA74" s="43">
        <f>IFERROR(SUMIF(L74:R74, "&lt;&gt;#N/A")/SUMIF('2. Salmon Passage by Bin'!E74:J74, "&lt;&gt;#N/A"), NA())</f>
        <v>0.29845153419232734</v>
      </c>
      <c r="AB74" s="42">
        <f>IFERROR(IF(ISNA(S74), NA(), S74/'2. Salmon Passage by Bin'!K74), NA())</f>
        <v>0.18000000000000002</v>
      </c>
      <c r="AC74" s="44">
        <f>IFERROR(SUMIF(T74:W74, "&lt;&gt;#N/A")/SUMIF('2. Salmon Passage by Bin'!L74:N74, "&lt;&gt;#N/A"), NA())</f>
        <v>0.34246827397231383</v>
      </c>
    </row>
    <row r="75" spans="1:29" x14ac:dyDescent="0.3">
      <c r="A75" s="5">
        <f>'1. Mixture Model Inputs'!A75</f>
        <v>45177</v>
      </c>
      <c r="B75" s="13" t="str">
        <f>IF(ISBLANK('[1]Passage Estimates'!$C75),"",IF('[1]Passage Estimates'!$C75="Imputation",'[1]Passage Estimates'!$B75,'[1]Passage Estimates'!$C75))</f>
        <v>A1+S1+M2+A2</v>
      </c>
      <c r="C75" s="17">
        <f>IFERROR('1. Mixture Model Inputs'!B75/'1. Mixture Model Inputs'!Z75,NA())</f>
        <v>9.4831673779042207E-3</v>
      </c>
      <c r="D75" s="17">
        <f>IFERROR(SUM('1. Mixture Model Inputs'!C75,'1. Mixture Model Inputs'!K75)/'1. Mixture Model Inputs'!AA75,NA())</f>
        <v>0</v>
      </c>
      <c r="E75" s="17">
        <f>IFERROR(SUM('1. Mixture Model Inputs'!D75,'1. Mixture Model Inputs'!L75)/'1. Mixture Model Inputs'!AB75,NA())</f>
        <v>0</v>
      </c>
      <c r="F75" s="17">
        <f>IFERROR('1. Mixture Model Inputs'!E75/'1. Mixture Model Inputs'!AC75, NA())</f>
        <v>0.23878746901059275</v>
      </c>
      <c r="G75" s="17">
        <f>IFERROR('1. Mixture Model Inputs'!F75/'1. Mixture Model Inputs'!AD75, NA())</f>
        <v>0.46993865030674847</v>
      </c>
      <c r="H75" s="24">
        <f>IFERROR(WhonSpComp!AT90+WhonSpComp!AV90, NA())</f>
        <v>2.0134228187919462E-2</v>
      </c>
      <c r="I75" s="17">
        <f>IFERROR(SUM('1. Mixture Model Inputs'!G75,'1. Mixture Model Inputs'!O75)/'1. Mixture Model Inputs'!AE75, NA())</f>
        <v>2.8757527344230063E-2</v>
      </c>
      <c r="J75" s="17">
        <f>IFERROR(SUM('1. Mixture Model Inputs'!H75,'1. Mixture Model Inputs'!P75)/'1. Mixture Model Inputs'!AF75, NA())</f>
        <v>0.22647841684990166</v>
      </c>
      <c r="K75" s="17">
        <f>IFERROR(SUM('1. Mixture Model Inputs'!I75,'1. Mixture Model Inputs'!Q75)/'1. Mixture Model Inputs'!AG75, NA())</f>
        <v>0.42967728963506585</v>
      </c>
      <c r="L75" s="22">
        <f>C75*'2. Salmon Passage by Bin'!C75</f>
        <v>56.794689426268377</v>
      </c>
      <c r="M75" s="22">
        <f>D75*'2. Salmon Passage by Bin'!D75</f>
        <v>0</v>
      </c>
      <c r="N75" s="22">
        <f>F75*'2. Salmon Passage by Bin'!F75</f>
        <v>22141.271967545639</v>
      </c>
      <c r="O75" s="22">
        <f>G75*'2. Salmon Passage by Bin'!G75</f>
        <v>28510.538797546011</v>
      </c>
      <c r="P75" s="22">
        <f>$G75*'2. Salmon Passage by Bin'!H75</f>
        <v>8697.6621349693251</v>
      </c>
      <c r="Q75" s="22">
        <f>$G75*'2. Salmon Passage by Bin'!I75</f>
        <v>10462.187779141104</v>
      </c>
      <c r="R75" s="22">
        <f>$G75*'2. Salmon Passage by Bin'!J75</f>
        <v>0</v>
      </c>
      <c r="S75" s="25">
        <f>'2. Salmon Passage by Bin'!K75*H75</f>
        <v>514.62120805369284</v>
      </c>
      <c r="T75" s="25">
        <f>K75*'2. Salmon Passage by Bin'!L75</f>
        <v>500.14436513521667</v>
      </c>
      <c r="U75" s="25">
        <f>K75*'2. Salmon Passage by Bin'!M75</f>
        <v>1495.2769679300291</v>
      </c>
      <c r="V75" s="25">
        <f>J75*'2. Salmon Passage by Bin'!N75</f>
        <v>1386.428394861706</v>
      </c>
      <c r="W75" s="25">
        <f>I75*'2. Salmon Passage by Bin'!O75</f>
        <v>376.6108787022244</v>
      </c>
      <c r="X75" s="22">
        <f>E75*'2. Salmon Passage by Bin'!E75</f>
        <v>0</v>
      </c>
      <c r="Y75" s="41">
        <f t="shared" si="1"/>
        <v>74141.537183311215</v>
      </c>
      <c r="Z75" s="42">
        <f>Y75/'[1]Passage Estimates'!$D75</f>
        <v>0.25545547443207367</v>
      </c>
      <c r="AA75" s="43">
        <f>IFERROR(SUMIF(L75:R75, "&lt;&gt;#N/A")/SUMIF('2. Salmon Passage by Bin'!E75:J75, "&lt;&gt;#N/A"), NA())</f>
        <v>0.29013760878066408</v>
      </c>
      <c r="AB75" s="42">
        <f>IFERROR(IF(ISNA(S75), NA(), S75/'2. Salmon Passage by Bin'!K75), NA())</f>
        <v>2.0134228187919465E-2</v>
      </c>
      <c r="AC75" s="44">
        <f>IFERROR(SUMIF(T75:W75, "&lt;&gt;#N/A")/SUMIF('2. Salmon Passage by Bin'!L75:N75, "&lt;&gt;#N/A"), NA())</f>
        <v>0.34911502168271547</v>
      </c>
    </row>
    <row r="76" spans="1:29" x14ac:dyDescent="0.3">
      <c r="A76" s="5">
        <f>'1. Mixture Model Inputs'!A76</f>
        <v>45178</v>
      </c>
      <c r="B76" s="13" t="str">
        <f>IF(ISBLANK('[1]Passage Estimates'!$C76),"",IF('[1]Passage Estimates'!$C76="Imputation",'[1]Passage Estimates'!$B76,'[1]Passage Estimates'!$C76))</f>
        <v>A1+S1+M2+A2</v>
      </c>
      <c r="C76" s="17">
        <f>IFERROR('1. Mixture Model Inputs'!B76/'1. Mixture Model Inputs'!Z76,NA())</f>
        <v>4.5078888054094664E-3</v>
      </c>
      <c r="D76" s="17">
        <f>IFERROR(SUM('1. Mixture Model Inputs'!C76,'1. Mixture Model Inputs'!K76)/'1. Mixture Model Inputs'!AA76,NA())</f>
        <v>0</v>
      </c>
      <c r="E76" s="17">
        <f>IFERROR(SUM('1. Mixture Model Inputs'!D76,'1. Mixture Model Inputs'!L76)/'1. Mixture Model Inputs'!AB76,NA())</f>
        <v>0</v>
      </c>
      <c r="F76" s="17">
        <f>IFERROR('1. Mixture Model Inputs'!E76/'1. Mixture Model Inputs'!AC76, NA())</f>
        <v>5.0326188257222737E-2</v>
      </c>
      <c r="G76" s="17">
        <f>IFERROR('1. Mixture Model Inputs'!F76/'1. Mixture Model Inputs'!AD76, NA())</f>
        <v>0.21489229494614745</v>
      </c>
      <c r="H76" s="24">
        <f>IFERROR(WhonSpComp!AT91+WhonSpComp!AV91, NA())</f>
        <v>8.5106382978723406E-3</v>
      </c>
      <c r="I76" s="17">
        <f>IFERROR(SUM('1. Mixture Model Inputs'!G76,'1. Mixture Model Inputs'!O76)/'1. Mixture Model Inputs'!AE76, NA())</f>
        <v>1.5710478327956235E-2</v>
      </c>
      <c r="J76" s="17">
        <f>IFERROR(SUM('1. Mixture Model Inputs'!H76,'1. Mixture Model Inputs'!P76)/'1. Mixture Model Inputs'!AF76, NA())</f>
        <v>0.15659270594236166</v>
      </c>
      <c r="K76" s="17">
        <f>IFERROR(SUM('1. Mixture Model Inputs'!I76,'1. Mixture Model Inputs'!Q76)/'1. Mixture Model Inputs'!AG76, NA())</f>
        <v>0.51231420201801026</v>
      </c>
      <c r="L76" s="22">
        <f>C76*'2. Salmon Passage by Bin'!C76</f>
        <v>22.05709992486852</v>
      </c>
      <c r="M76" s="22">
        <f>D76*'2. Salmon Passage by Bin'!D76</f>
        <v>0</v>
      </c>
      <c r="N76" s="22">
        <f>F76*'2. Salmon Passage by Bin'!F76</f>
        <v>3114.2046598322454</v>
      </c>
      <c r="O76" s="22">
        <f>G76*'2. Salmon Passage by Bin'!G76</f>
        <v>11388.088235294115</v>
      </c>
      <c r="P76" s="22">
        <f>$G76*'2. Salmon Passage by Bin'!H76</f>
        <v>4927.7038111019056</v>
      </c>
      <c r="Q76" s="22">
        <f>$G76*'2. Salmon Passage by Bin'!I76</f>
        <v>3941.6060480530232</v>
      </c>
      <c r="R76" s="22">
        <f>$G76*'2. Salmon Passage by Bin'!J76</f>
        <v>0</v>
      </c>
      <c r="S76" s="25">
        <f>'2. Salmon Passage by Bin'!K76*H76</f>
        <v>317.11863829787188</v>
      </c>
      <c r="T76" s="25">
        <f>K76*'2. Salmon Passage by Bin'!L76</f>
        <v>902.36974286644261</v>
      </c>
      <c r="U76" s="25">
        <f>K76*'2. Salmon Passage by Bin'!M76</f>
        <v>3504.8439188456123</v>
      </c>
      <c r="V76" s="25">
        <f>J76*'2. Salmon Passage by Bin'!N76</f>
        <v>1516.7444223412397</v>
      </c>
      <c r="W76" s="25">
        <f>I76*'2. Salmon Passage by Bin'!O76</f>
        <v>157.56227240847241</v>
      </c>
      <c r="X76" s="22">
        <f>E76*'2. Salmon Passage by Bin'!E76</f>
        <v>0</v>
      </c>
      <c r="Y76" s="41">
        <f t="shared" si="1"/>
        <v>29792.298848965791</v>
      </c>
      <c r="Z76" s="42">
        <f>Y76/'[1]Passage Estimates'!$D76</f>
        <v>0.11445321037791074</v>
      </c>
      <c r="AA76" s="43">
        <f>IFERROR(SUMIF(L76:R76, "&lt;&gt;#N/A")/SUMIF('2. Salmon Passage by Bin'!E76:J76, "&lt;&gt;#N/A"), NA())</f>
        <v>0.12013871182048876</v>
      </c>
      <c r="AB76" s="42">
        <f>IFERROR(IF(ISNA(S76), NA(), S76/'2. Salmon Passage by Bin'!K76), NA())</f>
        <v>8.5106382978723406E-3</v>
      </c>
      <c r="AC76" s="44">
        <f>IFERROR(SUMIF(T76:W76, "&lt;&gt;#N/A")/SUMIF('2. Salmon Passage by Bin'!L76:N76, "&lt;&gt;#N/A"), NA())</f>
        <v>0.33253284890060658</v>
      </c>
    </row>
    <row r="77" spans="1:29" x14ac:dyDescent="0.3">
      <c r="A77" s="5">
        <f>'1. Mixture Model Inputs'!A77</f>
        <v>45179</v>
      </c>
      <c r="B77" s="13" t="str">
        <f>IF(ISBLANK('[1]Passage Estimates'!$C77),"",IF('[1]Passage Estimates'!$C77="Imputation",'[1]Passage Estimates'!$B77,'[1]Passage Estimates'!$C77))</f>
        <v>A1+S1+M2+A2</v>
      </c>
      <c r="C77" s="17">
        <f>IFERROR('1. Mixture Model Inputs'!B77/'1. Mixture Model Inputs'!Z77,NA())</f>
        <v>0</v>
      </c>
      <c r="D77" s="17">
        <f>IFERROR(SUM('1. Mixture Model Inputs'!C77,'1. Mixture Model Inputs'!K77)/'1. Mixture Model Inputs'!AA77,NA())</f>
        <v>0</v>
      </c>
      <c r="E77" s="17">
        <f>IFERROR(SUM('1. Mixture Model Inputs'!D77,'1. Mixture Model Inputs'!L77)/'1. Mixture Model Inputs'!AB77,NA())</f>
        <v>0</v>
      </c>
      <c r="F77" s="17">
        <f>IFERROR('1. Mixture Model Inputs'!E77/'1. Mixture Model Inputs'!AC77, NA())</f>
        <v>0.12737688932228181</v>
      </c>
      <c r="G77" s="17">
        <f>IFERROR('1. Mixture Model Inputs'!F77/'1. Mixture Model Inputs'!AD77, NA())</f>
        <v>0.31646876613319563</v>
      </c>
      <c r="H77" s="24">
        <f>IFERROR(WhonSpComp!AT92+WhonSpComp!AV92, NA())</f>
        <v>9.8039215686274508E-3</v>
      </c>
      <c r="I77" s="17">
        <f>IFERROR(SUM('1. Mixture Model Inputs'!G77,'1. Mixture Model Inputs'!O77)/'1. Mixture Model Inputs'!AE77, NA())</f>
        <v>1.5710478327956235E-2</v>
      </c>
      <c r="J77" s="17">
        <f>IFERROR(SUM('1. Mixture Model Inputs'!H77,'1. Mixture Model Inputs'!P77)/'1. Mixture Model Inputs'!AF77, NA())</f>
        <v>0.15659270594236166</v>
      </c>
      <c r="K77" s="17">
        <f>IFERROR(SUM('1. Mixture Model Inputs'!I77,'1. Mixture Model Inputs'!Q77)/'1. Mixture Model Inputs'!AG77, NA())</f>
        <v>0.51231420201801026</v>
      </c>
      <c r="L77" s="22">
        <f>C77*'2. Salmon Passage by Bin'!C77</f>
        <v>0</v>
      </c>
      <c r="M77" s="22">
        <f>D77*'2. Salmon Passage by Bin'!D77</f>
        <v>0</v>
      </c>
      <c r="N77" s="22">
        <f>F77*'2. Salmon Passage by Bin'!F77</f>
        <v>10310.466260360799</v>
      </c>
      <c r="O77" s="22">
        <f>G77*'2. Salmon Passage by Bin'!G77</f>
        <v>26461.5485389778</v>
      </c>
      <c r="P77" s="22">
        <f>$G77*'2. Salmon Passage by Bin'!H77</f>
        <v>10635.856974703147</v>
      </c>
      <c r="Q77" s="22">
        <f>$G77*'2. Salmon Passage by Bin'!I77</f>
        <v>3562.3243366029938</v>
      </c>
      <c r="R77" s="22">
        <f>$G77*'2. Salmon Passage by Bin'!J77</f>
        <v>0</v>
      </c>
      <c r="S77" s="25">
        <f>'2. Salmon Passage by Bin'!K77*H77</f>
        <v>502.22823529411704</v>
      </c>
      <c r="T77" s="25">
        <f>K77*'2. Salmon Passage by Bin'!L77</f>
        <v>1863.0203493544541</v>
      </c>
      <c r="U77" s="25">
        <f>K77*'2. Salmon Passage by Bin'!M77</f>
        <v>5559.920616252577</v>
      </c>
      <c r="V77" s="25">
        <f>J77*'2. Salmon Passage by Bin'!N77</f>
        <v>2113.5505432287682</v>
      </c>
      <c r="W77" s="25">
        <f>I77*'2. Salmon Passage by Bin'!O77</f>
        <v>392.5068200308599</v>
      </c>
      <c r="X77" s="22">
        <f>E77*'2. Salmon Passage by Bin'!E77</f>
        <v>0</v>
      </c>
      <c r="Y77" s="41">
        <f t="shared" si="1"/>
        <v>61401.422674805515</v>
      </c>
      <c r="Z77" s="42">
        <f>Y77/'[1]Passage Estimates'!$D77</f>
        <v>0.17343506073703538</v>
      </c>
      <c r="AA77" s="43">
        <f>IFERROR(SUMIF(L77:R77, "&lt;&gt;#N/A")/SUMIF('2. Salmon Passage by Bin'!E77:J77, "&lt;&gt;#N/A"), NA())</f>
        <v>0.20401625123339792</v>
      </c>
      <c r="AB77" s="42">
        <f>IFERROR(IF(ISNA(S77), NA(), S77/'2. Salmon Passage by Bin'!K77), NA())</f>
        <v>9.8039215686274508E-3</v>
      </c>
      <c r="AC77" s="44">
        <f>IFERROR(SUMIF(T77:W77, "&lt;&gt;#N/A")/SUMIF('2. Salmon Passage by Bin'!L77:N77, "&lt;&gt;#N/A"), NA())</f>
        <v>0.3547824470690748</v>
      </c>
    </row>
    <row r="78" spans="1:29" x14ac:dyDescent="0.3">
      <c r="A78" s="5">
        <f>'1. Mixture Model Inputs'!A78</f>
        <v>45180</v>
      </c>
      <c r="B78" s="13" t="str">
        <f>IF(ISBLANK('[1]Passage Estimates'!$C78),"",IF('[1]Passage Estimates'!$C78="Imputation",'[1]Passage Estimates'!$B78,'[1]Passage Estimates'!$C78))</f>
        <v>A1+S1+M2+A2</v>
      </c>
      <c r="C78" s="17">
        <f>IFERROR('1. Mixture Model Inputs'!B78/'1. Mixture Model Inputs'!Z78,NA())</f>
        <v>0</v>
      </c>
      <c r="D78" s="17">
        <f>IFERROR(SUM('1. Mixture Model Inputs'!C78,'1. Mixture Model Inputs'!K78)/'1. Mixture Model Inputs'!AA78,NA())</f>
        <v>0</v>
      </c>
      <c r="E78" s="17">
        <f>IFERROR(SUM('1. Mixture Model Inputs'!D78,'1. Mixture Model Inputs'!L78)/'1. Mixture Model Inputs'!AB78,NA())</f>
        <v>0</v>
      </c>
      <c r="F78" s="17">
        <f>IFERROR('1. Mixture Model Inputs'!E78/'1. Mixture Model Inputs'!AC78, NA())</f>
        <v>0.12358470412305063</v>
      </c>
      <c r="G78" s="17">
        <f>IFERROR('1. Mixture Model Inputs'!F78/'1. Mixture Model Inputs'!AD78, NA())</f>
        <v>0.4288006417970317</v>
      </c>
      <c r="H78" s="24">
        <f>IFERROR(WhonSpComp!AT93+WhonSpComp!AV93, NA())</f>
        <v>1.3745704467353952E-2</v>
      </c>
      <c r="I78" s="17">
        <f>IFERROR(SUM('1. Mixture Model Inputs'!G78,'1. Mixture Model Inputs'!O78)/'1. Mixture Model Inputs'!AE78, NA())</f>
        <v>0</v>
      </c>
      <c r="J78" s="17">
        <f>IFERROR(SUM('1. Mixture Model Inputs'!H78,'1. Mixture Model Inputs'!P78)/'1. Mixture Model Inputs'!AF78, NA())</f>
        <v>0.12450937636284343</v>
      </c>
      <c r="K78" s="17">
        <f>IFERROR(SUM('1. Mixture Model Inputs'!I78,'1. Mixture Model Inputs'!Q78)/'1. Mixture Model Inputs'!AG78, NA())</f>
        <v>0.39665523156089194</v>
      </c>
      <c r="L78" s="22">
        <f>C78*'2. Salmon Passage by Bin'!C78</f>
        <v>0</v>
      </c>
      <c r="M78" s="22">
        <f>D78*'2. Salmon Passage by Bin'!D78</f>
        <v>0</v>
      </c>
      <c r="N78" s="22">
        <f>F78*'2. Salmon Passage by Bin'!F78</f>
        <v>21342.297346720785</v>
      </c>
      <c r="O78" s="22">
        <f>G78*'2. Salmon Passage by Bin'!G78</f>
        <v>57944.688327316486</v>
      </c>
      <c r="P78" s="22">
        <f>$G78*'2. Salmon Passage by Bin'!H78</f>
        <v>19705.41342960289</v>
      </c>
      <c r="Q78" s="22">
        <f>$G78*'2. Salmon Passage by Bin'!I78</f>
        <v>6018.4056799037317</v>
      </c>
      <c r="R78" s="22">
        <f>$G78*'2. Salmon Passage by Bin'!J78</f>
        <v>0</v>
      </c>
      <c r="S78" s="25">
        <f>'2. Salmon Passage by Bin'!K78*H78</f>
        <v>984.28701030928039</v>
      </c>
      <c r="T78" s="25">
        <f>K78*'2. Salmon Passage by Bin'!L78</f>
        <v>1213.2890222984563</v>
      </c>
      <c r="U78" s="25">
        <f>K78*'2. Salmon Passage by Bin'!M78</f>
        <v>3404.8250428816468</v>
      </c>
      <c r="V78" s="25">
        <f>J78*'2. Salmon Passage by Bin'!N78</f>
        <v>1652.6976188399476</v>
      </c>
      <c r="W78" s="25">
        <f>I78*'2. Salmon Passage by Bin'!O78</f>
        <v>0</v>
      </c>
      <c r="X78" s="22">
        <f>E78*'2. Salmon Passage by Bin'!E78</f>
        <v>0</v>
      </c>
      <c r="Y78" s="41">
        <f t="shared" si="1"/>
        <v>112265.90347787325</v>
      </c>
      <c r="Z78" s="42">
        <f>Y78/'[1]Passage Estimates'!$D78</f>
        <v>0.17887787913212813</v>
      </c>
      <c r="AA78" s="43">
        <f>IFERROR(SUMIF(L78:R78, "&lt;&gt;#N/A")/SUMIF('2. Salmon Passage by Bin'!E78:J78, "&lt;&gt;#N/A"), NA())</f>
        <v>0.20983088168886793</v>
      </c>
      <c r="AB78" s="42">
        <f>IFERROR(IF(ISNA(S78), NA(), S78/'2. Salmon Passage by Bin'!K78), NA())</f>
        <v>1.3745704467353952E-2</v>
      </c>
      <c r="AC78" s="44">
        <f>IFERROR(SUMIF(T78:W78, "&lt;&gt;#N/A")/SUMIF('2. Salmon Passage by Bin'!L78:N78, "&lt;&gt;#N/A"), NA())</f>
        <v>0.25167487349737244</v>
      </c>
    </row>
    <row r="79" spans="1:29" x14ac:dyDescent="0.3">
      <c r="A79" s="5">
        <f>'1. Mixture Model Inputs'!A79</f>
        <v>45181</v>
      </c>
      <c r="B79" s="13" t="str">
        <f>IF(ISBLANK('[1]Passage Estimates'!$C79),"",IF('[1]Passage Estimates'!$C79="Imputation",'[1]Passage Estimates'!$B79,'[1]Passage Estimates'!$C79))</f>
        <v>A1+S1+M2+A2</v>
      </c>
      <c r="C79" s="17">
        <f>IFERROR('1. Mixture Model Inputs'!B79/'1. Mixture Model Inputs'!Z79,NA())</f>
        <v>0</v>
      </c>
      <c r="D79" s="17">
        <f>IFERROR(SUM('1. Mixture Model Inputs'!C79,'1. Mixture Model Inputs'!K79)/'1. Mixture Model Inputs'!AA79,NA())</f>
        <v>1.8399264029438821E-2</v>
      </c>
      <c r="E79" s="17">
        <f>IFERROR(SUM('1. Mixture Model Inputs'!D79,'1. Mixture Model Inputs'!L79)/'1. Mixture Model Inputs'!AB79,NA())</f>
        <v>1.7521902377972465E-2</v>
      </c>
      <c r="F79" s="17">
        <f>IFERROR('1. Mixture Model Inputs'!E79/'1. Mixture Model Inputs'!AC79, NA())</f>
        <v>7.7839643652561255E-2</v>
      </c>
      <c r="G79" s="17">
        <f>IFERROR('1. Mixture Model Inputs'!F79/'1. Mixture Model Inputs'!AD79, NA())</f>
        <v>0.33350352292453794</v>
      </c>
      <c r="H79" s="24">
        <f>IFERROR(WhonSpComp!AT94+WhonSpComp!AV94, NA())</f>
        <v>2.3076923076923078E-2</v>
      </c>
      <c r="I79" s="17">
        <f>IFERROR(SUM('1. Mixture Model Inputs'!G79,'1. Mixture Model Inputs'!O79)/'1. Mixture Model Inputs'!AE79, NA())</f>
        <v>0</v>
      </c>
      <c r="J79" s="17">
        <f>IFERROR(SUM('1. Mixture Model Inputs'!H79,'1. Mixture Model Inputs'!P79)/'1. Mixture Model Inputs'!AF79, NA())</f>
        <v>0.12450937636284343</v>
      </c>
      <c r="K79" s="17">
        <f>IFERROR(SUM('1. Mixture Model Inputs'!I79,'1. Mixture Model Inputs'!Q79)/'1. Mixture Model Inputs'!AG79, NA())</f>
        <v>0.39665523156089194</v>
      </c>
      <c r="L79" s="22">
        <f>C79*'2. Salmon Passage by Bin'!C79</f>
        <v>0</v>
      </c>
      <c r="M79" s="22">
        <f>D79*'2. Salmon Passage by Bin'!D79</f>
        <v>2173.2658693652252</v>
      </c>
      <c r="N79" s="22">
        <f>F79*'2. Salmon Passage by Bin'!F79</f>
        <v>15964.960730512252</v>
      </c>
      <c r="O79" s="22">
        <f>G79*'2. Salmon Passage by Bin'!G79</f>
        <v>45739.34116205453</v>
      </c>
      <c r="P79" s="22">
        <f>$G79*'2. Salmon Passage by Bin'!H79</f>
        <v>10325.269069743696</v>
      </c>
      <c r="Q79" s="22">
        <f>$G79*'2. Salmon Passage by Bin'!I79</f>
        <v>4301.6351598080264</v>
      </c>
      <c r="R79" s="22">
        <f>$G79*'2. Salmon Passage by Bin'!J79</f>
        <v>0</v>
      </c>
      <c r="S79" s="25">
        <f>'2. Salmon Passage by Bin'!K79*H79</f>
        <v>1001.6418461538525</v>
      </c>
      <c r="T79" s="25">
        <f>K79*'2. Salmon Passage by Bin'!L79</f>
        <v>269.88421955403089</v>
      </c>
      <c r="U79" s="25">
        <f>K79*'2. Salmon Passage by Bin'!M79</f>
        <v>618.3061749571184</v>
      </c>
      <c r="V79" s="25">
        <f>J79*'2. Salmon Passage by Bin'!N79</f>
        <v>1118.4627474923682</v>
      </c>
      <c r="W79" s="25">
        <f>I79*'2. Salmon Passage by Bin'!O79</f>
        <v>0</v>
      </c>
      <c r="X79" s="22">
        <f>E79*'2. Salmon Passage by Bin'!E79</f>
        <v>3575.2839048811011</v>
      </c>
      <c r="Y79" s="41">
        <f t="shared" si="1"/>
        <v>81512.766979641092</v>
      </c>
      <c r="Z79" s="42">
        <f>Y79/'[1]Passage Estimates'!$D79</f>
        <v>0.12133914898881976</v>
      </c>
      <c r="AA79" s="43">
        <f>IFERROR(SUMIF(L79:R79, "&lt;&gt;#N/A")/SUMIF('2. Salmon Passage by Bin'!E79:J79, "&lt;&gt;#N/A"), NA())</f>
        <v>0.13302381385691597</v>
      </c>
      <c r="AB79" s="42">
        <f>IFERROR(IF(ISNA(S79), NA(), S79/'2. Salmon Passage by Bin'!K79), NA())</f>
        <v>2.3076923076923078E-2</v>
      </c>
      <c r="AC79" s="44">
        <f>IFERROR(SUMIF(T79:W79, "&lt;&gt;#N/A")/SUMIF('2. Salmon Passage by Bin'!L79:N79, "&lt;&gt;#N/A"), NA())</f>
        <v>0.17881166745114285</v>
      </c>
    </row>
    <row r="80" spans="1:29" x14ac:dyDescent="0.3">
      <c r="A80" s="5">
        <f>'1. Mixture Model Inputs'!A80</f>
        <v>45182</v>
      </c>
      <c r="B80" s="13" t="str">
        <f>IF(ISBLANK('[1]Passage Estimates'!$C80),"",IF('[1]Passage Estimates'!$C80="Imputation",'[1]Passage Estimates'!$B80,'[1]Passage Estimates'!$C80))</f>
        <v>A1+S1+M2+A2</v>
      </c>
      <c r="C80" s="17">
        <f>IFERROR('1. Mixture Model Inputs'!B80/'1. Mixture Model Inputs'!Z80,NA())</f>
        <v>0</v>
      </c>
      <c r="D80" s="17">
        <f>IFERROR(SUM('1. Mixture Model Inputs'!C80,'1. Mixture Model Inputs'!K80)/'1. Mixture Model Inputs'!AA80,NA())</f>
        <v>0</v>
      </c>
      <c r="E80" s="17">
        <f>IFERROR(SUM('1. Mixture Model Inputs'!D80,'1. Mixture Model Inputs'!L80)/'1. Mixture Model Inputs'!AB80,NA())</f>
        <v>0</v>
      </c>
      <c r="F80" s="17">
        <f>IFERROR('1. Mixture Model Inputs'!E80/'1. Mixture Model Inputs'!AC80, NA())</f>
        <v>0.1693468579910935</v>
      </c>
      <c r="G80" s="17">
        <f>IFERROR('1. Mixture Model Inputs'!F80/'1. Mixture Model Inputs'!AD80, NA())</f>
        <v>0.26579234972677596</v>
      </c>
      <c r="H80" s="24">
        <f>IFERROR(WhonSpComp!AT95+WhonSpComp!AV95, NA())</f>
        <v>6.8965517241379309E-2</v>
      </c>
      <c r="I80" s="17">
        <f>IFERROR(SUM('1. Mixture Model Inputs'!G80,'1. Mixture Model Inputs'!O80)/'1. Mixture Model Inputs'!AE80, NA())</f>
        <v>4.8821906177032477E-3</v>
      </c>
      <c r="J80" s="17">
        <f>IFERROR(SUM('1. Mixture Model Inputs'!H80,'1. Mixture Model Inputs'!P80)/'1. Mixture Model Inputs'!AF80, NA())</f>
        <v>0.1839632714072176</v>
      </c>
      <c r="K80" s="17">
        <f>IFERROR(SUM('1. Mixture Model Inputs'!I80,'1. Mixture Model Inputs'!Q80)/'1. Mixture Model Inputs'!AG80, NA())</f>
        <v>0.48018193632228723</v>
      </c>
      <c r="L80" s="22">
        <f>C80*'2. Salmon Passage by Bin'!C80</f>
        <v>0</v>
      </c>
      <c r="M80" s="22">
        <f>D80*'2. Salmon Passage by Bin'!D80</f>
        <v>0</v>
      </c>
      <c r="N80" s="22">
        <f>F80*'2. Salmon Passage by Bin'!F80</f>
        <v>25362.686036615534</v>
      </c>
      <c r="O80" s="22">
        <f>G80*'2. Salmon Passage by Bin'!G80</f>
        <v>26267.449914754096</v>
      </c>
      <c r="P80" s="22">
        <f>$G80*'2. Salmon Passage by Bin'!H80</f>
        <v>8465.2737049180323</v>
      </c>
      <c r="Q80" s="22">
        <f>$G80*'2. Salmon Passage by Bin'!I80</f>
        <v>3198.3750295081968</v>
      </c>
      <c r="R80" s="22">
        <f>$G80*'2. Salmon Passage by Bin'!J80</f>
        <v>0</v>
      </c>
      <c r="S80" s="25">
        <f>'2. Salmon Passage by Bin'!K80*H80</f>
        <v>8034.0744827586241</v>
      </c>
      <c r="T80" s="25">
        <f>K80*'2. Salmon Passage by Bin'!L80</f>
        <v>-385.72054580896685</v>
      </c>
      <c r="U80" s="25">
        <f>K80*'2. Salmon Passage by Bin'!M80</f>
        <v>630.7285769980507</v>
      </c>
      <c r="V80" s="25">
        <f>J80*'2. Salmon Passage by Bin'!N80</f>
        <v>1861.3698142216529</v>
      </c>
      <c r="W80" s="25">
        <f>I80*'2. Salmon Passage by Bin'!O80</f>
        <v>145.96656336234346</v>
      </c>
      <c r="X80" s="22">
        <f>E80*'2. Salmon Passage by Bin'!E80</f>
        <v>0</v>
      </c>
      <c r="Y80" s="41">
        <f t="shared" si="1"/>
        <v>73580.203577327557</v>
      </c>
      <c r="Z80" s="42">
        <f>Y80/'[1]Passage Estimates'!$D80</f>
        <v>0.13611831519462378</v>
      </c>
      <c r="AA80" s="43">
        <f>IFERROR(SUMIF(L80:R80, "&lt;&gt;#N/A")/SUMIF('2. Salmon Passage by Bin'!E80:J80, "&lt;&gt;#N/A"), NA())</f>
        <v>0.16502507867696825</v>
      </c>
      <c r="AB80" s="42">
        <f>IFERROR(IF(ISNA(S80), NA(), S80/'2. Salmon Passage by Bin'!K80), NA())</f>
        <v>6.8965517241379309E-2</v>
      </c>
      <c r="AC80" s="44">
        <f>IFERROR(SUMIF(T80:W80, "&lt;&gt;#N/A")/SUMIF('2. Salmon Passage by Bin'!L80:N80, "&lt;&gt;#N/A"), NA())</f>
        <v>0.21191754250621736</v>
      </c>
    </row>
    <row r="81" spans="1:29" x14ac:dyDescent="0.3">
      <c r="A81" s="5">
        <f>'1. Mixture Model Inputs'!A81</f>
        <v>45183</v>
      </c>
      <c r="B81" s="13" t="str">
        <f>IF(ISBLANK('[1]Passage Estimates'!$C81),"",IF('[1]Passage Estimates'!$C81="Imputation",'[1]Passage Estimates'!$B81,'[1]Passage Estimates'!$C81))</f>
        <v>A1+S1+M2+A2</v>
      </c>
      <c r="C81" s="17">
        <f>IFERROR('1. Mixture Model Inputs'!B81/'1. Mixture Model Inputs'!Z81,NA())</f>
        <v>1.4337925217880236E-2</v>
      </c>
      <c r="D81" s="17">
        <f>IFERROR(SUM('1. Mixture Model Inputs'!C81,'1. Mixture Model Inputs'!K81)/'1. Mixture Model Inputs'!AA81,NA())</f>
        <v>4.9170251997541483E-3</v>
      </c>
      <c r="E81" s="17">
        <f>IFERROR(SUM('1. Mixture Model Inputs'!D81,'1. Mixture Model Inputs'!L81)/'1. Mixture Model Inputs'!AB81,NA())</f>
        <v>2.42306760358614E-2</v>
      </c>
      <c r="F81" s="17">
        <f>IFERROR('1. Mixture Model Inputs'!E81/'1. Mixture Model Inputs'!AC81, NA())</f>
        <v>0.21024691358024691</v>
      </c>
      <c r="G81" s="17">
        <f>IFERROR('1. Mixture Model Inputs'!F81/'1. Mixture Model Inputs'!AD81, NA())</f>
        <v>0.34269359542067185</v>
      </c>
      <c r="H81" s="24">
        <f>IFERROR(WhonSpComp!AT96+WhonSpComp!AV96, NA())</f>
        <v>0.27868852459016397</v>
      </c>
      <c r="I81" s="17">
        <f>IFERROR(SUM('1. Mixture Model Inputs'!G81,'1. Mixture Model Inputs'!O81)/'1. Mixture Model Inputs'!AE81, NA())</f>
        <v>4.8821906177032477E-3</v>
      </c>
      <c r="J81" s="17">
        <f>IFERROR(SUM('1. Mixture Model Inputs'!H81,'1. Mixture Model Inputs'!P81)/'1. Mixture Model Inputs'!AF81, NA())</f>
        <v>0.1839632714072176</v>
      </c>
      <c r="K81" s="17">
        <f>IFERROR(SUM('1. Mixture Model Inputs'!I81,'1. Mixture Model Inputs'!Q81)/'1. Mixture Model Inputs'!AG81, NA())</f>
        <v>0.48018193632228723</v>
      </c>
      <c r="L81" s="22">
        <f>C81*'2. Salmon Passage by Bin'!C81</f>
        <v>132.31037391059883</v>
      </c>
      <c r="M81" s="22">
        <f>D81*'2. Salmon Passage by Bin'!D81</f>
        <v>171.41733251382911</v>
      </c>
      <c r="N81" s="22">
        <f>F81*'2. Salmon Passage by Bin'!F81</f>
        <v>10559.659644444444</v>
      </c>
      <c r="O81" s="22">
        <f>G81*'2. Salmon Passage by Bin'!G81</f>
        <v>14522.504693811432</v>
      </c>
      <c r="P81" s="22">
        <f>$G81*'2. Salmon Passage by Bin'!H81</f>
        <v>5845.8318436116224</v>
      </c>
      <c r="Q81" s="22">
        <f>$G81*'2. Salmon Passage by Bin'!I81</f>
        <v>3615.1432768117511</v>
      </c>
      <c r="R81" s="22">
        <f>$G81*'2. Salmon Passage by Bin'!J81</f>
        <v>0</v>
      </c>
      <c r="S81" s="25">
        <f>'2. Salmon Passage by Bin'!K81*H81</f>
        <v>18719.106885245859</v>
      </c>
      <c r="T81" s="25">
        <f>K81*'2. Salmon Passage by Bin'!L81</f>
        <v>109.36623781676414</v>
      </c>
      <c r="U81" s="25">
        <f>K81*'2. Salmon Passage by Bin'!M81</f>
        <v>869.16771929824563</v>
      </c>
      <c r="V81" s="25">
        <f>J81*'2. Salmon Passage by Bin'!N81</f>
        <v>1051.8136835361947</v>
      </c>
      <c r="W81" s="25">
        <f>I81*'2. Salmon Passage by Bin'!O81</f>
        <v>120.7404797282955</v>
      </c>
      <c r="X81" s="22">
        <f>E81*'2. Salmon Passage by Bin'!E81</f>
        <v>1068.3111218803003</v>
      </c>
      <c r="Y81" s="41">
        <f t="shared" si="1"/>
        <v>55717.062170729041</v>
      </c>
      <c r="Z81" s="42">
        <f>Y81/'[1]Passage Estimates'!$D81</f>
        <v>0.21108613014748123</v>
      </c>
      <c r="AA81" s="43">
        <f>IFERROR(SUMIF(L81:R81, "&lt;&gt;#N/A")/SUMIF('2. Salmon Passage by Bin'!E81:J81, "&lt;&gt;#N/A"), NA())</f>
        <v>0.2120936453898058</v>
      </c>
      <c r="AB81" s="42">
        <f>IFERROR(IF(ISNA(S81), NA(), S81/'2. Salmon Passage by Bin'!K81), NA())</f>
        <v>0.27868852459016397</v>
      </c>
      <c r="AC81" s="44">
        <f>IFERROR(SUMIF(T81:W81, "&lt;&gt;#N/A")/SUMIF('2. Salmon Passage by Bin'!L81:N81, "&lt;&gt;#N/A"), NA())</f>
        <v>0.27736792623159984</v>
      </c>
    </row>
    <row r="82" spans="1:29" x14ac:dyDescent="0.3">
      <c r="A82" s="5">
        <f>'1. Mixture Model Inputs'!A82</f>
        <v>45184</v>
      </c>
      <c r="B82" s="13" t="str">
        <f>IF(ISBLANK('[1]Passage Estimates'!$C82),"",IF('[1]Passage Estimates'!$C82="Imputation",'[1]Passage Estimates'!$B82,'[1]Passage Estimates'!$C82))</f>
        <v>A1+S1+M2+A2</v>
      </c>
      <c r="C82" s="17">
        <f>IFERROR('1. Mixture Model Inputs'!B82/'1. Mixture Model Inputs'!Z82,NA())</f>
        <v>2.1313614615050023E-2</v>
      </c>
      <c r="D82" s="17">
        <f>IFERROR(SUM('1. Mixture Model Inputs'!C82,'1. Mixture Model Inputs'!K82)/'1. Mixture Model Inputs'!AA82,NA())</f>
        <v>0</v>
      </c>
      <c r="E82" s="17">
        <f>IFERROR(SUM('1. Mixture Model Inputs'!D82,'1. Mixture Model Inputs'!L82)/'1. Mixture Model Inputs'!AB82,NA())</f>
        <v>3.152585119798235E-3</v>
      </c>
      <c r="F82" s="17">
        <f>IFERROR('1. Mixture Model Inputs'!E82/'1. Mixture Model Inputs'!AC82, NA())</f>
        <v>0.14678244320209349</v>
      </c>
      <c r="G82" s="17">
        <f>IFERROR('1. Mixture Model Inputs'!F82/'1. Mixture Model Inputs'!AD82, NA())</f>
        <v>0.2371715349047028</v>
      </c>
      <c r="H82" s="24">
        <f>IFERROR(WhonSpComp!AT97+WhonSpComp!AV97, NA())</f>
        <v>2.4691358024691357E-2</v>
      </c>
      <c r="I82" s="17">
        <f>IFERROR(SUM('1. Mixture Model Inputs'!G82,'1. Mixture Model Inputs'!O82)/'1. Mixture Model Inputs'!AE82, NA())</f>
        <v>0</v>
      </c>
      <c r="J82" s="17">
        <f>IFERROR(SUM('1. Mixture Model Inputs'!H82,'1. Mixture Model Inputs'!P82)/'1. Mixture Model Inputs'!AF82, NA())</f>
        <v>0.15359348311654186</v>
      </c>
      <c r="K82" s="17">
        <f>IFERROR(SUM('1. Mixture Model Inputs'!I82,'1. Mixture Model Inputs'!Q82)/'1. Mixture Model Inputs'!AG82, NA())</f>
        <v>0.43298743855816491</v>
      </c>
      <c r="L82" s="22">
        <f>C82*'2. Salmon Passage by Bin'!C82</f>
        <v>79.819486733362339</v>
      </c>
      <c r="M82" s="22">
        <f>D82*'2. Salmon Passage by Bin'!D82</f>
        <v>0</v>
      </c>
      <c r="N82" s="22">
        <f>F82*'2. Salmon Passage by Bin'!F82</f>
        <v>5457.7704864993457</v>
      </c>
      <c r="O82" s="22">
        <f>G82*'2. Salmon Passage by Bin'!G82</f>
        <v>8781.1717243712628</v>
      </c>
      <c r="P82" s="22">
        <f>$G82*'2. Salmon Passage by Bin'!H82</f>
        <v>4500.927547084696</v>
      </c>
      <c r="Q82" s="22">
        <f>$G82*'2. Salmon Passage by Bin'!I82</f>
        <v>2443.2273102514941</v>
      </c>
      <c r="R82" s="22">
        <f>$G82*'2. Salmon Passage by Bin'!J82</f>
        <v>0</v>
      </c>
      <c r="S82" s="25">
        <f>'2. Salmon Passage by Bin'!K82*H82</f>
        <v>1644.9066666666658</v>
      </c>
      <c r="T82" s="25">
        <f>K82*'2. Salmon Passage by Bin'!L82</f>
        <v>208.35355543418896</v>
      </c>
      <c r="U82" s="25">
        <f>K82*'2. Salmon Passage by Bin'!M82</f>
        <v>1011.2161835062807</v>
      </c>
      <c r="V82" s="25">
        <f>J82*'2. Salmon Passage by Bin'!N82</f>
        <v>616.33992905005914</v>
      </c>
      <c r="W82" s="25">
        <f>I82*'2. Salmon Passage by Bin'!O82</f>
        <v>0</v>
      </c>
      <c r="X82" s="22">
        <f>E82*'2. Salmon Passage by Bin'!E82</f>
        <v>79.557124842370754</v>
      </c>
      <c r="Y82" s="41">
        <f t="shared" si="1"/>
        <v>24743.732889597359</v>
      </c>
      <c r="Z82" s="42">
        <f>Y82/'[1]Passage Estimates'!$D82</f>
        <v>0.11856784032843878</v>
      </c>
      <c r="AA82" s="43">
        <f>IFERROR(SUMIF(L82:R82, "&lt;&gt;#N/A")/SUMIF('2. Salmon Passage by Bin'!E82:J82, "&lt;&gt;#N/A"), NA())</f>
        <v>0.16518499545174431</v>
      </c>
      <c r="AB82" s="42">
        <f>IFERROR(IF(ISNA(S82), NA(), S82/'2. Salmon Passage by Bin'!K82), NA())</f>
        <v>2.4691358024691357E-2</v>
      </c>
      <c r="AC82" s="44">
        <f>IFERROR(SUMIF(T82:W82, "&lt;&gt;#N/A")/SUMIF('2. Salmon Passage by Bin'!L82:N82, "&lt;&gt;#N/A"), NA())</f>
        <v>0.26882287098071417</v>
      </c>
    </row>
    <row r="83" spans="1:29" x14ac:dyDescent="0.3">
      <c r="A83" s="5">
        <f>'1. Mixture Model Inputs'!A83</f>
        <v>45185</v>
      </c>
      <c r="B83" s="13" t="str">
        <f>IF(ISBLANK('[1]Passage Estimates'!$C83),"",IF('[1]Passage Estimates'!$C83="Imputation",'[1]Passage Estimates'!$B83,'[1]Passage Estimates'!$C83))</f>
        <v>A1+S1+M2+A2</v>
      </c>
      <c r="C83" s="17">
        <f>IFERROR('1. Mixture Model Inputs'!B83/'1. Mixture Model Inputs'!Z83,NA())</f>
        <v>1.2499999999999999E-2</v>
      </c>
      <c r="D83" s="17">
        <f>IFERROR(SUM('1. Mixture Model Inputs'!C83,'1. Mixture Model Inputs'!K83)/'1. Mixture Model Inputs'!AA83,NA())</f>
        <v>0</v>
      </c>
      <c r="E83" s="17">
        <f>IFERROR(SUM('1. Mixture Model Inputs'!D83,'1. Mixture Model Inputs'!L83)/'1. Mixture Model Inputs'!AB83,NA())</f>
        <v>4.2872454448017157E-3</v>
      </c>
      <c r="F83" s="17">
        <f>IFERROR('1. Mixture Model Inputs'!E83/'1. Mixture Model Inputs'!AC83, NA())</f>
        <v>8.2699838746832538E-2</v>
      </c>
      <c r="G83" s="17">
        <f>IFERROR('1. Mixture Model Inputs'!F83/'1. Mixture Model Inputs'!AD83, NA())</f>
        <v>0.19595565592280845</v>
      </c>
      <c r="H83" s="24">
        <f>IFERROR(WhonSpComp!AT98+WhonSpComp!AV98, NA())</f>
        <v>0.12307692307692308</v>
      </c>
      <c r="I83" s="17">
        <f>IFERROR(SUM('1. Mixture Model Inputs'!G83,'1. Mixture Model Inputs'!O83)/'1. Mixture Model Inputs'!AE83, NA())</f>
        <v>0</v>
      </c>
      <c r="J83" s="17">
        <f>IFERROR(SUM('1. Mixture Model Inputs'!H83,'1. Mixture Model Inputs'!P83)/'1. Mixture Model Inputs'!AF83, NA())</f>
        <v>0.15359348311654186</v>
      </c>
      <c r="K83" s="17">
        <f>IFERROR(SUM('1. Mixture Model Inputs'!I83,'1. Mixture Model Inputs'!Q83)/'1. Mixture Model Inputs'!AG83, NA())</f>
        <v>0.43298743855816491</v>
      </c>
      <c r="L83" s="22">
        <f>C83*'2. Salmon Passage by Bin'!C83</f>
        <v>72.262499999999989</v>
      </c>
      <c r="M83" s="22">
        <f>D83*'2. Salmon Passage by Bin'!D83</f>
        <v>0</v>
      </c>
      <c r="N83" s="22">
        <f>F83*'2. Salmon Passage by Bin'!F83</f>
        <v>4268.0063579820317</v>
      </c>
      <c r="O83" s="22">
        <f>G83*'2. Salmon Passage by Bin'!G83</f>
        <v>8297.2484417983978</v>
      </c>
      <c r="P83" s="22">
        <f>$G83*'2. Salmon Passage by Bin'!H83</f>
        <v>4730.6360336686512</v>
      </c>
      <c r="Q83" s="22">
        <f>$G83*'2. Salmon Passage by Bin'!I83</f>
        <v>2144.3035516321083</v>
      </c>
      <c r="R83" s="22">
        <f>$G83*'2. Salmon Passage by Bin'!J83</f>
        <v>0</v>
      </c>
      <c r="S83" s="25">
        <f>'2. Salmon Passage by Bin'!K83*H83</f>
        <v>6641.7526153846084</v>
      </c>
      <c r="T83" s="25">
        <f>K83*'2. Salmon Passage by Bin'!L83</f>
        <v>223.62935226652101</v>
      </c>
      <c r="U83" s="25">
        <f>K83*'2. Salmon Passage by Bin'!M83</f>
        <v>889.21764281813205</v>
      </c>
      <c r="V83" s="25">
        <f>J83*'2. Salmon Passage by Bin'!N83</f>
        <v>734.04168703192749</v>
      </c>
      <c r="W83" s="25">
        <f>I83*'2. Salmon Passage by Bin'!O83</f>
        <v>0</v>
      </c>
      <c r="X83" s="22">
        <f>E83*'2. Salmon Passage by Bin'!E83</f>
        <v>83.175305466237958</v>
      </c>
      <c r="Y83" s="41">
        <f t="shared" si="1"/>
        <v>28001.09818258238</v>
      </c>
      <c r="Z83" s="42">
        <f>Y83/'[1]Passage Estimates'!$D83</f>
        <v>0.13041065721870304</v>
      </c>
      <c r="AA83" s="43">
        <f>IFERROR(SUMIF(L83:R83, "&lt;&gt;#N/A")/SUMIF('2. Salmon Passage by Bin'!E83:J83, "&lt;&gt;#N/A"), NA())</f>
        <v>0.13145395288438191</v>
      </c>
      <c r="AB83" s="42">
        <f>IFERROR(IF(ISNA(S83), NA(), S83/'2. Salmon Passage by Bin'!K83), NA())</f>
        <v>0.12307692307692308</v>
      </c>
      <c r="AC83" s="44">
        <f>IFERROR(SUMIF(T83:W83, "&lt;&gt;#N/A")/SUMIF('2. Salmon Passage by Bin'!L83:N83, "&lt;&gt;#N/A"), NA())</f>
        <v>0.25130198905424489</v>
      </c>
    </row>
    <row r="84" spans="1:29" x14ac:dyDescent="0.3">
      <c r="A84" s="5">
        <f>'1. Mixture Model Inputs'!A84</f>
        <v>45186</v>
      </c>
      <c r="B84" s="13" t="str">
        <f>IF(ISBLANK('[1]Passage Estimates'!$C84),"",IF('[1]Passage Estimates'!$C84="Imputation",'[1]Passage Estimates'!$B84,'[1]Passage Estimates'!$C84))</f>
        <v>A1+S1+M2+A2</v>
      </c>
      <c r="C84" s="17">
        <f>IFERROR('1. Mixture Model Inputs'!B84/'1. Mixture Model Inputs'!Z84,NA())</f>
        <v>0</v>
      </c>
      <c r="D84" s="17">
        <f>IFERROR(SUM('1. Mixture Model Inputs'!C84,'1. Mixture Model Inputs'!K84)/'1. Mixture Model Inputs'!AA84,NA())</f>
        <v>0</v>
      </c>
      <c r="E84" s="17">
        <f>IFERROR(SUM('1. Mixture Model Inputs'!D84,'1. Mixture Model Inputs'!L84)/'1. Mixture Model Inputs'!AB84,NA())</f>
        <v>0</v>
      </c>
      <c r="F84" s="17">
        <f>IFERROR('1. Mixture Model Inputs'!E84/'1. Mixture Model Inputs'!AC84, NA())</f>
        <v>6.7320184244714781E-2</v>
      </c>
      <c r="G84" s="17">
        <f>IFERROR('1. Mixture Model Inputs'!F84/'1. Mixture Model Inputs'!AD84, NA())</f>
        <v>0.27826086956521739</v>
      </c>
      <c r="H84" s="24">
        <f>IFERROR(WhonSpComp!AT99+WhonSpComp!AV99, NA())</f>
        <v>6.3829787234042548E-2</v>
      </c>
      <c r="I84" s="17">
        <f>IFERROR(SUM('1. Mixture Model Inputs'!G84,'1. Mixture Model Inputs'!O84)/'1. Mixture Model Inputs'!AE84, NA())</f>
        <v>8.0561714708056176E-2</v>
      </c>
      <c r="J84" s="17">
        <f>IFERROR(SUM('1. Mixture Model Inputs'!H84,'1. Mixture Model Inputs'!P84)/'1. Mixture Model Inputs'!AF84, NA())</f>
        <v>0.1917347429120615</v>
      </c>
      <c r="K84" s="17">
        <f>IFERROR(SUM('1. Mixture Model Inputs'!I84,'1. Mixture Model Inputs'!Q84)/'1. Mixture Model Inputs'!AG84, NA())</f>
        <v>0.34437003968253971</v>
      </c>
      <c r="L84" s="22">
        <f>C84*'2. Salmon Passage by Bin'!C84</f>
        <v>0</v>
      </c>
      <c r="M84" s="22">
        <f>D84*'2. Salmon Passage by Bin'!D84</f>
        <v>0</v>
      </c>
      <c r="N84" s="22">
        <f>F84*'2. Salmon Passage by Bin'!F84</f>
        <v>4824.9991732608951</v>
      </c>
      <c r="O84" s="22">
        <f>G84*'2. Salmon Passage by Bin'!G84</f>
        <v>12134.600347826088</v>
      </c>
      <c r="P84" s="22">
        <f>$G84*'2. Salmon Passage by Bin'!H84</f>
        <v>5808.4173913043478</v>
      </c>
      <c r="Q84" s="22">
        <f>$G84*'2. Salmon Passage by Bin'!I84</f>
        <v>2111.7328695652177</v>
      </c>
      <c r="R84" s="22">
        <f>$G84*'2. Salmon Passage by Bin'!J84</f>
        <v>0</v>
      </c>
      <c r="S84" s="25">
        <f>'2. Salmon Passage by Bin'!K84*H84</f>
        <v>3175.3685106382941</v>
      </c>
      <c r="T84" s="25">
        <f>K84*'2. Salmon Passage by Bin'!L84</f>
        <v>198.43979166666668</v>
      </c>
      <c r="U84" s="25">
        <f>K84*'2. Salmon Passage by Bin'!M84</f>
        <v>880.54041666666672</v>
      </c>
      <c r="V84" s="25">
        <f>J84*'2. Salmon Passage by Bin'!N84</f>
        <v>902.6564920711196</v>
      </c>
      <c r="W84" s="25">
        <f>I84*'2. Salmon Passage by Bin'!O84</f>
        <v>513.43592017738365</v>
      </c>
      <c r="X84" s="22">
        <f>E84*'2. Salmon Passage by Bin'!E84</f>
        <v>0</v>
      </c>
      <c r="Y84" s="41">
        <f t="shared" si="1"/>
        <v>30550.190913176684</v>
      </c>
      <c r="Z84" s="42">
        <f>Y84/'[1]Passage Estimates'!$D84</f>
        <v>0.12067432038534286</v>
      </c>
      <c r="AA84" s="43">
        <f>IFERROR(SUMIF(L84:R84, "&lt;&gt;#N/A")/SUMIF('2. Salmon Passage by Bin'!E84:J84, "&lt;&gt;#N/A"), NA())</f>
        <v>0.1314992897590439</v>
      </c>
      <c r="AB84" s="42">
        <f>IFERROR(IF(ISNA(S84), NA(), S84/'2. Salmon Passage by Bin'!K84), NA())</f>
        <v>6.3829787234042548E-2</v>
      </c>
      <c r="AC84" s="44">
        <f>IFERROR(SUMIF(T84:W84, "&lt;&gt;#N/A")/SUMIF('2. Salmon Passage by Bin'!L84:N84, "&lt;&gt;#N/A"), NA())</f>
        <v>0.31820684763524182</v>
      </c>
    </row>
    <row r="85" spans="1:29" x14ac:dyDescent="0.3">
      <c r="A85" s="5">
        <f>'1. Mixture Model Inputs'!A85</f>
        <v>45187</v>
      </c>
      <c r="B85" s="13" t="str">
        <f>IF(ISBLANK('[1]Passage Estimates'!$C85),"",IF('[1]Passage Estimates'!$C85="Imputation",'[1]Passage Estimates'!$B85,'[1]Passage Estimates'!$C85))</f>
        <v>A1+S1+M2+A2</v>
      </c>
      <c r="C85" s="17">
        <f>IFERROR('1. Mixture Model Inputs'!B85/'1. Mixture Model Inputs'!Z85,NA())</f>
        <v>0</v>
      </c>
      <c r="D85" s="17">
        <f>IFERROR(SUM('1. Mixture Model Inputs'!C85,'1. Mixture Model Inputs'!K85)/'1. Mixture Model Inputs'!AA85,NA())</f>
        <v>0</v>
      </c>
      <c r="E85" s="17">
        <f>IFERROR(SUM('1. Mixture Model Inputs'!D85,'1. Mixture Model Inputs'!L85)/'1. Mixture Model Inputs'!AB85,NA())</f>
        <v>0</v>
      </c>
      <c r="F85" s="17">
        <f>IFERROR('1. Mixture Model Inputs'!E85/'1. Mixture Model Inputs'!AC85, NA())</f>
        <v>0.14079461571862789</v>
      </c>
      <c r="G85" s="17">
        <f>IFERROR('1. Mixture Model Inputs'!F85/'1. Mixture Model Inputs'!AD85, NA())</f>
        <v>0.39203245267318493</v>
      </c>
      <c r="H85" s="24">
        <f>IFERROR(WhonSpComp!AT100+WhonSpComp!AV100, NA())</f>
        <v>7.9646017699115043E-2</v>
      </c>
      <c r="I85" s="17">
        <f>IFERROR(SUM('1. Mixture Model Inputs'!G85,'1. Mixture Model Inputs'!O85)/'1. Mixture Model Inputs'!AE85, NA())</f>
        <v>8.0561714708056176E-2</v>
      </c>
      <c r="J85" s="17">
        <f>IFERROR(SUM('1. Mixture Model Inputs'!H85,'1. Mixture Model Inputs'!P85)/'1. Mixture Model Inputs'!AF85, NA())</f>
        <v>0.1917347429120615</v>
      </c>
      <c r="K85" s="17">
        <f>IFERROR(SUM('1. Mixture Model Inputs'!I85,'1. Mixture Model Inputs'!Q85)/'1. Mixture Model Inputs'!AG85, NA())</f>
        <v>0.34437003968253971</v>
      </c>
      <c r="L85" s="22">
        <f>C85*'2. Salmon Passage by Bin'!C85</f>
        <v>0</v>
      </c>
      <c r="M85" s="22">
        <f>D85*'2. Salmon Passage by Bin'!D85</f>
        <v>0</v>
      </c>
      <c r="N85" s="22">
        <f>F85*'2. Salmon Passage by Bin'!F85</f>
        <v>10587.439722101606</v>
      </c>
      <c r="O85" s="22">
        <f>G85*'2. Salmon Passage by Bin'!G85</f>
        <v>20453.462109423755</v>
      </c>
      <c r="P85" s="22">
        <f>$G85*'2. Salmon Passage by Bin'!H85</f>
        <v>9151.3546744331179</v>
      </c>
      <c r="Q85" s="22">
        <f>$G85*'2. Salmon Passage by Bin'!I85</f>
        <v>1839.6985313085081</v>
      </c>
      <c r="R85" s="22">
        <f>$G85*'2. Salmon Passage by Bin'!J85</f>
        <v>0</v>
      </c>
      <c r="S85" s="25">
        <f>'2. Salmon Passage by Bin'!K85*H85</f>
        <v>3809.2651327433514</v>
      </c>
      <c r="T85" s="25">
        <f>K85*'2. Salmon Passage by Bin'!L85</f>
        <v>61.986607142857146</v>
      </c>
      <c r="U85" s="25">
        <f>K85*'2. Salmon Passage by Bin'!M85</f>
        <v>541.5150000000001</v>
      </c>
      <c r="V85" s="25">
        <f>J85*'2. Salmon Passage by Bin'!N85</f>
        <v>654.49037962518003</v>
      </c>
      <c r="W85" s="25">
        <f>I85*'2. Salmon Passage by Bin'!O85</f>
        <v>534.66554323725052</v>
      </c>
      <c r="X85" s="22">
        <f>E85*'2. Salmon Passage by Bin'!E85</f>
        <v>0</v>
      </c>
      <c r="Y85" s="41">
        <f t="shared" si="1"/>
        <v>47633.877700015626</v>
      </c>
      <c r="Z85" s="42">
        <f>Y85/'[1]Passage Estimates'!$D85</f>
        <v>0.15604211431355985</v>
      </c>
      <c r="AA85" s="43">
        <f>IFERROR(SUMIF(L85:R85, "&lt;&gt;#N/A")/SUMIF('2. Salmon Passage by Bin'!E85:J85, "&lt;&gt;#N/A"), NA())</f>
        <v>0.17111702931069053</v>
      </c>
      <c r="AB85" s="42">
        <f>IFERROR(IF(ISNA(S85), NA(), S85/'2. Salmon Passage by Bin'!K85), NA())</f>
        <v>7.9646017699115043E-2</v>
      </c>
      <c r="AC85" s="44">
        <f>IFERROR(SUMIF(T85:W85, "&lt;&gt;#N/A")/SUMIF('2. Salmon Passage by Bin'!L85:N85, "&lt;&gt;#N/A"), NA())</f>
        <v>0.34701074912994345</v>
      </c>
    </row>
    <row r="86" spans="1:29" x14ac:dyDescent="0.3">
      <c r="A86" s="5">
        <f>'1. Mixture Model Inputs'!A86</f>
        <v>45188</v>
      </c>
      <c r="B86" s="13" t="str">
        <f>IF(ISBLANK('[1]Passage Estimates'!$C86),"",IF('[1]Passage Estimates'!$C86="Imputation",'[1]Passage Estimates'!$B86,'[1]Passage Estimates'!$C86))</f>
        <v>A1+S1+M2+A2</v>
      </c>
      <c r="C86" s="17">
        <f>IFERROR('1. Mixture Model Inputs'!B86/'1. Mixture Model Inputs'!Z86,NA())</f>
        <v>0</v>
      </c>
      <c r="D86" s="17">
        <f>IFERROR(SUM('1. Mixture Model Inputs'!C86,'1. Mixture Model Inputs'!K86)/'1. Mixture Model Inputs'!AA86,NA())</f>
        <v>3.5492763611302547E-2</v>
      </c>
      <c r="E86" s="17">
        <f>IFERROR(SUM('1. Mixture Model Inputs'!D86,'1. Mixture Model Inputs'!L86)/'1. Mixture Model Inputs'!AB86,NA())</f>
        <v>1.8698870276587457E-2</v>
      </c>
      <c r="F86" s="17">
        <f>IFERROR('1. Mixture Model Inputs'!E86/'1. Mixture Model Inputs'!AC86, NA())</f>
        <v>6.3832570307390465E-2</v>
      </c>
      <c r="G86" s="17">
        <f>IFERROR('1. Mixture Model Inputs'!F86/'1. Mixture Model Inputs'!AD86, NA())</f>
        <v>0.24270931326434619</v>
      </c>
      <c r="H86" s="24">
        <f>IFERROR(WhonSpComp!AT101+WhonSpComp!AV101, NA())</f>
        <v>0.05</v>
      </c>
      <c r="I86" s="17">
        <f>IFERROR(SUM('1. Mixture Model Inputs'!G86,'1. Mixture Model Inputs'!O86)/'1. Mixture Model Inputs'!AE86, NA())</f>
        <v>3.3783783783783786E-2</v>
      </c>
      <c r="J86" s="17">
        <f>IFERROR(SUM('1. Mixture Model Inputs'!H86,'1. Mixture Model Inputs'!P86)/'1. Mixture Model Inputs'!AF86, NA())</f>
        <v>0.20270096463022508</v>
      </c>
      <c r="K86" s="17">
        <f>IFERROR(SUM('1. Mixture Model Inputs'!I86,'1. Mixture Model Inputs'!Q86)/'1. Mixture Model Inputs'!AG86, NA())</f>
        <v>0.4905915492957747</v>
      </c>
      <c r="L86" s="22">
        <f>C86*'2. Salmon Passage by Bin'!C86</f>
        <v>0</v>
      </c>
      <c r="M86" s="22">
        <f>D86*'2. Salmon Passage by Bin'!D86</f>
        <v>1498.0785665058579</v>
      </c>
      <c r="N86" s="22">
        <f>F86*'2. Salmon Passage by Bin'!F86</f>
        <v>3740.4405284499685</v>
      </c>
      <c r="O86" s="22">
        <f>G86*'2. Salmon Passage by Bin'!G86</f>
        <v>9897.4139604891807</v>
      </c>
      <c r="P86" s="22">
        <f>$G86*'2. Salmon Passage by Bin'!H86</f>
        <v>4225.7050611476952</v>
      </c>
      <c r="Q86" s="22">
        <f>$G86*'2. Salmon Passage by Bin'!I86</f>
        <v>1834.0086547507058</v>
      </c>
      <c r="R86" s="22">
        <f>$G86*'2. Salmon Passage by Bin'!J86</f>
        <v>0</v>
      </c>
      <c r="S86" s="25">
        <f>'2. Salmon Passage by Bin'!K86*H86</f>
        <v>3561.9359999999965</v>
      </c>
      <c r="T86" s="25">
        <f>K86*'2. Salmon Passage by Bin'!L86</f>
        <v>156.24359661971835</v>
      </c>
      <c r="U86" s="25">
        <f>K86*'2. Salmon Passage by Bin'!M86</f>
        <v>943.23093633802819</v>
      </c>
      <c r="V86" s="25">
        <f>J86*'2. Salmon Passage by Bin'!N86</f>
        <v>802.16068938906744</v>
      </c>
      <c r="W86" s="25">
        <f>I86*'2. Salmon Passage by Bin'!O86</f>
        <v>202.07027027027027</v>
      </c>
      <c r="X86" s="22">
        <f>E86*'2. Salmon Passage by Bin'!E86</f>
        <v>1917.5706427736659</v>
      </c>
      <c r="Y86" s="41">
        <f t="shared" si="1"/>
        <v>26861.28826396049</v>
      </c>
      <c r="Z86" s="42">
        <f>Y86/'[1]Passage Estimates'!$D86</f>
        <v>8.6562174002251205E-2</v>
      </c>
      <c r="AA86" s="43">
        <f>IFERROR(SUMIF(L86:R86, "&lt;&gt;#N/A")/SUMIF('2. Salmon Passage by Bin'!E86:J86, "&lt;&gt;#N/A"), NA())</f>
        <v>9.3416679762423474E-2</v>
      </c>
      <c r="AB86" s="42">
        <f>IFERROR(IF(ISNA(S86), NA(), S86/'2. Salmon Passage by Bin'!K86), NA())</f>
        <v>0.05</v>
      </c>
      <c r="AC86" s="44">
        <f>IFERROR(SUMIF(T86:W86, "&lt;&gt;#N/A")/SUMIF('2. Salmon Passage by Bin'!L86:N86, "&lt;&gt;#N/A"), NA())</f>
        <v>0.33939054294231558</v>
      </c>
    </row>
    <row r="87" spans="1:29" x14ac:dyDescent="0.3">
      <c r="A87" s="5">
        <f>'1. Mixture Model Inputs'!A87</f>
        <v>45189</v>
      </c>
      <c r="B87" s="13" t="str">
        <f>IF(ISBLANK('[1]Passage Estimates'!$C87),"",IF('[1]Passage Estimates'!$C87="Imputation",'[1]Passage Estimates'!$B87,'[1]Passage Estimates'!$C87))</f>
        <v>A1+S1+M2+A2</v>
      </c>
      <c r="C87" s="17">
        <f>IFERROR('1. Mixture Model Inputs'!B87/'1. Mixture Model Inputs'!Z87,NA())</f>
        <v>2.5226757369614512E-2</v>
      </c>
      <c r="D87" s="17">
        <f>IFERROR(SUM('1. Mixture Model Inputs'!C87,'1. Mixture Model Inputs'!K87)/'1. Mixture Model Inputs'!AA87,NA())</f>
        <v>2.7861698556562606E-2</v>
      </c>
      <c r="E87" s="17">
        <f>IFERROR(SUM('1. Mixture Model Inputs'!D87,'1. Mixture Model Inputs'!L87)/'1. Mixture Model Inputs'!AB87,NA())</f>
        <v>4.0553285130462122E-2</v>
      </c>
      <c r="F87" s="17">
        <f>IFERROR('1. Mixture Model Inputs'!E87/'1. Mixture Model Inputs'!AC87, NA())</f>
        <v>4.4407685456164907E-2</v>
      </c>
      <c r="G87" s="17">
        <f>IFERROR('1. Mixture Model Inputs'!F87/'1. Mixture Model Inputs'!AD87, NA())</f>
        <v>0.22781065088757396</v>
      </c>
      <c r="H87" s="24">
        <f>IFERROR(WhonSpComp!AT102+WhonSpComp!AV102, NA())</f>
        <v>0.11475409836065574</v>
      </c>
      <c r="I87" s="17">
        <f>IFERROR(SUM('1. Mixture Model Inputs'!G87,'1. Mixture Model Inputs'!O87)/'1. Mixture Model Inputs'!AE87, NA())</f>
        <v>3.3783783783783786E-2</v>
      </c>
      <c r="J87" s="17">
        <f>IFERROR(SUM('1. Mixture Model Inputs'!H87,'1. Mixture Model Inputs'!P87)/'1. Mixture Model Inputs'!AF87, NA())</f>
        <v>0.20270096463022508</v>
      </c>
      <c r="K87" s="17">
        <f>IFERROR(SUM('1. Mixture Model Inputs'!I87,'1. Mixture Model Inputs'!Q87)/'1. Mixture Model Inputs'!AG87, NA())</f>
        <v>0.4905915492957747</v>
      </c>
      <c r="L87" s="22">
        <f>C87*'2. Salmon Passage by Bin'!C87</f>
        <v>303.75538548752832</v>
      </c>
      <c r="M87" s="22">
        <f>D87*'2. Salmon Passage by Bin'!D87</f>
        <v>77.511245384357167</v>
      </c>
      <c r="N87" s="22">
        <f>F87*'2. Salmon Passage by Bin'!F87</f>
        <v>1568.6002392161854</v>
      </c>
      <c r="O87" s="22">
        <f>G87*'2. Salmon Passage by Bin'!G87</f>
        <v>7298.8892307692304</v>
      </c>
      <c r="P87" s="22">
        <f>$G87*'2. Salmon Passage by Bin'!H87</f>
        <v>3545.1528994082842</v>
      </c>
      <c r="Q87" s="22">
        <f>$G87*'2. Salmon Passage by Bin'!I87</f>
        <v>2355.2705325443785</v>
      </c>
      <c r="R87" s="22">
        <f>$G87*'2. Salmon Passage by Bin'!J87</f>
        <v>0</v>
      </c>
      <c r="S87" s="25">
        <f>'2. Salmon Passage by Bin'!K87*H87</f>
        <v>5253.8281967213152</v>
      </c>
      <c r="T87" s="25">
        <f>K87*'2. Salmon Passage by Bin'!L87</f>
        <v>731.05990309859169</v>
      </c>
      <c r="U87" s="25">
        <f>K87*'2. Salmon Passage by Bin'!M87</f>
        <v>725.5260304225352</v>
      </c>
      <c r="V87" s="25">
        <f>J87*'2. Salmon Passage by Bin'!N87</f>
        <v>718.43708295819943</v>
      </c>
      <c r="W87" s="25">
        <f>I87*'2. Salmon Passage by Bin'!O87</f>
        <v>184.32162162162163</v>
      </c>
      <c r="X87" s="22">
        <f>E87*'2. Salmon Passage by Bin'!E87</f>
        <v>601.09701351776187</v>
      </c>
      <c r="Y87" s="41">
        <f t="shared" si="1"/>
        <v>22762.352367632226</v>
      </c>
      <c r="Z87" s="42">
        <f>Y87/'[1]Passage Estimates'!$D87</f>
        <v>0.13725688485381013</v>
      </c>
      <c r="AA87" s="43">
        <f>IFERROR(SUMIF(L87:R87, "&lt;&gt;#N/A")/SUMIF('2. Salmon Passage by Bin'!E87:J87, "&lt;&gt;#N/A"), NA())</f>
        <v>0.14015992172093106</v>
      </c>
      <c r="AB87" s="42">
        <f>IFERROR(IF(ISNA(S87), NA(), S87/'2. Salmon Passage by Bin'!K87), NA())</f>
        <v>0.11475409836065574</v>
      </c>
      <c r="AC87" s="44">
        <f>IFERROR(SUMIF(T87:W87, "&lt;&gt;#N/A")/SUMIF('2. Salmon Passage by Bin'!L87:N87, "&lt;&gt;#N/A"), NA())</f>
        <v>0.36223157296709346</v>
      </c>
    </row>
    <row r="88" spans="1:29" x14ac:dyDescent="0.3">
      <c r="A88" s="5">
        <f>'1. Mixture Model Inputs'!A88</f>
        <v>45190</v>
      </c>
      <c r="B88" s="13" t="str">
        <f>IF(ISBLANK('[1]Passage Estimates'!$C88),"",IF('[1]Passage Estimates'!$C88="Imputation",'[1]Passage Estimates'!$B88,'[1]Passage Estimates'!$C88))</f>
        <v>A1+S1+M2+A2</v>
      </c>
      <c r="C88" s="17">
        <f>IFERROR('1. Mixture Model Inputs'!B88/'1. Mixture Model Inputs'!Z88,NA())</f>
        <v>4.4300059066745417E-3</v>
      </c>
      <c r="D88" s="17">
        <f>IFERROR(SUM('1. Mixture Model Inputs'!C88,'1. Mixture Model Inputs'!K88)/'1. Mixture Model Inputs'!AA88,NA())</f>
        <v>1.4426379665674376E-2</v>
      </c>
      <c r="E88" s="17">
        <f>IFERROR(SUM('1. Mixture Model Inputs'!D88,'1. Mixture Model Inputs'!L88)/'1. Mixture Model Inputs'!AB88,NA())</f>
        <v>7.5268817204301071E-3</v>
      </c>
      <c r="F88" s="17">
        <f>IFERROR('1. Mixture Model Inputs'!E88/'1. Mixture Model Inputs'!AC88, NA())</f>
        <v>0.1410058623881518</v>
      </c>
      <c r="G88" s="17">
        <f>IFERROR('1. Mixture Model Inputs'!F88/'1. Mixture Model Inputs'!AD88, NA())</f>
        <v>0.34387834387834387</v>
      </c>
      <c r="H88" s="24">
        <f>IFERROR(WhonSpComp!AT103+WhonSpComp!AV103, NA())</f>
        <v>0</v>
      </c>
      <c r="I88" s="17">
        <f>IFERROR(SUM('1. Mixture Model Inputs'!G88,'1. Mixture Model Inputs'!O88)/'1. Mixture Model Inputs'!AE88, NA())</f>
        <v>5.3189964157706091E-2</v>
      </c>
      <c r="J88" s="17">
        <f>IFERROR(SUM('1. Mixture Model Inputs'!H88,'1. Mixture Model Inputs'!P88)/'1. Mixture Model Inputs'!AF88, NA())</f>
        <v>0.17290856031128404</v>
      </c>
      <c r="K88" s="17">
        <f>IFERROR(SUM('1. Mixture Model Inputs'!I88,'1. Mixture Model Inputs'!Q88)/'1. Mixture Model Inputs'!AG88, NA())</f>
        <v>0.41900381422481492</v>
      </c>
      <c r="L88" s="22">
        <f>C88*'2. Salmon Passage by Bin'!C88</f>
        <v>65.626107501476667</v>
      </c>
      <c r="M88" s="22">
        <f>D88*'2. Salmon Passage by Bin'!D88</f>
        <v>95.18525303411954</v>
      </c>
      <c r="N88" s="22">
        <f>F88*'2. Salmon Passage by Bin'!F88</f>
        <v>2101.4160074051219</v>
      </c>
      <c r="O88" s="22">
        <f>G88*'2. Salmon Passage by Bin'!G88</f>
        <v>6468.8468331668328</v>
      </c>
      <c r="P88" s="22">
        <f>$G88*'2. Salmon Passage by Bin'!H88</f>
        <v>3253.6943589743591</v>
      </c>
      <c r="Q88" s="22">
        <f>$G88*'2. Salmon Passage by Bin'!I88</f>
        <v>2356.1718814518813</v>
      </c>
      <c r="R88" s="22">
        <f>$G88*'2. Salmon Passage by Bin'!J88</f>
        <v>0</v>
      </c>
      <c r="S88" s="25">
        <f>'2. Salmon Passage by Bin'!K88*H88</f>
        <v>0</v>
      </c>
      <c r="T88" s="25">
        <f>K88*'2. Salmon Passage by Bin'!L88</f>
        <v>19.408256674893426</v>
      </c>
      <c r="U88" s="25">
        <f>K88*'2. Salmon Passage by Bin'!M88</f>
        <v>1063.7333632488223</v>
      </c>
      <c r="V88" s="25">
        <f>J88*'2. Salmon Passage by Bin'!N88</f>
        <v>542.37957198443576</v>
      </c>
      <c r="W88" s="25">
        <f>I88*'2. Salmon Passage by Bin'!O88</f>
        <v>306.33589677419354</v>
      </c>
      <c r="X88" s="22">
        <f>E88*'2. Salmon Passage by Bin'!E88</f>
        <v>161.16799999999998</v>
      </c>
      <c r="Y88" s="41">
        <f t="shared" si="1"/>
        <v>16272.797530216136</v>
      </c>
      <c r="Z88" s="42">
        <f>Y88/'[1]Passage Estimates'!$D88</f>
        <v>0.12714084573127205</v>
      </c>
      <c r="AA88" s="43">
        <f>IFERROR(SUMIF(L88:R88, "&lt;&gt;#N/A")/SUMIF('2. Salmon Passage by Bin'!E88:J88, "&lt;&gt;#N/A"), NA())</f>
        <v>0.20074014844185734</v>
      </c>
      <c r="AB88" s="42">
        <f>IFERROR(IF(ISNA(S88), NA(), S88/'2. Salmon Passage by Bin'!K88), NA())</f>
        <v>0</v>
      </c>
      <c r="AC88" s="44">
        <f>IFERROR(SUMIF(T88:W88, "&lt;&gt;#N/A")/SUMIF('2. Salmon Passage by Bin'!L88:N88, "&lt;&gt;#N/A"), NA())</f>
        <v>0.33762864545012533</v>
      </c>
    </row>
    <row r="89" spans="1:29" x14ac:dyDescent="0.3">
      <c r="A89" s="5">
        <f>'1. Mixture Model Inputs'!A89</f>
        <v>45191</v>
      </c>
      <c r="B89" s="13" t="str">
        <f>IF(ISBLANK('[1]Passage Estimates'!$C89),"",IF('[1]Passage Estimates'!$C89="Imputation",'[1]Passage Estimates'!$B89,'[1]Passage Estimates'!$C89))</f>
        <v>A1+S1+M2+A2</v>
      </c>
      <c r="C89" s="17">
        <f>IFERROR('1. Mixture Model Inputs'!B89/'1. Mixture Model Inputs'!Z89,NA())</f>
        <v>0</v>
      </c>
      <c r="D89" s="17">
        <f>IFERROR(SUM('1. Mixture Model Inputs'!C89,'1. Mixture Model Inputs'!K89)/'1. Mixture Model Inputs'!AA89,NA())</f>
        <v>2.9239766081871343E-3</v>
      </c>
      <c r="E89" s="17">
        <f>IFERROR(SUM('1. Mixture Model Inputs'!D89,'1. Mixture Model Inputs'!L89)/'1. Mixture Model Inputs'!AB89,NA())</f>
        <v>0</v>
      </c>
      <c r="F89" s="17">
        <f>IFERROR('1. Mixture Model Inputs'!E89/'1. Mixture Model Inputs'!AC89, NA())</f>
        <v>0.23175039246467816</v>
      </c>
      <c r="G89" s="17">
        <f>IFERROR('1. Mixture Model Inputs'!F89/'1. Mixture Model Inputs'!AD89, NA())</f>
        <v>0.23058123472532141</v>
      </c>
      <c r="H89" s="24">
        <f>IFERROR(WhonSpComp!AT104+WhonSpComp!AV104, NA())</f>
        <v>0.2</v>
      </c>
      <c r="I89" s="17">
        <f>IFERROR(SUM('1. Mixture Model Inputs'!G89,'1. Mixture Model Inputs'!O89)/'1. Mixture Model Inputs'!AE89, NA())</f>
        <v>3.9321040420075712E-2</v>
      </c>
      <c r="J89" s="17">
        <f>IFERROR(SUM('1. Mixture Model Inputs'!H89,'1. Mixture Model Inputs'!P89)/'1. Mixture Model Inputs'!AF89, NA())</f>
        <v>0.20909886264216973</v>
      </c>
      <c r="K89" s="17">
        <f>IFERROR(SUM('1. Mixture Model Inputs'!I89,'1. Mixture Model Inputs'!Q89)/'1. Mixture Model Inputs'!AG89, NA())</f>
        <v>0.31475919212843084</v>
      </c>
      <c r="L89" s="22">
        <f>C89*'2. Salmon Passage by Bin'!C89</f>
        <v>0</v>
      </c>
      <c r="M89" s="22">
        <f>D89*'2. Salmon Passage by Bin'!D89</f>
        <v>19.675438596491226</v>
      </c>
      <c r="N89" s="22">
        <f>F89*'2. Salmon Passage by Bin'!F89</f>
        <v>3709.1928414442696</v>
      </c>
      <c r="O89" s="22">
        <f>G89*'2. Salmon Passage by Bin'!G89</f>
        <v>3805.5311444054823</v>
      </c>
      <c r="P89" s="22">
        <f>$G89*'2. Salmon Passage by Bin'!H89</f>
        <v>1555.8699394325786</v>
      </c>
      <c r="Q89" s="22">
        <f>$G89*'2. Salmon Passage by Bin'!I89</f>
        <v>820.74007013069809</v>
      </c>
      <c r="R89" s="22">
        <f>$G89*'2. Salmon Passage by Bin'!J89</f>
        <v>0</v>
      </c>
      <c r="S89" s="25">
        <f>'2. Salmon Passage by Bin'!K89*H89</f>
        <v>4411.3440000000037</v>
      </c>
      <c r="T89" s="25">
        <f>K89*'2. Salmon Passage by Bin'!L89</f>
        <v>41.699297773174514</v>
      </c>
      <c r="U89" s="25">
        <f>K89*'2. Salmon Passage by Bin'!M89</f>
        <v>95.560890730191616</v>
      </c>
      <c r="V89" s="25">
        <f>J89*'2. Salmon Passage by Bin'!N89</f>
        <v>700.51464566929133</v>
      </c>
      <c r="W89" s="25">
        <f>I89*'2. Salmon Passage by Bin'!O89</f>
        <v>76.723214067651725</v>
      </c>
      <c r="X89" s="22">
        <f>E89*'2. Salmon Passage by Bin'!E89</f>
        <v>0</v>
      </c>
      <c r="Y89" s="41">
        <f t="shared" si="1"/>
        <v>15236.851482249835</v>
      </c>
      <c r="Z89" s="42">
        <f>Y89/'[1]Passage Estimates'!$D89</f>
        <v>0.17122289514419667</v>
      </c>
      <c r="AA89" s="43">
        <f>IFERROR(SUMIF(L89:R89, "&lt;&gt;#N/A")/SUMIF('2. Salmon Passage by Bin'!E89:J89, "&lt;&gt;#N/A"), NA())</f>
        <v>0.16195984187416201</v>
      </c>
      <c r="AB89" s="42">
        <f>IFERROR(IF(ISNA(S89), NA(), S89/'2. Salmon Passage by Bin'!K89), NA())</f>
        <v>0.2</v>
      </c>
      <c r="AC89" s="44">
        <f>IFERROR(SUMIF(T89:W89, "&lt;&gt;#N/A")/SUMIF('2. Salmon Passage by Bin'!L89:N89, "&lt;&gt;#N/A"), NA())</f>
        <v>0.24153198113175847</v>
      </c>
    </row>
    <row r="90" spans="1:29" x14ac:dyDescent="0.3">
      <c r="A90" s="5">
        <f>'1. Mixture Model Inputs'!A90</f>
        <v>45192</v>
      </c>
      <c r="B90" s="13" t="str">
        <f>IF(ISBLANK('[1]Passage Estimates'!$C90),"",IF('[1]Passage Estimates'!$C90="Imputation",'[1]Passage Estimates'!$B90,'[1]Passage Estimates'!$C90))</f>
        <v>A1+S1+M2+A2</v>
      </c>
      <c r="C90" s="17">
        <f>IFERROR('1. Mixture Model Inputs'!B90/'1. Mixture Model Inputs'!Z90,NA())</f>
        <v>2.7238678924072182E-2</v>
      </c>
      <c r="D90" s="17">
        <f>IFERROR(SUM('1. Mixture Model Inputs'!C90,'1. Mixture Model Inputs'!K90)/'1. Mixture Model Inputs'!AA90,NA())</f>
        <v>1.2310059626851317E-2</v>
      </c>
      <c r="E90" s="17">
        <f>IFERROR(SUM('1. Mixture Model Inputs'!D90,'1. Mixture Model Inputs'!L90)/'1. Mixture Model Inputs'!AB90,NA())</f>
        <v>2.2136422136422137E-2</v>
      </c>
      <c r="F90" s="17">
        <f>IFERROR('1. Mixture Model Inputs'!E90/'1. Mixture Model Inputs'!AC90, NA())</f>
        <v>0.17133990912113486</v>
      </c>
      <c r="G90" s="17">
        <f>IFERROR('1. Mixture Model Inputs'!F90/'1. Mixture Model Inputs'!AD90, NA())</f>
        <v>0.31355470876428959</v>
      </c>
      <c r="H90" s="24">
        <f>IFERROR(WhonSpComp!AT105+WhonSpComp!AV105, NA())</f>
        <v>0</v>
      </c>
      <c r="I90" s="17">
        <f>IFERROR(SUM('1. Mixture Model Inputs'!G90,'1. Mixture Model Inputs'!O90)/'1. Mixture Model Inputs'!AE90, NA())</f>
        <v>4.7833758086649678E-2</v>
      </c>
      <c r="J90" s="17">
        <f>IFERROR(SUM('1. Mixture Model Inputs'!H90,'1. Mixture Model Inputs'!P90)/'1. Mixture Model Inputs'!AF90, NA())</f>
        <v>0.22070957095709573</v>
      </c>
      <c r="K90" s="17">
        <f>IFERROR(SUM('1. Mixture Model Inputs'!I90,'1. Mixture Model Inputs'!Q90)/'1. Mixture Model Inputs'!AG90, NA())</f>
        <v>0.34020274033641529</v>
      </c>
      <c r="L90" s="22">
        <f>C90*'2. Salmon Passage by Bin'!C90</f>
        <v>150.43922369765068</v>
      </c>
      <c r="M90" s="22">
        <f>D90*'2. Salmon Passage by Bin'!D90</f>
        <v>104.51240623196769</v>
      </c>
      <c r="N90" s="22">
        <f>F90*'2. Salmon Passage by Bin'!F90</f>
        <v>3101.6772780671613</v>
      </c>
      <c r="O90" s="22">
        <f>G90*'2. Salmon Passage by Bin'!G90</f>
        <v>2808.8983342406095</v>
      </c>
      <c r="P90" s="22">
        <f>$G90*'2. Salmon Passage by Bin'!H90</f>
        <v>846.97397931409898</v>
      </c>
      <c r="Q90" s="22">
        <f>$G90*'2. Salmon Passage by Bin'!I90</f>
        <v>337.2092759934676</v>
      </c>
      <c r="R90" s="22">
        <f>$G90*'2. Salmon Passage by Bin'!J90</f>
        <v>0</v>
      </c>
      <c r="S90" s="25">
        <f>'2. Salmon Passage by Bin'!K90*H90</f>
        <v>0</v>
      </c>
      <c r="T90" s="25">
        <f>K90*'2. Salmon Passage by Bin'!L90</f>
        <v>166.64491032638966</v>
      </c>
      <c r="U90" s="25">
        <f>K90*'2. Salmon Passage by Bin'!M90</f>
        <v>603.13863428762397</v>
      </c>
      <c r="V90" s="25">
        <f>J90*'2. Salmon Passage by Bin'!N90</f>
        <v>736.65792079207927</v>
      </c>
      <c r="W90" s="25">
        <f>I90*'2. Salmon Passage by Bin'!O90</f>
        <v>109.45129190354832</v>
      </c>
      <c r="X90" s="22">
        <f>E90*'2. Salmon Passage by Bin'!E90</f>
        <v>310.21096525096522</v>
      </c>
      <c r="Y90" s="41">
        <f t="shared" si="1"/>
        <v>8965.6032548545954</v>
      </c>
      <c r="Z90" s="42">
        <f>Y90/'[1]Passage Estimates'!$D90</f>
        <v>0.12296785131470862</v>
      </c>
      <c r="AA90" s="43">
        <f>IFERROR(SUMIF(L90:R90, "&lt;&gt;#N/A")/SUMIF('2. Salmon Passage by Bin'!E90:J90, "&lt;&gt;#N/A"), NA())</f>
        <v>0.16386963618047318</v>
      </c>
      <c r="AB90" s="42">
        <f>IFERROR(IF(ISNA(S90), NA(), S90/'2. Salmon Passage by Bin'!K90), NA())</f>
        <v>0</v>
      </c>
      <c r="AC90" s="44">
        <f>IFERROR(SUMIF(T90:W90, "&lt;&gt;#N/A")/SUMIF('2. Salmon Passage by Bin'!L90:N90, "&lt;&gt;#N/A"), NA())</f>
        <v>0.28853166868610125</v>
      </c>
    </row>
    <row r="91" spans="1:29" x14ac:dyDescent="0.3">
      <c r="A91" s="5">
        <f>'1. Mixture Model Inputs'!A91</f>
        <v>45193</v>
      </c>
      <c r="B91" s="13" t="str">
        <f>IF(ISBLANK('[1]Passage Estimates'!$C91),"",IF('[1]Passage Estimates'!$C91="Imputation",'[1]Passage Estimates'!$B91,'[1]Passage Estimates'!$C91))</f>
        <v>A1+S1+M2+A2</v>
      </c>
      <c r="C91" s="17">
        <f>IFERROR('1. Mixture Model Inputs'!B91/'1. Mixture Model Inputs'!Z91,NA())</f>
        <v>9.9646415943426547E-2</v>
      </c>
      <c r="D91" s="17">
        <f>IFERROR(SUM('1. Mixture Model Inputs'!C91,'1. Mixture Model Inputs'!K91)/'1. Mixture Model Inputs'!AA91,NA())</f>
        <v>5.7349665924276164E-2</v>
      </c>
      <c r="E91" s="17">
        <f>IFERROR(SUM('1. Mixture Model Inputs'!D91,'1. Mixture Model Inputs'!L91)/'1. Mixture Model Inputs'!AB91,NA())</f>
        <v>5.9763502716522851E-2</v>
      </c>
      <c r="F91" s="17">
        <f>IFERROR('1. Mixture Model Inputs'!E91/'1. Mixture Model Inputs'!AC91, NA())</f>
        <v>0.10496095544327055</v>
      </c>
      <c r="G91" s="17">
        <f>IFERROR('1. Mixture Model Inputs'!F91/'1. Mixture Model Inputs'!AD91, NA())</f>
        <v>0.25648097076668508</v>
      </c>
      <c r="H91" s="24">
        <f>IFERROR(WhonSpComp!AT106+WhonSpComp!AV106, NA())</f>
        <v>0</v>
      </c>
      <c r="I91" s="17">
        <f>IFERROR(SUM('1. Mixture Model Inputs'!G91,'1. Mixture Model Inputs'!O91)/'1. Mixture Model Inputs'!AE91, NA())</f>
        <v>4.7833758086649678E-2</v>
      </c>
      <c r="J91" s="17">
        <f>IFERROR(SUM('1. Mixture Model Inputs'!H91,'1. Mixture Model Inputs'!P91)/'1. Mixture Model Inputs'!AF91, NA())</f>
        <v>0.22070957095709573</v>
      </c>
      <c r="K91" s="17">
        <f>IFERROR(SUM('1. Mixture Model Inputs'!I91,'1. Mixture Model Inputs'!Q91)/'1. Mixture Model Inputs'!AG91, NA())</f>
        <v>0.34020274033641529</v>
      </c>
      <c r="L91" s="22">
        <f>C91*'2. Salmon Passage by Bin'!C91</f>
        <v>738.67888138862099</v>
      </c>
      <c r="M91" s="22">
        <f>D91*'2. Salmon Passage by Bin'!D91</f>
        <v>154.15590200445433</v>
      </c>
      <c r="N91" s="22">
        <f>F91*'2. Salmon Passage by Bin'!F91</f>
        <v>1451.5848231511254</v>
      </c>
      <c r="O91" s="22">
        <f>G91*'2. Salmon Passage by Bin'!G91</f>
        <v>2237.1091009376723</v>
      </c>
      <c r="P91" s="22">
        <f>$G91*'2. Salmon Passage by Bin'!H91</f>
        <v>1099.1338113623831</v>
      </c>
      <c r="Q91" s="22">
        <f>$G91*'2. Salmon Passage by Bin'!I91</f>
        <v>249.73039161610595</v>
      </c>
      <c r="R91" s="22">
        <f>$G91*'2. Salmon Passage by Bin'!J91</f>
        <v>0</v>
      </c>
      <c r="S91" s="25">
        <f>'2. Salmon Passage by Bin'!K91*H91</f>
        <v>0</v>
      </c>
      <c r="T91" s="25">
        <f>K91*'2. Salmon Passage by Bin'!L91</f>
        <v>215.71575359251423</v>
      </c>
      <c r="U91" s="25">
        <f>K91*'2. Salmon Passage by Bin'!M91</f>
        <v>261.92889383981287</v>
      </c>
      <c r="V91" s="25">
        <f>J91*'2. Salmon Passage by Bin'!N91</f>
        <v>132.37277227722774</v>
      </c>
      <c r="W91" s="25">
        <f>I91*'2. Salmon Passage by Bin'!O91</f>
        <v>60.534577533816901</v>
      </c>
      <c r="X91" s="22">
        <f>E91*'2. Salmon Passage by Bin'!E91</f>
        <v>603.67831255992326</v>
      </c>
      <c r="Y91" s="41">
        <f t="shared" si="1"/>
        <v>6600.9449077037352</v>
      </c>
      <c r="Z91" s="42">
        <f>Y91/'[1]Passage Estimates'!$D91</f>
        <v>0.11951358898960399</v>
      </c>
      <c r="AA91" s="43">
        <f>IFERROR(SUMIF(L91:R91, "&lt;&gt;#N/A")/SUMIF('2. Salmon Passage by Bin'!E91:J91, "&lt;&gt;#N/A"), NA())</f>
        <v>0.1564238988925068</v>
      </c>
      <c r="AB91" s="42">
        <f>IFERROR(IF(ISNA(S91), NA(), S91/'2. Salmon Passage by Bin'!K91), NA())</f>
        <v>0</v>
      </c>
      <c r="AC91" s="44">
        <f>IFERROR(SUMIF(T91:W91, "&lt;&gt;#N/A")/SUMIF('2. Salmon Passage by Bin'!L91:N91, "&lt;&gt;#N/A"), NA())</f>
        <v>0.33464686252014797</v>
      </c>
    </row>
    <row r="92" spans="1:29" x14ac:dyDescent="0.3">
      <c r="A92" s="5">
        <f>'1. Mixture Model Inputs'!A92</f>
        <v>45194</v>
      </c>
      <c r="B92" s="13" t="str">
        <f>IF(ISBLANK('[1]Passage Estimates'!$C92),"",IF('[1]Passage Estimates'!$C92="Imputation",'[1]Passage Estimates'!$B92,'[1]Passage Estimates'!$C92))</f>
        <v>A1+S1+M2+A2</v>
      </c>
      <c r="C92" s="17">
        <f>IFERROR('1. Mixture Model Inputs'!B92/'1. Mixture Model Inputs'!Z92,NA())</f>
        <v>4.3748152527342599E-2</v>
      </c>
      <c r="D92" s="17">
        <f>IFERROR(SUM('1. Mixture Model Inputs'!C92,'1. Mixture Model Inputs'!K92)/'1. Mixture Model Inputs'!AA92,NA())</f>
        <v>0</v>
      </c>
      <c r="E92" s="17">
        <f>IFERROR(SUM('1. Mixture Model Inputs'!D92,'1. Mixture Model Inputs'!L92)/'1. Mixture Model Inputs'!AB92,NA())</f>
        <v>2.0021074815595365E-2</v>
      </c>
      <c r="F92" s="17">
        <f>IFERROR('1. Mixture Model Inputs'!E92/'1. Mixture Model Inputs'!AC92, NA())</f>
        <v>7.6546717171717168E-2</v>
      </c>
      <c r="G92" s="17">
        <f>IFERROR('1. Mixture Model Inputs'!F92/'1. Mixture Model Inputs'!AD92, NA())</f>
        <v>0.22055109070034443</v>
      </c>
      <c r="H92" s="24">
        <f>IFERROR(WhonSpComp!AT107+WhonSpComp!AV107, NA())</f>
        <v>0.125</v>
      </c>
      <c r="I92" s="17">
        <f>IFERROR(SUM('1. Mixture Model Inputs'!G92,'1. Mixture Model Inputs'!O92)/'1. Mixture Model Inputs'!AE92, NA())</f>
        <v>1.164079822616408E-2</v>
      </c>
      <c r="J92" s="17">
        <f>IFERROR(SUM('1. Mixture Model Inputs'!H92,'1. Mixture Model Inputs'!P92)/'1. Mixture Model Inputs'!AF92, NA())</f>
        <v>0.14764413227977757</v>
      </c>
      <c r="K92" s="17">
        <f>IFERROR(SUM('1. Mixture Model Inputs'!I92,'1. Mixture Model Inputs'!Q92)/'1. Mixture Model Inputs'!AG92, NA())</f>
        <v>0.4180232558139535</v>
      </c>
      <c r="L92" s="22">
        <f>C92*'2. Salmon Passage by Bin'!C92</f>
        <v>276.48832397280523</v>
      </c>
      <c r="M92" s="22">
        <f>D92*'2. Salmon Passage by Bin'!D92</f>
        <v>0</v>
      </c>
      <c r="N92" s="22">
        <f>F92*'2. Salmon Passage by Bin'!F92</f>
        <v>459.24356060606056</v>
      </c>
      <c r="O92" s="22">
        <f>G92*'2. Salmon Passage by Bin'!G92</f>
        <v>1153.0234580941446</v>
      </c>
      <c r="P92" s="22">
        <f>$G92*'2. Salmon Passage by Bin'!H92</f>
        <v>381.85333639494837</v>
      </c>
      <c r="Q92" s="22">
        <f>$G92*'2. Salmon Passage by Bin'!I92</f>
        <v>229.62015154994256</v>
      </c>
      <c r="R92" s="22">
        <f>$G92*'2. Salmon Passage by Bin'!J92</f>
        <v>0</v>
      </c>
      <c r="S92" s="25">
        <f>'2. Salmon Passage by Bin'!K92*H92</f>
        <v>1574.0700000000008</v>
      </c>
      <c r="T92" s="25">
        <f>K92*'2. Salmon Passage by Bin'!L92</f>
        <v>161.62451162790697</v>
      </c>
      <c r="U92" s="25">
        <f>K92*'2. Salmon Passage by Bin'!M92</f>
        <v>529.11711627906982</v>
      </c>
      <c r="V92" s="25">
        <f>J92*'2. Salmon Passage by Bin'!N92</f>
        <v>437.47546971027214</v>
      </c>
      <c r="W92" s="25">
        <f>I92*'2. Salmon Passage by Bin'!O92</f>
        <v>23.314190687361421</v>
      </c>
      <c r="X92" s="22">
        <f>E92*'2. Salmon Passage by Bin'!E92</f>
        <v>243.71253951527925</v>
      </c>
      <c r="Y92" s="41">
        <f t="shared" si="1"/>
        <v>5225.8301189225122</v>
      </c>
      <c r="Z92" s="42">
        <f>Y92/'[1]Passage Estimates'!$D92</f>
        <v>0.11514818856982691</v>
      </c>
      <c r="AA92" s="43">
        <f>IFERROR(SUMIF(L92:R92, "&lt;&gt;#N/A")/SUMIF('2. Salmon Passage by Bin'!E92:J92, "&lt;&gt;#N/A"), NA())</f>
        <v>9.5528047165823859E-2</v>
      </c>
      <c r="AB92" s="42">
        <f>IFERROR(IF(ISNA(S92), NA(), S92/'2. Salmon Passage by Bin'!K92), NA())</f>
        <v>0.125</v>
      </c>
      <c r="AC92" s="44">
        <f>IFERROR(SUMIF(T92:W92, "&lt;&gt;#N/A")/SUMIF('2. Salmon Passage by Bin'!L92:N92, "&lt;&gt;#N/A"), NA())</f>
        <v>0.24949545185390992</v>
      </c>
    </row>
    <row r="93" spans="1:29" x14ac:dyDescent="0.3">
      <c r="A93" s="5">
        <f>'1. Mixture Model Inputs'!A93</f>
        <v>45195</v>
      </c>
      <c r="B93" s="13" t="str">
        <f>IF(ISBLANK('[1]Passage Estimates'!$C93),"",IF('[1]Passage Estimates'!$C93="Imputation",'[1]Passage Estimates'!$B93,'[1]Passage Estimates'!$C93))</f>
        <v>A1+S1+M2+A2</v>
      </c>
      <c r="C93" s="17">
        <f>IFERROR('1. Mixture Model Inputs'!B93/'1. Mixture Model Inputs'!Z93,NA())</f>
        <v>0</v>
      </c>
      <c r="D93" s="17">
        <f>IFERROR(SUM('1. Mixture Model Inputs'!C93,'1. Mixture Model Inputs'!K93)/'1. Mixture Model Inputs'!AA93,NA())</f>
        <v>5.0304164716892835E-2</v>
      </c>
      <c r="E93" s="17">
        <f>IFERROR(SUM('1. Mixture Model Inputs'!D93,'1. Mixture Model Inputs'!L93)/'1. Mixture Model Inputs'!AB93,NA())</f>
        <v>3.48564733450498E-2</v>
      </c>
      <c r="F93" s="17">
        <f>IFERROR('1. Mixture Model Inputs'!E93/'1. Mixture Model Inputs'!AC93, NA())</f>
        <v>0.13832384052074859</v>
      </c>
      <c r="G93" s="17">
        <f>IFERROR('1. Mixture Model Inputs'!F93/'1. Mixture Model Inputs'!AD93, NA())</f>
        <v>8.419747520288548E-2</v>
      </c>
      <c r="H93" s="24">
        <f>IFERROR(WhonSpComp!AT108+WhonSpComp!AV108, NA())</f>
        <v>0</v>
      </c>
      <c r="I93" s="17">
        <f>IFERROR(SUM('1. Mixture Model Inputs'!G93,'1. Mixture Model Inputs'!O93)/'1. Mixture Model Inputs'!AE93, NA())</f>
        <v>1.164079822616408E-2</v>
      </c>
      <c r="J93" s="17">
        <f>IFERROR(SUM('1. Mixture Model Inputs'!H93,'1. Mixture Model Inputs'!P93)/'1. Mixture Model Inputs'!AF93, NA())</f>
        <v>0.14764413227977757</v>
      </c>
      <c r="K93" s="17">
        <f>IFERROR(SUM('1. Mixture Model Inputs'!I93,'1. Mixture Model Inputs'!Q93)/'1. Mixture Model Inputs'!AG93, NA())</f>
        <v>0.4180232558139535</v>
      </c>
      <c r="L93" s="22">
        <f>C93*'2. Salmon Passage by Bin'!C93</f>
        <v>0</v>
      </c>
      <c r="M93" s="22">
        <f>D93*'2. Salmon Passage by Bin'!D93</f>
        <v>235.2222742161909</v>
      </c>
      <c r="N93" s="22">
        <f>F93*'2. Salmon Passage by Bin'!F93</f>
        <v>1987.1824247355576</v>
      </c>
      <c r="O93" s="22">
        <f>G93*'2. Salmon Passage by Bin'!G93</f>
        <v>690.56748422001806</v>
      </c>
      <c r="P93" s="22">
        <f>$G93*'2. Salmon Passage by Bin'!H93</f>
        <v>142.19943192064923</v>
      </c>
      <c r="Q93" s="22">
        <f>$G93*'2. Salmon Passage by Bin'!I93</f>
        <v>96.692380522993673</v>
      </c>
      <c r="R93" s="22">
        <f>$G93*'2. Salmon Passage by Bin'!J93</f>
        <v>0</v>
      </c>
      <c r="S93" s="25">
        <f>'2. Salmon Passage by Bin'!K93*H93</f>
        <v>0</v>
      </c>
      <c r="T93" s="25">
        <f>K93*'2. Salmon Passage by Bin'!L93</f>
        <v>107.85000000000001</v>
      </c>
      <c r="U93" s="25">
        <f>K93*'2. Salmon Passage by Bin'!M93</f>
        <v>138.048</v>
      </c>
      <c r="V93" s="25">
        <f>J93*'2. Salmon Passage by Bin'!N93</f>
        <v>208.14279192273924</v>
      </c>
      <c r="W93" s="25">
        <f>I93*'2. Salmon Passage by Bin'!O93</f>
        <v>16.324124168514413</v>
      </c>
      <c r="X93" s="22">
        <f>E93*'2. Salmon Passage by Bin'!E93</f>
        <v>440.43803163444647</v>
      </c>
      <c r="Y93" s="41">
        <f t="shared" si="1"/>
        <v>3622.2289117066625</v>
      </c>
      <c r="Z93" s="42">
        <f>Y93/'[1]Passage Estimates'!$D93</f>
        <v>6.0766925282319577E-2</v>
      </c>
      <c r="AA93" s="43">
        <f>IFERROR(SUMIF(L93:R93, "&lt;&gt;#N/A")/SUMIF('2. Salmon Passage by Bin'!E93:J93, "&lt;&gt;#N/A"), NA())</f>
        <v>8.2854480949361139E-2</v>
      </c>
      <c r="AB93" s="42">
        <f>IFERROR(IF(ISNA(S93), NA(), S93/'2. Salmon Passage by Bin'!K93), NA())</f>
        <v>0</v>
      </c>
      <c r="AC93" s="44">
        <f>IFERROR(SUMIF(T93:W93, "&lt;&gt;#N/A")/SUMIF('2. Salmon Passage by Bin'!L93:N93, "&lt;&gt;#N/A"), NA())</f>
        <v>0.23541787592154836</v>
      </c>
    </row>
    <row r="94" spans="1:29" x14ac:dyDescent="0.3">
      <c r="A94" s="5">
        <f>'1. Mixture Model Inputs'!A94</f>
        <v>45196</v>
      </c>
      <c r="B94" s="13" t="str">
        <f>IF(ISBLANK('[1]Passage Estimates'!$C94),"",IF('[1]Passage Estimates'!$C94="Imputation",'[1]Passage Estimates'!$B94,'[1]Passage Estimates'!$C94))</f>
        <v>A1+S1+M2+A2</v>
      </c>
      <c r="C94" s="17">
        <f>IFERROR('1. Mixture Model Inputs'!B94/'1. Mixture Model Inputs'!Z94,NA())</f>
        <v>9.237779618889809E-2</v>
      </c>
      <c r="D94" s="17">
        <f>IFERROR(SUM('1. Mixture Model Inputs'!C94,'1. Mixture Model Inputs'!K94)/'1. Mixture Model Inputs'!AA94,NA())</f>
        <v>0</v>
      </c>
      <c r="E94" s="17">
        <f>IFERROR(SUM('1. Mixture Model Inputs'!D94,'1. Mixture Model Inputs'!L94)/'1. Mixture Model Inputs'!AB94,NA())</f>
        <v>2.573713143428286E-2</v>
      </c>
      <c r="F94" s="17">
        <f>IFERROR('1. Mixture Model Inputs'!E94/'1. Mixture Model Inputs'!AC94, NA())</f>
        <v>8.3549717427829545E-2</v>
      </c>
      <c r="G94" s="17">
        <f>IFERROR('1. Mixture Model Inputs'!F94/'1. Mixture Model Inputs'!AD94, NA())</f>
        <v>0.27126408319920764</v>
      </c>
      <c r="H94" s="24">
        <f>IFERROR(WhonSpComp!AT109+WhonSpComp!AV109, NA())</f>
        <v>0.22222222222222221</v>
      </c>
      <c r="I94" s="17">
        <f>IFERROR(SUM('1. Mixture Model Inputs'!G94,'1. Mixture Model Inputs'!O94)/'1. Mixture Model Inputs'!AE94, NA())</f>
        <v>9.50209739193872E-2</v>
      </c>
      <c r="J94" s="17">
        <f>IFERROR(SUM('1. Mixture Model Inputs'!H94,'1. Mixture Model Inputs'!P94)/'1. Mixture Model Inputs'!AF94, NA())</f>
        <v>0.11657914478619656</v>
      </c>
      <c r="K94" s="17">
        <f>IFERROR(SUM('1. Mixture Model Inputs'!I94,'1. Mixture Model Inputs'!Q94)/'1. Mixture Model Inputs'!AG94, NA())</f>
        <v>0.32721754724789626</v>
      </c>
      <c r="L94" s="22">
        <f>C94*'2. Salmon Passage by Bin'!C94</f>
        <v>720.54681027340507</v>
      </c>
      <c r="M94" s="22">
        <f>D94*'2. Salmon Passage by Bin'!D94</f>
        <v>0</v>
      </c>
      <c r="N94" s="22">
        <f>F94*'2. Salmon Passage by Bin'!F94</f>
        <v>1168.6266076065374</v>
      </c>
      <c r="O94" s="22">
        <f>G94*'2. Salmon Passage by Bin'!G94</f>
        <v>1908.5706871363132</v>
      </c>
      <c r="P94" s="22">
        <f>$G94*'2. Salmon Passage by Bin'!H94</f>
        <v>598.30006190417248</v>
      </c>
      <c r="Q94" s="22">
        <f>$G94*'2. Salmon Passage by Bin'!I94</f>
        <v>318.81125170236476</v>
      </c>
      <c r="R94" s="22">
        <f>$G94*'2. Salmon Passage by Bin'!J94</f>
        <v>0</v>
      </c>
      <c r="S94" s="25">
        <f>'2. Salmon Passage by Bin'!K94*H94</f>
        <v>3313.9199999999955</v>
      </c>
      <c r="T94" s="25">
        <f>K94*'2. Salmon Passage by Bin'!L94</f>
        <v>342.00778038350109</v>
      </c>
      <c r="U94" s="25">
        <f>K94*'2. Salmon Passage by Bin'!M94</f>
        <v>41.857668643950888</v>
      </c>
      <c r="V94" s="25">
        <f>J94*'2. Salmon Passage by Bin'!N94</f>
        <v>270.38900525131288</v>
      </c>
      <c r="W94" s="25">
        <f>I94*'2. Salmon Passage by Bin'!O94</f>
        <v>321.55097574320627</v>
      </c>
      <c r="X94" s="22">
        <f>E94*'2. Salmon Passage by Bin'!E94</f>
        <v>473.79382308845578</v>
      </c>
      <c r="Y94" s="41">
        <f t="shared" si="1"/>
        <v>9004.5808486447586</v>
      </c>
      <c r="Z94" s="42">
        <f>Y94/'[1]Passage Estimates'!$D94</f>
        <v>0.13938548107867807</v>
      </c>
      <c r="AA94" s="43">
        <f>IFERROR(SUMIF(L94:R94, "&lt;&gt;#N/A")/SUMIF('2. Salmon Passage by Bin'!E94:J94, "&lt;&gt;#N/A"), NA())</f>
        <v>0.11012703230015811</v>
      </c>
      <c r="AB94" s="42">
        <f>IFERROR(IF(ISNA(S94), NA(), S94/'2. Salmon Passage by Bin'!K94), NA())</f>
        <v>0.22222222222222221</v>
      </c>
      <c r="AC94" s="44">
        <f>IFERROR(SUMIF(T94:W94, "&lt;&gt;#N/A")/SUMIF('2. Salmon Passage by Bin'!L94:N94, "&lt;&gt;#N/A"), NA())</f>
        <v>0.27940186630187458</v>
      </c>
    </row>
    <row r="95" spans="1:29" x14ac:dyDescent="0.3">
      <c r="A95" s="5">
        <f>'1. Mixture Model Inputs'!A95</f>
        <v>45197</v>
      </c>
      <c r="B95" s="13" t="str">
        <f>IF(ISBLANK('[1]Passage Estimates'!$C95),"",IF('[1]Passage Estimates'!$C95="Imputation",'[1]Passage Estimates'!$B95,'[1]Passage Estimates'!$C95))</f>
        <v>A1+S1+M2+A2</v>
      </c>
      <c r="C95" s="17">
        <f>IFERROR('1. Mixture Model Inputs'!B95/'1. Mixture Model Inputs'!Z95,NA())</f>
        <v>2.9025955902874684E-2</v>
      </c>
      <c r="D95" s="17">
        <f>IFERROR(SUM('1. Mixture Model Inputs'!C95,'1. Mixture Model Inputs'!K95)/'1. Mixture Model Inputs'!AA95,NA())</f>
        <v>2.1101093420295414E-2</v>
      </c>
      <c r="E95" s="17">
        <f>IFERROR(SUM('1. Mixture Model Inputs'!D95,'1. Mixture Model Inputs'!L95)/'1. Mixture Model Inputs'!AB95,NA())</f>
        <v>2.5316455696202531E-2</v>
      </c>
      <c r="F95" s="17">
        <f>IFERROR('1. Mixture Model Inputs'!E95/'1. Mixture Model Inputs'!AC95, NA())</f>
        <v>0.27894138658873197</v>
      </c>
      <c r="G95" s="17">
        <f>IFERROR('1. Mixture Model Inputs'!F95/'1. Mixture Model Inputs'!AD95, NA())</f>
        <v>0.26363425388721284</v>
      </c>
      <c r="H95" s="24">
        <f>IFERROR(WhonSpComp!AT110+WhonSpComp!AV110, NA())</f>
        <v>0.125</v>
      </c>
      <c r="I95" s="17">
        <f>IFERROR(SUM('1. Mixture Model Inputs'!G95,'1. Mixture Model Inputs'!O95)/'1. Mixture Model Inputs'!AE95, NA())</f>
        <v>9.50209739193872E-2</v>
      </c>
      <c r="J95" s="17">
        <f>IFERROR(SUM('1. Mixture Model Inputs'!H95,'1. Mixture Model Inputs'!P95)/'1. Mixture Model Inputs'!AF95, NA())</f>
        <v>0.11657914478619656</v>
      </c>
      <c r="K95" s="17">
        <f>IFERROR(SUM('1. Mixture Model Inputs'!I95,'1. Mixture Model Inputs'!Q95)/'1. Mixture Model Inputs'!AG95, NA())</f>
        <v>0.32721754724789626</v>
      </c>
      <c r="L95" s="22">
        <f>C95*'2. Salmon Passage by Bin'!C95</f>
        <v>341.83868266815517</v>
      </c>
      <c r="M95" s="22">
        <f>D95*'2. Salmon Passage by Bin'!D95</f>
        <v>171.06656435833492</v>
      </c>
      <c r="N95" s="22">
        <f>F95*'2. Salmon Passage by Bin'!F95</f>
        <v>2106.3868290306868</v>
      </c>
      <c r="O95" s="22">
        <f>G95*'2. Salmon Passage by Bin'!G95</f>
        <v>1031.5902900905085</v>
      </c>
      <c r="P95" s="22">
        <f>$G95*'2. Salmon Passage by Bin'!H95</f>
        <v>334.96313761893714</v>
      </c>
      <c r="Q95" s="22">
        <f>$G95*'2. Salmon Passage by Bin'!I95</f>
        <v>138.56616384311906</v>
      </c>
      <c r="R95" s="22">
        <f>$G95*'2. Salmon Passage by Bin'!J95</f>
        <v>0</v>
      </c>
      <c r="S95" s="25">
        <f>'2. Salmon Passage by Bin'!K95*H95</f>
        <v>999.41999999999962</v>
      </c>
      <c r="T95" s="25">
        <f>K95*'2. Salmon Passage by Bin'!L95</f>
        <v>-6.9893668092150643</v>
      </c>
      <c r="U95" s="25">
        <f>K95*'2. Salmon Passage by Bin'!M95</f>
        <v>414.96420471789213</v>
      </c>
      <c r="V95" s="25">
        <f>J95*'2. Salmon Passage by Bin'!N95</f>
        <v>285.41372543135788</v>
      </c>
      <c r="W95" s="25">
        <f>I95*'2. Salmon Passage by Bin'!O95</f>
        <v>259.81774940725882</v>
      </c>
      <c r="X95" s="22">
        <f>E95*'2. Salmon Passage by Bin'!E95</f>
        <v>503.40455696202531</v>
      </c>
      <c r="Y95" s="41">
        <f t="shared" si="1"/>
        <v>6077.0379803570358</v>
      </c>
      <c r="Z95" s="42">
        <f>Y95/'[1]Passage Estimates'!$D95</f>
        <v>0.12775023881508216</v>
      </c>
      <c r="AA95" s="43">
        <f>IFERROR(SUMIF(L95:R95, "&lt;&gt;#N/A")/SUMIF('2. Salmon Passage by Bin'!E95:J95, "&lt;&gt;#N/A"), NA())</f>
        <v>0.12443556026647014</v>
      </c>
      <c r="AB95" s="42">
        <f>IFERROR(IF(ISNA(S95), NA(), S95/'2. Salmon Passage by Bin'!K95), NA())</f>
        <v>0.125</v>
      </c>
      <c r="AC95" s="44">
        <f>IFERROR(SUMIF(T95:W95, "&lt;&gt;#N/A")/SUMIF('2. Salmon Passage by Bin'!L95:N95, "&lt;&gt;#N/A"), NA())</f>
        <v>0.25796914586778319</v>
      </c>
    </row>
    <row r="96" spans="1:29" x14ac:dyDescent="0.3">
      <c r="A96" s="5">
        <f>'1. Mixture Model Inputs'!A96</f>
        <v>45198</v>
      </c>
      <c r="B96" s="13" t="str">
        <f>IF(ISBLANK('[1]Passage Estimates'!$C96),"",IF('[1]Passage Estimates'!$C96="Imputation",'[1]Passage Estimates'!$B96,'[1]Passage Estimates'!$C96))</f>
        <v>A1+S1+M2+A2</v>
      </c>
      <c r="C96" s="17">
        <f>IFERROR('1. Mixture Model Inputs'!B96/'1. Mixture Model Inputs'!Z96,NA())</f>
        <v>1.3944757307589165E-2</v>
      </c>
      <c r="D96" s="17">
        <f>IFERROR(SUM('1. Mixture Model Inputs'!C96,'1. Mixture Model Inputs'!K96)/'1. Mixture Model Inputs'!AA96,NA())</f>
        <v>0.10059171597633138</v>
      </c>
      <c r="E96" s="17">
        <f>IFERROR(SUM('1. Mixture Model Inputs'!D96,'1. Mixture Model Inputs'!L96)/'1. Mixture Model Inputs'!AB96,NA())</f>
        <v>3.4250421111734979E-2</v>
      </c>
      <c r="F96" s="17">
        <f>IFERROR('1. Mixture Model Inputs'!E96/'1. Mixture Model Inputs'!AC96, NA())</f>
        <v>0.19023569023569026</v>
      </c>
      <c r="G96" s="17">
        <f>IFERROR('1. Mixture Model Inputs'!F96/'1. Mixture Model Inputs'!AD96, NA())</f>
        <v>0.21323529411764705</v>
      </c>
      <c r="H96" s="24">
        <f>IFERROR(WhonSpComp!AT111+WhonSpComp!AV111, NA())</f>
        <v>0.2857142857142857</v>
      </c>
      <c r="I96" s="17" t="e">
        <f>IFERROR(SUM('1. Mixture Model Inputs'!G96,'1. Mixture Model Inputs'!O96)/'1. Mixture Model Inputs'!AE96, NA())</f>
        <v>#N/A</v>
      </c>
      <c r="J96" s="17" t="e">
        <f>IFERROR(SUM('1. Mixture Model Inputs'!H96,'1. Mixture Model Inputs'!P96)/'1. Mixture Model Inputs'!AF96, NA())</f>
        <v>#N/A</v>
      </c>
      <c r="K96" s="17" t="e">
        <f>IFERROR(SUM('1. Mixture Model Inputs'!I96,'1. Mixture Model Inputs'!Q96)/'1. Mixture Model Inputs'!AG96, NA())</f>
        <v>#N/A</v>
      </c>
      <c r="L96" s="22">
        <f>C96*'2. Salmon Passage by Bin'!C96</f>
        <v>190.30410297666933</v>
      </c>
      <c r="M96" s="22">
        <f>D96*'2. Salmon Passage by Bin'!D96</f>
        <v>361.6272189349113</v>
      </c>
      <c r="N96" s="22">
        <f>F96*'2. Salmon Passage by Bin'!F96</f>
        <v>1934.0577777777778</v>
      </c>
      <c r="O96" s="22">
        <f>G96*'2. Salmon Passage by Bin'!G96</f>
        <v>1634.934705882353</v>
      </c>
      <c r="P96" s="22">
        <f>$G96*'2. Salmon Passage by Bin'!H96</f>
        <v>669.08117647058828</v>
      </c>
      <c r="Q96" s="22">
        <f>$G96*'2. Salmon Passage by Bin'!I96</f>
        <v>525.01941176470586</v>
      </c>
      <c r="R96" s="22">
        <f>$G96*'2. Salmon Passage by Bin'!J96</f>
        <v>0</v>
      </c>
      <c r="S96" s="25">
        <f>'2. Salmon Passage by Bin'!K96*H96</f>
        <v>6640.8685714285793</v>
      </c>
      <c r="T96" s="25" t="e">
        <f>K96*'2. Salmon Passage by Bin'!L96</f>
        <v>#N/A</v>
      </c>
      <c r="U96" s="25" t="e">
        <f>K96*'2. Salmon Passage by Bin'!M96</f>
        <v>#N/A</v>
      </c>
      <c r="V96" s="25" t="e">
        <f>J96*'2. Salmon Passage by Bin'!N96</f>
        <v>#N/A</v>
      </c>
      <c r="W96" s="25" t="e">
        <f>I96*'2. Salmon Passage by Bin'!O96</f>
        <v>#N/A</v>
      </c>
      <c r="X96" s="22">
        <f>E96*'2. Salmon Passage by Bin'!E96</f>
        <v>590.54028074115661</v>
      </c>
      <c r="Y96" s="41">
        <f t="shared" si="1"/>
        <v>11955.892965235586</v>
      </c>
      <c r="Z96" s="42">
        <f>Y96/'[1]Passage Estimates'!$D96</f>
        <v>0.18704837902316535</v>
      </c>
      <c r="AA96" s="43">
        <f>IFERROR(SUMIF(L96:R96, "&lt;&gt;#N/A")/SUMIF('2. Salmon Passage by Bin'!E96:J96, "&lt;&gt;#N/A"), NA())</f>
        <v>0.13066835990958245</v>
      </c>
      <c r="AB96" s="42">
        <f>IFERROR(IF(ISNA(S96), NA(), S96/'2. Salmon Passage by Bin'!K96), NA())</f>
        <v>0.2857142857142857</v>
      </c>
      <c r="AC96" s="44" t="e">
        <f>IFERROR(SUMIF(T96:W96, "&lt;&gt;#N/A")/SUMIF('2. Salmon Passage by Bin'!L96:N96, "&lt;&gt;#N/A"), NA())</f>
        <v>#N/A</v>
      </c>
    </row>
    <row r="97" spans="1:29" x14ac:dyDescent="0.3">
      <c r="A97" s="5">
        <f>'1. Mixture Model Inputs'!A97</f>
        <v>45199</v>
      </c>
      <c r="B97" s="13" t="str">
        <f>IF(ISBLANK('[1]Passage Estimates'!$C97),"",IF('[1]Passage Estimates'!$C97="Imputation",'[1]Passage Estimates'!$B97,'[1]Passage Estimates'!$C97))</f>
        <v>A1+S1+M2+A2</v>
      </c>
      <c r="C97" s="17">
        <f>IFERROR('1. Mixture Model Inputs'!B97/'1. Mixture Model Inputs'!Z97,NA())</f>
        <v>6.7840704422653594E-2</v>
      </c>
      <c r="D97" s="17">
        <f>IFERROR(SUM('1. Mixture Model Inputs'!C97,'1. Mixture Model Inputs'!K97)/'1. Mixture Model Inputs'!AA97,NA())</f>
        <v>6.1421206007621611E-2</v>
      </c>
      <c r="E97" s="17">
        <f>IFERROR(SUM('1. Mixture Model Inputs'!D97,'1. Mixture Model Inputs'!L97)/'1. Mixture Model Inputs'!AB97,NA())</f>
        <v>6.4921465968586389E-2</v>
      </c>
      <c r="F97" s="17">
        <f>IFERROR('1. Mixture Model Inputs'!E97/'1. Mixture Model Inputs'!AC97, NA())</f>
        <v>0.16142722414335114</v>
      </c>
      <c r="G97" s="17">
        <f>IFERROR('1. Mixture Model Inputs'!F97/'1. Mixture Model Inputs'!AD97, NA())</f>
        <v>0.28299447643671405</v>
      </c>
      <c r="H97" s="24">
        <f>IFERROR(WhonSpComp!AT112+WhonSpComp!AV112, NA())</f>
        <v>0.2857142857142857</v>
      </c>
      <c r="I97" s="17" t="e">
        <f>IFERROR(SUM('1. Mixture Model Inputs'!G97,'1. Mixture Model Inputs'!O97)/'1. Mixture Model Inputs'!AE97, NA())</f>
        <v>#N/A</v>
      </c>
      <c r="J97" s="17" t="e">
        <f>IFERROR(SUM('1. Mixture Model Inputs'!H97,'1. Mixture Model Inputs'!P97)/'1. Mixture Model Inputs'!AF97, NA())</f>
        <v>#N/A</v>
      </c>
      <c r="K97" s="17" t="e">
        <f>IFERROR(SUM('1. Mixture Model Inputs'!I97,'1. Mixture Model Inputs'!Q97)/'1. Mixture Model Inputs'!AG97, NA())</f>
        <v>#N/A</v>
      </c>
      <c r="L97" s="22">
        <f>C97*'2. Salmon Passage by Bin'!C97</f>
        <v>498.76485891534924</v>
      </c>
      <c r="M97" s="22">
        <f>D97*'2. Salmon Passage by Bin'!D97</f>
        <v>123.76373010535754</v>
      </c>
      <c r="N97" s="22">
        <f>F97*'2. Salmon Passage by Bin'!F97</f>
        <v>1733.4959320968248</v>
      </c>
      <c r="O97" s="22">
        <f>G97*'2. Salmon Passage by Bin'!G97</f>
        <v>1816.8924573980489</v>
      </c>
      <c r="P97" s="22">
        <f>$G97*'2. Salmon Passage by Bin'!H97</f>
        <v>743.57364672699487</v>
      </c>
      <c r="Q97" s="22">
        <f>$G97*'2. Salmon Passage by Bin'!I97</f>
        <v>322.88537783523327</v>
      </c>
      <c r="R97" s="22">
        <f>$G97*'2. Salmon Passage by Bin'!J97</f>
        <v>0</v>
      </c>
      <c r="S97" s="25">
        <f>'2. Salmon Passage by Bin'!K97*H97</f>
        <v>7380.6857142857134</v>
      </c>
      <c r="T97" s="25" t="e">
        <f>K97*'2. Salmon Passage by Bin'!L97</f>
        <v>#N/A</v>
      </c>
      <c r="U97" s="25" t="e">
        <f>K97*'2. Salmon Passage by Bin'!M97</f>
        <v>#N/A</v>
      </c>
      <c r="V97" s="25" t="e">
        <f>J97*'2. Salmon Passage by Bin'!N97</f>
        <v>#N/A</v>
      </c>
      <c r="W97" s="25" t="e">
        <f>I97*'2. Salmon Passage by Bin'!O97</f>
        <v>#N/A</v>
      </c>
      <c r="X97" s="22">
        <f>E97*'2. Salmon Passage by Bin'!E97</f>
        <v>608.13235602094244</v>
      </c>
      <c r="Y97" s="41">
        <f t="shared" si="1"/>
        <v>12620.061717363522</v>
      </c>
      <c r="Z97" s="42">
        <f>Y97/'[1]Passage Estimates'!$D97</f>
        <v>0.22484880181053218</v>
      </c>
      <c r="AA97" s="43">
        <f>IFERROR(SUMIF(L97:R97, "&lt;&gt;#N/A")/SUMIF('2. Salmon Passage by Bin'!E97:J97, "&lt;&gt;#N/A"), NA())</f>
        <v>0.17294820716770212</v>
      </c>
      <c r="AB97" s="42">
        <f>IFERROR(IF(ISNA(S97), NA(), S97/'2. Salmon Passage by Bin'!K97), NA())</f>
        <v>0.2857142857142857</v>
      </c>
      <c r="AC97" s="44" t="e">
        <f>IFERROR(SUMIF(T97:W97, "&lt;&gt;#N/A")/SUMIF('2. Salmon Passage by Bin'!L97:N97, "&lt;&gt;#N/A"), NA())</f>
        <v>#N/A</v>
      </c>
    </row>
    <row r="98" spans="1:29" x14ac:dyDescent="0.3">
      <c r="A98" s="5">
        <f>'1. Mixture Model Inputs'!A98</f>
        <v>45200</v>
      </c>
      <c r="B98" s="13" t="str">
        <f>IF(ISBLANK('[1]Passage Estimates'!$C98),"",IF('[1]Passage Estimates'!$C98="Imputation",'[1]Passage Estimates'!$B98,'[1]Passage Estimates'!$C98))</f>
        <v>A1+S1+M2+A2</v>
      </c>
      <c r="C98" s="17">
        <f>IFERROR('1. Mixture Model Inputs'!B98/'1. Mixture Model Inputs'!Z98,NA())</f>
        <v>1.6089312099819404E-2</v>
      </c>
      <c r="D98" s="17">
        <f>IFERROR(SUM('1. Mixture Model Inputs'!C98,'1. Mixture Model Inputs'!K98)/'1. Mixture Model Inputs'!AA98,NA())</f>
        <v>8.136321768498618E-2</v>
      </c>
      <c r="E98" s="17">
        <f>IFERROR(SUM('1. Mixture Model Inputs'!D98,'1. Mixture Model Inputs'!L98)/'1. Mixture Model Inputs'!AB98,NA())</f>
        <v>4.2741807820167801E-2</v>
      </c>
      <c r="F98" s="17">
        <f>IFERROR('1. Mixture Model Inputs'!E98/'1. Mixture Model Inputs'!AC98, NA())</f>
        <v>0.15623579330201545</v>
      </c>
      <c r="G98" s="17">
        <f>IFERROR('1. Mixture Model Inputs'!F98/'1. Mixture Model Inputs'!AD98, NA())</f>
        <v>0.26469227209625174</v>
      </c>
      <c r="H98" s="24">
        <f>IFERROR(WhonSpComp!AT113+WhonSpComp!AV113, NA())</f>
        <v>0.26923076923076922</v>
      </c>
      <c r="I98" s="17" t="e">
        <f>IFERROR(SUM('1. Mixture Model Inputs'!G98,'1. Mixture Model Inputs'!O98)/'1. Mixture Model Inputs'!AE98, NA())</f>
        <v>#N/A</v>
      </c>
      <c r="J98" s="17" t="e">
        <f>IFERROR(SUM('1. Mixture Model Inputs'!H98,'1. Mixture Model Inputs'!P98)/'1. Mixture Model Inputs'!AF98, NA())</f>
        <v>#N/A</v>
      </c>
      <c r="K98" s="17" t="e">
        <f>IFERROR(SUM('1. Mixture Model Inputs'!I98,'1. Mixture Model Inputs'!Q98)/'1. Mixture Model Inputs'!AG98, NA())</f>
        <v>#N/A</v>
      </c>
      <c r="L98" s="22">
        <f>C98*'2. Salmon Passage by Bin'!C98</f>
        <v>130.61303562633393</v>
      </c>
      <c r="M98" s="22">
        <f>D98*'2. Salmon Passage by Bin'!D98</f>
        <v>180.87043291372427</v>
      </c>
      <c r="N98" s="22">
        <f>F98*'2. Salmon Passage by Bin'!F98</f>
        <v>1325.354484012729</v>
      </c>
      <c r="O98" s="22">
        <f>G98*'2. Salmon Passage by Bin'!G98</f>
        <v>1042.6546228597872</v>
      </c>
      <c r="P98" s="22">
        <f>$G98*'2. Salmon Passage by Bin'!H98</f>
        <v>918.01632577510406</v>
      </c>
      <c r="Q98" s="22">
        <f>$G98*'2. Salmon Passage by Bin'!I98</f>
        <v>1228.4050717260527</v>
      </c>
      <c r="R98" s="22">
        <f>$G98*'2. Salmon Passage by Bin'!J98</f>
        <v>0</v>
      </c>
      <c r="S98" s="25">
        <f>'2. Salmon Passage by Bin'!K98*H98</f>
        <v>5531.4646153846234</v>
      </c>
      <c r="T98" s="25" t="e">
        <f>K98*'2. Salmon Passage by Bin'!L98</f>
        <v>#N/A</v>
      </c>
      <c r="U98" s="25" t="e">
        <f>K98*'2. Salmon Passage by Bin'!M98</f>
        <v>#N/A</v>
      </c>
      <c r="V98" s="25" t="e">
        <f>J98*'2. Salmon Passage by Bin'!N98</f>
        <v>#N/A</v>
      </c>
      <c r="W98" s="25" t="e">
        <f>I98*'2. Salmon Passage by Bin'!O98</f>
        <v>#N/A</v>
      </c>
      <c r="X98" s="22">
        <f>E98*'2. Salmon Passage by Bin'!E98</f>
        <v>442.01867975304725</v>
      </c>
      <c r="Y98" s="41">
        <f t="shared" si="1"/>
        <v>10357.378588298354</v>
      </c>
      <c r="Z98" s="42">
        <f>Y98/'[1]Passage Estimates'!$D98</f>
        <v>0.20143362498615958</v>
      </c>
      <c r="AA98" s="43">
        <f>IFERROR(SUMIF(L98:R98, "&lt;&gt;#N/A")/SUMIF('2. Salmon Passage by Bin'!E98:J98, "&lt;&gt;#N/A"), NA())</f>
        <v>0.15631563925729414</v>
      </c>
      <c r="AB98" s="42">
        <f>IFERROR(IF(ISNA(S98), NA(), S98/'2. Salmon Passage by Bin'!K98), NA())</f>
        <v>0.26923076923076922</v>
      </c>
      <c r="AC98" s="44" t="e">
        <f>IFERROR(SUMIF(T98:W98, "&lt;&gt;#N/A")/SUMIF('2. Salmon Passage by Bin'!L98:N98, "&lt;&gt;#N/A"), NA())</f>
        <v>#N/A</v>
      </c>
    </row>
    <row r="99" spans="1:29" x14ac:dyDescent="0.3">
      <c r="A99" s="5">
        <f>'1. Mixture Model Inputs'!A99</f>
        <v>45201</v>
      </c>
      <c r="B99" s="13" t="str">
        <f>IF(ISBLANK('[1]Passage Estimates'!$C99),"",IF('[1]Passage Estimates'!$C99="Imputation",'[1]Passage Estimates'!$B99,'[1]Passage Estimates'!$C99))</f>
        <v>A1+S1+M2+A2</v>
      </c>
      <c r="C99" s="17">
        <f>IFERROR('1. Mixture Model Inputs'!B99/'1. Mixture Model Inputs'!Z99,NA())</f>
        <v>1.2318255250403878E-2</v>
      </c>
      <c r="D99" s="17">
        <f>IFERROR(SUM('1. Mixture Model Inputs'!C99,'1. Mixture Model Inputs'!K99)/'1. Mixture Model Inputs'!AA99,NA())</f>
        <v>0.11723521525398481</v>
      </c>
      <c r="E99" s="17">
        <f>IFERROR(SUM('1. Mixture Model Inputs'!D99,'1. Mixture Model Inputs'!L99)/'1. Mixture Model Inputs'!AB99,NA())</f>
        <v>6.440856440856442E-2</v>
      </c>
      <c r="F99" s="17">
        <f>IFERROR('1. Mixture Model Inputs'!E99/'1. Mixture Model Inputs'!AC99, NA())</f>
        <v>0.20238833746898263</v>
      </c>
      <c r="G99" s="17">
        <f>IFERROR('1. Mixture Model Inputs'!F99/'1. Mixture Model Inputs'!AD99, NA())</f>
        <v>0.51018986239331121</v>
      </c>
      <c r="H99" s="24">
        <f>IFERROR(WhonSpComp!AT114+WhonSpComp!AV114, NA())</f>
        <v>0.14285714285714285</v>
      </c>
      <c r="I99" s="17" t="e">
        <f>IFERROR(SUM('1. Mixture Model Inputs'!G99,'1. Mixture Model Inputs'!O99)/'1. Mixture Model Inputs'!AE99, NA())</f>
        <v>#N/A</v>
      </c>
      <c r="J99" s="17" t="e">
        <f>IFERROR(SUM('1. Mixture Model Inputs'!H99,'1. Mixture Model Inputs'!P99)/'1. Mixture Model Inputs'!AF99, NA())</f>
        <v>#N/A</v>
      </c>
      <c r="K99" s="17" t="e">
        <f>IFERROR(SUM('1. Mixture Model Inputs'!I99,'1. Mixture Model Inputs'!Q99)/'1. Mixture Model Inputs'!AG99, NA())</f>
        <v>#N/A</v>
      </c>
      <c r="L99" s="22">
        <f>C99*'2. Salmon Passage by Bin'!C99</f>
        <v>104.72980613893377</v>
      </c>
      <c r="M99" s="22">
        <f>D99*'2. Salmon Passage by Bin'!D99</f>
        <v>468.23744972441534</v>
      </c>
      <c r="N99" s="22">
        <f>F99*'2. Salmon Passage by Bin'!F99</f>
        <v>1061.6158808933003</v>
      </c>
      <c r="O99" s="22">
        <f>G99*'2. Salmon Passage by Bin'!G99</f>
        <v>968.54443476746189</v>
      </c>
      <c r="P99" s="22">
        <f>$G99*'2. Salmon Passage by Bin'!H99</f>
        <v>415.82514544504437</v>
      </c>
      <c r="Q99" s="22">
        <f>$G99*'2. Salmon Passage by Bin'!I99</f>
        <v>118.52730883121406</v>
      </c>
      <c r="R99" s="22">
        <f>$G99*'2. Salmon Passage by Bin'!J99</f>
        <v>0</v>
      </c>
      <c r="S99" s="25">
        <f>'2. Salmon Passage by Bin'!K99*H99</f>
        <v>1706.6057142857164</v>
      </c>
      <c r="T99" s="25" t="e">
        <f>K99*'2. Salmon Passage by Bin'!L99</f>
        <v>#N/A</v>
      </c>
      <c r="U99" s="25" t="e">
        <f>K99*'2. Salmon Passage by Bin'!M99</f>
        <v>#N/A</v>
      </c>
      <c r="V99" s="25" t="e">
        <f>J99*'2. Salmon Passage by Bin'!N99</f>
        <v>#N/A</v>
      </c>
      <c r="W99" s="25" t="e">
        <f>I99*'2. Salmon Passage by Bin'!O99</f>
        <v>#N/A</v>
      </c>
      <c r="X99" s="22">
        <f>E99*'2. Salmon Passage by Bin'!E99</f>
        <v>804.85457353457355</v>
      </c>
      <c r="Y99" s="41">
        <f t="shared" si="1"/>
        <v>4844.0857400860859</v>
      </c>
      <c r="Z99" s="42">
        <f>Y99/'[1]Passage Estimates'!$D99</f>
        <v>0.14843895908520083</v>
      </c>
      <c r="AA99" s="43">
        <f>IFERROR(SUMIF(L99:R99, "&lt;&gt;#N/A")/SUMIF('2. Salmon Passage by Bin'!E99:J99, "&lt;&gt;#N/A"), NA())</f>
        <v>0.15166227874328428</v>
      </c>
      <c r="AB99" s="42">
        <f>IFERROR(IF(ISNA(S99), NA(), S99/'2. Salmon Passage by Bin'!K99), NA())</f>
        <v>0.14285714285714285</v>
      </c>
      <c r="AC99" s="44" t="e">
        <f>IFERROR(SUMIF(T99:W99, "&lt;&gt;#N/A")/SUMIF('2. Salmon Passage by Bin'!L99:N99, "&lt;&gt;#N/A"), NA())</f>
        <v>#N/A</v>
      </c>
    </row>
    <row r="100" spans="1:29" x14ac:dyDescent="0.3">
      <c r="A100" s="5">
        <f>'1. Mixture Model Inputs'!A100</f>
        <v>45202</v>
      </c>
      <c r="B100" s="13" t="str">
        <f>IF(ISBLANK('[1]Passage Estimates'!$C100),"",IF('[1]Passage Estimates'!$C100="Imputation",'[1]Passage Estimates'!$B100,'[1]Passage Estimates'!$C100))</f>
        <v/>
      </c>
      <c r="C100" s="17" t="e">
        <f>IFERROR('1. Mixture Model Inputs'!B100/'1. Mixture Model Inputs'!Z100,NA())</f>
        <v>#N/A</v>
      </c>
      <c r="D100" s="17" t="e">
        <f>IFERROR(SUM('1. Mixture Model Inputs'!C100,'1. Mixture Model Inputs'!K100)/'1. Mixture Model Inputs'!AA100,NA())</f>
        <v>#N/A</v>
      </c>
      <c r="E100" s="17" t="e">
        <f>IFERROR(SUM('1. Mixture Model Inputs'!D100,'1. Mixture Model Inputs'!L100)/'1. Mixture Model Inputs'!AB100,NA())</f>
        <v>#N/A</v>
      </c>
      <c r="F100" s="17" t="e">
        <f>IFERROR('1. Mixture Model Inputs'!E100/'1. Mixture Model Inputs'!AC100, NA())</f>
        <v>#N/A</v>
      </c>
      <c r="G100" s="17" t="e">
        <f>IFERROR('1. Mixture Model Inputs'!F100/'1. Mixture Model Inputs'!AD100, NA())</f>
        <v>#N/A</v>
      </c>
      <c r="H100" s="24" t="e">
        <f>IFERROR(WhonSpComp!AT115+WhonSpComp!AV115, NA())</f>
        <v>#N/A</v>
      </c>
      <c r="I100" s="17" t="e">
        <f>IFERROR(SUM('1. Mixture Model Inputs'!G100,'1. Mixture Model Inputs'!O100)/'1. Mixture Model Inputs'!AE100, NA())</f>
        <v>#N/A</v>
      </c>
      <c r="J100" s="17" t="e">
        <f>IFERROR(SUM('1. Mixture Model Inputs'!H100,'1. Mixture Model Inputs'!P100)/'1. Mixture Model Inputs'!AF100, NA())</f>
        <v>#N/A</v>
      </c>
      <c r="K100" s="17" t="e">
        <f>IFERROR(SUM('1. Mixture Model Inputs'!I100,'1. Mixture Model Inputs'!Q100)/'1. Mixture Model Inputs'!AG100, NA())</f>
        <v>#N/A</v>
      </c>
      <c r="L100" s="22" t="e">
        <f>C100*'2. Salmon Passage by Bin'!C100</f>
        <v>#N/A</v>
      </c>
      <c r="M100" s="22" t="e">
        <f>D100*'2. Salmon Passage by Bin'!D100</f>
        <v>#N/A</v>
      </c>
      <c r="N100" s="22" t="e">
        <f>F100*'2. Salmon Passage by Bin'!F100</f>
        <v>#N/A</v>
      </c>
      <c r="O100" s="22" t="e">
        <f>G100*'2. Salmon Passage by Bin'!G100</f>
        <v>#N/A</v>
      </c>
      <c r="P100" s="22" t="e">
        <f>$G100*'2. Salmon Passage by Bin'!H100</f>
        <v>#N/A</v>
      </c>
      <c r="Q100" s="22" t="e">
        <f>$G100*'2. Salmon Passage by Bin'!I100</f>
        <v>#N/A</v>
      </c>
      <c r="R100" s="22" t="e">
        <f>$G100*'2. Salmon Passage by Bin'!J100</f>
        <v>#N/A</v>
      </c>
      <c r="S100" s="25" t="e">
        <f>'2. Salmon Passage by Bin'!K100*H100</f>
        <v>#N/A</v>
      </c>
      <c r="T100" s="25" t="e">
        <f>K100*'2. Salmon Passage by Bin'!L100</f>
        <v>#N/A</v>
      </c>
      <c r="U100" s="25" t="e">
        <f>K100*'2. Salmon Passage by Bin'!M100</f>
        <v>#N/A</v>
      </c>
      <c r="V100" s="25" t="e">
        <f>J100*'2. Salmon Passage by Bin'!N100</f>
        <v>#N/A</v>
      </c>
      <c r="W100" s="25" t="e">
        <f>I100*'2. Salmon Passage by Bin'!O100</f>
        <v>#N/A</v>
      </c>
      <c r="X100" s="22" t="e">
        <f>E100*'2. Salmon Passage by Bin'!E100</f>
        <v>#N/A</v>
      </c>
      <c r="Y100" s="41">
        <f t="shared" si="1"/>
        <v>0</v>
      </c>
      <c r="Z100" s="42" t="e">
        <f>Y100/'[1]Passage Estimates'!$D100</f>
        <v>#N/A</v>
      </c>
      <c r="AA100" s="43" t="e">
        <f>IFERROR(SUMIF(L100:R100, "&lt;&gt;#N/A")/SUMIF('2. Salmon Passage by Bin'!E100:J100, "&lt;&gt;#N/A"), NA())</f>
        <v>#N/A</v>
      </c>
      <c r="AB100" s="42" t="e">
        <f>IFERROR(IF(ISNA(S100), NA(), S100/'2. Salmon Passage by Bin'!K100), NA())</f>
        <v>#N/A</v>
      </c>
      <c r="AC100" s="44" t="e">
        <f>IFERROR(SUMIF(T100:W100, "&lt;&gt;#N/A")/SUMIF('2. Salmon Passage by Bin'!L100:N100, "&lt;&gt;#N/A"), NA())</f>
        <v>#N/A</v>
      </c>
    </row>
    <row r="101" spans="1:29" x14ac:dyDescent="0.3">
      <c r="A101" s="5">
        <f>'1. Mixture Model Inputs'!A101</f>
        <v>45203</v>
      </c>
      <c r="B101" s="13" t="str">
        <f>IF(ISBLANK('[1]Passage Estimates'!$C101),"",IF('[1]Passage Estimates'!$C101="Imputation",'[1]Passage Estimates'!$B101,'[1]Passage Estimates'!$C101))</f>
        <v/>
      </c>
      <c r="C101" s="17" t="e">
        <f>IFERROR('1. Mixture Model Inputs'!B101/'1. Mixture Model Inputs'!Z101,NA())</f>
        <v>#N/A</v>
      </c>
      <c r="D101" s="17" t="e">
        <f>IFERROR(SUM('1. Mixture Model Inputs'!C101,'1. Mixture Model Inputs'!K101)/'1. Mixture Model Inputs'!AA101,NA())</f>
        <v>#N/A</v>
      </c>
      <c r="E101" s="17" t="e">
        <f>IFERROR(SUM('1. Mixture Model Inputs'!D101,'1. Mixture Model Inputs'!L101)/'1. Mixture Model Inputs'!AB101,NA())</f>
        <v>#N/A</v>
      </c>
      <c r="F101" s="17" t="e">
        <f>IFERROR('1. Mixture Model Inputs'!E101/'1. Mixture Model Inputs'!AC101, NA())</f>
        <v>#N/A</v>
      </c>
      <c r="G101" s="17" t="e">
        <f>IFERROR('1. Mixture Model Inputs'!F101/'1. Mixture Model Inputs'!AD101, NA())</f>
        <v>#N/A</v>
      </c>
      <c r="H101" s="24" t="e">
        <f>IFERROR(WhonSpComp!AT116+WhonSpComp!AV116, NA())</f>
        <v>#N/A</v>
      </c>
      <c r="I101" s="17" t="e">
        <f>IFERROR(SUM('1. Mixture Model Inputs'!G101,'1. Mixture Model Inputs'!O101)/'1. Mixture Model Inputs'!AE101, NA())</f>
        <v>#N/A</v>
      </c>
      <c r="J101" s="17" t="e">
        <f>IFERROR(SUM('1. Mixture Model Inputs'!H101,'1. Mixture Model Inputs'!P101)/'1. Mixture Model Inputs'!AF101, NA())</f>
        <v>#N/A</v>
      </c>
      <c r="K101" s="17" t="e">
        <f>IFERROR(SUM('1. Mixture Model Inputs'!I101,'1. Mixture Model Inputs'!Q101)/'1. Mixture Model Inputs'!AG101, NA())</f>
        <v>#N/A</v>
      </c>
      <c r="L101" s="22" t="e">
        <f>C101*'2. Salmon Passage by Bin'!C101</f>
        <v>#N/A</v>
      </c>
      <c r="M101" s="22" t="e">
        <f>D101*'2. Salmon Passage by Bin'!D101</f>
        <v>#N/A</v>
      </c>
      <c r="N101" s="22" t="e">
        <f>F101*'2. Salmon Passage by Bin'!F101</f>
        <v>#N/A</v>
      </c>
      <c r="O101" s="22" t="e">
        <f>G101*'2. Salmon Passage by Bin'!G101</f>
        <v>#N/A</v>
      </c>
      <c r="P101" s="22" t="e">
        <f>$G101*'2. Salmon Passage by Bin'!H101</f>
        <v>#N/A</v>
      </c>
      <c r="Q101" s="22" t="e">
        <f>$G101*'2. Salmon Passage by Bin'!I101</f>
        <v>#N/A</v>
      </c>
      <c r="R101" s="22" t="e">
        <f>$G101*'2. Salmon Passage by Bin'!J101</f>
        <v>#N/A</v>
      </c>
      <c r="S101" s="25" t="e">
        <f>'2. Salmon Passage by Bin'!K101*H101</f>
        <v>#N/A</v>
      </c>
      <c r="T101" s="25" t="e">
        <f>K101*'2. Salmon Passage by Bin'!L101</f>
        <v>#N/A</v>
      </c>
      <c r="U101" s="25" t="e">
        <f>K101*'2. Salmon Passage by Bin'!M101</f>
        <v>#N/A</v>
      </c>
      <c r="V101" s="25" t="e">
        <f>J101*'2. Salmon Passage by Bin'!N101</f>
        <v>#N/A</v>
      </c>
      <c r="W101" s="25" t="e">
        <f>I101*'2. Salmon Passage by Bin'!O101</f>
        <v>#N/A</v>
      </c>
      <c r="X101" s="22" t="e">
        <f>E101*'2. Salmon Passage by Bin'!E101</f>
        <v>#N/A</v>
      </c>
      <c r="Y101" s="41">
        <f t="shared" si="1"/>
        <v>0</v>
      </c>
      <c r="Z101" s="42" t="e">
        <f>Y101/'[1]Passage Estimates'!$D101</f>
        <v>#N/A</v>
      </c>
      <c r="AA101" s="43" t="e">
        <f>IFERROR(SUMIF(L101:R101, "&lt;&gt;#N/A")/SUMIF('2. Salmon Passage by Bin'!E101:J101, "&lt;&gt;#N/A"), NA())</f>
        <v>#N/A</v>
      </c>
      <c r="AB101" s="42" t="e">
        <f>IFERROR(IF(ISNA(S101), NA(), S101/'2. Salmon Passage by Bin'!K101), NA())</f>
        <v>#N/A</v>
      </c>
      <c r="AC101" s="44" t="e">
        <f>IFERROR(SUMIF(T101:W101, "&lt;&gt;#N/A")/SUMIF('2. Salmon Passage by Bin'!L101:N101, "&lt;&gt;#N/A"), NA())</f>
        <v>#N/A</v>
      </c>
    </row>
    <row r="102" spans="1:29" x14ac:dyDescent="0.3">
      <c r="A102" s="5">
        <f>'1. Mixture Model Inputs'!A102</f>
        <v>45204</v>
      </c>
      <c r="B102" s="13" t="str">
        <f>IF(ISBLANK('[1]Passage Estimates'!$C102),"",IF('[1]Passage Estimates'!$C102="Imputation",'[1]Passage Estimates'!$B102,'[1]Passage Estimates'!$C102))</f>
        <v/>
      </c>
      <c r="C102" s="17" t="e">
        <f>IFERROR('1. Mixture Model Inputs'!B102/'1. Mixture Model Inputs'!Z102,NA())</f>
        <v>#N/A</v>
      </c>
      <c r="D102" s="17" t="e">
        <f>IFERROR(SUM('1. Mixture Model Inputs'!C102,'1. Mixture Model Inputs'!K102)/'1. Mixture Model Inputs'!AA102,NA())</f>
        <v>#N/A</v>
      </c>
      <c r="E102" s="17" t="e">
        <f>IFERROR(SUM('1. Mixture Model Inputs'!D102,'1. Mixture Model Inputs'!L102)/'1. Mixture Model Inputs'!AB102,NA())</f>
        <v>#N/A</v>
      </c>
      <c r="F102" s="17" t="e">
        <f>IFERROR('1. Mixture Model Inputs'!E102/'1. Mixture Model Inputs'!AC102, NA())</f>
        <v>#N/A</v>
      </c>
      <c r="G102" s="17" t="e">
        <f>IFERROR('1. Mixture Model Inputs'!F102/'1. Mixture Model Inputs'!AD102, NA())</f>
        <v>#N/A</v>
      </c>
      <c r="H102" s="24" t="e">
        <f>IFERROR(WhonSpComp!AT117+WhonSpComp!AV117, NA())</f>
        <v>#N/A</v>
      </c>
      <c r="I102" s="17" t="e">
        <f>IFERROR(SUM('1. Mixture Model Inputs'!G102,'1. Mixture Model Inputs'!O102)/'1. Mixture Model Inputs'!AE102, NA())</f>
        <v>#N/A</v>
      </c>
      <c r="J102" s="17" t="e">
        <f>IFERROR(SUM('1. Mixture Model Inputs'!H102,'1. Mixture Model Inputs'!P102)/'1. Mixture Model Inputs'!AF102, NA())</f>
        <v>#N/A</v>
      </c>
      <c r="K102" s="17" t="e">
        <f>IFERROR(SUM('1. Mixture Model Inputs'!I102,'1. Mixture Model Inputs'!Q102)/'1. Mixture Model Inputs'!AG102, NA())</f>
        <v>#N/A</v>
      </c>
      <c r="L102" s="22" t="e">
        <f>C102*'2. Salmon Passage by Bin'!C102</f>
        <v>#N/A</v>
      </c>
      <c r="M102" s="22" t="e">
        <f>D102*'2. Salmon Passage by Bin'!D102</f>
        <v>#N/A</v>
      </c>
      <c r="N102" s="22" t="e">
        <f>F102*'2. Salmon Passage by Bin'!F102</f>
        <v>#N/A</v>
      </c>
      <c r="O102" s="22" t="e">
        <f>G102*'2. Salmon Passage by Bin'!G102</f>
        <v>#N/A</v>
      </c>
      <c r="P102" s="22" t="e">
        <f>$G102*'2. Salmon Passage by Bin'!H102</f>
        <v>#N/A</v>
      </c>
      <c r="Q102" s="22" t="e">
        <f>$G102*'2. Salmon Passage by Bin'!I102</f>
        <v>#N/A</v>
      </c>
      <c r="R102" s="22" t="e">
        <f>$G102*'2. Salmon Passage by Bin'!J102</f>
        <v>#N/A</v>
      </c>
      <c r="S102" s="25" t="e">
        <f>'2. Salmon Passage by Bin'!K102*H102</f>
        <v>#N/A</v>
      </c>
      <c r="T102" s="25" t="e">
        <f>K102*'2. Salmon Passage by Bin'!L102</f>
        <v>#N/A</v>
      </c>
      <c r="U102" s="25" t="e">
        <f>K102*'2. Salmon Passage by Bin'!M102</f>
        <v>#N/A</v>
      </c>
      <c r="V102" s="25" t="e">
        <f>J102*'2. Salmon Passage by Bin'!N102</f>
        <v>#N/A</v>
      </c>
      <c r="W102" s="25" t="e">
        <f>I102*'2. Salmon Passage by Bin'!O102</f>
        <v>#N/A</v>
      </c>
      <c r="X102" s="22" t="e">
        <f>E102*'2. Salmon Passage by Bin'!E102</f>
        <v>#N/A</v>
      </c>
      <c r="Y102" s="41">
        <f t="shared" si="1"/>
        <v>0</v>
      </c>
      <c r="Z102" s="42" t="e">
        <f>Y102/'[1]Passage Estimates'!$D102</f>
        <v>#N/A</v>
      </c>
      <c r="AA102" s="43" t="e">
        <f>IFERROR(SUMIF(L102:R102, "&lt;&gt;#N/A")/SUMIF('2. Salmon Passage by Bin'!E102:J102, "&lt;&gt;#N/A"), NA())</f>
        <v>#N/A</v>
      </c>
      <c r="AB102" s="42" t="e">
        <f>IFERROR(IF(ISNA(S102), NA(), S102/'2. Salmon Passage by Bin'!K102), NA())</f>
        <v>#N/A</v>
      </c>
      <c r="AC102" s="44" t="e">
        <f>IFERROR(SUMIF(T102:W102, "&lt;&gt;#N/A")/SUMIF('2. Salmon Passage by Bin'!L102:N102, "&lt;&gt;#N/A"), NA())</f>
        <v>#N/A</v>
      </c>
    </row>
    <row r="103" spans="1:29" x14ac:dyDescent="0.3">
      <c r="A103" s="5">
        <f>'1. Mixture Model Inputs'!A103</f>
        <v>45205</v>
      </c>
      <c r="B103" s="13" t="str">
        <f>IF(ISBLANK('[1]Passage Estimates'!$C103),"",IF('[1]Passage Estimates'!$C103="Imputation",'[1]Passage Estimates'!$B103,'[1]Passage Estimates'!$C103))</f>
        <v/>
      </c>
      <c r="C103" s="17" t="e">
        <f>IFERROR('1. Mixture Model Inputs'!B103/'1. Mixture Model Inputs'!Z103,NA())</f>
        <v>#N/A</v>
      </c>
      <c r="D103" s="17" t="e">
        <f>IFERROR(SUM('1. Mixture Model Inputs'!C103,'1. Mixture Model Inputs'!K103)/'1. Mixture Model Inputs'!AA103,NA())</f>
        <v>#N/A</v>
      </c>
      <c r="E103" s="17" t="e">
        <f>IFERROR(SUM('1. Mixture Model Inputs'!D103,'1. Mixture Model Inputs'!L103)/'1. Mixture Model Inputs'!AB103,NA())</f>
        <v>#N/A</v>
      </c>
      <c r="F103" s="17" t="e">
        <f>IFERROR('1. Mixture Model Inputs'!E103/'1. Mixture Model Inputs'!AC103, NA())</f>
        <v>#N/A</v>
      </c>
      <c r="G103" s="17" t="e">
        <f>IFERROR('1. Mixture Model Inputs'!F103/'1. Mixture Model Inputs'!AD103, NA())</f>
        <v>#N/A</v>
      </c>
      <c r="H103" s="24" t="e">
        <f>IFERROR(WhonSpComp!AT118+WhonSpComp!AV118, NA())</f>
        <v>#N/A</v>
      </c>
      <c r="I103" s="17" t="e">
        <f>IFERROR(SUM('1. Mixture Model Inputs'!G103,'1. Mixture Model Inputs'!O103)/'1. Mixture Model Inputs'!AE103, NA())</f>
        <v>#N/A</v>
      </c>
      <c r="J103" s="17" t="e">
        <f>IFERROR(SUM('1. Mixture Model Inputs'!H103,'1. Mixture Model Inputs'!P103)/'1. Mixture Model Inputs'!AF103, NA())</f>
        <v>#N/A</v>
      </c>
      <c r="K103" s="17" t="e">
        <f>IFERROR(SUM('1. Mixture Model Inputs'!I103,'1. Mixture Model Inputs'!Q103)/'1. Mixture Model Inputs'!AG103, NA())</f>
        <v>#N/A</v>
      </c>
      <c r="L103" s="22" t="e">
        <f>C103*'2. Salmon Passage by Bin'!C103</f>
        <v>#N/A</v>
      </c>
      <c r="M103" s="22" t="e">
        <f>D103*'2. Salmon Passage by Bin'!D103</f>
        <v>#N/A</v>
      </c>
      <c r="N103" s="22" t="e">
        <f>F103*'2. Salmon Passage by Bin'!F103</f>
        <v>#N/A</v>
      </c>
      <c r="O103" s="22" t="e">
        <f>G103*'2. Salmon Passage by Bin'!G103</f>
        <v>#N/A</v>
      </c>
      <c r="P103" s="22" t="e">
        <f>$G103*'2. Salmon Passage by Bin'!H103</f>
        <v>#N/A</v>
      </c>
      <c r="Q103" s="22" t="e">
        <f>$G103*'2. Salmon Passage by Bin'!I103</f>
        <v>#N/A</v>
      </c>
      <c r="R103" s="22" t="e">
        <f>$G103*'2. Salmon Passage by Bin'!J103</f>
        <v>#N/A</v>
      </c>
      <c r="S103" s="25" t="e">
        <f>'2. Salmon Passage by Bin'!K103*H103</f>
        <v>#N/A</v>
      </c>
      <c r="T103" s="25" t="e">
        <f>K103*'2. Salmon Passage by Bin'!L103</f>
        <v>#N/A</v>
      </c>
      <c r="U103" s="25" t="e">
        <f>K103*'2. Salmon Passage by Bin'!M103</f>
        <v>#N/A</v>
      </c>
      <c r="V103" s="25" t="e">
        <f>J103*'2. Salmon Passage by Bin'!N103</f>
        <v>#N/A</v>
      </c>
      <c r="W103" s="25" t="e">
        <f>I103*'2. Salmon Passage by Bin'!O103</f>
        <v>#N/A</v>
      </c>
      <c r="X103" s="22" t="e">
        <f>E103*'2. Salmon Passage by Bin'!E103</f>
        <v>#N/A</v>
      </c>
      <c r="Y103" s="41">
        <f t="shared" si="1"/>
        <v>0</v>
      </c>
      <c r="Z103" s="42" t="e">
        <f>Y103/'[1]Passage Estimates'!$D103</f>
        <v>#N/A</v>
      </c>
      <c r="AA103" s="43" t="e">
        <f>IFERROR(SUMIF(L103:R103, "&lt;&gt;#N/A")/SUMIF('2. Salmon Passage by Bin'!E103:J103, "&lt;&gt;#N/A"), NA())</f>
        <v>#N/A</v>
      </c>
      <c r="AB103" s="42" t="e">
        <f>IFERROR(IF(ISNA(S103), NA(), S103/'2. Salmon Passage by Bin'!K103), NA())</f>
        <v>#N/A</v>
      </c>
      <c r="AC103" s="44" t="e">
        <f>IFERROR(SUMIF(T103:W103, "&lt;&gt;#N/A")/SUMIF('2. Salmon Passage by Bin'!L103:N103, "&lt;&gt;#N/A"), NA())</f>
        <v>#N/A</v>
      </c>
    </row>
    <row r="104" spans="1:29" x14ac:dyDescent="0.3">
      <c r="A104" s="5">
        <f>'1. Mixture Model Inputs'!A104</f>
        <v>45206</v>
      </c>
      <c r="B104" s="13" t="str">
        <f>IF(ISBLANK('[1]Passage Estimates'!$C104),"",IF('[1]Passage Estimates'!$C104="Imputation",'[1]Passage Estimates'!$B104,'[1]Passage Estimates'!$C104))</f>
        <v/>
      </c>
      <c r="C104" s="17" t="e">
        <f>IFERROR('1. Mixture Model Inputs'!B104/'1. Mixture Model Inputs'!Z104,NA())</f>
        <v>#N/A</v>
      </c>
      <c r="D104" s="17" t="e">
        <f>IFERROR(SUM('1. Mixture Model Inputs'!C104,'1. Mixture Model Inputs'!K104)/'1. Mixture Model Inputs'!AA104,NA())</f>
        <v>#N/A</v>
      </c>
      <c r="E104" s="17" t="e">
        <f>IFERROR(SUM('1. Mixture Model Inputs'!D104,'1. Mixture Model Inputs'!L104)/'1. Mixture Model Inputs'!AB104,NA())</f>
        <v>#N/A</v>
      </c>
      <c r="F104" s="17" t="e">
        <f>IFERROR('1. Mixture Model Inputs'!E104/'1. Mixture Model Inputs'!AC104, NA())</f>
        <v>#N/A</v>
      </c>
      <c r="G104" s="17" t="e">
        <f>IFERROR('1. Mixture Model Inputs'!F104/'1. Mixture Model Inputs'!AD104, NA())</f>
        <v>#N/A</v>
      </c>
      <c r="H104" s="24" t="e">
        <f>IFERROR(WhonSpComp!AT119+WhonSpComp!AV119, NA())</f>
        <v>#N/A</v>
      </c>
      <c r="I104" s="17" t="e">
        <f>IFERROR(SUM('1. Mixture Model Inputs'!G104,'1. Mixture Model Inputs'!O104)/'1. Mixture Model Inputs'!AE104, NA())</f>
        <v>#N/A</v>
      </c>
      <c r="J104" s="17" t="e">
        <f>IFERROR(SUM('1. Mixture Model Inputs'!H104,'1. Mixture Model Inputs'!P104)/'1. Mixture Model Inputs'!AF104, NA())</f>
        <v>#N/A</v>
      </c>
      <c r="K104" s="17" t="e">
        <f>IFERROR(SUM('1. Mixture Model Inputs'!I104,'1. Mixture Model Inputs'!Q104)/'1. Mixture Model Inputs'!AG104, NA())</f>
        <v>#N/A</v>
      </c>
      <c r="L104" s="22" t="e">
        <f>C104*'2. Salmon Passage by Bin'!C104</f>
        <v>#N/A</v>
      </c>
      <c r="M104" s="22" t="e">
        <f>D104*'2. Salmon Passage by Bin'!D104</f>
        <v>#N/A</v>
      </c>
      <c r="N104" s="22" t="e">
        <f>F104*'2. Salmon Passage by Bin'!F104</f>
        <v>#N/A</v>
      </c>
      <c r="O104" s="22" t="e">
        <f>G104*'2. Salmon Passage by Bin'!G104</f>
        <v>#N/A</v>
      </c>
      <c r="P104" s="22" t="e">
        <f>$G104*'2. Salmon Passage by Bin'!H104</f>
        <v>#N/A</v>
      </c>
      <c r="Q104" s="22" t="e">
        <f>$G104*'2. Salmon Passage by Bin'!I104</f>
        <v>#N/A</v>
      </c>
      <c r="R104" s="22" t="e">
        <f>$G104*'2. Salmon Passage by Bin'!J104</f>
        <v>#N/A</v>
      </c>
      <c r="S104" s="25" t="e">
        <f>'2. Salmon Passage by Bin'!K104*H104</f>
        <v>#N/A</v>
      </c>
      <c r="T104" s="25" t="e">
        <f>K104*'2. Salmon Passage by Bin'!L104</f>
        <v>#N/A</v>
      </c>
      <c r="U104" s="25" t="e">
        <f>K104*'2. Salmon Passage by Bin'!M104</f>
        <v>#N/A</v>
      </c>
      <c r="V104" s="25" t="e">
        <f>J104*'2. Salmon Passage by Bin'!N104</f>
        <v>#N/A</v>
      </c>
      <c r="W104" s="25" t="e">
        <f>I104*'2. Salmon Passage by Bin'!O104</f>
        <v>#N/A</v>
      </c>
      <c r="X104" s="22" t="e">
        <f>E104*'2. Salmon Passage by Bin'!E104</f>
        <v>#N/A</v>
      </c>
      <c r="Y104" s="41">
        <f t="shared" si="1"/>
        <v>0</v>
      </c>
      <c r="Z104" s="42" t="e">
        <f>Y104/'[1]Passage Estimates'!$D104</f>
        <v>#N/A</v>
      </c>
      <c r="AA104" s="43" t="e">
        <f>IFERROR(SUMIF(L104:R104, "&lt;&gt;#N/A")/SUMIF('2. Salmon Passage by Bin'!E104:J104, "&lt;&gt;#N/A"), NA())</f>
        <v>#N/A</v>
      </c>
      <c r="AB104" s="42" t="e">
        <f>IFERROR(IF(ISNA(S104), NA(), S104/'2. Salmon Passage by Bin'!K104), NA())</f>
        <v>#N/A</v>
      </c>
      <c r="AC104" s="44" t="e">
        <f>IFERROR(SUMIF(T104:W104, "&lt;&gt;#N/A")/SUMIF('2. Salmon Passage by Bin'!L104:N104, "&lt;&gt;#N/A"), NA())</f>
        <v>#N/A</v>
      </c>
    </row>
    <row r="105" spans="1:29" x14ac:dyDescent="0.3">
      <c r="A105" s="5">
        <f>'1. Mixture Model Inputs'!A105</f>
        <v>45207</v>
      </c>
      <c r="B105" s="13" t="str">
        <f>IF(ISBLANK('[1]Passage Estimates'!$C105),"",IF('[1]Passage Estimates'!$C105="Imputation",'[1]Passage Estimates'!$B105,'[1]Passage Estimates'!$C105))</f>
        <v/>
      </c>
      <c r="C105" s="17" t="e">
        <f>IFERROR('1. Mixture Model Inputs'!B105/'1. Mixture Model Inputs'!Z105,NA())</f>
        <v>#N/A</v>
      </c>
      <c r="D105" s="17" t="e">
        <f>IFERROR(SUM('1. Mixture Model Inputs'!C105,'1. Mixture Model Inputs'!K105)/'1. Mixture Model Inputs'!AA105,NA())</f>
        <v>#N/A</v>
      </c>
      <c r="E105" s="17" t="e">
        <f>IFERROR(SUM('1. Mixture Model Inputs'!D105,'1. Mixture Model Inputs'!L105)/'1. Mixture Model Inputs'!AB105,NA())</f>
        <v>#N/A</v>
      </c>
      <c r="F105" s="17" t="e">
        <f>IFERROR('1. Mixture Model Inputs'!E105/'1. Mixture Model Inputs'!AC105, NA())</f>
        <v>#N/A</v>
      </c>
      <c r="G105" s="17" t="e">
        <f>IFERROR('1. Mixture Model Inputs'!F105/'1. Mixture Model Inputs'!AD105, NA())</f>
        <v>#N/A</v>
      </c>
      <c r="H105" s="24" t="e">
        <f>IFERROR(WhonSpComp!AT120+WhonSpComp!AV120, NA())</f>
        <v>#N/A</v>
      </c>
      <c r="I105" s="17" t="e">
        <f>IFERROR(SUM('1. Mixture Model Inputs'!G105,'1. Mixture Model Inputs'!O105)/'1. Mixture Model Inputs'!AE105, NA())</f>
        <v>#N/A</v>
      </c>
      <c r="J105" s="17" t="e">
        <f>IFERROR(SUM('1. Mixture Model Inputs'!H105,'1. Mixture Model Inputs'!P105)/'1. Mixture Model Inputs'!AF105, NA())</f>
        <v>#N/A</v>
      </c>
      <c r="K105" s="17" t="e">
        <f>IFERROR(SUM('1. Mixture Model Inputs'!I105,'1. Mixture Model Inputs'!Q105)/'1. Mixture Model Inputs'!AG105, NA())</f>
        <v>#N/A</v>
      </c>
      <c r="L105" s="22" t="e">
        <f>C105*'2. Salmon Passage by Bin'!C105</f>
        <v>#N/A</v>
      </c>
      <c r="M105" s="22" t="e">
        <f>D105*'2. Salmon Passage by Bin'!D105</f>
        <v>#N/A</v>
      </c>
      <c r="N105" s="22" t="e">
        <f>F105*'2. Salmon Passage by Bin'!F105</f>
        <v>#N/A</v>
      </c>
      <c r="O105" s="22" t="e">
        <f>G105*'2. Salmon Passage by Bin'!G105</f>
        <v>#N/A</v>
      </c>
      <c r="P105" s="22" t="e">
        <f>$G105*'2. Salmon Passage by Bin'!H105</f>
        <v>#N/A</v>
      </c>
      <c r="Q105" s="22" t="e">
        <f>$G105*'2. Salmon Passage by Bin'!I105</f>
        <v>#N/A</v>
      </c>
      <c r="R105" s="22" t="e">
        <f>$G105*'2. Salmon Passage by Bin'!J105</f>
        <v>#N/A</v>
      </c>
      <c r="S105" s="25" t="e">
        <f>'2. Salmon Passage by Bin'!K105*H105</f>
        <v>#N/A</v>
      </c>
      <c r="T105" s="25" t="e">
        <f>K105*'2. Salmon Passage by Bin'!L105</f>
        <v>#N/A</v>
      </c>
      <c r="U105" s="25" t="e">
        <f>K105*'2. Salmon Passage by Bin'!M105</f>
        <v>#N/A</v>
      </c>
      <c r="V105" s="25" t="e">
        <f>J105*'2. Salmon Passage by Bin'!N105</f>
        <v>#N/A</v>
      </c>
      <c r="W105" s="25" t="e">
        <f>I105*'2. Salmon Passage by Bin'!O105</f>
        <v>#N/A</v>
      </c>
      <c r="X105" s="22" t="e">
        <f>E105*'2. Salmon Passage by Bin'!E105</f>
        <v>#N/A</v>
      </c>
      <c r="Y105" s="41">
        <f t="shared" si="1"/>
        <v>0</v>
      </c>
      <c r="Z105" s="42" t="e">
        <f>Y105/'[1]Passage Estimates'!$D105</f>
        <v>#N/A</v>
      </c>
      <c r="AA105" s="43" t="e">
        <f>IFERROR(SUMIF(L105:R105, "&lt;&gt;#N/A")/SUMIF('2. Salmon Passage by Bin'!E105:J105, "&lt;&gt;#N/A"), NA())</f>
        <v>#N/A</v>
      </c>
      <c r="AB105" s="42" t="e">
        <f>IFERROR(IF(ISNA(S105), NA(), S105/'2. Salmon Passage by Bin'!K105), NA())</f>
        <v>#N/A</v>
      </c>
      <c r="AC105" s="44" t="e">
        <f>IFERROR(SUMIF(T105:W105, "&lt;&gt;#N/A")/SUMIF('2. Salmon Passage by Bin'!L105:N105, "&lt;&gt;#N/A"), NA())</f>
        <v>#N/A</v>
      </c>
    </row>
    <row r="106" spans="1:29" x14ac:dyDescent="0.3">
      <c r="A106" s="5">
        <f>'1. Mixture Model Inputs'!A106</f>
        <v>45208</v>
      </c>
      <c r="B106" s="13" t="str">
        <f>IF(ISBLANK('[1]Passage Estimates'!$C106),"",IF('[1]Passage Estimates'!$C106="Imputation",'[1]Passage Estimates'!$B106,'[1]Passage Estimates'!$C106))</f>
        <v/>
      </c>
      <c r="C106" s="17" t="e">
        <f>IFERROR('1. Mixture Model Inputs'!B106/'1. Mixture Model Inputs'!Z106,NA())</f>
        <v>#N/A</v>
      </c>
      <c r="D106" s="17" t="e">
        <f>IFERROR(SUM('1. Mixture Model Inputs'!C106,'1. Mixture Model Inputs'!K106)/'1. Mixture Model Inputs'!AA106,NA())</f>
        <v>#N/A</v>
      </c>
      <c r="E106" s="17" t="e">
        <f>IFERROR(SUM('1. Mixture Model Inputs'!D106,'1. Mixture Model Inputs'!L106)/'1. Mixture Model Inputs'!AB106,NA())</f>
        <v>#N/A</v>
      </c>
      <c r="F106" s="17" t="e">
        <f>IFERROR('1. Mixture Model Inputs'!E106/'1. Mixture Model Inputs'!AC106, NA())</f>
        <v>#N/A</v>
      </c>
      <c r="G106" s="17" t="e">
        <f>IFERROR('1. Mixture Model Inputs'!F106/'1. Mixture Model Inputs'!AD106, NA())</f>
        <v>#N/A</v>
      </c>
      <c r="H106" s="24" t="e">
        <f>IFERROR(WhonSpComp!AT121+WhonSpComp!AV121, NA())</f>
        <v>#N/A</v>
      </c>
      <c r="I106" s="17" t="e">
        <f>IFERROR(SUM('1. Mixture Model Inputs'!G106,'1. Mixture Model Inputs'!O106)/'1. Mixture Model Inputs'!AE106, NA())</f>
        <v>#N/A</v>
      </c>
      <c r="J106" s="17" t="e">
        <f>IFERROR(SUM('1. Mixture Model Inputs'!H106,'1. Mixture Model Inputs'!P106)/'1. Mixture Model Inputs'!AF106, NA())</f>
        <v>#N/A</v>
      </c>
      <c r="K106" s="17" t="e">
        <f>IFERROR(SUM('1. Mixture Model Inputs'!I106,'1. Mixture Model Inputs'!Q106)/'1. Mixture Model Inputs'!AG106, NA())</f>
        <v>#N/A</v>
      </c>
      <c r="L106" s="22" t="e">
        <f>C106*'2. Salmon Passage by Bin'!C106</f>
        <v>#N/A</v>
      </c>
      <c r="M106" s="22" t="e">
        <f>D106*'2. Salmon Passage by Bin'!D106</f>
        <v>#N/A</v>
      </c>
      <c r="N106" s="22" t="e">
        <f>F106*'2. Salmon Passage by Bin'!F106</f>
        <v>#N/A</v>
      </c>
      <c r="O106" s="22" t="e">
        <f>G106*'2. Salmon Passage by Bin'!G106</f>
        <v>#N/A</v>
      </c>
      <c r="P106" s="22" t="e">
        <f>$G106*'2. Salmon Passage by Bin'!H106</f>
        <v>#N/A</v>
      </c>
      <c r="Q106" s="22" t="e">
        <f>$G106*'2. Salmon Passage by Bin'!I106</f>
        <v>#N/A</v>
      </c>
      <c r="R106" s="22" t="e">
        <f>$G106*'2. Salmon Passage by Bin'!J106</f>
        <v>#N/A</v>
      </c>
      <c r="S106" s="25" t="e">
        <f>'2. Salmon Passage by Bin'!K106*H106</f>
        <v>#N/A</v>
      </c>
      <c r="T106" s="25" t="e">
        <f>K106*'2. Salmon Passage by Bin'!L106</f>
        <v>#N/A</v>
      </c>
      <c r="U106" s="25" t="e">
        <f>K106*'2. Salmon Passage by Bin'!M106</f>
        <v>#N/A</v>
      </c>
      <c r="V106" s="25" t="e">
        <f>J106*'2. Salmon Passage by Bin'!N106</f>
        <v>#N/A</v>
      </c>
      <c r="W106" s="25" t="e">
        <f>I106*'2. Salmon Passage by Bin'!O106</f>
        <v>#N/A</v>
      </c>
      <c r="X106" s="22" t="e">
        <f>E106*'2. Salmon Passage by Bin'!E106</f>
        <v>#N/A</v>
      </c>
      <c r="Y106" s="41">
        <f t="shared" si="1"/>
        <v>0</v>
      </c>
      <c r="Z106" s="42" t="e">
        <f>Y106/'[1]Passage Estimates'!$D106</f>
        <v>#N/A</v>
      </c>
      <c r="AA106" s="43" t="e">
        <f>IFERROR(SUMIF(L106:R106, "&lt;&gt;#N/A")/SUMIF('2. Salmon Passage by Bin'!E106:J106, "&lt;&gt;#N/A"), NA())</f>
        <v>#N/A</v>
      </c>
      <c r="AB106" s="42" t="e">
        <f>IFERROR(IF(ISNA(S106), NA(), S106/'2. Salmon Passage by Bin'!K106), NA())</f>
        <v>#N/A</v>
      </c>
      <c r="AC106" s="44" t="e">
        <f>IFERROR(SUMIF(T106:W106, "&lt;&gt;#N/A")/SUMIF('2. Salmon Passage by Bin'!L106:N106, "&lt;&gt;#N/A"), NA())</f>
        <v>#N/A</v>
      </c>
    </row>
    <row r="107" spans="1:29" x14ac:dyDescent="0.3">
      <c r="A107" s="5">
        <f>'1. Mixture Model Inputs'!A107</f>
        <v>45209</v>
      </c>
      <c r="B107" s="13" t="str">
        <f>IF(ISBLANK('[1]Passage Estimates'!$C107),"",IF('[1]Passage Estimates'!$C107="Imputation",'[1]Passage Estimates'!$B107,'[1]Passage Estimates'!$C107))</f>
        <v/>
      </c>
      <c r="C107" s="17" t="e">
        <f>IFERROR('1. Mixture Model Inputs'!B107/'1. Mixture Model Inputs'!Z107,NA())</f>
        <v>#N/A</v>
      </c>
      <c r="D107" s="17" t="e">
        <f>IFERROR(SUM('1. Mixture Model Inputs'!C107,'1. Mixture Model Inputs'!K107)/'1. Mixture Model Inputs'!AA107,NA())</f>
        <v>#N/A</v>
      </c>
      <c r="E107" s="17" t="e">
        <f>IFERROR(SUM('1. Mixture Model Inputs'!D107,'1. Mixture Model Inputs'!L107)/'1. Mixture Model Inputs'!AB107,NA())</f>
        <v>#N/A</v>
      </c>
      <c r="F107" s="17" t="e">
        <f>IFERROR('1. Mixture Model Inputs'!E107/'1. Mixture Model Inputs'!AC107, NA())</f>
        <v>#N/A</v>
      </c>
      <c r="G107" s="17" t="e">
        <f>IFERROR('1. Mixture Model Inputs'!F107/'1. Mixture Model Inputs'!AD107, NA())</f>
        <v>#N/A</v>
      </c>
      <c r="H107" s="24" t="e">
        <f>IFERROR(WhonSpComp!AT122+WhonSpComp!AV122, NA())</f>
        <v>#N/A</v>
      </c>
      <c r="I107" s="17" t="e">
        <f>IFERROR(SUM('1. Mixture Model Inputs'!G107,'1. Mixture Model Inputs'!O107)/'1. Mixture Model Inputs'!AE107, NA())</f>
        <v>#N/A</v>
      </c>
      <c r="J107" s="17" t="e">
        <f>IFERROR(SUM('1. Mixture Model Inputs'!H107,'1. Mixture Model Inputs'!P107)/'1. Mixture Model Inputs'!AF107, NA())</f>
        <v>#N/A</v>
      </c>
      <c r="K107" s="17" t="e">
        <f>IFERROR(SUM('1. Mixture Model Inputs'!I107,'1. Mixture Model Inputs'!Q107)/'1. Mixture Model Inputs'!AG107, NA())</f>
        <v>#N/A</v>
      </c>
      <c r="L107" s="22" t="e">
        <f>C107*'2. Salmon Passage by Bin'!C107</f>
        <v>#N/A</v>
      </c>
      <c r="M107" s="22" t="e">
        <f>D107*'2. Salmon Passage by Bin'!D107</f>
        <v>#N/A</v>
      </c>
      <c r="N107" s="22" t="e">
        <f>F107*'2. Salmon Passage by Bin'!F107</f>
        <v>#N/A</v>
      </c>
      <c r="O107" s="22" t="e">
        <f>G107*'2. Salmon Passage by Bin'!G107</f>
        <v>#N/A</v>
      </c>
      <c r="P107" s="22" t="e">
        <f>$G107*'2. Salmon Passage by Bin'!H107</f>
        <v>#N/A</v>
      </c>
      <c r="Q107" s="22" t="e">
        <f>$G107*'2. Salmon Passage by Bin'!I107</f>
        <v>#N/A</v>
      </c>
      <c r="R107" s="22" t="e">
        <f>$G107*'2. Salmon Passage by Bin'!J107</f>
        <v>#N/A</v>
      </c>
      <c r="S107" s="25" t="e">
        <f>'2. Salmon Passage by Bin'!K107*H107</f>
        <v>#N/A</v>
      </c>
      <c r="T107" s="25" t="e">
        <f>K107*'2. Salmon Passage by Bin'!L107</f>
        <v>#N/A</v>
      </c>
      <c r="U107" s="25" t="e">
        <f>K107*'2. Salmon Passage by Bin'!M107</f>
        <v>#N/A</v>
      </c>
      <c r="V107" s="25" t="e">
        <f>J107*'2. Salmon Passage by Bin'!N107</f>
        <v>#N/A</v>
      </c>
      <c r="W107" s="25" t="e">
        <f>I107*'2. Salmon Passage by Bin'!O107</f>
        <v>#N/A</v>
      </c>
      <c r="X107" s="22" t="e">
        <f>E107*'2. Salmon Passage by Bin'!E107</f>
        <v>#N/A</v>
      </c>
      <c r="Y107" s="41">
        <f t="shared" si="1"/>
        <v>0</v>
      </c>
      <c r="Z107" s="42" t="e">
        <f>Y107/'[1]Passage Estimates'!$D107</f>
        <v>#N/A</v>
      </c>
      <c r="AA107" s="43" t="e">
        <f>IFERROR(SUMIF(L107:R107, "&lt;&gt;#N/A")/SUMIF('2. Salmon Passage by Bin'!E107:J107, "&lt;&gt;#N/A"), NA())</f>
        <v>#N/A</v>
      </c>
      <c r="AB107" s="42" t="e">
        <f>IFERROR(IF(ISNA(S107), NA(), S107/'2. Salmon Passage by Bin'!K107), NA())</f>
        <v>#N/A</v>
      </c>
      <c r="AC107" s="44" t="e">
        <f>IFERROR(SUMIF(T107:W107, "&lt;&gt;#N/A")/SUMIF('2. Salmon Passage by Bin'!L107:N107, "&lt;&gt;#N/A"), NA())</f>
        <v>#N/A</v>
      </c>
    </row>
    <row r="108" spans="1:29" x14ac:dyDescent="0.3">
      <c r="A108" s="5">
        <f>'1. Mixture Model Inputs'!A108</f>
        <v>45210</v>
      </c>
      <c r="B108" s="13" t="str">
        <f>IF(ISBLANK('[1]Passage Estimates'!$C108),"",IF('[1]Passage Estimates'!$C108="Imputation",'[1]Passage Estimates'!$B108,'[1]Passage Estimates'!$C108))</f>
        <v/>
      </c>
      <c r="C108" s="17" t="e">
        <f>IFERROR('1. Mixture Model Inputs'!B108/'1. Mixture Model Inputs'!Z108,NA())</f>
        <v>#N/A</v>
      </c>
      <c r="D108" s="17" t="e">
        <f>IFERROR(SUM('1. Mixture Model Inputs'!C108,'1. Mixture Model Inputs'!K108)/'1. Mixture Model Inputs'!AA108,NA())</f>
        <v>#N/A</v>
      </c>
      <c r="E108" s="17" t="e">
        <f>IFERROR(SUM('1. Mixture Model Inputs'!D108,'1. Mixture Model Inputs'!L108)/'1. Mixture Model Inputs'!AB108,NA())</f>
        <v>#N/A</v>
      </c>
      <c r="F108" s="17" t="e">
        <f>IFERROR('1. Mixture Model Inputs'!E108/'1. Mixture Model Inputs'!AC108, NA())</f>
        <v>#N/A</v>
      </c>
      <c r="G108" s="17" t="e">
        <f>IFERROR('1. Mixture Model Inputs'!F108/'1. Mixture Model Inputs'!AD108, NA())</f>
        <v>#N/A</v>
      </c>
      <c r="H108" s="24" t="e">
        <f>IFERROR(WhonSpComp!AT123+WhonSpComp!AV123, NA())</f>
        <v>#N/A</v>
      </c>
      <c r="I108" s="17" t="e">
        <f>IFERROR(SUM('1. Mixture Model Inputs'!G108,'1. Mixture Model Inputs'!O108)/'1. Mixture Model Inputs'!AE108, NA())</f>
        <v>#N/A</v>
      </c>
      <c r="J108" s="17" t="e">
        <f>IFERROR(SUM('1. Mixture Model Inputs'!H108,'1. Mixture Model Inputs'!P108)/'1. Mixture Model Inputs'!AF108, NA())</f>
        <v>#N/A</v>
      </c>
      <c r="K108" s="17" t="e">
        <f>IFERROR(SUM('1. Mixture Model Inputs'!I108,'1. Mixture Model Inputs'!Q108)/'1. Mixture Model Inputs'!AG108, NA())</f>
        <v>#N/A</v>
      </c>
      <c r="L108" s="22" t="e">
        <f>C108*'2. Salmon Passage by Bin'!C108</f>
        <v>#N/A</v>
      </c>
      <c r="M108" s="22" t="e">
        <f>D108*'2. Salmon Passage by Bin'!D108</f>
        <v>#N/A</v>
      </c>
      <c r="N108" s="22" t="e">
        <f>F108*'2. Salmon Passage by Bin'!F108</f>
        <v>#N/A</v>
      </c>
      <c r="O108" s="22" t="e">
        <f>G108*'2. Salmon Passage by Bin'!G108</f>
        <v>#N/A</v>
      </c>
      <c r="P108" s="22" t="e">
        <f>$G108*'2. Salmon Passage by Bin'!H108</f>
        <v>#N/A</v>
      </c>
      <c r="Q108" s="22" t="e">
        <f>$G108*'2. Salmon Passage by Bin'!I108</f>
        <v>#N/A</v>
      </c>
      <c r="R108" s="22" t="e">
        <f>$G108*'2. Salmon Passage by Bin'!J108</f>
        <v>#N/A</v>
      </c>
      <c r="S108" s="25" t="e">
        <f>'2. Salmon Passage by Bin'!K108*H108</f>
        <v>#N/A</v>
      </c>
      <c r="T108" s="25" t="e">
        <f>K108*'2. Salmon Passage by Bin'!L108</f>
        <v>#N/A</v>
      </c>
      <c r="U108" s="25" t="e">
        <f>K108*'2. Salmon Passage by Bin'!M108</f>
        <v>#N/A</v>
      </c>
      <c r="V108" s="25" t="e">
        <f>J108*'2. Salmon Passage by Bin'!N108</f>
        <v>#N/A</v>
      </c>
      <c r="W108" s="25" t="e">
        <f>I108*'2. Salmon Passage by Bin'!O108</f>
        <v>#N/A</v>
      </c>
      <c r="X108" s="22" t="e">
        <f>E108*'2. Salmon Passage by Bin'!E108</f>
        <v>#N/A</v>
      </c>
      <c r="Y108" s="41">
        <f t="shared" si="1"/>
        <v>0</v>
      </c>
      <c r="Z108" s="42" t="e">
        <f>Y108/'[1]Passage Estimates'!$D108</f>
        <v>#N/A</v>
      </c>
      <c r="AA108" s="43" t="e">
        <f>IFERROR(SUMIF(L108:R108, "&lt;&gt;#N/A")/SUMIF('2. Salmon Passage by Bin'!E108:J108, "&lt;&gt;#N/A"), NA())</f>
        <v>#N/A</v>
      </c>
      <c r="AB108" s="42" t="e">
        <f>IFERROR(IF(ISNA(S108), NA(), S108/'2. Salmon Passage by Bin'!K108), NA())</f>
        <v>#N/A</v>
      </c>
      <c r="AC108" s="44" t="e">
        <f>IFERROR(SUMIF(T108:W108, "&lt;&gt;#N/A")/SUMIF('2. Salmon Passage by Bin'!L108:N108, "&lt;&gt;#N/A"), NA())</f>
        <v>#N/A</v>
      </c>
    </row>
    <row r="109" spans="1:29" x14ac:dyDescent="0.3">
      <c r="A109" s="5">
        <f>'1. Mixture Model Inputs'!A109</f>
        <v>45211</v>
      </c>
      <c r="B109" s="13" t="str">
        <f>IF(ISBLANK('[1]Passage Estimates'!$C109),"",IF('[1]Passage Estimates'!$C109="Imputation",'[1]Passage Estimates'!$B109,'[1]Passage Estimates'!$C109))</f>
        <v/>
      </c>
      <c r="C109" s="17" t="e">
        <f>IFERROR('1. Mixture Model Inputs'!B109/'1. Mixture Model Inputs'!Z109,NA())</f>
        <v>#N/A</v>
      </c>
      <c r="D109" s="17" t="e">
        <f>IFERROR(SUM('1. Mixture Model Inputs'!C109,'1. Mixture Model Inputs'!K109)/'1. Mixture Model Inputs'!AA109,NA())</f>
        <v>#N/A</v>
      </c>
      <c r="E109" s="17" t="e">
        <f>IFERROR(SUM('1. Mixture Model Inputs'!D109,'1. Mixture Model Inputs'!L109)/'1. Mixture Model Inputs'!AB109,NA())</f>
        <v>#N/A</v>
      </c>
      <c r="F109" s="17" t="e">
        <f>IFERROR('1. Mixture Model Inputs'!E109/'1. Mixture Model Inputs'!AC109, NA())</f>
        <v>#N/A</v>
      </c>
      <c r="G109" s="17" t="e">
        <f>IFERROR('1. Mixture Model Inputs'!F109/'1. Mixture Model Inputs'!AD109, NA())</f>
        <v>#N/A</v>
      </c>
      <c r="H109" s="24" t="e">
        <f>IFERROR(WhonSpComp!AT124+WhonSpComp!AV124, NA())</f>
        <v>#N/A</v>
      </c>
      <c r="I109" s="17" t="e">
        <f>IFERROR(SUM('1. Mixture Model Inputs'!G109,'1. Mixture Model Inputs'!O109)/'1. Mixture Model Inputs'!AE109, NA())</f>
        <v>#N/A</v>
      </c>
      <c r="J109" s="17" t="e">
        <f>IFERROR(SUM('1. Mixture Model Inputs'!H109,'1. Mixture Model Inputs'!P109)/'1. Mixture Model Inputs'!AF109, NA())</f>
        <v>#N/A</v>
      </c>
      <c r="K109" s="17" t="e">
        <f>IFERROR(SUM('1. Mixture Model Inputs'!I109,'1. Mixture Model Inputs'!Q109)/'1. Mixture Model Inputs'!AG109, NA())</f>
        <v>#N/A</v>
      </c>
      <c r="L109" s="22" t="e">
        <f>C109*'2. Salmon Passage by Bin'!C109</f>
        <v>#N/A</v>
      </c>
      <c r="M109" s="22" t="e">
        <f>D109*'2. Salmon Passage by Bin'!D109</f>
        <v>#N/A</v>
      </c>
      <c r="N109" s="22" t="e">
        <f>F109*'2. Salmon Passage by Bin'!F109</f>
        <v>#N/A</v>
      </c>
      <c r="O109" s="22" t="e">
        <f>G109*'2. Salmon Passage by Bin'!G109</f>
        <v>#N/A</v>
      </c>
      <c r="P109" s="22" t="e">
        <f>$G109*'2. Salmon Passage by Bin'!H109</f>
        <v>#N/A</v>
      </c>
      <c r="Q109" s="22" t="e">
        <f>$G109*'2. Salmon Passage by Bin'!I109</f>
        <v>#N/A</v>
      </c>
      <c r="R109" s="22" t="e">
        <f>$G109*'2. Salmon Passage by Bin'!J109</f>
        <v>#N/A</v>
      </c>
      <c r="S109" s="25" t="e">
        <f>'2. Salmon Passage by Bin'!K109*H109</f>
        <v>#N/A</v>
      </c>
      <c r="T109" s="25" t="e">
        <f>K109*'2. Salmon Passage by Bin'!L109</f>
        <v>#N/A</v>
      </c>
      <c r="U109" s="25" t="e">
        <f>K109*'2. Salmon Passage by Bin'!M109</f>
        <v>#N/A</v>
      </c>
      <c r="V109" s="25" t="e">
        <f>J109*'2. Salmon Passage by Bin'!N109</f>
        <v>#N/A</v>
      </c>
      <c r="W109" s="25" t="e">
        <f>I109*'2. Salmon Passage by Bin'!O109</f>
        <v>#N/A</v>
      </c>
      <c r="X109" s="22" t="e">
        <f>E109*'2. Salmon Passage by Bin'!E109</f>
        <v>#N/A</v>
      </c>
      <c r="Y109" s="41">
        <f t="shared" si="1"/>
        <v>0</v>
      </c>
      <c r="Z109" s="42" t="e">
        <f>Y109/'[1]Passage Estimates'!$D109</f>
        <v>#N/A</v>
      </c>
      <c r="AA109" s="43" t="e">
        <f>IFERROR(SUMIF(L109:R109, "&lt;&gt;#N/A")/SUMIF('2. Salmon Passage by Bin'!E109:J109, "&lt;&gt;#N/A"), NA())</f>
        <v>#N/A</v>
      </c>
      <c r="AB109" s="42" t="e">
        <f>IFERROR(IF(ISNA(S109), NA(), S109/'2. Salmon Passage by Bin'!K109), NA())</f>
        <v>#N/A</v>
      </c>
      <c r="AC109" s="44" t="e">
        <f>IFERROR(SUMIF(T109:W109, "&lt;&gt;#N/A")/SUMIF('2. Salmon Passage by Bin'!L109:N109, "&lt;&gt;#N/A"), NA())</f>
        <v>#N/A</v>
      </c>
    </row>
    <row r="110" spans="1:29" x14ac:dyDescent="0.3">
      <c r="A110" s="5">
        <f>'1. Mixture Model Inputs'!A110</f>
        <v>45212</v>
      </c>
      <c r="B110" s="13" t="str">
        <f>IF(ISBLANK('[1]Passage Estimates'!$C110),"",IF('[1]Passage Estimates'!$C110="Imputation",'[1]Passage Estimates'!$B110,'[1]Passage Estimates'!$C110))</f>
        <v/>
      </c>
      <c r="C110" s="17" t="e">
        <f>IFERROR('1. Mixture Model Inputs'!B110/'1. Mixture Model Inputs'!Z110,NA())</f>
        <v>#N/A</v>
      </c>
      <c r="D110" s="17" t="e">
        <f>IFERROR(SUM('1. Mixture Model Inputs'!C110,'1. Mixture Model Inputs'!K110)/'1. Mixture Model Inputs'!AA110,NA())</f>
        <v>#N/A</v>
      </c>
      <c r="E110" s="17" t="e">
        <f>IFERROR(SUM('1. Mixture Model Inputs'!D110,'1. Mixture Model Inputs'!L110)/'1. Mixture Model Inputs'!AB110,NA())</f>
        <v>#N/A</v>
      </c>
      <c r="F110" s="17" t="e">
        <f>IFERROR('1. Mixture Model Inputs'!E110/'1. Mixture Model Inputs'!AC110, NA())</f>
        <v>#N/A</v>
      </c>
      <c r="G110" s="17" t="e">
        <f>IFERROR('1. Mixture Model Inputs'!F110/'1. Mixture Model Inputs'!AD110, NA())</f>
        <v>#N/A</v>
      </c>
      <c r="H110" s="24" t="e">
        <f>IFERROR(WhonSpComp!AT125+WhonSpComp!AV125, NA())</f>
        <v>#N/A</v>
      </c>
      <c r="I110" s="17" t="e">
        <f>IFERROR(SUM('1. Mixture Model Inputs'!G110,'1. Mixture Model Inputs'!O110)/'1. Mixture Model Inputs'!AE110, NA())</f>
        <v>#N/A</v>
      </c>
      <c r="J110" s="17" t="e">
        <f>IFERROR(SUM('1. Mixture Model Inputs'!H110,'1. Mixture Model Inputs'!P110)/'1. Mixture Model Inputs'!AF110, NA())</f>
        <v>#N/A</v>
      </c>
      <c r="K110" s="17" t="e">
        <f>IFERROR(SUM('1. Mixture Model Inputs'!I110,'1. Mixture Model Inputs'!Q110)/'1. Mixture Model Inputs'!AG110, NA())</f>
        <v>#N/A</v>
      </c>
      <c r="L110" s="22" t="e">
        <f>C110*'2. Salmon Passage by Bin'!C110</f>
        <v>#N/A</v>
      </c>
      <c r="M110" s="22" t="e">
        <f>D110*'2. Salmon Passage by Bin'!D110</f>
        <v>#N/A</v>
      </c>
      <c r="N110" s="22" t="e">
        <f>F110*'2. Salmon Passage by Bin'!F110</f>
        <v>#N/A</v>
      </c>
      <c r="O110" s="22" t="e">
        <f>G110*'2. Salmon Passage by Bin'!G110</f>
        <v>#N/A</v>
      </c>
      <c r="P110" s="22" t="e">
        <f>$G110*'2. Salmon Passage by Bin'!H110</f>
        <v>#N/A</v>
      </c>
      <c r="Q110" s="22" t="e">
        <f>$G110*'2. Salmon Passage by Bin'!I110</f>
        <v>#N/A</v>
      </c>
      <c r="R110" s="22" t="e">
        <f>$G110*'2. Salmon Passage by Bin'!J110</f>
        <v>#N/A</v>
      </c>
      <c r="S110" s="25" t="e">
        <f>'2. Salmon Passage by Bin'!K110*H110</f>
        <v>#N/A</v>
      </c>
      <c r="T110" s="25" t="e">
        <f>K110*'2. Salmon Passage by Bin'!L110</f>
        <v>#N/A</v>
      </c>
      <c r="U110" s="25" t="e">
        <f>K110*'2. Salmon Passage by Bin'!M110</f>
        <v>#N/A</v>
      </c>
      <c r="V110" s="25" t="e">
        <f>J110*'2. Salmon Passage by Bin'!N110</f>
        <v>#N/A</v>
      </c>
      <c r="W110" s="25" t="e">
        <f>I110*'2. Salmon Passage by Bin'!O110</f>
        <v>#N/A</v>
      </c>
      <c r="X110" s="22" t="e">
        <f>E110*'2. Salmon Passage by Bin'!E110</f>
        <v>#N/A</v>
      </c>
      <c r="Y110" s="41">
        <f t="shared" si="1"/>
        <v>0</v>
      </c>
      <c r="Z110" s="42" t="e">
        <f>Y110/'[1]Passage Estimates'!$D110</f>
        <v>#N/A</v>
      </c>
      <c r="AA110" s="43" t="e">
        <f>IFERROR(SUMIF(L110:R110, "&lt;&gt;#N/A")/SUMIF('2. Salmon Passage by Bin'!E110:J110, "&lt;&gt;#N/A"), NA())</f>
        <v>#N/A</v>
      </c>
      <c r="AB110" s="42" t="e">
        <f>IFERROR(IF(ISNA(S110), NA(), S110/'2. Salmon Passage by Bin'!K110), NA())</f>
        <v>#N/A</v>
      </c>
      <c r="AC110" s="44" t="e">
        <f>IFERROR(SUMIF(T110:W110, "&lt;&gt;#N/A")/SUMIF('2. Salmon Passage by Bin'!L110:N110, "&lt;&gt;#N/A"), NA())</f>
        <v>#N/A</v>
      </c>
    </row>
    <row r="111" spans="1:29" x14ac:dyDescent="0.3">
      <c r="A111" s="5">
        <f>'1. Mixture Model Inputs'!A111</f>
        <v>45213</v>
      </c>
      <c r="B111" s="13" t="str">
        <f>IF(ISBLANK('[1]Passage Estimates'!$C111),"",IF('[1]Passage Estimates'!$C111="Imputation",'[1]Passage Estimates'!$B111,'[1]Passage Estimates'!$C111))</f>
        <v/>
      </c>
      <c r="C111" s="17" t="e">
        <f>IFERROR('1. Mixture Model Inputs'!B111/'1. Mixture Model Inputs'!Z111,NA())</f>
        <v>#N/A</v>
      </c>
      <c r="D111" s="17" t="e">
        <f>IFERROR(SUM('1. Mixture Model Inputs'!C111,'1. Mixture Model Inputs'!K111)/'1. Mixture Model Inputs'!AA111,NA())</f>
        <v>#N/A</v>
      </c>
      <c r="E111" s="17" t="e">
        <f>IFERROR(SUM('1. Mixture Model Inputs'!D111,'1. Mixture Model Inputs'!L111)/'1. Mixture Model Inputs'!AB111,NA())</f>
        <v>#N/A</v>
      </c>
      <c r="F111" s="17" t="e">
        <f>IFERROR('1. Mixture Model Inputs'!E111/'1. Mixture Model Inputs'!AC111, NA())</f>
        <v>#N/A</v>
      </c>
      <c r="G111" s="17" t="e">
        <f>IFERROR('1. Mixture Model Inputs'!F111/'1. Mixture Model Inputs'!AD111, NA())</f>
        <v>#N/A</v>
      </c>
      <c r="H111" s="24" t="e">
        <f>IFERROR(WhonSpComp!AT126+WhonSpComp!AV126, NA())</f>
        <v>#N/A</v>
      </c>
      <c r="I111" s="17" t="e">
        <f>IFERROR(SUM('1. Mixture Model Inputs'!G111,'1. Mixture Model Inputs'!O111)/'1. Mixture Model Inputs'!AE111, NA())</f>
        <v>#N/A</v>
      </c>
      <c r="J111" s="17" t="e">
        <f>IFERROR(SUM('1. Mixture Model Inputs'!H111,'1. Mixture Model Inputs'!P111)/'1. Mixture Model Inputs'!AF111, NA())</f>
        <v>#N/A</v>
      </c>
      <c r="K111" s="17" t="e">
        <f>IFERROR(SUM('1. Mixture Model Inputs'!I111,'1. Mixture Model Inputs'!Q111)/'1. Mixture Model Inputs'!AG111, NA())</f>
        <v>#N/A</v>
      </c>
      <c r="L111" s="22" t="e">
        <f>C111*'2. Salmon Passage by Bin'!C111</f>
        <v>#N/A</v>
      </c>
      <c r="M111" s="22" t="e">
        <f>D111*'2. Salmon Passage by Bin'!D111</f>
        <v>#N/A</v>
      </c>
      <c r="N111" s="22" t="e">
        <f>F111*'2. Salmon Passage by Bin'!F111</f>
        <v>#N/A</v>
      </c>
      <c r="O111" s="22" t="e">
        <f>G111*'2. Salmon Passage by Bin'!G111</f>
        <v>#N/A</v>
      </c>
      <c r="P111" s="22" t="e">
        <f>$G111*'2. Salmon Passage by Bin'!H111</f>
        <v>#N/A</v>
      </c>
      <c r="Q111" s="22" t="e">
        <f>$G111*'2. Salmon Passage by Bin'!I111</f>
        <v>#N/A</v>
      </c>
      <c r="R111" s="22" t="e">
        <f>$G111*'2. Salmon Passage by Bin'!J111</f>
        <v>#N/A</v>
      </c>
      <c r="S111" s="25" t="e">
        <f>'2. Salmon Passage by Bin'!K111*H111</f>
        <v>#N/A</v>
      </c>
      <c r="T111" s="25" t="e">
        <f>K111*'2. Salmon Passage by Bin'!L111</f>
        <v>#N/A</v>
      </c>
      <c r="U111" s="25" t="e">
        <f>K111*'2. Salmon Passage by Bin'!M111</f>
        <v>#N/A</v>
      </c>
      <c r="V111" s="25" t="e">
        <f>J111*'2. Salmon Passage by Bin'!N111</f>
        <v>#N/A</v>
      </c>
      <c r="W111" s="25" t="e">
        <f>I111*'2. Salmon Passage by Bin'!O111</f>
        <v>#N/A</v>
      </c>
      <c r="X111" s="22" t="e">
        <f>E111*'2. Salmon Passage by Bin'!E111</f>
        <v>#N/A</v>
      </c>
      <c r="Y111" s="41">
        <f t="shared" si="1"/>
        <v>0</v>
      </c>
      <c r="Z111" s="42" t="e">
        <f>Y111/'[1]Passage Estimates'!$D111</f>
        <v>#N/A</v>
      </c>
      <c r="AA111" s="43" t="e">
        <f>IFERROR(SUMIF(L111:R111, "&lt;&gt;#N/A")/SUMIF('2. Salmon Passage by Bin'!E111:J111, "&lt;&gt;#N/A"), NA())</f>
        <v>#N/A</v>
      </c>
      <c r="AB111" s="42" t="e">
        <f>IFERROR(IF(ISNA(S111), NA(), S111/'2. Salmon Passage by Bin'!K111), NA())</f>
        <v>#N/A</v>
      </c>
      <c r="AC111" s="44" t="e">
        <f>IFERROR(SUMIF(T111:W111, "&lt;&gt;#N/A")/SUMIF('2. Salmon Passage by Bin'!L111:N111, "&lt;&gt;#N/A"), NA())</f>
        <v>#N/A</v>
      </c>
    </row>
    <row r="112" spans="1:29" x14ac:dyDescent="0.3">
      <c r="A112" s="5">
        <f>'1. Mixture Model Inputs'!A112</f>
        <v>45214</v>
      </c>
      <c r="B112" s="13" t="str">
        <f>IF(ISBLANK('[1]Passage Estimates'!$C112),"",IF('[1]Passage Estimates'!$C112="Imputation",'[1]Passage Estimates'!$B112,'[1]Passage Estimates'!$C112))</f>
        <v/>
      </c>
      <c r="C112" s="17" t="e">
        <f>IFERROR('1. Mixture Model Inputs'!B112/'1. Mixture Model Inputs'!Z112,NA())</f>
        <v>#N/A</v>
      </c>
      <c r="D112" s="17" t="e">
        <f>IFERROR(SUM('1. Mixture Model Inputs'!C112,'1. Mixture Model Inputs'!K112)/'1. Mixture Model Inputs'!AA112,NA())</f>
        <v>#N/A</v>
      </c>
      <c r="E112" s="17" t="e">
        <f>IFERROR(SUM('1. Mixture Model Inputs'!D112,'1. Mixture Model Inputs'!L112)/'1. Mixture Model Inputs'!AB112,NA())</f>
        <v>#N/A</v>
      </c>
      <c r="F112" s="17" t="e">
        <f>IFERROR('1. Mixture Model Inputs'!E112/'1. Mixture Model Inputs'!AC112, NA())</f>
        <v>#N/A</v>
      </c>
      <c r="G112" s="17" t="e">
        <f>IFERROR('1. Mixture Model Inputs'!F112/'1. Mixture Model Inputs'!AD112, NA())</f>
        <v>#N/A</v>
      </c>
      <c r="H112" s="24" t="e">
        <f>IFERROR(WhonSpComp!AT127+WhonSpComp!AV127, NA())</f>
        <v>#N/A</v>
      </c>
      <c r="I112" s="17" t="e">
        <f>IFERROR(SUM('1. Mixture Model Inputs'!G112,'1. Mixture Model Inputs'!O112)/'1. Mixture Model Inputs'!AE112, NA())</f>
        <v>#N/A</v>
      </c>
      <c r="J112" s="17" t="e">
        <f>IFERROR(SUM('1. Mixture Model Inputs'!H112,'1. Mixture Model Inputs'!P112)/'1. Mixture Model Inputs'!AF112, NA())</f>
        <v>#N/A</v>
      </c>
      <c r="K112" s="17" t="e">
        <f>IFERROR(SUM('1. Mixture Model Inputs'!I112,'1. Mixture Model Inputs'!Q112)/'1. Mixture Model Inputs'!AG112, NA())</f>
        <v>#N/A</v>
      </c>
      <c r="L112" s="22" t="e">
        <f>C112*'2. Salmon Passage by Bin'!C112</f>
        <v>#N/A</v>
      </c>
      <c r="M112" s="22" t="e">
        <f>D112*'2. Salmon Passage by Bin'!D112</f>
        <v>#N/A</v>
      </c>
      <c r="N112" s="22" t="e">
        <f>F112*'2. Salmon Passage by Bin'!F112</f>
        <v>#N/A</v>
      </c>
      <c r="O112" s="22" t="e">
        <f>G112*'2. Salmon Passage by Bin'!G112</f>
        <v>#N/A</v>
      </c>
      <c r="P112" s="22" t="e">
        <f>$G112*'2. Salmon Passage by Bin'!H112</f>
        <v>#N/A</v>
      </c>
      <c r="Q112" s="22" t="e">
        <f>$G112*'2. Salmon Passage by Bin'!I112</f>
        <v>#N/A</v>
      </c>
      <c r="R112" s="22" t="e">
        <f>$G112*'2. Salmon Passage by Bin'!J112</f>
        <v>#N/A</v>
      </c>
      <c r="S112" s="25" t="e">
        <f>'2. Salmon Passage by Bin'!K112*H112</f>
        <v>#N/A</v>
      </c>
      <c r="T112" s="25" t="e">
        <f>K112*'2. Salmon Passage by Bin'!L112</f>
        <v>#N/A</v>
      </c>
      <c r="U112" s="25" t="e">
        <f>K112*'2. Salmon Passage by Bin'!M112</f>
        <v>#N/A</v>
      </c>
      <c r="V112" s="25" t="e">
        <f>J112*'2. Salmon Passage by Bin'!N112</f>
        <v>#N/A</v>
      </c>
      <c r="W112" s="25" t="e">
        <f>I112*'2. Salmon Passage by Bin'!O112</f>
        <v>#N/A</v>
      </c>
      <c r="X112" s="22" t="e">
        <f>E112*'2. Salmon Passage by Bin'!E112</f>
        <v>#N/A</v>
      </c>
      <c r="Y112" s="41">
        <f t="shared" si="1"/>
        <v>0</v>
      </c>
      <c r="Z112" s="42" t="e">
        <f>Y112/'[1]Passage Estimates'!$D112</f>
        <v>#N/A</v>
      </c>
      <c r="AA112" s="43" t="e">
        <f>IFERROR(SUMIF(L112:R112, "&lt;&gt;#N/A")/SUMIF('2. Salmon Passage by Bin'!E112:J112, "&lt;&gt;#N/A"), NA())</f>
        <v>#N/A</v>
      </c>
      <c r="AB112" s="42" t="e">
        <f>IFERROR(IF(ISNA(S112), NA(), S112/'2. Salmon Passage by Bin'!K112), NA())</f>
        <v>#N/A</v>
      </c>
      <c r="AC112" s="44" t="e">
        <f>IFERROR(SUMIF(T112:W112, "&lt;&gt;#N/A")/SUMIF('2. Salmon Passage by Bin'!L112:N112, "&lt;&gt;#N/A"), NA())</f>
        <v>#N/A</v>
      </c>
    </row>
    <row r="113" spans="1:29" x14ac:dyDescent="0.3">
      <c r="A113" s="5">
        <f>'1. Mixture Model Inputs'!A113</f>
        <v>45215</v>
      </c>
      <c r="B113" s="13" t="str">
        <f>IF(ISBLANK('[1]Passage Estimates'!$C113),"",IF('[1]Passage Estimates'!$C113="Imputation",'[1]Passage Estimates'!$B113,'[1]Passage Estimates'!$C113))</f>
        <v/>
      </c>
      <c r="C113" s="17" t="e">
        <f>IFERROR('1. Mixture Model Inputs'!B113/'1. Mixture Model Inputs'!Z113,NA())</f>
        <v>#N/A</v>
      </c>
      <c r="D113" s="17" t="e">
        <f>IFERROR(SUM('1. Mixture Model Inputs'!C113,'1. Mixture Model Inputs'!K113)/'1. Mixture Model Inputs'!AA113,NA())</f>
        <v>#N/A</v>
      </c>
      <c r="E113" s="17" t="e">
        <f>IFERROR(SUM('1. Mixture Model Inputs'!D113,'1. Mixture Model Inputs'!L113)/'1. Mixture Model Inputs'!AB113,NA())</f>
        <v>#N/A</v>
      </c>
      <c r="F113" s="17" t="e">
        <f>IFERROR('1. Mixture Model Inputs'!E113/'1. Mixture Model Inputs'!AC113, NA())</f>
        <v>#N/A</v>
      </c>
      <c r="G113" s="17" t="e">
        <f>IFERROR('1. Mixture Model Inputs'!F113/'1. Mixture Model Inputs'!AD113, NA())</f>
        <v>#N/A</v>
      </c>
      <c r="H113" s="24" t="e">
        <f>IFERROR(WhonSpComp!AT128+WhonSpComp!AV128, NA())</f>
        <v>#N/A</v>
      </c>
      <c r="I113" s="17" t="e">
        <f>IFERROR(SUM('1. Mixture Model Inputs'!G113,'1. Mixture Model Inputs'!O113)/'1. Mixture Model Inputs'!AE113, NA())</f>
        <v>#N/A</v>
      </c>
      <c r="J113" s="17" t="e">
        <f>IFERROR(SUM('1. Mixture Model Inputs'!H113,'1. Mixture Model Inputs'!P113)/'1. Mixture Model Inputs'!AF113, NA())</f>
        <v>#N/A</v>
      </c>
      <c r="K113" s="17" t="e">
        <f>IFERROR(SUM('1. Mixture Model Inputs'!I113,'1. Mixture Model Inputs'!Q113)/'1. Mixture Model Inputs'!AG113, NA())</f>
        <v>#N/A</v>
      </c>
      <c r="L113" s="22" t="e">
        <f>C113*'2. Salmon Passage by Bin'!C113</f>
        <v>#N/A</v>
      </c>
      <c r="M113" s="22" t="e">
        <f>D113*'2. Salmon Passage by Bin'!D113</f>
        <v>#N/A</v>
      </c>
      <c r="N113" s="22" t="e">
        <f>F113*'2. Salmon Passage by Bin'!F113</f>
        <v>#N/A</v>
      </c>
      <c r="O113" s="22" t="e">
        <f>G113*'2. Salmon Passage by Bin'!G113</f>
        <v>#N/A</v>
      </c>
      <c r="P113" s="22" t="e">
        <f>$G113*'2. Salmon Passage by Bin'!H113</f>
        <v>#N/A</v>
      </c>
      <c r="Q113" s="22" t="e">
        <f>$G113*'2. Salmon Passage by Bin'!I113</f>
        <v>#N/A</v>
      </c>
      <c r="R113" s="22" t="e">
        <f>$G113*'2. Salmon Passage by Bin'!J113</f>
        <v>#N/A</v>
      </c>
      <c r="S113" s="25" t="e">
        <f>'2. Salmon Passage by Bin'!K113*H113</f>
        <v>#N/A</v>
      </c>
      <c r="T113" s="25" t="e">
        <f>K113*'2. Salmon Passage by Bin'!L113</f>
        <v>#N/A</v>
      </c>
      <c r="U113" s="25" t="e">
        <f>K113*'2. Salmon Passage by Bin'!M113</f>
        <v>#N/A</v>
      </c>
      <c r="V113" s="25" t="e">
        <f>J113*'2. Salmon Passage by Bin'!N113</f>
        <v>#N/A</v>
      </c>
      <c r="W113" s="25" t="e">
        <f>I113*'2. Salmon Passage by Bin'!O113</f>
        <v>#N/A</v>
      </c>
      <c r="X113" s="22" t="e">
        <f>E113*'2. Salmon Passage by Bin'!E113</f>
        <v>#N/A</v>
      </c>
      <c r="Y113" s="41">
        <f t="shared" si="1"/>
        <v>0</v>
      </c>
      <c r="Z113" s="42" t="e">
        <f>Y113/'[1]Passage Estimates'!$D113</f>
        <v>#N/A</v>
      </c>
      <c r="AA113" s="43" t="e">
        <f>IFERROR(SUMIF(L113:R113, "&lt;&gt;#N/A")/SUMIF('2. Salmon Passage by Bin'!E113:J113, "&lt;&gt;#N/A"), NA())</f>
        <v>#N/A</v>
      </c>
      <c r="AB113" s="42" t="e">
        <f>IFERROR(IF(ISNA(S113), NA(), S113/'2. Salmon Passage by Bin'!K113), NA())</f>
        <v>#N/A</v>
      </c>
      <c r="AC113" s="44" t="e">
        <f>IFERROR(SUMIF(T113:W113, "&lt;&gt;#N/A")/SUMIF('2. Salmon Passage by Bin'!L113:N113, "&lt;&gt;#N/A"), NA())</f>
        <v>#N/A</v>
      </c>
    </row>
    <row r="114" spans="1:29" x14ac:dyDescent="0.3">
      <c r="A114" s="5">
        <f>'1. Mixture Model Inputs'!A114</f>
        <v>45216</v>
      </c>
      <c r="B114" s="13" t="str">
        <f>IF(ISBLANK('[1]Passage Estimates'!$C114),"",IF('[1]Passage Estimates'!$C114="Imputation",'[1]Passage Estimates'!$B114,'[1]Passage Estimates'!$C114))</f>
        <v/>
      </c>
      <c r="C114" s="17" t="e">
        <f>IFERROR('1. Mixture Model Inputs'!B114/'1. Mixture Model Inputs'!Z114,NA())</f>
        <v>#N/A</v>
      </c>
      <c r="D114" s="17" t="e">
        <f>IFERROR(SUM('1. Mixture Model Inputs'!C114,'1. Mixture Model Inputs'!K114)/'1. Mixture Model Inputs'!AA114,NA())</f>
        <v>#N/A</v>
      </c>
      <c r="E114" s="17" t="e">
        <f>IFERROR(SUM('1. Mixture Model Inputs'!D114,'1. Mixture Model Inputs'!L114)/'1. Mixture Model Inputs'!AB114,NA())</f>
        <v>#N/A</v>
      </c>
      <c r="F114" s="17" t="e">
        <f>IFERROR('1. Mixture Model Inputs'!E114/'1. Mixture Model Inputs'!AC114, NA())</f>
        <v>#N/A</v>
      </c>
      <c r="G114" s="17" t="e">
        <f>IFERROR('1. Mixture Model Inputs'!F114/'1. Mixture Model Inputs'!AD114, NA())</f>
        <v>#N/A</v>
      </c>
      <c r="H114" s="24" t="e">
        <f>IFERROR(WhonSpComp!AT129+WhonSpComp!AV129, NA())</f>
        <v>#N/A</v>
      </c>
      <c r="I114" s="17" t="e">
        <f>IFERROR(SUM('1. Mixture Model Inputs'!G114,'1. Mixture Model Inputs'!O114)/'1. Mixture Model Inputs'!AE114, NA())</f>
        <v>#N/A</v>
      </c>
      <c r="J114" s="17" t="e">
        <f>IFERROR(SUM('1. Mixture Model Inputs'!H114,'1. Mixture Model Inputs'!P114)/'1. Mixture Model Inputs'!AF114, NA())</f>
        <v>#N/A</v>
      </c>
      <c r="K114" s="17" t="e">
        <f>IFERROR(SUM('1. Mixture Model Inputs'!I114,'1. Mixture Model Inputs'!Q114)/'1. Mixture Model Inputs'!AG114, NA())</f>
        <v>#N/A</v>
      </c>
      <c r="L114" s="22" t="e">
        <f>C114*'2. Salmon Passage by Bin'!C114</f>
        <v>#N/A</v>
      </c>
      <c r="M114" s="22" t="e">
        <f>D114*'2. Salmon Passage by Bin'!D114</f>
        <v>#N/A</v>
      </c>
      <c r="N114" s="22" t="e">
        <f>F114*'2. Salmon Passage by Bin'!F114</f>
        <v>#N/A</v>
      </c>
      <c r="O114" s="22" t="e">
        <f>G114*'2. Salmon Passage by Bin'!G114</f>
        <v>#N/A</v>
      </c>
      <c r="P114" s="22" t="e">
        <f>$G114*'2. Salmon Passage by Bin'!H114</f>
        <v>#N/A</v>
      </c>
      <c r="Q114" s="22" t="e">
        <f>$G114*'2. Salmon Passage by Bin'!I114</f>
        <v>#N/A</v>
      </c>
      <c r="R114" s="22" t="e">
        <f>$G114*'2. Salmon Passage by Bin'!J114</f>
        <v>#N/A</v>
      </c>
      <c r="S114" s="25" t="e">
        <f>'2. Salmon Passage by Bin'!K114*H114</f>
        <v>#N/A</v>
      </c>
      <c r="T114" s="25" t="e">
        <f>K114*'2. Salmon Passage by Bin'!L114</f>
        <v>#N/A</v>
      </c>
      <c r="U114" s="25" t="e">
        <f>K114*'2. Salmon Passage by Bin'!M114</f>
        <v>#N/A</v>
      </c>
      <c r="V114" s="25" t="e">
        <f>J114*'2. Salmon Passage by Bin'!N114</f>
        <v>#N/A</v>
      </c>
      <c r="W114" s="25" t="e">
        <f>I114*'2. Salmon Passage by Bin'!O114</f>
        <v>#N/A</v>
      </c>
      <c r="X114" s="22" t="e">
        <f>E114*'2. Salmon Passage by Bin'!E114</f>
        <v>#N/A</v>
      </c>
      <c r="Y114" s="41">
        <f t="shared" si="1"/>
        <v>0</v>
      </c>
      <c r="Z114" s="42" t="e">
        <f>Y114/'[1]Passage Estimates'!$D114</f>
        <v>#N/A</v>
      </c>
      <c r="AA114" s="43" t="e">
        <f>IFERROR(SUMIF(L114:R114, "&lt;&gt;#N/A")/SUMIF('2. Salmon Passage by Bin'!E114:J114, "&lt;&gt;#N/A"), NA())</f>
        <v>#N/A</v>
      </c>
      <c r="AB114" s="42" t="e">
        <f>IFERROR(IF(ISNA(S114), NA(), S114/'2. Salmon Passage by Bin'!K114), NA())</f>
        <v>#N/A</v>
      </c>
      <c r="AC114" s="44" t="e">
        <f>IFERROR(SUMIF(T114:W114, "&lt;&gt;#N/A")/SUMIF('2. Salmon Passage by Bin'!L114:N114, "&lt;&gt;#N/A"), NA())</f>
        <v>#N/A</v>
      </c>
    </row>
    <row r="115" spans="1:29" x14ac:dyDescent="0.3">
      <c r="A115" s="5">
        <f>'1. Mixture Model Inputs'!A115</f>
        <v>45217</v>
      </c>
      <c r="B115" s="13" t="str">
        <f>IF(ISBLANK('[1]Passage Estimates'!$C115),"",IF('[1]Passage Estimates'!$C115="Imputation",'[1]Passage Estimates'!$B115,'[1]Passage Estimates'!$C115))</f>
        <v/>
      </c>
      <c r="C115" s="17" t="e">
        <f>IFERROR('1. Mixture Model Inputs'!B115/'1. Mixture Model Inputs'!Z115,NA())</f>
        <v>#N/A</v>
      </c>
      <c r="D115" s="17" t="e">
        <f>IFERROR(SUM('1. Mixture Model Inputs'!C115,'1. Mixture Model Inputs'!K115)/'1. Mixture Model Inputs'!AA115,NA())</f>
        <v>#N/A</v>
      </c>
      <c r="E115" s="17" t="e">
        <f>IFERROR(SUM('1. Mixture Model Inputs'!D115,'1. Mixture Model Inputs'!L115)/'1. Mixture Model Inputs'!AB115,NA())</f>
        <v>#N/A</v>
      </c>
      <c r="F115" s="17" t="e">
        <f>IFERROR('1. Mixture Model Inputs'!E115/'1. Mixture Model Inputs'!AC115, NA())</f>
        <v>#N/A</v>
      </c>
      <c r="G115" s="17" t="e">
        <f>IFERROR('1. Mixture Model Inputs'!F115/'1. Mixture Model Inputs'!AD115, NA())</f>
        <v>#N/A</v>
      </c>
      <c r="H115" s="24" t="e">
        <f>IFERROR(WhonSpComp!AT130+WhonSpComp!AV130, NA())</f>
        <v>#N/A</v>
      </c>
      <c r="I115" s="17" t="e">
        <f>IFERROR(SUM('1. Mixture Model Inputs'!G115,'1. Mixture Model Inputs'!O115)/'1. Mixture Model Inputs'!AE115, NA())</f>
        <v>#N/A</v>
      </c>
      <c r="J115" s="17" t="e">
        <f>IFERROR(SUM('1. Mixture Model Inputs'!H115,'1. Mixture Model Inputs'!P115)/'1. Mixture Model Inputs'!AF115, NA())</f>
        <v>#N/A</v>
      </c>
      <c r="K115" s="17" t="e">
        <f>IFERROR(SUM('1. Mixture Model Inputs'!I115,'1. Mixture Model Inputs'!Q115)/'1. Mixture Model Inputs'!AG115, NA())</f>
        <v>#N/A</v>
      </c>
      <c r="L115" s="22" t="e">
        <f>C115*'2. Salmon Passage by Bin'!C115</f>
        <v>#N/A</v>
      </c>
      <c r="M115" s="22" t="e">
        <f>D115*'2. Salmon Passage by Bin'!D115</f>
        <v>#N/A</v>
      </c>
      <c r="N115" s="22" t="e">
        <f>F115*'2. Salmon Passage by Bin'!F115</f>
        <v>#N/A</v>
      </c>
      <c r="O115" s="22" t="e">
        <f>G115*'2. Salmon Passage by Bin'!G115</f>
        <v>#N/A</v>
      </c>
      <c r="P115" s="22" t="e">
        <f>$G115*'2. Salmon Passage by Bin'!H115</f>
        <v>#N/A</v>
      </c>
      <c r="Q115" s="22" t="e">
        <f>$G115*'2. Salmon Passage by Bin'!I115</f>
        <v>#N/A</v>
      </c>
      <c r="R115" s="22" t="e">
        <f>$G115*'2. Salmon Passage by Bin'!J115</f>
        <v>#N/A</v>
      </c>
      <c r="S115" s="25" t="e">
        <f>'2. Salmon Passage by Bin'!K115*H115</f>
        <v>#N/A</v>
      </c>
      <c r="T115" s="25" t="e">
        <f>K115*'2. Salmon Passage by Bin'!L115</f>
        <v>#N/A</v>
      </c>
      <c r="U115" s="25" t="e">
        <f>K115*'2. Salmon Passage by Bin'!M115</f>
        <v>#N/A</v>
      </c>
      <c r="V115" s="25" t="e">
        <f>J115*'2. Salmon Passage by Bin'!N115</f>
        <v>#N/A</v>
      </c>
      <c r="W115" s="25" t="e">
        <f>I115*'2. Salmon Passage by Bin'!O115</f>
        <v>#N/A</v>
      </c>
      <c r="X115" s="22" t="e">
        <f>E115*'2. Salmon Passage by Bin'!E115</f>
        <v>#N/A</v>
      </c>
      <c r="Y115" s="41">
        <f t="shared" si="1"/>
        <v>0</v>
      </c>
      <c r="Z115" s="42" t="e">
        <f>Y115/'[1]Passage Estimates'!$D115</f>
        <v>#N/A</v>
      </c>
      <c r="AA115" s="43" t="e">
        <f>IFERROR(SUMIF(L115:R115, "&lt;&gt;#N/A")/SUMIF('2. Salmon Passage by Bin'!E115:J115, "&lt;&gt;#N/A"), NA())</f>
        <v>#N/A</v>
      </c>
      <c r="AB115" s="42" t="e">
        <f>IFERROR(IF(ISNA(S115), NA(), S115/'2. Salmon Passage by Bin'!K115), NA())</f>
        <v>#N/A</v>
      </c>
      <c r="AC115" s="44" t="e">
        <f>IFERROR(SUMIF(T115:W115, "&lt;&gt;#N/A")/SUMIF('2. Salmon Passage by Bin'!L115:N115, "&lt;&gt;#N/A"), NA())</f>
        <v>#N/A</v>
      </c>
    </row>
    <row r="116" spans="1:29" x14ac:dyDescent="0.3">
      <c r="A116" s="5">
        <f>'1. Mixture Model Inputs'!A116</f>
        <v>45218</v>
      </c>
      <c r="B116" s="13" t="str">
        <f>IF(ISBLANK('[1]Passage Estimates'!$C116),"",IF('[1]Passage Estimates'!$C116="Imputation",'[1]Passage Estimates'!$B116,'[1]Passage Estimates'!$C116))</f>
        <v/>
      </c>
      <c r="C116" s="17" t="e">
        <f>IFERROR('1. Mixture Model Inputs'!B116/'1. Mixture Model Inputs'!Z116,NA())</f>
        <v>#N/A</v>
      </c>
      <c r="D116" s="17" t="e">
        <f>IFERROR(SUM('1. Mixture Model Inputs'!C116,'1. Mixture Model Inputs'!K116)/'1. Mixture Model Inputs'!AA116,NA())</f>
        <v>#N/A</v>
      </c>
      <c r="E116" s="17" t="e">
        <f>IFERROR(SUM('1. Mixture Model Inputs'!D116,'1. Mixture Model Inputs'!L116)/'1. Mixture Model Inputs'!AB116,NA())</f>
        <v>#N/A</v>
      </c>
      <c r="F116" s="17" t="e">
        <f>IFERROR('1. Mixture Model Inputs'!E116/'1. Mixture Model Inputs'!AC116, NA())</f>
        <v>#N/A</v>
      </c>
      <c r="G116" s="17" t="e">
        <f>IFERROR('1. Mixture Model Inputs'!F116/'1. Mixture Model Inputs'!AD116, NA())</f>
        <v>#N/A</v>
      </c>
      <c r="H116" s="24" t="e">
        <f>IFERROR(WhonSpComp!AT131+WhonSpComp!AV131, NA())</f>
        <v>#N/A</v>
      </c>
      <c r="I116" s="17" t="e">
        <f>IFERROR(SUM('1. Mixture Model Inputs'!G116,'1. Mixture Model Inputs'!O116)/'1. Mixture Model Inputs'!AE116, NA())</f>
        <v>#N/A</v>
      </c>
      <c r="J116" s="17" t="e">
        <f>IFERROR(SUM('1. Mixture Model Inputs'!H116,'1. Mixture Model Inputs'!P116)/'1. Mixture Model Inputs'!AF116, NA())</f>
        <v>#N/A</v>
      </c>
      <c r="K116" s="17" t="e">
        <f>IFERROR(SUM('1. Mixture Model Inputs'!I116,'1. Mixture Model Inputs'!Q116)/'1. Mixture Model Inputs'!AG116, NA())</f>
        <v>#N/A</v>
      </c>
      <c r="L116" s="22" t="e">
        <f>C116*'2. Salmon Passage by Bin'!C116</f>
        <v>#N/A</v>
      </c>
      <c r="M116" s="22" t="e">
        <f>D116*'2. Salmon Passage by Bin'!D116</f>
        <v>#N/A</v>
      </c>
      <c r="N116" s="22" t="e">
        <f>F116*'2. Salmon Passage by Bin'!F116</f>
        <v>#N/A</v>
      </c>
      <c r="O116" s="22" t="e">
        <f>G116*'2. Salmon Passage by Bin'!G116</f>
        <v>#N/A</v>
      </c>
      <c r="P116" s="22" t="e">
        <f>$G116*'2. Salmon Passage by Bin'!H116</f>
        <v>#N/A</v>
      </c>
      <c r="Q116" s="22" t="e">
        <f>$G116*'2. Salmon Passage by Bin'!I116</f>
        <v>#N/A</v>
      </c>
      <c r="R116" s="22" t="e">
        <f>$G116*'2. Salmon Passage by Bin'!J116</f>
        <v>#N/A</v>
      </c>
      <c r="S116" s="25" t="e">
        <f>'2. Salmon Passage by Bin'!K116*H116</f>
        <v>#N/A</v>
      </c>
      <c r="T116" s="25" t="e">
        <f>K116*'2. Salmon Passage by Bin'!L116</f>
        <v>#N/A</v>
      </c>
      <c r="U116" s="25" t="e">
        <f>K116*'2. Salmon Passage by Bin'!M116</f>
        <v>#N/A</v>
      </c>
      <c r="V116" s="25" t="e">
        <f>J116*'2. Salmon Passage by Bin'!N116</f>
        <v>#N/A</v>
      </c>
      <c r="W116" s="25" t="e">
        <f>I116*'2. Salmon Passage by Bin'!O116</f>
        <v>#N/A</v>
      </c>
      <c r="X116" s="22" t="e">
        <f>E116*'2. Salmon Passage by Bin'!E116</f>
        <v>#N/A</v>
      </c>
      <c r="Y116" s="41">
        <f t="shared" si="1"/>
        <v>0</v>
      </c>
      <c r="Z116" s="42" t="e">
        <f>Y116/'[1]Passage Estimates'!$D116</f>
        <v>#N/A</v>
      </c>
      <c r="AA116" s="43" t="e">
        <f>IFERROR(SUMIF(L116:R116, "&lt;&gt;#N/A")/SUMIF('2. Salmon Passage by Bin'!E116:J116, "&lt;&gt;#N/A"), NA())</f>
        <v>#N/A</v>
      </c>
      <c r="AB116" s="42" t="e">
        <f>IFERROR(IF(ISNA(S116), NA(), S116/'2. Salmon Passage by Bin'!K116), NA())</f>
        <v>#N/A</v>
      </c>
      <c r="AC116" s="44" t="e">
        <f>IFERROR(SUMIF(T116:W116, "&lt;&gt;#N/A")/SUMIF('2. Salmon Passage by Bin'!L116:N116, "&lt;&gt;#N/A"), NA())</f>
        <v>#N/A</v>
      </c>
    </row>
    <row r="117" spans="1:29" x14ac:dyDescent="0.3">
      <c r="A117" s="5">
        <f>'1. Mixture Model Inputs'!A117</f>
        <v>45219</v>
      </c>
      <c r="B117" s="13" t="str">
        <f>IF(ISBLANK('[1]Passage Estimates'!$C117),"",IF('[1]Passage Estimates'!$C117="Imputation",'[1]Passage Estimates'!$B117,'[1]Passage Estimates'!$C117))</f>
        <v/>
      </c>
      <c r="C117" s="17" t="e">
        <f>IFERROR('1. Mixture Model Inputs'!B117/'1. Mixture Model Inputs'!Z117,NA())</f>
        <v>#N/A</v>
      </c>
      <c r="D117" s="17" t="e">
        <f>IFERROR(SUM('1. Mixture Model Inputs'!C117,'1. Mixture Model Inputs'!K117)/'1. Mixture Model Inputs'!AA117,NA())</f>
        <v>#N/A</v>
      </c>
      <c r="E117" s="17" t="e">
        <f>IFERROR(SUM('1. Mixture Model Inputs'!D117,'1. Mixture Model Inputs'!L117)/'1. Mixture Model Inputs'!AB117,NA())</f>
        <v>#N/A</v>
      </c>
      <c r="F117" s="17" t="e">
        <f>IFERROR('1. Mixture Model Inputs'!E117/'1. Mixture Model Inputs'!AC117, NA())</f>
        <v>#N/A</v>
      </c>
      <c r="G117" s="17" t="e">
        <f>IFERROR('1. Mixture Model Inputs'!F117/'1. Mixture Model Inputs'!AD117, NA())</f>
        <v>#N/A</v>
      </c>
      <c r="H117" s="24" t="e">
        <f>IFERROR(WhonSpComp!AT132+WhonSpComp!AV132, NA())</f>
        <v>#N/A</v>
      </c>
      <c r="I117" s="17" t="e">
        <f>IFERROR(SUM('1. Mixture Model Inputs'!G117,'1. Mixture Model Inputs'!O117)/'1. Mixture Model Inputs'!AE117, NA())</f>
        <v>#N/A</v>
      </c>
      <c r="J117" s="17" t="e">
        <f>IFERROR(SUM('1. Mixture Model Inputs'!H117,'1. Mixture Model Inputs'!P117)/'1. Mixture Model Inputs'!AF117, NA())</f>
        <v>#N/A</v>
      </c>
      <c r="K117" s="17" t="e">
        <f>IFERROR(SUM('1. Mixture Model Inputs'!I117,'1. Mixture Model Inputs'!Q117)/'1. Mixture Model Inputs'!AG117, NA())</f>
        <v>#N/A</v>
      </c>
      <c r="L117" s="22" t="e">
        <f>C117*'2. Salmon Passage by Bin'!C117</f>
        <v>#N/A</v>
      </c>
      <c r="M117" s="22" t="e">
        <f>D117*'2. Salmon Passage by Bin'!D117</f>
        <v>#N/A</v>
      </c>
      <c r="N117" s="22" t="e">
        <f>F117*'2. Salmon Passage by Bin'!F117</f>
        <v>#N/A</v>
      </c>
      <c r="O117" s="22" t="e">
        <f>G117*'2. Salmon Passage by Bin'!G117</f>
        <v>#N/A</v>
      </c>
      <c r="P117" s="22" t="e">
        <f>$G117*'2. Salmon Passage by Bin'!H117</f>
        <v>#N/A</v>
      </c>
      <c r="Q117" s="22" t="e">
        <f>$G117*'2. Salmon Passage by Bin'!I117</f>
        <v>#N/A</v>
      </c>
      <c r="R117" s="22" t="e">
        <f>$G117*'2. Salmon Passage by Bin'!J117</f>
        <v>#N/A</v>
      </c>
      <c r="S117" s="25" t="e">
        <f>'2. Salmon Passage by Bin'!K117*H117</f>
        <v>#N/A</v>
      </c>
      <c r="T117" s="25" t="e">
        <f>K117*'2. Salmon Passage by Bin'!L117</f>
        <v>#N/A</v>
      </c>
      <c r="U117" s="25" t="e">
        <f>K117*'2. Salmon Passage by Bin'!M117</f>
        <v>#N/A</v>
      </c>
      <c r="V117" s="25" t="e">
        <f>J117*'2. Salmon Passage by Bin'!N117</f>
        <v>#N/A</v>
      </c>
      <c r="W117" s="25" t="e">
        <f>I117*'2. Salmon Passage by Bin'!O117</f>
        <v>#N/A</v>
      </c>
      <c r="X117" s="22" t="e">
        <f>E117*'2. Salmon Passage by Bin'!E117</f>
        <v>#N/A</v>
      </c>
      <c r="Y117" s="41">
        <f t="shared" si="1"/>
        <v>0</v>
      </c>
      <c r="Z117" s="42" t="e">
        <f>Y117/'[1]Passage Estimates'!$D117</f>
        <v>#N/A</v>
      </c>
      <c r="AA117" s="43" t="e">
        <f>IFERROR(SUMIF(L117:R117, "&lt;&gt;#N/A")/SUMIF('2. Salmon Passage by Bin'!E117:J117, "&lt;&gt;#N/A"), NA())</f>
        <v>#N/A</v>
      </c>
      <c r="AB117" s="42" t="e">
        <f>IFERROR(IF(ISNA(S117), NA(), S117/'2. Salmon Passage by Bin'!K117), NA())</f>
        <v>#N/A</v>
      </c>
      <c r="AC117" s="44" t="e">
        <f>IFERROR(SUMIF(T117:W117, "&lt;&gt;#N/A")/SUMIF('2. Salmon Passage by Bin'!L117:N117, "&lt;&gt;#N/A"), NA())</f>
        <v>#N/A</v>
      </c>
    </row>
    <row r="118" spans="1:29" x14ac:dyDescent="0.3">
      <c r="A118" s="5">
        <f>'1. Mixture Model Inputs'!A118</f>
        <v>45220</v>
      </c>
      <c r="B118" s="13" t="str">
        <f>IF(ISBLANK('[1]Passage Estimates'!$C118),"",IF('[1]Passage Estimates'!$C118="Imputation",'[1]Passage Estimates'!$B118,'[1]Passage Estimates'!$C118))</f>
        <v/>
      </c>
      <c r="C118" s="17" t="e">
        <f>IFERROR('1. Mixture Model Inputs'!B118/'1. Mixture Model Inputs'!Z118,NA())</f>
        <v>#N/A</v>
      </c>
      <c r="D118" s="17" t="e">
        <f>IFERROR(SUM('1. Mixture Model Inputs'!C118,'1. Mixture Model Inputs'!K118)/'1. Mixture Model Inputs'!AA118,NA())</f>
        <v>#N/A</v>
      </c>
      <c r="E118" s="17" t="e">
        <f>IFERROR(SUM('1. Mixture Model Inputs'!D118,'1. Mixture Model Inputs'!L118)/'1. Mixture Model Inputs'!AB118,NA())</f>
        <v>#N/A</v>
      </c>
      <c r="F118" s="17" t="e">
        <f>IFERROR('1. Mixture Model Inputs'!E118/'1. Mixture Model Inputs'!AC118, NA())</f>
        <v>#N/A</v>
      </c>
      <c r="G118" s="17" t="e">
        <f>IFERROR('1. Mixture Model Inputs'!F118/'1. Mixture Model Inputs'!AD118, NA())</f>
        <v>#N/A</v>
      </c>
      <c r="H118" s="24">
        <f>IFERROR(WhonSpComp!AT133+WhonSpComp!AV133, NA())</f>
        <v>0</v>
      </c>
      <c r="I118" s="17" t="e">
        <f>IFERROR(SUM('1. Mixture Model Inputs'!G118,'1. Mixture Model Inputs'!O118)/'1. Mixture Model Inputs'!AE118, NA())</f>
        <v>#N/A</v>
      </c>
      <c r="J118" s="17" t="e">
        <f>IFERROR(SUM('1. Mixture Model Inputs'!H118,'1. Mixture Model Inputs'!P118)/'1. Mixture Model Inputs'!AF118, NA())</f>
        <v>#N/A</v>
      </c>
      <c r="K118" s="17" t="e">
        <f>IFERROR(SUM('1. Mixture Model Inputs'!I118,'1. Mixture Model Inputs'!Q118)/'1. Mixture Model Inputs'!AG118, NA())</f>
        <v>#N/A</v>
      </c>
      <c r="L118" s="22" t="e">
        <f>C118*'2. Salmon Passage by Bin'!C118</f>
        <v>#N/A</v>
      </c>
      <c r="M118" s="22" t="e">
        <f>D118*'2. Salmon Passage by Bin'!D118</f>
        <v>#N/A</v>
      </c>
      <c r="N118" s="22" t="e">
        <f>F118*'2. Salmon Passage by Bin'!F118</f>
        <v>#N/A</v>
      </c>
      <c r="O118" s="22" t="e">
        <f>G118*'2. Salmon Passage by Bin'!G118</f>
        <v>#N/A</v>
      </c>
      <c r="P118" s="22" t="e">
        <f>$G118*'2. Salmon Passage by Bin'!H118</f>
        <v>#N/A</v>
      </c>
      <c r="Q118" s="22" t="e">
        <f>$G118*'2. Salmon Passage by Bin'!I118</f>
        <v>#N/A</v>
      </c>
      <c r="R118" s="22" t="e">
        <f>$G118*'2. Salmon Passage by Bin'!J118</f>
        <v>#N/A</v>
      </c>
      <c r="S118" s="25" t="e">
        <f>'2. Salmon Passage by Bin'!K118*H118</f>
        <v>#N/A</v>
      </c>
      <c r="T118" s="25" t="e">
        <f>K118*'2. Salmon Passage by Bin'!L118</f>
        <v>#N/A</v>
      </c>
      <c r="U118" s="25" t="e">
        <f>K118*'2. Salmon Passage by Bin'!M118</f>
        <v>#N/A</v>
      </c>
      <c r="V118" s="25" t="e">
        <f>J118*'2. Salmon Passage by Bin'!N118</f>
        <v>#N/A</v>
      </c>
      <c r="W118" s="25" t="e">
        <f>I118*'2. Salmon Passage by Bin'!O118</f>
        <v>#N/A</v>
      </c>
      <c r="X118" s="22" t="e">
        <f>E118*'2. Salmon Passage by Bin'!E118</f>
        <v>#N/A</v>
      </c>
      <c r="Y118" s="41">
        <f t="shared" si="1"/>
        <v>0</v>
      </c>
      <c r="Z118" s="42" t="e">
        <f>Y118/'[1]Passage Estimates'!$D118</f>
        <v>#N/A</v>
      </c>
      <c r="AA118" s="43" t="e">
        <f>IFERROR(SUMIF(L118:R118, "&lt;&gt;#N/A")/SUMIF('2. Salmon Passage by Bin'!E118:J118, "&lt;&gt;#N/A"), NA())</f>
        <v>#N/A</v>
      </c>
      <c r="AB118" s="42" t="e">
        <f>IFERROR(IF(ISNA(S118), NA(), S118/'2. Salmon Passage by Bin'!K118), NA())</f>
        <v>#N/A</v>
      </c>
      <c r="AC118" s="44" t="e">
        <f>IFERROR(SUMIF(T118:W118, "&lt;&gt;#N/A")/SUMIF('2. Salmon Passage by Bin'!L118:N118, "&lt;&gt;#N/A"), NA())</f>
        <v>#N/A</v>
      </c>
    </row>
    <row r="119" spans="1:29" x14ac:dyDescent="0.3">
      <c r="A119" s="5">
        <f>'1. Mixture Model Inputs'!A119</f>
        <v>45221</v>
      </c>
      <c r="B119" s="13" t="str">
        <f>IF(ISBLANK('[1]Passage Estimates'!$C119),"",IF('[1]Passage Estimates'!$C119="Imputation",'[1]Passage Estimates'!$B119,'[1]Passage Estimates'!$C119))</f>
        <v/>
      </c>
      <c r="C119" s="17" t="e">
        <f>IFERROR('1. Mixture Model Inputs'!B119/'1. Mixture Model Inputs'!Z119,NA())</f>
        <v>#N/A</v>
      </c>
      <c r="D119" s="17" t="e">
        <f>IFERROR(SUM('1. Mixture Model Inputs'!C119,'1. Mixture Model Inputs'!K119)/'1. Mixture Model Inputs'!AA119,NA())</f>
        <v>#N/A</v>
      </c>
      <c r="E119" s="17" t="e">
        <f>IFERROR(SUM('1. Mixture Model Inputs'!D119,'1. Mixture Model Inputs'!L119)/'1. Mixture Model Inputs'!AB119,NA())</f>
        <v>#N/A</v>
      </c>
      <c r="F119" s="17" t="e">
        <f>IFERROR('1. Mixture Model Inputs'!E119/'1. Mixture Model Inputs'!AC119, NA())</f>
        <v>#N/A</v>
      </c>
      <c r="G119" s="17" t="e">
        <f>IFERROR('1. Mixture Model Inputs'!F119/'1. Mixture Model Inputs'!AD119, NA())</f>
        <v>#N/A</v>
      </c>
      <c r="H119" s="24">
        <f>IFERROR(WhonSpComp!AT134+WhonSpComp!AV134, NA())</f>
        <v>0</v>
      </c>
      <c r="I119" s="17" t="e">
        <f>IFERROR(SUM('1. Mixture Model Inputs'!G119,'1. Mixture Model Inputs'!O119)/'1. Mixture Model Inputs'!AE119, NA())</f>
        <v>#N/A</v>
      </c>
      <c r="J119" s="17" t="e">
        <f>IFERROR(SUM('1. Mixture Model Inputs'!H119,'1. Mixture Model Inputs'!P119)/'1. Mixture Model Inputs'!AF119, NA())</f>
        <v>#N/A</v>
      </c>
      <c r="K119" s="17" t="e">
        <f>IFERROR(SUM('1. Mixture Model Inputs'!I119,'1. Mixture Model Inputs'!Q119)/'1. Mixture Model Inputs'!AG119, NA())</f>
        <v>#N/A</v>
      </c>
      <c r="L119" s="22" t="e">
        <f>C119*'2. Salmon Passage by Bin'!C119</f>
        <v>#N/A</v>
      </c>
      <c r="M119" s="22" t="e">
        <f>D119*'2. Salmon Passage by Bin'!D119</f>
        <v>#N/A</v>
      </c>
      <c r="N119" s="22" t="e">
        <f>F119*'2. Salmon Passage by Bin'!F119</f>
        <v>#N/A</v>
      </c>
      <c r="O119" s="22" t="e">
        <f>G119*'2. Salmon Passage by Bin'!G119</f>
        <v>#N/A</v>
      </c>
      <c r="P119" s="22" t="e">
        <f>$G119*'2. Salmon Passage by Bin'!H119</f>
        <v>#N/A</v>
      </c>
      <c r="Q119" s="22" t="e">
        <f>$G119*'2. Salmon Passage by Bin'!I119</f>
        <v>#N/A</v>
      </c>
      <c r="R119" s="22" t="e">
        <f>$G119*'2. Salmon Passage by Bin'!J119</f>
        <v>#N/A</v>
      </c>
      <c r="S119" s="25" t="e">
        <f>'2. Salmon Passage by Bin'!K119*H119</f>
        <v>#N/A</v>
      </c>
      <c r="T119" s="25" t="e">
        <f>K119*'2. Salmon Passage by Bin'!L119</f>
        <v>#N/A</v>
      </c>
      <c r="U119" s="25" t="e">
        <f>K119*'2. Salmon Passage by Bin'!M119</f>
        <v>#N/A</v>
      </c>
      <c r="V119" s="25" t="e">
        <f>J119*'2. Salmon Passage by Bin'!N119</f>
        <v>#N/A</v>
      </c>
      <c r="W119" s="25" t="e">
        <f>I119*'2. Salmon Passage by Bin'!O119</f>
        <v>#N/A</v>
      </c>
      <c r="X119" s="22" t="e">
        <f>E119*'2. Salmon Passage by Bin'!E119</f>
        <v>#N/A</v>
      </c>
      <c r="Y119" s="41">
        <f t="shared" si="1"/>
        <v>0</v>
      </c>
      <c r="Z119" s="42" t="e">
        <f>Y119/'[1]Passage Estimates'!$D119</f>
        <v>#N/A</v>
      </c>
      <c r="AA119" s="43" t="e">
        <f>IFERROR(SUMIF(L119:R119, "&lt;&gt;#N/A")/SUMIF('2. Salmon Passage by Bin'!E119:J119, "&lt;&gt;#N/A"), NA())</f>
        <v>#N/A</v>
      </c>
      <c r="AB119" s="42" t="e">
        <f>IFERROR(IF(ISNA(S119), NA(), S119/'2. Salmon Passage by Bin'!K119), NA())</f>
        <v>#N/A</v>
      </c>
      <c r="AC119" s="44" t="e">
        <f>IFERROR(SUMIF(T119:W119, "&lt;&gt;#N/A")/SUMIF('2. Salmon Passage by Bin'!L119:N119, "&lt;&gt;#N/A"), NA())</f>
        <v>#N/A</v>
      </c>
    </row>
    <row r="120" spans="1:29" x14ac:dyDescent="0.3">
      <c r="A120" s="5">
        <f>'1. Mixture Model Inputs'!A120</f>
        <v>45222</v>
      </c>
      <c r="B120" s="13" t="str">
        <f>IF(ISBLANK('[1]Passage Estimates'!$C120),"",IF('[1]Passage Estimates'!$C120="Imputation",'[1]Passage Estimates'!$B120,'[1]Passage Estimates'!$C120))</f>
        <v/>
      </c>
      <c r="C120" s="17" t="e">
        <f>IFERROR('1. Mixture Model Inputs'!B120/'1. Mixture Model Inputs'!Z120,NA())</f>
        <v>#N/A</v>
      </c>
      <c r="D120" s="17" t="e">
        <f>IFERROR(SUM('1. Mixture Model Inputs'!C120,'1. Mixture Model Inputs'!K120)/'1. Mixture Model Inputs'!AA120,NA())</f>
        <v>#N/A</v>
      </c>
      <c r="E120" s="17" t="e">
        <f>IFERROR(SUM('1. Mixture Model Inputs'!D120,'1. Mixture Model Inputs'!L120)/'1. Mixture Model Inputs'!AB120,NA())</f>
        <v>#N/A</v>
      </c>
      <c r="F120" s="17" t="e">
        <f>IFERROR('1. Mixture Model Inputs'!E120/'1. Mixture Model Inputs'!AC120, NA())</f>
        <v>#N/A</v>
      </c>
      <c r="G120" s="17" t="e">
        <f>IFERROR('1. Mixture Model Inputs'!F120/'1. Mixture Model Inputs'!AD120, NA())</f>
        <v>#N/A</v>
      </c>
      <c r="H120" s="24">
        <f>IFERROR(WhonSpComp!AT135+WhonSpComp!AV135, NA())</f>
        <v>0</v>
      </c>
      <c r="I120" s="17" t="e">
        <f>IFERROR(SUM('1. Mixture Model Inputs'!G120,'1. Mixture Model Inputs'!O120)/'1. Mixture Model Inputs'!AE120, NA())</f>
        <v>#N/A</v>
      </c>
      <c r="J120" s="17" t="e">
        <f>IFERROR(SUM('1. Mixture Model Inputs'!H120,'1. Mixture Model Inputs'!P120)/'1. Mixture Model Inputs'!AF120, NA())</f>
        <v>#N/A</v>
      </c>
      <c r="K120" s="17" t="e">
        <f>IFERROR(SUM('1. Mixture Model Inputs'!I120,'1. Mixture Model Inputs'!Q120)/'1. Mixture Model Inputs'!AG120, NA())</f>
        <v>#N/A</v>
      </c>
      <c r="L120" s="22" t="e">
        <f>C120*'2. Salmon Passage by Bin'!C120</f>
        <v>#N/A</v>
      </c>
      <c r="M120" s="22" t="e">
        <f>D120*'2. Salmon Passage by Bin'!D120</f>
        <v>#N/A</v>
      </c>
      <c r="N120" s="22" t="e">
        <f>F120*'2. Salmon Passage by Bin'!F120</f>
        <v>#N/A</v>
      </c>
      <c r="O120" s="22" t="e">
        <f>G120*'2. Salmon Passage by Bin'!G120</f>
        <v>#N/A</v>
      </c>
      <c r="P120" s="22" t="e">
        <f>$G120*'2. Salmon Passage by Bin'!H120</f>
        <v>#N/A</v>
      </c>
      <c r="Q120" s="22" t="e">
        <f>$G120*'2. Salmon Passage by Bin'!I120</f>
        <v>#N/A</v>
      </c>
      <c r="R120" s="22" t="e">
        <f>$G120*'2. Salmon Passage by Bin'!J120</f>
        <v>#N/A</v>
      </c>
      <c r="S120" s="25" t="e">
        <f>'2. Salmon Passage by Bin'!K120*H120</f>
        <v>#N/A</v>
      </c>
      <c r="T120" s="25" t="e">
        <f>K120*'2. Salmon Passage by Bin'!L120</f>
        <v>#N/A</v>
      </c>
      <c r="U120" s="25" t="e">
        <f>K120*'2. Salmon Passage by Bin'!M120</f>
        <v>#N/A</v>
      </c>
      <c r="V120" s="25" t="e">
        <f>J120*'2. Salmon Passage by Bin'!N120</f>
        <v>#N/A</v>
      </c>
      <c r="W120" s="25" t="e">
        <f>I120*'2. Salmon Passage by Bin'!O120</f>
        <v>#N/A</v>
      </c>
      <c r="X120" s="22" t="e">
        <f>E120*'2. Salmon Passage by Bin'!E120</f>
        <v>#N/A</v>
      </c>
      <c r="Y120" s="41">
        <f t="shared" si="1"/>
        <v>0</v>
      </c>
      <c r="Z120" s="42" t="e">
        <f>Y120/'[1]Passage Estimates'!$D120</f>
        <v>#N/A</v>
      </c>
      <c r="AA120" s="43" t="e">
        <f>IFERROR(SUMIF(L120:R120, "&lt;&gt;#N/A")/SUMIF('2. Salmon Passage by Bin'!E120:J120, "&lt;&gt;#N/A"), NA())</f>
        <v>#N/A</v>
      </c>
      <c r="AB120" s="42" t="e">
        <f>IFERROR(IF(ISNA(S120), NA(), S120/'2. Salmon Passage by Bin'!K120), NA())</f>
        <v>#N/A</v>
      </c>
      <c r="AC120" s="44" t="e">
        <f>IFERROR(SUMIF(T120:W120, "&lt;&gt;#N/A")/SUMIF('2. Salmon Passage by Bin'!L120:N120, "&lt;&gt;#N/A"), NA())</f>
        <v>#N/A</v>
      </c>
    </row>
    <row r="121" spans="1:29" x14ac:dyDescent="0.3">
      <c r="A121" s="5">
        <f>'1. Mixture Model Inputs'!A121</f>
        <v>45223</v>
      </c>
      <c r="B121" s="13" t="str">
        <f>IF(ISBLANK('[1]Passage Estimates'!$C121),"",IF('[1]Passage Estimates'!$C121="Imputation",'[1]Passage Estimates'!$B121,'[1]Passage Estimates'!$C121))</f>
        <v/>
      </c>
      <c r="C121" s="17" t="e">
        <f>IFERROR('1. Mixture Model Inputs'!B121/'1. Mixture Model Inputs'!Z121,NA())</f>
        <v>#N/A</v>
      </c>
      <c r="D121" s="17" t="e">
        <f>IFERROR(SUM('1. Mixture Model Inputs'!C121,'1. Mixture Model Inputs'!K121)/'1. Mixture Model Inputs'!AA121,NA())</f>
        <v>#N/A</v>
      </c>
      <c r="E121" s="17" t="e">
        <f>IFERROR(SUM('1. Mixture Model Inputs'!D121,'1. Mixture Model Inputs'!L121)/'1. Mixture Model Inputs'!AB121,NA())</f>
        <v>#N/A</v>
      </c>
      <c r="F121" s="17" t="e">
        <f>IFERROR('1. Mixture Model Inputs'!E121/'1. Mixture Model Inputs'!AC121, NA())</f>
        <v>#N/A</v>
      </c>
      <c r="G121" s="17" t="e">
        <f>IFERROR('1. Mixture Model Inputs'!F121/'1. Mixture Model Inputs'!AD121, NA())</f>
        <v>#N/A</v>
      </c>
      <c r="H121" s="24">
        <f>IFERROR(WhonSpComp!AT136+WhonSpComp!AV136, NA())</f>
        <v>0</v>
      </c>
      <c r="I121" s="17" t="e">
        <f>IFERROR(SUM('1. Mixture Model Inputs'!G121,'1. Mixture Model Inputs'!O121)/'1. Mixture Model Inputs'!AE121, NA())</f>
        <v>#N/A</v>
      </c>
      <c r="J121" s="17" t="e">
        <f>IFERROR(SUM('1. Mixture Model Inputs'!H121,'1. Mixture Model Inputs'!P121)/'1. Mixture Model Inputs'!AF121, NA())</f>
        <v>#N/A</v>
      </c>
      <c r="K121" s="17" t="e">
        <f>IFERROR(SUM('1. Mixture Model Inputs'!I121,'1. Mixture Model Inputs'!Q121)/'1. Mixture Model Inputs'!AG121, NA())</f>
        <v>#N/A</v>
      </c>
      <c r="L121" s="22" t="e">
        <f>C121*'2. Salmon Passage by Bin'!C121</f>
        <v>#N/A</v>
      </c>
      <c r="M121" s="22" t="e">
        <f>D121*'2. Salmon Passage by Bin'!D121</f>
        <v>#N/A</v>
      </c>
      <c r="N121" s="22" t="e">
        <f>F121*'2. Salmon Passage by Bin'!F121</f>
        <v>#N/A</v>
      </c>
      <c r="O121" s="22" t="e">
        <f>G121*'2. Salmon Passage by Bin'!G121</f>
        <v>#N/A</v>
      </c>
      <c r="P121" s="22" t="e">
        <f>$G121*'2. Salmon Passage by Bin'!H121</f>
        <v>#N/A</v>
      </c>
      <c r="Q121" s="22" t="e">
        <f>$G121*'2. Salmon Passage by Bin'!I121</f>
        <v>#N/A</v>
      </c>
      <c r="R121" s="22" t="e">
        <f>$G121*'2. Salmon Passage by Bin'!J121</f>
        <v>#N/A</v>
      </c>
      <c r="S121" s="25" t="e">
        <f>'2. Salmon Passage by Bin'!K121*H121</f>
        <v>#N/A</v>
      </c>
      <c r="T121" s="25" t="e">
        <f>K121*'2. Salmon Passage by Bin'!L121</f>
        <v>#N/A</v>
      </c>
      <c r="U121" s="25" t="e">
        <f>K121*'2. Salmon Passage by Bin'!M121</f>
        <v>#N/A</v>
      </c>
      <c r="V121" s="25" t="e">
        <f>J121*'2. Salmon Passage by Bin'!N121</f>
        <v>#N/A</v>
      </c>
      <c r="W121" s="25" t="e">
        <f>I121*'2. Salmon Passage by Bin'!O121</f>
        <v>#N/A</v>
      </c>
      <c r="X121" s="22" t="e">
        <f>E121*'2. Salmon Passage by Bin'!E121</f>
        <v>#N/A</v>
      </c>
      <c r="Y121" s="41">
        <f t="shared" si="1"/>
        <v>0</v>
      </c>
      <c r="Z121" s="42" t="e">
        <f>Y121/'[1]Passage Estimates'!$D121</f>
        <v>#N/A</v>
      </c>
      <c r="AA121" s="43" t="e">
        <f>IFERROR(SUMIF(L121:R121, "&lt;&gt;#N/A")/SUMIF('2. Salmon Passage by Bin'!E121:J121, "&lt;&gt;#N/A"), NA())</f>
        <v>#N/A</v>
      </c>
      <c r="AB121" s="42" t="e">
        <f>IFERROR(IF(ISNA(S121), NA(), S121/'2. Salmon Passage by Bin'!K121), NA())</f>
        <v>#N/A</v>
      </c>
      <c r="AC121" s="44" t="e">
        <f>IFERROR(SUMIF(T121:W121, "&lt;&gt;#N/A")/SUMIF('2. Salmon Passage by Bin'!L121:N121, "&lt;&gt;#N/A"), NA())</f>
        <v>#N/A</v>
      </c>
    </row>
    <row r="122" spans="1:29" x14ac:dyDescent="0.3">
      <c r="A122" s="5">
        <f>'1. Mixture Model Inputs'!A122</f>
        <v>45224</v>
      </c>
      <c r="B122" s="13" t="str">
        <f>IF(ISBLANK('[1]Passage Estimates'!$C122),"",IF('[1]Passage Estimates'!$C122="Imputation",'[1]Passage Estimates'!$B122,'[1]Passage Estimates'!$C122))</f>
        <v/>
      </c>
      <c r="C122" s="17" t="e">
        <f>IFERROR('1. Mixture Model Inputs'!B122/'1. Mixture Model Inputs'!Z122,NA())</f>
        <v>#N/A</v>
      </c>
      <c r="D122" s="17" t="e">
        <f>IFERROR(SUM('1. Mixture Model Inputs'!C122,'1. Mixture Model Inputs'!K122)/'1. Mixture Model Inputs'!AA122,NA())</f>
        <v>#N/A</v>
      </c>
      <c r="E122" s="17" t="e">
        <f>IFERROR(SUM('1. Mixture Model Inputs'!D122,'1. Mixture Model Inputs'!L122)/'1. Mixture Model Inputs'!AB122,NA())</f>
        <v>#N/A</v>
      </c>
      <c r="F122" s="17" t="e">
        <f>IFERROR('1. Mixture Model Inputs'!E122/'1. Mixture Model Inputs'!AC122, NA())</f>
        <v>#N/A</v>
      </c>
      <c r="G122" s="17" t="e">
        <f>IFERROR('1. Mixture Model Inputs'!F122/'1. Mixture Model Inputs'!AD122, NA())</f>
        <v>#N/A</v>
      </c>
      <c r="H122" s="24">
        <f>IFERROR(WhonSpComp!AT137+WhonSpComp!AV137, NA())</f>
        <v>0</v>
      </c>
      <c r="I122" s="17" t="e">
        <f>IFERROR(SUM('1. Mixture Model Inputs'!G122,'1. Mixture Model Inputs'!O122)/'1. Mixture Model Inputs'!AE122, NA())</f>
        <v>#N/A</v>
      </c>
      <c r="J122" s="17" t="e">
        <f>IFERROR(SUM('1. Mixture Model Inputs'!H122,'1. Mixture Model Inputs'!P122)/'1. Mixture Model Inputs'!AF122, NA())</f>
        <v>#N/A</v>
      </c>
      <c r="K122" s="17" t="e">
        <f>IFERROR(SUM('1. Mixture Model Inputs'!I122,'1. Mixture Model Inputs'!Q122)/'1. Mixture Model Inputs'!AG122, NA())</f>
        <v>#N/A</v>
      </c>
      <c r="L122" s="22" t="e">
        <f>C122*'2. Salmon Passage by Bin'!C122</f>
        <v>#N/A</v>
      </c>
      <c r="M122" s="22" t="e">
        <f>D122*'2. Salmon Passage by Bin'!D122</f>
        <v>#N/A</v>
      </c>
      <c r="N122" s="22" t="e">
        <f>F122*'2. Salmon Passage by Bin'!F122</f>
        <v>#N/A</v>
      </c>
      <c r="O122" s="22" t="e">
        <f>G122*'2. Salmon Passage by Bin'!G122</f>
        <v>#N/A</v>
      </c>
      <c r="P122" s="22" t="e">
        <f>$G122*'2. Salmon Passage by Bin'!H122</f>
        <v>#N/A</v>
      </c>
      <c r="Q122" s="22" t="e">
        <f>$G122*'2. Salmon Passage by Bin'!I122</f>
        <v>#N/A</v>
      </c>
      <c r="R122" s="22" t="e">
        <f>$G122*'2. Salmon Passage by Bin'!J122</f>
        <v>#N/A</v>
      </c>
      <c r="S122" s="25" t="e">
        <f>'2. Salmon Passage by Bin'!K122*H122</f>
        <v>#N/A</v>
      </c>
      <c r="T122" s="25" t="e">
        <f>K122*'2. Salmon Passage by Bin'!L122</f>
        <v>#N/A</v>
      </c>
      <c r="U122" s="25" t="e">
        <f>K122*'2. Salmon Passage by Bin'!M122</f>
        <v>#N/A</v>
      </c>
      <c r="V122" s="25" t="e">
        <f>J122*'2. Salmon Passage by Bin'!N122</f>
        <v>#N/A</v>
      </c>
      <c r="W122" s="25" t="e">
        <f>I122*'2. Salmon Passage by Bin'!O122</f>
        <v>#N/A</v>
      </c>
      <c r="X122" s="22" t="e">
        <f>E122*'2. Salmon Passage by Bin'!E122</f>
        <v>#N/A</v>
      </c>
      <c r="Y122" s="41">
        <f t="shared" si="1"/>
        <v>0</v>
      </c>
      <c r="Z122" s="42" t="e">
        <f>Y122/'[1]Passage Estimates'!$D122</f>
        <v>#N/A</v>
      </c>
      <c r="AA122" s="43" t="e">
        <f>IFERROR(SUMIF(L122:R122, "&lt;&gt;#N/A")/SUMIF('2. Salmon Passage by Bin'!E122:J122, "&lt;&gt;#N/A"), NA())</f>
        <v>#N/A</v>
      </c>
      <c r="AB122" s="42" t="e">
        <f>IFERROR(IF(ISNA(S122), NA(), S122/'2. Salmon Passage by Bin'!K122), NA())</f>
        <v>#N/A</v>
      </c>
      <c r="AC122" s="44" t="e">
        <f>IFERROR(SUMIF(T122:W122, "&lt;&gt;#N/A")/SUMIF('2. Salmon Passage by Bin'!L122:N122, "&lt;&gt;#N/A"), NA())</f>
        <v>#N/A</v>
      </c>
    </row>
    <row r="123" spans="1:29" x14ac:dyDescent="0.3">
      <c r="A123" s="5">
        <f>'1. Mixture Model Inputs'!A123</f>
        <v>45225</v>
      </c>
      <c r="B123" s="13" t="str">
        <f>IF(ISBLANK('[1]Passage Estimates'!$C123),"",IF('[1]Passage Estimates'!$C123="Imputation",'[1]Passage Estimates'!$B123,'[1]Passage Estimates'!$C123))</f>
        <v/>
      </c>
      <c r="C123" s="17" t="e">
        <f>IFERROR('1. Mixture Model Inputs'!B123/'1. Mixture Model Inputs'!Z123,NA())</f>
        <v>#N/A</v>
      </c>
      <c r="D123" s="17" t="e">
        <f>IFERROR(SUM('1. Mixture Model Inputs'!C123,'1. Mixture Model Inputs'!K123)/'1. Mixture Model Inputs'!AA123,NA())</f>
        <v>#N/A</v>
      </c>
      <c r="E123" s="17" t="e">
        <f>IFERROR(SUM('1. Mixture Model Inputs'!D123,'1. Mixture Model Inputs'!L123)/'1. Mixture Model Inputs'!AB123,NA())</f>
        <v>#N/A</v>
      </c>
      <c r="F123" s="17" t="e">
        <f>IFERROR('1. Mixture Model Inputs'!E123/'1. Mixture Model Inputs'!AC123, NA())</f>
        <v>#N/A</v>
      </c>
      <c r="G123" s="17" t="e">
        <f>IFERROR('1. Mixture Model Inputs'!F123/'1. Mixture Model Inputs'!AD123, NA())</f>
        <v>#N/A</v>
      </c>
      <c r="H123" s="24">
        <f>IFERROR(WhonSpComp!AT138+WhonSpComp!AV138, NA())</f>
        <v>0</v>
      </c>
      <c r="I123" s="17" t="e">
        <f>IFERROR(SUM('1. Mixture Model Inputs'!G123,'1. Mixture Model Inputs'!O123)/'1. Mixture Model Inputs'!AE123, NA())</f>
        <v>#N/A</v>
      </c>
      <c r="J123" s="17" t="e">
        <f>IFERROR(SUM('1. Mixture Model Inputs'!H123,'1. Mixture Model Inputs'!P123)/'1. Mixture Model Inputs'!AF123, NA())</f>
        <v>#N/A</v>
      </c>
      <c r="K123" s="17" t="e">
        <f>IFERROR(SUM('1. Mixture Model Inputs'!I123,'1. Mixture Model Inputs'!Q123)/'1. Mixture Model Inputs'!AG123, NA())</f>
        <v>#N/A</v>
      </c>
      <c r="L123" s="22" t="e">
        <f>C123*'2. Salmon Passage by Bin'!C123</f>
        <v>#N/A</v>
      </c>
      <c r="M123" s="22" t="e">
        <f>D123*'2. Salmon Passage by Bin'!D123</f>
        <v>#N/A</v>
      </c>
      <c r="N123" s="22" t="e">
        <f>F123*'2. Salmon Passage by Bin'!F123</f>
        <v>#N/A</v>
      </c>
      <c r="O123" s="22" t="e">
        <f>G123*'2. Salmon Passage by Bin'!G123</f>
        <v>#N/A</v>
      </c>
      <c r="P123" s="22" t="e">
        <f>$G123*'2. Salmon Passage by Bin'!H123</f>
        <v>#N/A</v>
      </c>
      <c r="Q123" s="22" t="e">
        <f>$G123*'2. Salmon Passage by Bin'!I123</f>
        <v>#N/A</v>
      </c>
      <c r="R123" s="22" t="e">
        <f>$G123*'2. Salmon Passage by Bin'!J123</f>
        <v>#N/A</v>
      </c>
      <c r="S123" s="25" t="e">
        <f>'2. Salmon Passage by Bin'!K123*H123</f>
        <v>#N/A</v>
      </c>
      <c r="T123" s="25" t="e">
        <f>K123*'2. Salmon Passage by Bin'!L123</f>
        <v>#N/A</v>
      </c>
      <c r="U123" s="25" t="e">
        <f>K123*'2. Salmon Passage by Bin'!M123</f>
        <v>#N/A</v>
      </c>
      <c r="V123" s="25" t="e">
        <f>J123*'2. Salmon Passage by Bin'!N123</f>
        <v>#N/A</v>
      </c>
      <c r="W123" s="25" t="e">
        <f>I123*'2. Salmon Passage by Bin'!O123</f>
        <v>#N/A</v>
      </c>
      <c r="X123" s="22" t="e">
        <f>E123*'2. Salmon Passage by Bin'!E123</f>
        <v>#N/A</v>
      </c>
      <c r="Y123" s="41">
        <f t="shared" si="1"/>
        <v>0</v>
      </c>
      <c r="Z123" s="42" t="e">
        <f>Y123/'[1]Passage Estimates'!$D123</f>
        <v>#N/A</v>
      </c>
      <c r="AA123" s="43" t="e">
        <f>IFERROR(SUMIF(L123:R123, "&lt;&gt;#N/A")/SUMIF('2. Salmon Passage by Bin'!E123:J123, "&lt;&gt;#N/A"), NA())</f>
        <v>#N/A</v>
      </c>
      <c r="AB123" s="42" t="e">
        <f>IFERROR(IF(ISNA(S123), NA(), S123/'2. Salmon Passage by Bin'!K123), NA())</f>
        <v>#N/A</v>
      </c>
      <c r="AC123" s="44" t="e">
        <f>IFERROR(SUMIF(T123:W123, "&lt;&gt;#N/A")/SUMIF('2. Salmon Passage by Bin'!L123:N123, "&lt;&gt;#N/A"), NA())</f>
        <v>#N/A</v>
      </c>
    </row>
    <row r="124" spans="1:29" x14ac:dyDescent="0.3">
      <c r="A124" s="5">
        <f>'1. Mixture Model Inputs'!A124</f>
        <v>45226</v>
      </c>
      <c r="B124" s="13" t="str">
        <f>IF(ISBLANK('[1]Passage Estimates'!$C124),"",IF('[1]Passage Estimates'!$C124="Imputation",'[1]Passage Estimates'!$B124,'[1]Passage Estimates'!$C124))</f>
        <v/>
      </c>
      <c r="C124" s="17" t="e">
        <f>IFERROR('1. Mixture Model Inputs'!B124/'1. Mixture Model Inputs'!Z124,NA())</f>
        <v>#N/A</v>
      </c>
      <c r="D124" s="17" t="e">
        <f>IFERROR(SUM('1. Mixture Model Inputs'!C124,'1. Mixture Model Inputs'!K124)/'1. Mixture Model Inputs'!AA124,NA())</f>
        <v>#N/A</v>
      </c>
      <c r="E124" s="17" t="e">
        <f>IFERROR(SUM('1. Mixture Model Inputs'!D124,'1. Mixture Model Inputs'!L124)/'1. Mixture Model Inputs'!AB124,NA())</f>
        <v>#N/A</v>
      </c>
      <c r="F124" s="17" t="e">
        <f>IFERROR('1. Mixture Model Inputs'!E124/'1. Mixture Model Inputs'!AC124, NA())</f>
        <v>#N/A</v>
      </c>
      <c r="G124" s="17" t="e">
        <f>IFERROR('1. Mixture Model Inputs'!F124/'1. Mixture Model Inputs'!AD124, NA())</f>
        <v>#N/A</v>
      </c>
      <c r="H124" s="24">
        <f>IFERROR(WhonSpComp!AT139+WhonSpComp!AV139, NA())</f>
        <v>0</v>
      </c>
      <c r="I124" s="17" t="e">
        <f>IFERROR(SUM('1. Mixture Model Inputs'!G124,'1. Mixture Model Inputs'!O124)/'1. Mixture Model Inputs'!AE124, NA())</f>
        <v>#N/A</v>
      </c>
      <c r="J124" s="17" t="e">
        <f>IFERROR(SUM('1. Mixture Model Inputs'!H124,'1. Mixture Model Inputs'!P124)/'1. Mixture Model Inputs'!AF124, NA())</f>
        <v>#N/A</v>
      </c>
      <c r="K124" s="17" t="e">
        <f>IFERROR(SUM('1. Mixture Model Inputs'!I124,'1. Mixture Model Inputs'!Q124)/'1. Mixture Model Inputs'!AG124, NA())</f>
        <v>#N/A</v>
      </c>
      <c r="L124" s="22" t="e">
        <f>C124*'2. Salmon Passage by Bin'!C124</f>
        <v>#N/A</v>
      </c>
      <c r="M124" s="22" t="e">
        <f>D124*'2. Salmon Passage by Bin'!D124</f>
        <v>#N/A</v>
      </c>
      <c r="N124" s="22" t="e">
        <f>F124*'2. Salmon Passage by Bin'!F124</f>
        <v>#N/A</v>
      </c>
      <c r="O124" s="22" t="e">
        <f>G124*'2. Salmon Passage by Bin'!G124</f>
        <v>#N/A</v>
      </c>
      <c r="P124" s="22" t="e">
        <f>$G124*'2. Salmon Passage by Bin'!H124</f>
        <v>#N/A</v>
      </c>
      <c r="Q124" s="22" t="e">
        <f>$G124*'2. Salmon Passage by Bin'!I124</f>
        <v>#N/A</v>
      </c>
      <c r="R124" s="22" t="e">
        <f>$G124*'2. Salmon Passage by Bin'!J124</f>
        <v>#N/A</v>
      </c>
      <c r="S124" s="25" t="e">
        <f>'2. Salmon Passage by Bin'!K124*H124</f>
        <v>#N/A</v>
      </c>
      <c r="T124" s="25" t="e">
        <f>K124*'2. Salmon Passage by Bin'!L124</f>
        <v>#N/A</v>
      </c>
      <c r="U124" s="25" t="e">
        <f>K124*'2. Salmon Passage by Bin'!M124</f>
        <v>#N/A</v>
      </c>
      <c r="V124" s="25" t="e">
        <f>J124*'2. Salmon Passage by Bin'!N124</f>
        <v>#N/A</v>
      </c>
      <c r="W124" s="25" t="e">
        <f>I124*'2. Salmon Passage by Bin'!O124</f>
        <v>#N/A</v>
      </c>
      <c r="X124" s="22" t="e">
        <f>E124*'2. Salmon Passage by Bin'!E124</f>
        <v>#N/A</v>
      </c>
      <c r="Y124" s="41">
        <f t="shared" si="1"/>
        <v>0</v>
      </c>
      <c r="Z124" s="42" t="e">
        <f>Y124/'[1]Passage Estimates'!$D124</f>
        <v>#N/A</v>
      </c>
      <c r="AA124" s="43" t="e">
        <f>IFERROR(SUMIF(L124:R124, "&lt;&gt;#N/A")/SUMIF('2. Salmon Passage by Bin'!E124:J124, "&lt;&gt;#N/A"), NA())</f>
        <v>#N/A</v>
      </c>
      <c r="AB124" s="42" t="e">
        <f>IFERROR(IF(ISNA(S124), NA(), S124/'2. Salmon Passage by Bin'!K124), NA())</f>
        <v>#N/A</v>
      </c>
      <c r="AC124" s="44" t="e">
        <f>IFERROR(SUMIF(T124:W124, "&lt;&gt;#N/A")/SUMIF('2. Salmon Passage by Bin'!L124:N124, "&lt;&gt;#N/A"), NA())</f>
        <v>#N/A</v>
      </c>
    </row>
    <row r="125" spans="1:29" x14ac:dyDescent="0.3">
      <c r="A125" s="5">
        <f>'1. Mixture Model Inputs'!A125</f>
        <v>45227</v>
      </c>
      <c r="B125" s="13" t="str">
        <f>IF(ISBLANK('[1]Passage Estimates'!$C125),"",IF('[1]Passage Estimates'!$C125="Imputation",'[1]Passage Estimates'!$B125,'[1]Passage Estimates'!$C125))</f>
        <v/>
      </c>
      <c r="C125" s="17" t="e">
        <f>IFERROR('1. Mixture Model Inputs'!B125/'1. Mixture Model Inputs'!Z125,NA())</f>
        <v>#N/A</v>
      </c>
      <c r="D125" s="17" t="e">
        <f>IFERROR(SUM('1. Mixture Model Inputs'!C125,'1. Mixture Model Inputs'!K125)/'1. Mixture Model Inputs'!AA125,NA())</f>
        <v>#N/A</v>
      </c>
      <c r="E125" s="17" t="e">
        <f>IFERROR(SUM('1. Mixture Model Inputs'!D125,'1. Mixture Model Inputs'!L125)/'1. Mixture Model Inputs'!AB125,NA())</f>
        <v>#N/A</v>
      </c>
      <c r="F125" s="17" t="e">
        <f>IFERROR('1. Mixture Model Inputs'!E125/'1. Mixture Model Inputs'!AC125, NA())</f>
        <v>#N/A</v>
      </c>
      <c r="G125" s="17" t="e">
        <f>IFERROR('1. Mixture Model Inputs'!F125/'1. Mixture Model Inputs'!AD125, NA())</f>
        <v>#N/A</v>
      </c>
      <c r="H125" s="24">
        <f>IFERROR(WhonSpComp!AT140+WhonSpComp!AV140, NA())</f>
        <v>0</v>
      </c>
      <c r="I125" s="17" t="e">
        <f>IFERROR(SUM('1. Mixture Model Inputs'!G125,'1. Mixture Model Inputs'!O125)/'1. Mixture Model Inputs'!AE125, NA())</f>
        <v>#N/A</v>
      </c>
      <c r="J125" s="17" t="e">
        <f>IFERROR(SUM('1. Mixture Model Inputs'!H125,'1. Mixture Model Inputs'!P125)/'1. Mixture Model Inputs'!AF125, NA())</f>
        <v>#N/A</v>
      </c>
      <c r="K125" s="17" t="e">
        <f>IFERROR(SUM('1. Mixture Model Inputs'!I125,'1. Mixture Model Inputs'!Q125)/'1. Mixture Model Inputs'!AG125, NA())</f>
        <v>#N/A</v>
      </c>
      <c r="L125" s="22" t="e">
        <f>C125*'2. Salmon Passage by Bin'!C125</f>
        <v>#N/A</v>
      </c>
      <c r="M125" s="22" t="e">
        <f>D125*'2. Salmon Passage by Bin'!D125</f>
        <v>#N/A</v>
      </c>
      <c r="N125" s="22" t="e">
        <f>F125*'2. Salmon Passage by Bin'!F125</f>
        <v>#N/A</v>
      </c>
      <c r="O125" s="22" t="e">
        <f>G125*'2. Salmon Passage by Bin'!G125</f>
        <v>#N/A</v>
      </c>
      <c r="P125" s="22" t="e">
        <f>$G125*'2. Salmon Passage by Bin'!H125</f>
        <v>#N/A</v>
      </c>
      <c r="Q125" s="22" t="e">
        <f>$G125*'2. Salmon Passage by Bin'!I125</f>
        <v>#N/A</v>
      </c>
      <c r="R125" s="22" t="e">
        <f>$G125*'2. Salmon Passage by Bin'!J125</f>
        <v>#N/A</v>
      </c>
      <c r="S125" s="25" t="e">
        <f>'2. Salmon Passage by Bin'!K125*H125</f>
        <v>#N/A</v>
      </c>
      <c r="T125" s="25" t="e">
        <f>K125*'2. Salmon Passage by Bin'!L125</f>
        <v>#N/A</v>
      </c>
      <c r="U125" s="25" t="e">
        <f>K125*'2. Salmon Passage by Bin'!M125</f>
        <v>#N/A</v>
      </c>
      <c r="V125" s="25" t="e">
        <f>J125*'2. Salmon Passage by Bin'!N125</f>
        <v>#N/A</v>
      </c>
      <c r="W125" s="25" t="e">
        <f>I125*'2. Salmon Passage by Bin'!O125</f>
        <v>#N/A</v>
      </c>
      <c r="X125" s="22" t="e">
        <f>E125*'2. Salmon Passage by Bin'!E125</f>
        <v>#N/A</v>
      </c>
      <c r="Y125" s="41">
        <f t="shared" si="1"/>
        <v>0</v>
      </c>
      <c r="Z125" s="42" t="e">
        <f>Y125/'[1]Passage Estimates'!$D125</f>
        <v>#N/A</v>
      </c>
      <c r="AA125" s="43" t="e">
        <f>IFERROR(SUMIF(L125:R125, "&lt;&gt;#N/A")/SUMIF('2. Salmon Passage by Bin'!E125:J125, "&lt;&gt;#N/A"), NA())</f>
        <v>#N/A</v>
      </c>
      <c r="AB125" s="42" t="e">
        <f>IFERROR(IF(ISNA(S125), NA(), S125/'2. Salmon Passage by Bin'!K125), NA())</f>
        <v>#N/A</v>
      </c>
      <c r="AC125" s="44" t="e">
        <f>IFERROR(SUMIF(T125:W125, "&lt;&gt;#N/A")/SUMIF('2. Salmon Passage by Bin'!L125:N125, "&lt;&gt;#N/A"), NA())</f>
        <v>#N/A</v>
      </c>
    </row>
    <row r="126" spans="1:29" x14ac:dyDescent="0.3">
      <c r="A126" s="5">
        <f>'1. Mixture Model Inputs'!A126</f>
        <v>45228</v>
      </c>
      <c r="B126" s="13" t="str">
        <f>IF(ISBLANK('[1]Passage Estimates'!$C126),"",IF('[1]Passage Estimates'!$C126="Imputation",'[1]Passage Estimates'!$B126,'[1]Passage Estimates'!$C126))</f>
        <v/>
      </c>
      <c r="C126" s="17" t="e">
        <f>IFERROR('1. Mixture Model Inputs'!B126/'1. Mixture Model Inputs'!Z126,NA())</f>
        <v>#N/A</v>
      </c>
      <c r="D126" s="17" t="e">
        <f>IFERROR(SUM('1. Mixture Model Inputs'!C126,'1. Mixture Model Inputs'!K126)/'1. Mixture Model Inputs'!AA126,NA())</f>
        <v>#N/A</v>
      </c>
      <c r="E126" s="17" t="e">
        <f>IFERROR(SUM('1. Mixture Model Inputs'!D126,'1. Mixture Model Inputs'!L126)/'1. Mixture Model Inputs'!AB126,NA())</f>
        <v>#N/A</v>
      </c>
      <c r="F126" s="17" t="e">
        <f>IFERROR('1. Mixture Model Inputs'!E126/'1. Mixture Model Inputs'!AC126, NA())</f>
        <v>#N/A</v>
      </c>
      <c r="G126" s="17" t="e">
        <f>IFERROR('1. Mixture Model Inputs'!F126/'1. Mixture Model Inputs'!AD126, NA())</f>
        <v>#N/A</v>
      </c>
      <c r="H126" s="24">
        <f>IFERROR(WhonSpComp!AT141+WhonSpComp!AV141, NA())</f>
        <v>0</v>
      </c>
      <c r="I126" s="17" t="e">
        <f>IFERROR(SUM('1. Mixture Model Inputs'!G126,'1. Mixture Model Inputs'!O126)/'1. Mixture Model Inputs'!AE126, NA())</f>
        <v>#N/A</v>
      </c>
      <c r="J126" s="17" t="e">
        <f>IFERROR(SUM('1. Mixture Model Inputs'!H126,'1. Mixture Model Inputs'!P126)/'1. Mixture Model Inputs'!AF126, NA())</f>
        <v>#N/A</v>
      </c>
      <c r="K126" s="17" t="e">
        <f>IFERROR(SUM('1. Mixture Model Inputs'!I126,'1. Mixture Model Inputs'!Q126)/'1. Mixture Model Inputs'!AG126, NA())</f>
        <v>#N/A</v>
      </c>
      <c r="L126" s="22" t="e">
        <f>C126*'2. Salmon Passage by Bin'!C126</f>
        <v>#N/A</v>
      </c>
      <c r="M126" s="22" t="e">
        <f>D126*'2. Salmon Passage by Bin'!D126</f>
        <v>#N/A</v>
      </c>
      <c r="N126" s="22" t="e">
        <f>F126*'2. Salmon Passage by Bin'!F126</f>
        <v>#N/A</v>
      </c>
      <c r="O126" s="22" t="e">
        <f>G126*'2. Salmon Passage by Bin'!G126</f>
        <v>#N/A</v>
      </c>
      <c r="P126" s="22" t="e">
        <f>$G126*'2. Salmon Passage by Bin'!H126</f>
        <v>#N/A</v>
      </c>
      <c r="Q126" s="22" t="e">
        <f>$G126*'2. Salmon Passage by Bin'!I126</f>
        <v>#N/A</v>
      </c>
      <c r="R126" s="22" t="e">
        <f>$G126*'2. Salmon Passage by Bin'!J126</f>
        <v>#N/A</v>
      </c>
      <c r="S126" s="25" t="e">
        <f>'2. Salmon Passage by Bin'!K126*H126</f>
        <v>#N/A</v>
      </c>
      <c r="T126" s="25" t="e">
        <f>K126*'2. Salmon Passage by Bin'!L126</f>
        <v>#N/A</v>
      </c>
      <c r="U126" s="25" t="e">
        <f>K126*'2. Salmon Passage by Bin'!M126</f>
        <v>#N/A</v>
      </c>
      <c r="V126" s="25" t="e">
        <f>J126*'2. Salmon Passage by Bin'!N126</f>
        <v>#N/A</v>
      </c>
      <c r="W126" s="25" t="e">
        <f>I126*'2. Salmon Passage by Bin'!O126</f>
        <v>#N/A</v>
      </c>
      <c r="X126" s="22" t="e">
        <f>E126*'2. Salmon Passage by Bin'!E126</f>
        <v>#N/A</v>
      </c>
      <c r="Y126" s="41">
        <f t="shared" si="1"/>
        <v>0</v>
      </c>
      <c r="Z126" s="42" t="e">
        <f>Y126/'[1]Passage Estimates'!$D126</f>
        <v>#N/A</v>
      </c>
      <c r="AA126" s="43" t="e">
        <f>IFERROR(SUMIF(L126:R126, "&lt;&gt;#N/A")/SUMIF('2. Salmon Passage by Bin'!E126:J126, "&lt;&gt;#N/A"), NA())</f>
        <v>#N/A</v>
      </c>
      <c r="AB126" s="42" t="e">
        <f>IFERROR(IF(ISNA(S126), NA(), S126/'2. Salmon Passage by Bin'!K126), NA())</f>
        <v>#N/A</v>
      </c>
      <c r="AC126" s="44" t="e">
        <f>IFERROR(SUMIF(T126:W126, "&lt;&gt;#N/A")/SUMIF('2. Salmon Passage by Bin'!L126:N126, "&lt;&gt;#N/A"), NA())</f>
        <v>#N/A</v>
      </c>
    </row>
    <row r="127" spans="1:29" x14ac:dyDescent="0.3">
      <c r="A127" s="5">
        <f>'1. Mixture Model Inputs'!A127</f>
        <v>45229</v>
      </c>
      <c r="B127" s="13" t="str">
        <f>IF(ISBLANK('[1]Passage Estimates'!$C127),"",IF('[1]Passage Estimates'!$C127="Imputation",'[1]Passage Estimates'!$B127,'[1]Passage Estimates'!$C127))</f>
        <v/>
      </c>
      <c r="C127" s="17" t="e">
        <f>IFERROR('1. Mixture Model Inputs'!B127/'1. Mixture Model Inputs'!Z127,NA())</f>
        <v>#N/A</v>
      </c>
      <c r="D127" s="17" t="e">
        <f>IFERROR(SUM('1. Mixture Model Inputs'!C127,'1. Mixture Model Inputs'!K127)/'1. Mixture Model Inputs'!AA127,NA())</f>
        <v>#N/A</v>
      </c>
      <c r="E127" s="17" t="e">
        <f>IFERROR(SUM('1. Mixture Model Inputs'!D127,'1. Mixture Model Inputs'!L127)/'1. Mixture Model Inputs'!AB127,NA())</f>
        <v>#N/A</v>
      </c>
      <c r="F127" s="17" t="e">
        <f>IFERROR('1. Mixture Model Inputs'!E127/'1. Mixture Model Inputs'!AC127, NA())</f>
        <v>#N/A</v>
      </c>
      <c r="G127" s="17" t="e">
        <f>IFERROR('1. Mixture Model Inputs'!F127/'1. Mixture Model Inputs'!AD127, NA())</f>
        <v>#N/A</v>
      </c>
      <c r="H127" s="24">
        <f>IFERROR(WhonSpComp!AT142+WhonSpComp!AV142, NA())</f>
        <v>0</v>
      </c>
      <c r="I127" s="17" t="e">
        <f>IFERROR(SUM('1. Mixture Model Inputs'!G127,'1. Mixture Model Inputs'!O127)/'1. Mixture Model Inputs'!AE127, NA())</f>
        <v>#N/A</v>
      </c>
      <c r="J127" s="17" t="e">
        <f>IFERROR(SUM('1. Mixture Model Inputs'!H127,'1. Mixture Model Inputs'!P127)/'1. Mixture Model Inputs'!AF127, NA())</f>
        <v>#N/A</v>
      </c>
      <c r="K127" s="17" t="e">
        <f>IFERROR(SUM('1. Mixture Model Inputs'!I127,'1. Mixture Model Inputs'!Q127)/'1. Mixture Model Inputs'!AG127, NA())</f>
        <v>#N/A</v>
      </c>
      <c r="L127" s="22" t="e">
        <f>C127*'2. Salmon Passage by Bin'!C127</f>
        <v>#N/A</v>
      </c>
      <c r="M127" s="22" t="e">
        <f>D127*'2. Salmon Passage by Bin'!D127</f>
        <v>#N/A</v>
      </c>
      <c r="N127" s="22" t="e">
        <f>F127*'2. Salmon Passage by Bin'!F127</f>
        <v>#N/A</v>
      </c>
      <c r="O127" s="22" t="e">
        <f>G127*'2. Salmon Passage by Bin'!G127</f>
        <v>#N/A</v>
      </c>
      <c r="P127" s="22" t="e">
        <f>$G127*'2. Salmon Passage by Bin'!H127</f>
        <v>#N/A</v>
      </c>
      <c r="Q127" s="22" t="e">
        <f>$G127*'2. Salmon Passage by Bin'!I127</f>
        <v>#N/A</v>
      </c>
      <c r="R127" s="22" t="e">
        <f>$G127*'2. Salmon Passage by Bin'!J127</f>
        <v>#N/A</v>
      </c>
      <c r="S127" s="25" t="e">
        <f>'2. Salmon Passage by Bin'!K127*H127</f>
        <v>#N/A</v>
      </c>
      <c r="T127" s="25" t="e">
        <f>K127*'2. Salmon Passage by Bin'!L127</f>
        <v>#N/A</v>
      </c>
      <c r="U127" s="25" t="e">
        <f>K127*'2. Salmon Passage by Bin'!M127</f>
        <v>#N/A</v>
      </c>
      <c r="V127" s="25" t="e">
        <f>J127*'2. Salmon Passage by Bin'!N127</f>
        <v>#N/A</v>
      </c>
      <c r="W127" s="25" t="e">
        <f>I127*'2. Salmon Passage by Bin'!O127</f>
        <v>#N/A</v>
      </c>
      <c r="X127" s="22" t="e">
        <f>E127*'2. Salmon Passage by Bin'!E127</f>
        <v>#N/A</v>
      </c>
      <c r="Y127" s="41">
        <f t="shared" si="1"/>
        <v>0</v>
      </c>
      <c r="Z127" s="42" t="e">
        <f>Y127/'[1]Passage Estimates'!$D127</f>
        <v>#N/A</v>
      </c>
      <c r="AA127" s="43" t="e">
        <f>IFERROR(SUMIF(L127:R127, "&lt;&gt;#N/A")/SUMIF('2. Salmon Passage by Bin'!E127:J127, "&lt;&gt;#N/A"), NA())</f>
        <v>#N/A</v>
      </c>
      <c r="AB127" s="42" t="e">
        <f>IFERROR(IF(ISNA(S127), NA(), S127/'2. Salmon Passage by Bin'!K127), NA())</f>
        <v>#N/A</v>
      </c>
      <c r="AC127" s="44" t="e">
        <f>IFERROR(SUMIF(T127:W127, "&lt;&gt;#N/A")/SUMIF('2. Salmon Passage by Bin'!L127:N127, "&lt;&gt;#N/A"), NA())</f>
        <v>#N/A</v>
      </c>
    </row>
    <row r="128" spans="1:29" ht="15" thickBot="1" x14ac:dyDescent="0.35">
      <c r="A128" s="6">
        <f>'1. Mixture Model Inputs'!A128</f>
        <v>45230</v>
      </c>
      <c r="B128" s="13" t="str">
        <f>IF(ISBLANK('[1]Passage Estimates'!$C128),"",IF('[1]Passage Estimates'!$C128="Imputation",'[1]Passage Estimates'!$B128,'[1]Passage Estimates'!$C128))</f>
        <v/>
      </c>
      <c r="C128" s="35" t="e">
        <f>IFERROR('1. Mixture Model Inputs'!B128/'1. Mixture Model Inputs'!Z128,NA())</f>
        <v>#N/A</v>
      </c>
      <c r="D128" s="36" t="e">
        <f>IFERROR(SUM('1. Mixture Model Inputs'!C128,'1. Mixture Model Inputs'!K128)/'1. Mixture Model Inputs'!AA128,NA())</f>
        <v>#N/A</v>
      </c>
      <c r="E128" s="17" t="e">
        <f>IFERROR(SUM('1. Mixture Model Inputs'!D128,'1. Mixture Model Inputs'!L128)/'1. Mixture Model Inputs'!AB128,NA())</f>
        <v>#N/A</v>
      </c>
      <c r="F128" s="36" t="e">
        <f>IFERROR('1. Mixture Model Inputs'!E128/'1. Mixture Model Inputs'!AC128, NA())</f>
        <v>#N/A</v>
      </c>
      <c r="G128" s="36" t="e">
        <f>IFERROR('1. Mixture Model Inputs'!F128/'1. Mixture Model Inputs'!AD128, NA())</f>
        <v>#N/A</v>
      </c>
      <c r="H128" s="37">
        <f>IFERROR(WhonSpComp!AT143+WhonSpComp!AV143, NA())</f>
        <v>0</v>
      </c>
      <c r="I128" s="36" t="e">
        <f>IFERROR(SUM('1. Mixture Model Inputs'!G128,'1. Mixture Model Inputs'!O128)/'1. Mixture Model Inputs'!AE128, NA())</f>
        <v>#N/A</v>
      </c>
      <c r="J128" s="36" t="e">
        <f>IFERROR(SUM('1. Mixture Model Inputs'!H128,'1. Mixture Model Inputs'!P128)/'1. Mixture Model Inputs'!AF128, NA())</f>
        <v>#N/A</v>
      </c>
      <c r="K128" s="36" t="e">
        <f>IFERROR(SUM('1. Mixture Model Inputs'!I128,'1. Mixture Model Inputs'!Q128)/'1. Mixture Model Inputs'!AG128, NA())</f>
        <v>#N/A</v>
      </c>
      <c r="L128" s="107" t="e">
        <f>C128*'2. Salmon Passage by Bin'!C128</f>
        <v>#N/A</v>
      </c>
      <c r="M128" s="108" t="e">
        <f>D128*'2. Salmon Passage by Bin'!D128</f>
        <v>#N/A</v>
      </c>
      <c r="N128" s="39" t="e">
        <f>F128*'2. Salmon Passage by Bin'!F128</f>
        <v>#N/A</v>
      </c>
      <c r="O128" s="39" t="e">
        <f>G128*'2. Salmon Passage by Bin'!G128</f>
        <v>#N/A</v>
      </c>
      <c r="P128" s="39" t="e">
        <f>$G128*'2. Salmon Passage by Bin'!H128</f>
        <v>#N/A</v>
      </c>
      <c r="Q128" s="39" t="e">
        <f>$G128*'2. Salmon Passage by Bin'!I128</f>
        <v>#N/A</v>
      </c>
      <c r="R128" s="39" t="e">
        <f>$G128*'2. Salmon Passage by Bin'!J128</f>
        <v>#N/A</v>
      </c>
      <c r="S128" s="40" t="e">
        <f>'2. Salmon Passage by Bin'!K128*H128</f>
        <v>#N/A</v>
      </c>
      <c r="T128" s="40" t="e">
        <f>K128*'2. Salmon Passage by Bin'!L128</f>
        <v>#N/A</v>
      </c>
      <c r="U128" s="40" t="e">
        <f>K128*'2. Salmon Passage by Bin'!M128</f>
        <v>#N/A</v>
      </c>
      <c r="V128" s="40" t="e">
        <f>J128*'2. Salmon Passage by Bin'!N128</f>
        <v>#N/A</v>
      </c>
      <c r="W128" s="40" t="e">
        <f>I128*'2. Salmon Passage by Bin'!O128</f>
        <v>#N/A</v>
      </c>
      <c r="X128" s="39" t="e">
        <f>E128*'2. Salmon Passage by Bin'!E128</f>
        <v>#N/A</v>
      </c>
      <c r="Y128" s="46">
        <f t="shared" si="1"/>
        <v>0</v>
      </c>
      <c r="Z128" s="47" t="e">
        <f>Y128/'[1]Passage Estimates'!$D128</f>
        <v>#N/A</v>
      </c>
      <c r="AA128" s="48" t="e">
        <f>IFERROR(SUMIF(L128:R128, "&lt;&gt;#N/A")/SUMIF('2. Salmon Passage by Bin'!E128:J128, "&lt;&gt;#N/A"), NA())</f>
        <v>#N/A</v>
      </c>
      <c r="AB128" s="47" t="e">
        <f>IFERROR(IF(ISNA(S128), NA(), S128/'2. Salmon Passage by Bin'!K128), NA())</f>
        <v>#N/A</v>
      </c>
      <c r="AC128" s="45" t="e">
        <f>IFERROR(SUMIF(T128:W128, "&lt;&gt;#N/A")/SUMIF('2. Salmon Passage by Bin'!L128:N128, "&lt;&gt;#N/A"), NA())</f>
        <v>#N/A</v>
      </c>
    </row>
    <row r="129" spans="1:1" x14ac:dyDescent="0.3">
      <c r="A129" s="1"/>
    </row>
  </sheetData>
  <mergeCells count="8">
    <mergeCell ref="Y3:AC3"/>
    <mergeCell ref="A4:A5"/>
    <mergeCell ref="B4:B5"/>
    <mergeCell ref="C4:K4"/>
    <mergeCell ref="L4:X4"/>
    <mergeCell ref="Y4:Y5"/>
    <mergeCell ref="Z4:Z5"/>
    <mergeCell ref="AA4:AC4"/>
  </mergeCells>
  <phoneticPr fontId="2" type="noConversion"/>
  <conditionalFormatting sqref="B6:AC128">
    <cfRule type="expression" dxfId="24" priority="2">
      <formula>ISNA(B6)</formula>
    </cfRule>
  </conditionalFormatting>
  <conditionalFormatting sqref="AH1:AH2">
    <cfRule type="expression" dxfId="23" priority="1">
      <formula>ISNA(AH1)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49C-B401-4479-A502-C0AA8E9AD79B}">
  <sheetPr codeName="Sheet5">
    <tabColor theme="4" tint="0.59999389629810485"/>
  </sheetPr>
  <dimension ref="A2:AC129"/>
  <sheetViews>
    <sheetView topLeftCell="A16" workbookViewId="0">
      <selection activeCell="H95" sqref="H95"/>
    </sheetView>
  </sheetViews>
  <sheetFormatPr defaultRowHeight="14.4" x14ac:dyDescent="0.3"/>
  <cols>
    <col min="1" max="1" width="12.44140625" bestFit="1" customWidth="1"/>
    <col min="2" max="2" width="15.6640625" customWidth="1"/>
    <col min="3" max="3" width="9.44140625" bestFit="1" customWidth="1"/>
    <col min="4" max="5" width="9.44140625" customWidth="1"/>
    <col min="6" max="7" width="9.44140625" bestFit="1" customWidth="1"/>
    <col min="8" max="8" width="12.109375" customWidth="1"/>
    <col min="9" max="11" width="10.5546875" bestFit="1" customWidth="1"/>
    <col min="12" max="12" width="9.44140625" bestFit="1" customWidth="1"/>
    <col min="13" max="13" width="9.44140625" customWidth="1"/>
    <col min="14" max="15" width="9.44140625" bestFit="1" customWidth="1"/>
    <col min="16" max="18" width="9.44140625" customWidth="1"/>
    <col min="19" max="19" width="8.88671875" bestFit="1" customWidth="1"/>
    <col min="20" max="20" width="8.88671875" customWidth="1"/>
    <col min="21" max="23" width="10.5546875" bestFit="1" customWidth="1"/>
    <col min="24" max="24" width="11.109375" customWidth="1"/>
    <col min="25" max="25" width="18.33203125" bestFit="1" customWidth="1"/>
    <col min="26" max="26" width="15.33203125" bestFit="1" customWidth="1"/>
    <col min="27" max="27" width="9.44140625" customWidth="1"/>
    <col min="28" max="28" width="7.33203125" bestFit="1" customWidth="1"/>
    <col min="29" max="29" width="10.33203125" customWidth="1"/>
  </cols>
  <sheetData>
    <row r="2" spans="1:29" ht="15" thickBot="1" x14ac:dyDescent="0.35"/>
    <row r="3" spans="1:29" ht="21.6" thickBot="1" x14ac:dyDescent="0.45">
      <c r="Y3" s="266" t="s">
        <v>20</v>
      </c>
      <c r="Z3" s="267"/>
      <c r="AA3" s="267"/>
      <c r="AB3" s="267"/>
      <c r="AC3" s="268"/>
    </row>
    <row r="4" spans="1:29" ht="18" x14ac:dyDescent="0.35">
      <c r="A4" s="260" t="s">
        <v>0</v>
      </c>
      <c r="B4" s="253" t="s">
        <v>21</v>
      </c>
      <c r="C4" s="255" t="s">
        <v>16</v>
      </c>
      <c r="D4" s="248"/>
      <c r="E4" s="248"/>
      <c r="F4" s="248"/>
      <c r="G4" s="248"/>
      <c r="H4" s="248"/>
      <c r="I4" s="248"/>
      <c r="J4" s="248"/>
      <c r="K4" s="248"/>
      <c r="L4" s="255" t="s">
        <v>17</v>
      </c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69" t="s">
        <v>19</v>
      </c>
      <c r="Z4" s="269" t="s">
        <v>22</v>
      </c>
      <c r="AA4" s="255" t="s">
        <v>23</v>
      </c>
      <c r="AB4" s="248"/>
      <c r="AC4" s="227"/>
    </row>
    <row r="5" spans="1:29" ht="43.2" x14ac:dyDescent="0.3">
      <c r="A5" s="261"/>
      <c r="B5" s="254"/>
      <c r="C5" s="26" t="s">
        <v>54</v>
      </c>
      <c r="D5" s="26" t="s">
        <v>55</v>
      </c>
      <c r="E5" s="26" t="s">
        <v>106</v>
      </c>
      <c r="F5" s="26" t="s">
        <v>8</v>
      </c>
      <c r="G5" s="26" t="s">
        <v>9</v>
      </c>
      <c r="H5" s="12" t="s">
        <v>33</v>
      </c>
      <c r="I5" s="27" t="s">
        <v>13</v>
      </c>
      <c r="J5" s="27" t="s">
        <v>14</v>
      </c>
      <c r="K5" s="27" t="s">
        <v>15</v>
      </c>
      <c r="L5" s="26" t="s">
        <v>54</v>
      </c>
      <c r="M5" s="26" t="s">
        <v>55</v>
      </c>
      <c r="N5" s="29" t="s">
        <v>8</v>
      </c>
      <c r="O5" s="29" t="s">
        <v>9</v>
      </c>
      <c r="P5" s="29" t="s">
        <v>102</v>
      </c>
      <c r="Q5" s="29" t="s">
        <v>103</v>
      </c>
      <c r="R5" s="29" t="s">
        <v>104</v>
      </c>
      <c r="S5" s="30" t="s">
        <v>18</v>
      </c>
      <c r="T5" s="27" t="s">
        <v>163</v>
      </c>
      <c r="U5" s="27" t="s">
        <v>15</v>
      </c>
      <c r="V5" s="27" t="s">
        <v>14</v>
      </c>
      <c r="W5" s="27" t="s">
        <v>13</v>
      </c>
      <c r="X5" s="26" t="s">
        <v>106</v>
      </c>
      <c r="Y5" s="270"/>
      <c r="Z5" s="270"/>
      <c r="AA5" s="11" t="s">
        <v>24</v>
      </c>
      <c r="AB5" s="7" t="s">
        <v>25</v>
      </c>
      <c r="AC5" s="8" t="s">
        <v>26</v>
      </c>
    </row>
    <row r="6" spans="1:29" x14ac:dyDescent="0.3">
      <c r="A6" s="5">
        <f>'1. Mixture Model Inputs'!A6</f>
        <v>45108</v>
      </c>
      <c r="B6" s="13" t="str">
        <f>IF(ISBLANK('[1]Passage Estimates'!$C6),"",IF('[1]Passage Estimates'!$C6="Imputation",'[1]Passage Estimates'!$B6,'[1]Passage Estimates'!$C6))</f>
        <v>S1+M+A2</v>
      </c>
      <c r="C6" s="17">
        <f>IFERROR('1. Mixture Model Inputs'!B6/'1. Mixture Model Inputs'!Z6,NA())</f>
        <v>0</v>
      </c>
      <c r="D6" s="17">
        <f>IFERROR('1. Mixture Model Inputs'!C6/'1. Mixture Model Inputs'!AA6,NA())</f>
        <v>0</v>
      </c>
      <c r="E6" s="17">
        <f>IFERROR('1. Mixture Model Inputs'!D6/'1. Mixture Model Inputs'!AB6,NA())</f>
        <v>0</v>
      </c>
      <c r="F6" s="17">
        <f>IFERROR('1. Mixture Model Inputs'!E6/'1. Mixture Model Inputs'!AC6, NA())</f>
        <v>0.19155639571518587</v>
      </c>
      <c r="G6" s="17">
        <f>IFERROR('1. Mixture Model Inputs'!F6/'1. Mixture Model Inputs'!AD6, NA())</f>
        <v>0.87786824574389344</v>
      </c>
      <c r="H6" s="24">
        <f>WhonSpComp!AT21</f>
        <v>0.5</v>
      </c>
      <c r="I6" s="17">
        <f>IFERROR('1. Mixture Model Inputs'!G6/'1. Mixture Model Inputs'!AE6, NA())</f>
        <v>0</v>
      </c>
      <c r="J6" s="17">
        <f>IFERROR('1. Mixture Model Inputs'!H6/'1. Mixture Model Inputs'!AF6, NA())</f>
        <v>0.52689873417721522</v>
      </c>
      <c r="K6" s="17">
        <f>IFERROR('1. Mixture Model Inputs'!I6/'1. Mixture Model Inputs'!AG6, NA())</f>
        <v>0.29444208739923633</v>
      </c>
      <c r="L6" s="22">
        <f>C6*'2. Salmon Passage by Bin'!C6</f>
        <v>0</v>
      </c>
      <c r="M6" s="22">
        <f>D6*'2. Salmon Passage by Bin'!D6</f>
        <v>0</v>
      </c>
      <c r="N6" s="22">
        <f>F6*'2. Salmon Passage by Bin'!F6</f>
        <v>76.913724007561427</v>
      </c>
      <c r="O6" s="22">
        <f>G6*'2. Salmon Passage by Bin'!G6</f>
        <v>226.70069578090306</v>
      </c>
      <c r="P6" s="22">
        <f>$G6*'2. Salmon Passage by Bin'!H6</f>
        <v>235.12823094004446</v>
      </c>
      <c r="Q6" s="22">
        <f>$G6*'2. Salmon Passage by Bin'!I6</f>
        <v>0</v>
      </c>
      <c r="R6" s="22">
        <f>$G6*'2. Salmon Passage by Bin'!J6</f>
        <v>0</v>
      </c>
      <c r="S6" s="25">
        <f>'2. Salmon Passage by Bin'!K6*H6</f>
        <v>1305.2400000000005</v>
      </c>
      <c r="T6" s="25">
        <f>K6*'2. Salmon Passage by Bin'!L6</f>
        <v>0.39920722841279693</v>
      </c>
      <c r="U6" s="25">
        <f>K6*'2. Salmon Passage by Bin'!M6</f>
        <v>0.39920722841279693</v>
      </c>
      <c r="V6" s="25">
        <f>J6*'2. Salmon Passage by Bin'!N6</f>
        <v>8.859599122102841</v>
      </c>
      <c r="W6" s="25">
        <f>I6*'2. Salmon Passage by Bin'!O6</f>
        <v>0</v>
      </c>
      <c r="X6" s="22">
        <f>E6*'2. Salmon Passage by Bin'!E6</f>
        <v>0</v>
      </c>
      <c r="Y6" s="41">
        <f>IF(B6="M",S6,IF(AND(ISNUMBER(SEARCH("A1*",B6)),SUMIF(L6:W6,"&lt;&gt;#N/A")&gt;0),SUMIF(L6:W6,"&lt;&gt;#N/A"),IF(SUMIF(N6:X6,"&lt;&gt;#N/A")&gt;0,SUMIF(N6:X6,"&lt;&gt;#N/A"),0)))</f>
        <v>1853.6406643074374</v>
      </c>
      <c r="Z6" s="42">
        <f>Y6/'[1]Passage Estimates'!$D6</f>
        <v>0.41208238748209425</v>
      </c>
      <c r="AA6" s="43">
        <f>IFERROR(SUMIF(L6:R6, "&lt;&gt;#N/A")/SUMIF('2. Salmon Passage by Bin'!E6:J6, "&lt;&gt;#N/A"), NA())</f>
        <v>0.44734177853768836</v>
      </c>
      <c r="AB6" s="42">
        <f>IFERROR(IF(ISNA(S6), NA(), S6/'2. Salmon Passage by Bin'!K6), NA())</f>
        <v>0.5</v>
      </c>
      <c r="AC6" s="44">
        <f>IFERROR(SUMIF(T6:W6, "&lt;&gt;#N/A")/SUMIF('2. Salmon Passage by Bin'!L6:N6, "&lt;&gt;#N/A"), NA())</f>
        <v>0.49461735982464211</v>
      </c>
    </row>
    <row r="7" spans="1:29" x14ac:dyDescent="0.3">
      <c r="A7" s="5">
        <f>'1. Mixture Model Inputs'!A7</f>
        <v>45109</v>
      </c>
      <c r="B7" s="13" t="str">
        <f>IF(ISBLANK('[1]Passage Estimates'!$C7),"",IF('[1]Passage Estimates'!$C7="Imputation",'[1]Passage Estimates'!$B7,'[1]Passage Estimates'!$C7))</f>
        <v>S1+M+A2</v>
      </c>
      <c r="C7" s="17">
        <f>IFERROR('1. Mixture Model Inputs'!B7/'1. Mixture Model Inputs'!Z7,NA())</f>
        <v>0</v>
      </c>
      <c r="D7" s="17">
        <f>IFERROR('1. Mixture Model Inputs'!C7/'1. Mixture Model Inputs'!AA7,NA())</f>
        <v>0</v>
      </c>
      <c r="E7" s="17">
        <f>IFERROR('1. Mixture Model Inputs'!D7/'1. Mixture Model Inputs'!AB7,NA())</f>
        <v>0</v>
      </c>
      <c r="F7" s="17">
        <f>IFERROR('1. Mixture Model Inputs'!E7/'1. Mixture Model Inputs'!AC7, NA())</f>
        <v>0.19155639571518587</v>
      </c>
      <c r="G7" s="17">
        <f>IFERROR('1. Mixture Model Inputs'!F7/'1. Mixture Model Inputs'!AD7, NA())</f>
        <v>0.63151959402311808</v>
      </c>
      <c r="H7" s="24">
        <f>WhonSpComp!AT22</f>
        <v>1</v>
      </c>
      <c r="I7" s="17">
        <f>IFERROR('1. Mixture Model Inputs'!G7/'1. Mixture Model Inputs'!AE7, NA())</f>
        <v>0</v>
      </c>
      <c r="J7" s="17">
        <f>IFERROR('1. Mixture Model Inputs'!H7/'1. Mixture Model Inputs'!AF7, NA())</f>
        <v>0.52689873417721522</v>
      </c>
      <c r="K7" s="17">
        <f>IFERROR('1. Mixture Model Inputs'!I7/'1. Mixture Model Inputs'!AG7, NA())</f>
        <v>0.29444208739923633</v>
      </c>
      <c r="L7" s="22">
        <f>C7*'2. Salmon Passage by Bin'!C7</f>
        <v>0</v>
      </c>
      <c r="M7" s="22">
        <f>D7*'2. Salmon Passage by Bin'!D7</f>
        <v>0</v>
      </c>
      <c r="N7" s="22">
        <f>F7*'2. Salmon Passage by Bin'!F7</f>
        <v>82.936257088846872</v>
      </c>
      <c r="O7" s="22">
        <f>G7*'2. Salmon Passage by Bin'!G7</f>
        <v>154.89912602199041</v>
      </c>
      <c r="P7" s="22">
        <f>$G7*'2. Salmon Passage by Bin'!H7</f>
        <v>143.98646743727093</v>
      </c>
      <c r="Q7" s="22">
        <f>$G7*'2. Salmon Passage by Bin'!I7</f>
        <v>0</v>
      </c>
      <c r="R7" s="22">
        <f>$G7*'2. Salmon Passage by Bin'!J7</f>
        <v>0</v>
      </c>
      <c r="S7" s="25">
        <f>'2. Salmon Passage by Bin'!K7*H7</f>
        <v>1914.4800000000009</v>
      </c>
      <c r="T7" s="25">
        <f>K7*'2. Salmon Passage by Bin'!L7</f>
        <v>0.96609687217640039</v>
      </c>
      <c r="U7" s="25">
        <f>K7*'2. Salmon Passage by Bin'!M7</f>
        <v>0.46254513504365402</v>
      </c>
      <c r="V7" s="25">
        <f>J7*'2. Salmon Passage by Bin'!N7</f>
        <v>5.6500123018769477</v>
      </c>
      <c r="W7" s="25">
        <f>I7*'2. Salmon Passage by Bin'!O7</f>
        <v>0</v>
      </c>
      <c r="X7" s="22">
        <f>E7*'2. Salmon Passage by Bin'!E7</f>
        <v>0</v>
      </c>
      <c r="Y7" s="41">
        <f t="shared" ref="Y7:Y70" si="0">IF(B7="M",S7,IF(AND(ISNUMBER(SEARCH("A1*",B7)),SUMIF(L7:W7,"&lt;&gt;#N/A")&gt;0),SUMIF(L7:W7,"&lt;&gt;#N/A"),IF(SUMIF(N7:X7,"&lt;&gt;#N/A")&gt;0,SUMIF(N7:X7,"&lt;&gt;#N/A"),0)))</f>
        <v>2303.3805048572058</v>
      </c>
      <c r="Z7" s="42">
        <f>Y7/'[1]Passage Estimates'!$D7</f>
        <v>0.59235265722529329</v>
      </c>
      <c r="AA7" s="43">
        <f>IFERROR(SUMIF(L7:R7, "&lt;&gt;#N/A")/SUMIF('2. Salmon Passage by Bin'!E7:J7, "&lt;&gt;#N/A"), NA())</f>
        <v>0.28202878519478536</v>
      </c>
      <c r="AB7" s="42">
        <f>IFERROR(IF(ISNA(S7), NA(), S7/'2. Salmon Passage by Bin'!K7), NA())</f>
        <v>1</v>
      </c>
      <c r="AC7" s="44">
        <f>IFERROR(SUMIF(T7:W7, "&lt;&gt;#N/A")/SUMIF('2. Salmon Passage by Bin'!L7:N7, "&lt;&gt;#N/A"), NA())</f>
        <v>0.45448307223272211</v>
      </c>
    </row>
    <row r="8" spans="1:29" x14ac:dyDescent="0.3">
      <c r="A8" s="5">
        <f>'1. Mixture Model Inputs'!A8</f>
        <v>45110</v>
      </c>
      <c r="B8" s="13" t="str">
        <f>IF(ISBLANK('[1]Passage Estimates'!$C8),"",IF('[1]Passage Estimates'!$C8="Imputation",'[1]Passage Estimates'!$B8,'[1]Passage Estimates'!$C8))</f>
        <v>S1+M+A2</v>
      </c>
      <c r="C8" s="17">
        <f>IFERROR('1. Mixture Model Inputs'!B8/'1. Mixture Model Inputs'!Z8,NA())</f>
        <v>1</v>
      </c>
      <c r="D8" s="17">
        <f>IFERROR('1. Mixture Model Inputs'!C8/'1. Mixture Model Inputs'!AA8,NA())</f>
        <v>0</v>
      </c>
      <c r="E8" s="17">
        <f>IFERROR('1. Mixture Model Inputs'!D8/'1. Mixture Model Inputs'!AB8,NA())</f>
        <v>0.49333333333333335</v>
      </c>
      <c r="F8" s="17">
        <f>IFERROR('1. Mixture Model Inputs'!E8/'1. Mixture Model Inputs'!AC8, NA())</f>
        <v>0.31625441696113077</v>
      </c>
      <c r="G8" s="17">
        <f>IFERROR('1. Mixture Model Inputs'!F8/'1. Mixture Model Inputs'!AD8, NA())</f>
        <v>0.82963493199713678</v>
      </c>
      <c r="H8" s="24">
        <f>WhonSpComp!AT23</f>
        <v>1</v>
      </c>
      <c r="I8" s="17">
        <f>IFERROR('1. Mixture Model Inputs'!G8/'1. Mixture Model Inputs'!AE8, NA())</f>
        <v>0</v>
      </c>
      <c r="J8" s="17">
        <f>IFERROR('1. Mixture Model Inputs'!H8/'1. Mixture Model Inputs'!AF8, NA())</f>
        <v>0.52689873417721522</v>
      </c>
      <c r="K8" s="17">
        <f>IFERROR('1. Mixture Model Inputs'!I8/'1. Mixture Model Inputs'!AG8, NA())</f>
        <v>0.29444208739923633</v>
      </c>
      <c r="L8" s="22">
        <f>C8*'2. Salmon Passage by Bin'!C8</f>
        <v>88</v>
      </c>
      <c r="M8" s="22">
        <f>D8*'2. Salmon Passage by Bin'!D8</f>
        <v>0</v>
      </c>
      <c r="N8" s="22">
        <f>F8*'2. Salmon Passage by Bin'!F8</f>
        <v>83.491166077738526</v>
      </c>
      <c r="O8" s="22">
        <f>G8*'2. Salmon Passage by Bin'!G8</f>
        <v>216.43516105941305</v>
      </c>
      <c r="P8" s="22">
        <f>$G8*'2. Salmon Passage by Bin'!H8</f>
        <v>198.11682176091625</v>
      </c>
      <c r="Q8" s="22">
        <f>$G8*'2. Salmon Passage by Bin'!I8</f>
        <v>0</v>
      </c>
      <c r="R8" s="22">
        <f>$G8*'2. Salmon Passage by Bin'!J8</f>
        <v>0</v>
      </c>
      <c r="S8" s="25">
        <f>'2. Salmon Passage by Bin'!K8*H8</f>
        <v>1223.5200000000009</v>
      </c>
      <c r="T8" s="25">
        <f>K8*'2. Salmon Passage by Bin'!L8</f>
        <v>0.96947483326792605</v>
      </c>
      <c r="U8" s="25">
        <f>K8*'2. Salmon Passage by Bin'!M8</f>
        <v>0.17261809764888539</v>
      </c>
      <c r="V8" s="25">
        <f>J8*'2. Salmon Passage by Bin'!N8</f>
        <v>4.9188342392811073</v>
      </c>
      <c r="W8" s="25">
        <f>I8*'2. Salmon Passage by Bin'!O8</f>
        <v>0</v>
      </c>
      <c r="X8" s="22">
        <f>E8*'2. Salmon Passage by Bin'!E8</f>
        <v>84.182400000000001</v>
      </c>
      <c r="Y8" s="41">
        <f t="shared" si="0"/>
        <v>1811.8064760682664</v>
      </c>
      <c r="Z8" s="42">
        <f>Y8/'[1]Passage Estimates'!$D8</f>
        <v>0.74318692008641196</v>
      </c>
      <c r="AA8" s="43">
        <f>IFERROR(SUMIF(L8:R8, "&lt;&gt;#N/A")/SUMIF('2. Salmon Passage by Bin'!E8:J8, "&lt;&gt;#N/A"), NA())</f>
        <v>0.62724029122577685</v>
      </c>
      <c r="AB8" s="42">
        <f>IFERROR(IF(ISNA(S8), NA(), S8/'2. Salmon Passage by Bin'!K8), NA())</f>
        <v>1</v>
      </c>
      <c r="AC8" s="44">
        <f>IFERROR(SUMIF(T8:W8, "&lt;&gt;#N/A")/SUMIF('2. Salmon Passage by Bin'!L8:N8, "&lt;&gt;#N/A"), NA())</f>
        <v>0.45866487408487178</v>
      </c>
    </row>
    <row r="9" spans="1:29" x14ac:dyDescent="0.3">
      <c r="A9" s="5">
        <f>'1. Mixture Model Inputs'!A9</f>
        <v>45111</v>
      </c>
      <c r="B9" s="13" t="str">
        <f>IF(ISBLANK('[1]Passage Estimates'!$C9),"",IF('[1]Passage Estimates'!$C9="Imputation",'[1]Passage Estimates'!$B9,'[1]Passage Estimates'!$C9))</f>
        <v>S1+M+A2</v>
      </c>
      <c r="C9" s="17">
        <f>IFERROR('1. Mixture Model Inputs'!B9/'1. Mixture Model Inputs'!Z9,NA())</f>
        <v>0</v>
      </c>
      <c r="D9" s="17">
        <f>IFERROR('1. Mixture Model Inputs'!C9/'1. Mixture Model Inputs'!AA9,NA())</f>
        <v>0</v>
      </c>
      <c r="E9" s="17">
        <f>IFERROR('1. Mixture Model Inputs'!D9/'1. Mixture Model Inputs'!AB9,NA())</f>
        <v>0</v>
      </c>
      <c r="F9" s="17">
        <f>IFERROR('1. Mixture Model Inputs'!E9/'1. Mixture Model Inputs'!AC9, NA())</f>
        <v>0.55442840421381201</v>
      </c>
      <c r="G9" s="17">
        <f>IFERROR('1. Mixture Model Inputs'!F9/'1. Mixture Model Inputs'!AD9, NA())</f>
        <v>0.63488759367194003</v>
      </c>
      <c r="H9" s="24">
        <f>WhonSpComp!AT24</f>
        <v>0.66666666666666663</v>
      </c>
      <c r="I9" s="17">
        <f>IFERROR('1. Mixture Model Inputs'!G9/'1. Mixture Model Inputs'!AE9, NA())</f>
        <v>0</v>
      </c>
      <c r="J9" s="17">
        <f>IFERROR('1. Mixture Model Inputs'!H9/'1. Mixture Model Inputs'!AF9, NA())</f>
        <v>0.52689873417721522</v>
      </c>
      <c r="K9" s="17">
        <f>IFERROR('1. Mixture Model Inputs'!I9/'1. Mixture Model Inputs'!AG9, NA())</f>
        <v>0.29444208739923633</v>
      </c>
      <c r="L9" s="22">
        <f>C9*'2. Salmon Passage by Bin'!C9</f>
        <v>0</v>
      </c>
      <c r="M9" s="22">
        <f>D9*'2. Salmon Passage by Bin'!D9</f>
        <v>0</v>
      </c>
      <c r="N9" s="22">
        <f>F9*'2. Salmon Passage by Bin'!F9</f>
        <v>200.12647678501756</v>
      </c>
      <c r="O9" s="22">
        <f>G9*'2. Salmon Passage by Bin'!G9</f>
        <v>179.64779350541212</v>
      </c>
      <c r="P9" s="22">
        <f>$G9*'2. Salmon Passage by Bin'!H9</f>
        <v>161.82014987510408</v>
      </c>
      <c r="Q9" s="22">
        <f>$G9*'2. Salmon Passage by Bin'!I9</f>
        <v>0</v>
      </c>
      <c r="R9" s="22">
        <f>$G9*'2. Salmon Passage by Bin'!J9</f>
        <v>0</v>
      </c>
      <c r="S9" s="25">
        <f>'2. Salmon Passage by Bin'!K9*H9</f>
        <v>642.07999999999993</v>
      </c>
      <c r="T9" s="25">
        <f>K9*'2. Salmon Passage by Bin'!L9</f>
        <v>1.9366976924748349</v>
      </c>
      <c r="U9" s="25">
        <f>K9*'2. Salmon Passage by Bin'!M9</f>
        <v>0.64229989822841072</v>
      </c>
      <c r="V9" s="25">
        <f>J9*'2. Salmon Passage by Bin'!N9</f>
        <v>4.8713551443073504</v>
      </c>
      <c r="W9" s="25">
        <f>I9*'2. Salmon Passage by Bin'!O9</f>
        <v>0</v>
      </c>
      <c r="X9" s="22">
        <f>E9*'2. Salmon Passage by Bin'!E9</f>
        <v>0</v>
      </c>
      <c r="Y9" s="41">
        <f t="shared" si="0"/>
        <v>1191.1247729005443</v>
      </c>
      <c r="Z9" s="42">
        <f>Y9/'[1]Passage Estimates'!$D9</f>
        <v>0.38199464533933419</v>
      </c>
      <c r="AA9" s="43">
        <f>IFERROR(SUMIF(L9:R9, "&lt;&gt;#N/A")/SUMIF('2. Salmon Passage by Bin'!E9:J9, "&lt;&gt;#N/A"), NA())</f>
        <v>0.47598469043585534</v>
      </c>
      <c r="AB9" s="42">
        <f>IFERROR(IF(ISNA(S9), NA(), S9/'2. Salmon Passage by Bin'!K9), NA())</f>
        <v>0.66666666666666663</v>
      </c>
      <c r="AC9" s="44">
        <f>IFERROR(SUMIF(T9:W9, "&lt;&gt;#N/A")/SUMIF('2. Salmon Passage by Bin'!L9:N9, "&lt;&gt;#N/A"), NA())</f>
        <v>0.41381044562810576</v>
      </c>
    </row>
    <row r="10" spans="1:29" x14ac:dyDescent="0.3">
      <c r="A10" s="5">
        <f>'1. Mixture Model Inputs'!A10</f>
        <v>45112</v>
      </c>
      <c r="B10" s="13" t="str">
        <f>IF(ISBLANK('[1]Passage Estimates'!$C10),"",IF('[1]Passage Estimates'!$C10="Imputation",'[1]Passage Estimates'!$B10,'[1]Passage Estimates'!$C10))</f>
        <v>S1+M+A2</v>
      </c>
      <c r="C10" s="17">
        <f>IFERROR('1. Mixture Model Inputs'!B10/'1. Mixture Model Inputs'!Z10,NA())</f>
        <v>0</v>
      </c>
      <c r="D10" s="17">
        <f>IFERROR('1. Mixture Model Inputs'!C10/'1. Mixture Model Inputs'!AA10,NA())</f>
        <v>0</v>
      </c>
      <c r="E10" s="17">
        <f>IFERROR('1. Mixture Model Inputs'!D10/'1. Mixture Model Inputs'!AB10,NA())</f>
        <v>0</v>
      </c>
      <c r="F10" s="17">
        <f>IFERROR('1. Mixture Model Inputs'!E10/'1. Mixture Model Inputs'!AC10, NA())</f>
        <v>0.28624382207578258</v>
      </c>
      <c r="G10" s="17">
        <f>IFERROR('1. Mixture Model Inputs'!F10/'1. Mixture Model Inputs'!AD10, NA())</f>
        <v>1</v>
      </c>
      <c r="H10" s="24">
        <f>WhonSpComp!AT25</f>
        <v>0.33333333333333331</v>
      </c>
      <c r="I10" s="17">
        <f>IFERROR('1. Mixture Model Inputs'!G10/'1. Mixture Model Inputs'!AE10, NA())</f>
        <v>0</v>
      </c>
      <c r="J10" s="17">
        <f>IFERROR('1. Mixture Model Inputs'!H10/'1. Mixture Model Inputs'!AF10, NA())</f>
        <v>0.52689873417721522</v>
      </c>
      <c r="K10" s="17">
        <f>IFERROR('1. Mixture Model Inputs'!I10/'1. Mixture Model Inputs'!AG10, NA())</f>
        <v>0.29444208739923633</v>
      </c>
      <c r="L10" s="22">
        <f>C10*'2. Salmon Passage by Bin'!C10</f>
        <v>0</v>
      </c>
      <c r="M10" s="22">
        <f>D10*'2. Salmon Passage by Bin'!D10</f>
        <v>0</v>
      </c>
      <c r="N10" s="22">
        <f>F10*'2. Salmon Passage by Bin'!F10</f>
        <v>237.18447509060962</v>
      </c>
      <c r="O10" s="22">
        <f>G10*'2. Salmon Passage by Bin'!G10</f>
        <v>352.79244</v>
      </c>
      <c r="P10" s="22">
        <f>$G10*'2. Salmon Passage by Bin'!H10</f>
        <v>604.52858399999991</v>
      </c>
      <c r="Q10" s="22">
        <f>$G10*'2. Salmon Passage by Bin'!I10</f>
        <v>0</v>
      </c>
      <c r="R10" s="22">
        <f>$G10*'2. Salmon Passage by Bin'!J10</f>
        <v>0</v>
      </c>
      <c r="S10" s="25">
        <f>'2. Salmon Passage by Bin'!K10*H10</f>
        <v>917.92000000000007</v>
      </c>
      <c r="T10" s="25">
        <f>K10*'2. Salmon Passage by Bin'!L10</f>
        <v>2.8543771223393644</v>
      </c>
      <c r="U10" s="25">
        <f>K10*'2. Salmon Passage by Bin'!M10</f>
        <v>0.83989632525284541</v>
      </c>
      <c r="V10" s="25">
        <f>J10*'2. Salmon Passage by Bin'!N10</f>
        <v>17.054490914573105</v>
      </c>
      <c r="W10" s="25">
        <f>I10*'2. Salmon Passage by Bin'!O10</f>
        <v>0</v>
      </c>
      <c r="X10" s="22">
        <f>E10*'2. Salmon Passage by Bin'!E10</f>
        <v>0</v>
      </c>
      <c r="Y10" s="41">
        <f t="shared" si="0"/>
        <v>2133.1742634527754</v>
      </c>
      <c r="Z10" s="42">
        <f>Y10/'[1]Passage Estimates'!$D10</f>
        <v>0.34585307732483805</v>
      </c>
      <c r="AA10" s="43">
        <f>IFERROR(SUMIF(L10:R10, "&lt;&gt;#N/A")/SUMIF('2. Salmon Passage by Bin'!E10:J10, "&lt;&gt;#N/A"), NA())</f>
        <v>0.53171855655487343</v>
      </c>
      <c r="AB10" s="42">
        <f>IFERROR(IF(ISNA(S10), NA(), S10/'2. Salmon Passage by Bin'!K10), NA())</f>
        <v>0.33333333333333331</v>
      </c>
      <c r="AC10" s="44">
        <f>IFERROR(SUMIF(T10:W10, "&lt;&gt;#N/A")/SUMIF('2. Salmon Passage by Bin'!L10:N10, "&lt;&gt;#N/A"), NA())</f>
        <v>0.46196269604496415</v>
      </c>
    </row>
    <row r="11" spans="1:29" x14ac:dyDescent="0.3">
      <c r="A11" s="5">
        <f>'1. Mixture Model Inputs'!A11</f>
        <v>45113</v>
      </c>
      <c r="B11" s="13" t="str">
        <f>IF(ISBLANK('[1]Passage Estimates'!$C11),"",IF('[1]Passage Estimates'!$C11="Imputation",'[1]Passage Estimates'!$B11,'[1]Passage Estimates'!$C11))</f>
        <v>S1+M+A2</v>
      </c>
      <c r="C11" s="17">
        <f>IFERROR('1. Mixture Model Inputs'!B11/'1. Mixture Model Inputs'!Z11,NA())</f>
        <v>0</v>
      </c>
      <c r="D11" s="17">
        <f>IFERROR('1. Mixture Model Inputs'!C11/'1. Mixture Model Inputs'!AA11,NA())</f>
        <v>0</v>
      </c>
      <c r="E11" s="17">
        <f>IFERROR('1. Mixture Model Inputs'!D11/'1. Mixture Model Inputs'!AB11,NA())</f>
        <v>0</v>
      </c>
      <c r="F11" s="17">
        <f>IFERROR('1. Mixture Model Inputs'!E11/'1. Mixture Model Inputs'!AC11, NA())</f>
        <v>0.6388415672913117</v>
      </c>
      <c r="G11" s="17">
        <f>IFERROR('1. Mixture Model Inputs'!F11/'1. Mixture Model Inputs'!AD11, NA())</f>
        <v>0.66924398625429549</v>
      </c>
      <c r="H11" s="24">
        <f>WhonSpComp!AT26</f>
        <v>0</v>
      </c>
      <c r="I11" s="17">
        <f>IFERROR('1. Mixture Model Inputs'!G11/'1. Mixture Model Inputs'!AE11, NA())</f>
        <v>0</v>
      </c>
      <c r="J11" s="17">
        <f>IFERROR('1. Mixture Model Inputs'!H11/'1. Mixture Model Inputs'!AF11, NA())</f>
        <v>0.52689873417721522</v>
      </c>
      <c r="K11" s="17">
        <f>IFERROR('1. Mixture Model Inputs'!I11/'1. Mixture Model Inputs'!AG11, NA())</f>
        <v>0.29444208739923633</v>
      </c>
      <c r="L11" s="22">
        <f>C11*'2. Salmon Passage by Bin'!C11</f>
        <v>0</v>
      </c>
      <c r="M11" s="22">
        <f>D11*'2. Salmon Passage by Bin'!D11</f>
        <v>0</v>
      </c>
      <c r="N11" s="22">
        <f>F11*'2. Salmon Passage by Bin'!F11</f>
        <v>381.77172061328781</v>
      </c>
      <c r="O11" s="22">
        <f>G11*'2. Salmon Passage by Bin'!G11</f>
        <v>283.49175257731957</v>
      </c>
      <c r="P11" s="22">
        <f>$G11*'2. Salmon Passage by Bin'!H11</f>
        <v>312.88494845360822</v>
      </c>
      <c r="Q11" s="22">
        <f>$G11*'2. Salmon Passage by Bin'!I11</f>
        <v>0</v>
      </c>
      <c r="R11" s="22">
        <f>$G11*'2. Salmon Passage by Bin'!J11</f>
        <v>0</v>
      </c>
      <c r="S11" s="25">
        <f>'2. Salmon Passage by Bin'!K11*H11</f>
        <v>0</v>
      </c>
      <c r="T11" s="25">
        <f>K11*'2. Salmon Passage by Bin'!L11</f>
        <v>-25.322019516334326</v>
      </c>
      <c r="U11" s="25">
        <f>K11*'2. Salmon Passage by Bin'!M11</f>
        <v>-127.78786593126857</v>
      </c>
      <c r="V11" s="25">
        <f>J11*'2. Salmon Passage by Bin'!N11</f>
        <v>-51.63607594936709</v>
      </c>
      <c r="W11" s="25">
        <f>I11*'2. Salmon Passage by Bin'!O11</f>
        <v>0</v>
      </c>
      <c r="X11" s="22">
        <f>E11*'2. Salmon Passage by Bin'!E11</f>
        <v>0</v>
      </c>
      <c r="Y11" s="41">
        <f t="shared" si="0"/>
        <v>773.40246024724559</v>
      </c>
      <c r="Z11" s="42">
        <f>Y11/'[1]Passage Estimates'!$D11</f>
        <v>0.16160629126803194</v>
      </c>
      <c r="AA11" s="43">
        <f>IFERROR(SUMIF(L11:R11, "&lt;&gt;#N/A")/SUMIF('2. Salmon Passage by Bin'!E11:J11, "&lt;&gt;#N/A"), NA())</f>
        <v>0.48652482076131853</v>
      </c>
      <c r="AB11" s="42">
        <f>IFERROR(IF(ISNA(S11), NA(), S11/'2. Salmon Passage by Bin'!K11), NA())</f>
        <v>0</v>
      </c>
      <c r="AC11" s="44">
        <f>IFERROR(SUMIF(T11:W11, "&lt;&gt;#N/A")/SUMIF('2. Salmon Passage by Bin'!L11:N11, "&lt;&gt;#N/A"), NA())</f>
        <v>0.33130414465529123</v>
      </c>
    </row>
    <row r="12" spans="1:29" x14ac:dyDescent="0.3">
      <c r="A12" s="5">
        <f>'1. Mixture Model Inputs'!A12</f>
        <v>45114</v>
      </c>
      <c r="B12" s="13" t="str">
        <f>IF(ISBLANK('[1]Passage Estimates'!$C12),"",IF('[1]Passage Estimates'!$C12="Imputation",'[1]Passage Estimates'!$B12,'[1]Passage Estimates'!$C12))</f>
        <v>S1+M+A2</v>
      </c>
      <c r="C12" s="17">
        <f>IFERROR('1. Mixture Model Inputs'!B12/'1. Mixture Model Inputs'!Z12,NA())</f>
        <v>0</v>
      </c>
      <c r="D12" s="17">
        <f>IFERROR('1. Mixture Model Inputs'!C12/'1. Mixture Model Inputs'!AA12,NA())</f>
        <v>0</v>
      </c>
      <c r="E12" s="17">
        <f>IFERROR('1. Mixture Model Inputs'!D12/'1. Mixture Model Inputs'!AB12,NA())</f>
        <v>0</v>
      </c>
      <c r="F12" s="17">
        <f>IFERROR('1. Mixture Model Inputs'!E12/'1. Mixture Model Inputs'!AC12, NA())</f>
        <v>0.6388415672913117</v>
      </c>
      <c r="G12" s="17">
        <f>IFERROR('1. Mixture Model Inputs'!F12/'1. Mixture Model Inputs'!AD12, NA())</f>
        <v>0.66924398625429549</v>
      </c>
      <c r="H12" s="24">
        <f>WhonSpComp!AT27</f>
        <v>1</v>
      </c>
      <c r="I12" s="17">
        <f>IFERROR('1. Mixture Model Inputs'!G12/'1. Mixture Model Inputs'!AE12, NA())</f>
        <v>0</v>
      </c>
      <c r="J12" s="17">
        <f>IFERROR('1. Mixture Model Inputs'!H12/'1. Mixture Model Inputs'!AF12, NA())</f>
        <v>0.52689873417721522</v>
      </c>
      <c r="K12" s="17">
        <f>IFERROR('1. Mixture Model Inputs'!I12/'1. Mixture Model Inputs'!AG12, NA())</f>
        <v>0.29444208739923633</v>
      </c>
      <c r="L12" s="22">
        <f>C12*'2. Salmon Passage by Bin'!C12</f>
        <v>0</v>
      </c>
      <c r="M12" s="22">
        <f>D12*'2. Salmon Passage by Bin'!D12</f>
        <v>0</v>
      </c>
      <c r="N12" s="22">
        <f>F12*'2. Salmon Passage by Bin'!F12</f>
        <v>504.42930153321964</v>
      </c>
      <c r="O12" s="22">
        <f>G12*'2. Salmon Passage by Bin'!G12</f>
        <v>167.04329896907217</v>
      </c>
      <c r="P12" s="22">
        <f>$G12*'2. Salmon Passage by Bin'!H12</f>
        <v>205.5917525773196</v>
      </c>
      <c r="Q12" s="22">
        <f>$G12*'2. Salmon Passage by Bin'!I12</f>
        <v>0</v>
      </c>
      <c r="R12" s="22">
        <f>$G12*'2. Salmon Passage by Bin'!J12</f>
        <v>0</v>
      </c>
      <c r="S12" s="25">
        <f>'2. Salmon Passage by Bin'!K12*H12</f>
        <v>2294.88</v>
      </c>
      <c r="T12" s="25">
        <f>K12*'2. Salmon Passage by Bin'!L12</f>
        <v>32.094187526516762</v>
      </c>
      <c r="U12" s="25">
        <f>K12*'2. Salmon Passage by Bin'!M12</f>
        <v>51.821807382265597</v>
      </c>
      <c r="V12" s="25">
        <f>J12*'2. Salmon Passage by Bin'!N12</f>
        <v>149.63924050632912</v>
      </c>
      <c r="W12" s="25">
        <f>I12*'2. Salmon Passage by Bin'!O12</f>
        <v>0</v>
      </c>
      <c r="X12" s="22">
        <f>E12*'2. Salmon Passage by Bin'!E12</f>
        <v>0</v>
      </c>
      <c r="Y12" s="41">
        <f t="shared" si="0"/>
        <v>3405.499588494723</v>
      </c>
      <c r="Z12" s="42">
        <f>Y12/'[1]Passage Estimates'!$D12</f>
        <v>0.59429898512720547</v>
      </c>
      <c r="AA12" s="43">
        <f>IFERROR(SUMIF(L12:R12, "&lt;&gt;#N/A")/SUMIF('2. Salmon Passage by Bin'!E12:J12, "&lt;&gt;#N/A"), NA())</f>
        <v>0.41717292288794311</v>
      </c>
      <c r="AB12" s="42">
        <f>IFERROR(IF(ISNA(S12), NA(), S12/'2. Salmon Passage by Bin'!K12), NA())</f>
        <v>1</v>
      </c>
      <c r="AC12" s="44">
        <f>IFERROR(SUMIF(T12:W12, "&lt;&gt;#N/A")/SUMIF('2. Salmon Passage by Bin'!L12:N12, "&lt;&gt;#N/A"), NA())</f>
        <v>0.41046614308455442</v>
      </c>
    </row>
    <row r="13" spans="1:29" x14ac:dyDescent="0.3">
      <c r="A13" s="5">
        <f>'1. Mixture Model Inputs'!A13</f>
        <v>45115</v>
      </c>
      <c r="B13" s="13" t="str">
        <f>IF(ISBLANK('[1]Passage Estimates'!$C13),"",IF('[1]Passage Estimates'!$C13="Imputation",'[1]Passage Estimates'!$B13,'[1]Passage Estimates'!$C13))</f>
        <v>S1+M+A2</v>
      </c>
      <c r="C13" s="17">
        <f>IFERROR('1. Mixture Model Inputs'!B13/'1. Mixture Model Inputs'!Z13,NA())</f>
        <v>0</v>
      </c>
      <c r="D13" s="17">
        <f>IFERROR('1. Mixture Model Inputs'!C13/'1. Mixture Model Inputs'!AA13,NA())</f>
        <v>0</v>
      </c>
      <c r="E13" s="17">
        <f>IFERROR('1. Mixture Model Inputs'!D13/'1. Mixture Model Inputs'!AB13,NA())</f>
        <v>0</v>
      </c>
      <c r="F13" s="17">
        <f>IFERROR('1. Mixture Model Inputs'!E13/'1. Mixture Model Inputs'!AC13, NA())</f>
        <v>0.6388415672913117</v>
      </c>
      <c r="G13" s="17">
        <f>IFERROR('1. Mixture Model Inputs'!F13/'1. Mixture Model Inputs'!AD13, NA())</f>
        <v>0.66924398625429549</v>
      </c>
      <c r="H13" s="24">
        <f>WhonSpComp!AT28</f>
        <v>1</v>
      </c>
      <c r="I13" s="17">
        <f>IFERROR('1. Mixture Model Inputs'!G13/'1. Mixture Model Inputs'!AE13, NA())</f>
        <v>0</v>
      </c>
      <c r="J13" s="17">
        <f>IFERROR('1. Mixture Model Inputs'!H13/'1. Mixture Model Inputs'!AF13, NA())</f>
        <v>0.52689873417721522</v>
      </c>
      <c r="K13" s="17">
        <f>IFERROR('1. Mixture Model Inputs'!I13/'1. Mixture Model Inputs'!AG13, NA())</f>
        <v>0.29444208739923633</v>
      </c>
      <c r="L13" s="22">
        <f>C13*'2. Salmon Passage by Bin'!C13</f>
        <v>0</v>
      </c>
      <c r="M13" s="22">
        <f>D13*'2. Salmon Passage by Bin'!D13</f>
        <v>0</v>
      </c>
      <c r="N13" s="22">
        <f>F13*'2. Salmon Passage by Bin'!F13</f>
        <v>598.41567291311753</v>
      </c>
      <c r="O13" s="22">
        <f>G13*'2. Salmon Passage by Bin'!G13</f>
        <v>160.29731958762886</v>
      </c>
      <c r="P13" s="22">
        <f>$G13*'2. Salmon Passage by Bin'!H13</f>
        <v>275.6214432989691</v>
      </c>
      <c r="Q13" s="22">
        <f>$G13*'2. Salmon Passage by Bin'!I13</f>
        <v>125.92494845360824</v>
      </c>
      <c r="R13" s="22">
        <f>$G13*'2. Salmon Passage by Bin'!J13</f>
        <v>0</v>
      </c>
      <c r="S13" s="25">
        <f>'2. Salmon Passage by Bin'!K13*H13</f>
        <v>2562.2400000000011</v>
      </c>
      <c r="T13" s="25">
        <f>K13*'2. Salmon Passage by Bin'!L13</f>
        <v>2.3555366991938906</v>
      </c>
      <c r="U13" s="25">
        <f>K13*'2. Salmon Passage by Bin'!M13</f>
        <v>7.3610521849809079</v>
      </c>
      <c r="V13" s="25">
        <f>J13*'2. Salmon Passage by Bin'!N13</f>
        <v>-3.6882911392405067</v>
      </c>
      <c r="W13" s="25">
        <f>I13*'2. Salmon Passage by Bin'!O13</f>
        <v>0</v>
      </c>
      <c r="X13" s="22">
        <f>E13*'2. Salmon Passage by Bin'!E13</f>
        <v>0</v>
      </c>
      <c r="Y13" s="41">
        <f t="shared" si="0"/>
        <v>3728.5276819982596</v>
      </c>
      <c r="Z13" s="42">
        <f>Y13/'[1]Passage Estimates'!$D13</f>
        <v>0.66150401352595933</v>
      </c>
      <c r="AA13" s="43">
        <f>IFERROR(SUMIF(L13:R13, "&lt;&gt;#N/A")/SUMIF('2. Salmon Passage by Bin'!E13:J13, "&lt;&gt;#N/A"), NA())</f>
        <v>0.52094979537236163</v>
      </c>
      <c r="AB13" s="42">
        <f>IFERROR(IF(ISNA(S13), NA(), S13/'2. Salmon Passage by Bin'!K13), NA())</f>
        <v>1</v>
      </c>
      <c r="AC13" s="44">
        <f>IFERROR(SUMIF(T13:W13, "&lt;&gt;#N/A")/SUMIF('2. Salmon Passage by Bin'!L13:N13, "&lt;&gt;#N/A"), NA())</f>
        <v>0.23185760557439586</v>
      </c>
    </row>
    <row r="14" spans="1:29" x14ac:dyDescent="0.3">
      <c r="A14" s="5">
        <f>'1. Mixture Model Inputs'!A14</f>
        <v>45116</v>
      </c>
      <c r="B14" s="13" t="str">
        <f>IF(ISBLANK('[1]Passage Estimates'!$C14),"",IF('[1]Passage Estimates'!$C14="Imputation",'[1]Passage Estimates'!$B14,'[1]Passage Estimates'!$C14))</f>
        <v>S1+M+A2</v>
      </c>
      <c r="C14" s="17">
        <f>IFERROR('1. Mixture Model Inputs'!B14/'1. Mixture Model Inputs'!Z14,NA())</f>
        <v>0</v>
      </c>
      <c r="D14" s="17">
        <f>IFERROR('1. Mixture Model Inputs'!C14/'1. Mixture Model Inputs'!AA14,NA())</f>
        <v>0</v>
      </c>
      <c r="E14" s="17">
        <f>IFERROR('1. Mixture Model Inputs'!D14/'1. Mixture Model Inputs'!AB14,NA())</f>
        <v>0</v>
      </c>
      <c r="F14" s="17">
        <f>IFERROR('1. Mixture Model Inputs'!E14/'1. Mixture Model Inputs'!AC14, NA())</f>
        <v>0.50516917293233088</v>
      </c>
      <c r="G14" s="17">
        <f>IFERROR('1. Mixture Model Inputs'!F14/'1. Mixture Model Inputs'!AD14, NA())</f>
        <v>1</v>
      </c>
      <c r="H14" s="24">
        <f>WhonSpComp!AT29</f>
        <v>1</v>
      </c>
      <c r="I14" s="17">
        <f>IFERROR('1. Mixture Model Inputs'!G14/'1. Mixture Model Inputs'!AE14, NA())</f>
        <v>0</v>
      </c>
      <c r="J14" s="17">
        <f>IFERROR('1. Mixture Model Inputs'!H14/'1. Mixture Model Inputs'!AF14, NA())</f>
        <v>0.52689873417721522</v>
      </c>
      <c r="K14" s="17">
        <f>IFERROR('1. Mixture Model Inputs'!I14/'1. Mixture Model Inputs'!AG14, NA())</f>
        <v>0.29444208739923633</v>
      </c>
      <c r="L14" s="22">
        <f>C14*'2. Salmon Passage by Bin'!C14</f>
        <v>0</v>
      </c>
      <c r="M14" s="22">
        <f>D14*'2. Salmon Passage by Bin'!D14</f>
        <v>0</v>
      </c>
      <c r="N14" s="22">
        <f>F14*'2. Salmon Passage by Bin'!F14</f>
        <v>441.43703007518798</v>
      </c>
      <c r="O14" s="22">
        <f>G14*'2. Salmon Passage by Bin'!G14</f>
        <v>550.08000000000004</v>
      </c>
      <c r="P14" s="22">
        <f>$G14*'2. Salmon Passage by Bin'!H14</f>
        <v>590.16</v>
      </c>
      <c r="Q14" s="22">
        <f>$G14*'2. Salmon Passage by Bin'!I14</f>
        <v>114.72</v>
      </c>
      <c r="R14" s="22">
        <f>$G14*'2. Salmon Passage by Bin'!J14</f>
        <v>0</v>
      </c>
      <c r="S14" s="25">
        <f>'2. Salmon Passage by Bin'!K14*H14</f>
        <v>2378.88</v>
      </c>
      <c r="T14" s="25">
        <f>K14*'2. Salmon Passage by Bin'!L14</f>
        <v>2.3555366991938906</v>
      </c>
      <c r="U14" s="25">
        <f>K14*'2. Salmon Passage by Bin'!M14</f>
        <v>27.088672040729744</v>
      </c>
      <c r="V14" s="25">
        <f>J14*'2. Salmon Passage by Bin'!N14</f>
        <v>51.63607594936709</v>
      </c>
      <c r="W14" s="25">
        <f>I14*'2. Salmon Passage by Bin'!O14</f>
        <v>0</v>
      </c>
      <c r="X14" s="22">
        <f>E14*'2. Salmon Passage by Bin'!E14</f>
        <v>0</v>
      </c>
      <c r="Y14" s="41">
        <f t="shared" si="0"/>
        <v>4156.3573147644793</v>
      </c>
      <c r="Z14" s="42">
        <f>Y14/'[1]Passage Estimates'!$D14</f>
        <v>0.68086108003926238</v>
      </c>
      <c r="AA14" s="43">
        <f>IFERROR(SUMIF(L14:R14, "&lt;&gt;#N/A")/SUMIF('2. Salmon Passage by Bin'!E14:J14, "&lt;&gt;#N/A"), NA())</f>
        <v>0.6237487609112794</v>
      </c>
      <c r="AB14" s="42">
        <f>IFERROR(IF(ISNA(S14), NA(), S14/'2. Salmon Passage by Bin'!K14), NA())</f>
        <v>1</v>
      </c>
      <c r="AC14" s="44">
        <f>IFERROR(SUMIF(T14:W14, "&lt;&gt;#N/A")/SUMIF('2. Salmon Passage by Bin'!L14:N14, "&lt;&gt;#N/A"), NA())</f>
        <v>0.4094963873196501</v>
      </c>
    </row>
    <row r="15" spans="1:29" x14ac:dyDescent="0.3">
      <c r="A15" s="5">
        <f>'1. Mixture Model Inputs'!A15</f>
        <v>45117</v>
      </c>
      <c r="B15" s="13" t="str">
        <f>IF(ISBLANK('[1]Passage Estimates'!$C15),"",IF('[1]Passage Estimates'!$C15="Imputation",'[1]Passage Estimates'!$B15,'[1]Passage Estimates'!$C15))</f>
        <v>S1+M+A2</v>
      </c>
      <c r="C15" s="17">
        <f>IFERROR('1. Mixture Model Inputs'!B15/'1. Mixture Model Inputs'!Z15,NA())</f>
        <v>0</v>
      </c>
      <c r="D15" s="17">
        <f>IFERROR('1. Mixture Model Inputs'!C15/'1. Mixture Model Inputs'!AA15,NA())</f>
        <v>0</v>
      </c>
      <c r="E15" s="17">
        <f>IFERROR('1. Mixture Model Inputs'!D15/'1. Mixture Model Inputs'!AB15,NA())</f>
        <v>0</v>
      </c>
      <c r="F15" s="17">
        <f>IFERROR('1. Mixture Model Inputs'!E15/'1. Mixture Model Inputs'!AC15, NA())</f>
        <v>0.50516917293233088</v>
      </c>
      <c r="G15" s="17">
        <f>IFERROR('1. Mixture Model Inputs'!F15/'1. Mixture Model Inputs'!AD15, NA())</f>
        <v>1</v>
      </c>
      <c r="H15" s="24">
        <f>WhonSpComp!AT30</f>
        <v>1</v>
      </c>
      <c r="I15" s="17">
        <f>IFERROR('1. Mixture Model Inputs'!G15/'1. Mixture Model Inputs'!AE15, NA())</f>
        <v>0</v>
      </c>
      <c r="J15" s="17">
        <f>IFERROR('1. Mixture Model Inputs'!H15/'1. Mixture Model Inputs'!AF15, NA())</f>
        <v>0.52689873417721522</v>
      </c>
      <c r="K15" s="17">
        <f>IFERROR('1. Mixture Model Inputs'!I15/'1. Mixture Model Inputs'!AG15, NA())</f>
        <v>0.29444208739923633</v>
      </c>
      <c r="L15" s="22">
        <f>C15*'2. Salmon Passage by Bin'!C15</f>
        <v>0</v>
      </c>
      <c r="M15" s="22">
        <f>D15*'2. Salmon Passage by Bin'!D15</f>
        <v>0</v>
      </c>
      <c r="N15" s="22">
        <f>F15*'2. Salmon Passage by Bin'!F15</f>
        <v>492.35808270676694</v>
      </c>
      <c r="O15" s="22">
        <f>G15*'2. Salmon Passage by Bin'!G15</f>
        <v>795.36</v>
      </c>
      <c r="P15" s="22">
        <f>$G15*'2. Salmon Passage by Bin'!H15</f>
        <v>969.60000000000014</v>
      </c>
      <c r="Q15" s="22">
        <f>$G15*'2. Salmon Passage by Bin'!I15</f>
        <v>374.88</v>
      </c>
      <c r="R15" s="22">
        <f>$G15*'2. Salmon Passage by Bin'!J15</f>
        <v>0</v>
      </c>
      <c r="S15" s="25">
        <f>'2. Salmon Passage by Bin'!K15*H15</f>
        <v>1661.0400000000002</v>
      </c>
      <c r="T15" s="25">
        <f>K15*'2. Salmon Passage by Bin'!L15</f>
        <v>-14.722104369961816</v>
      </c>
      <c r="U15" s="25">
        <f>K15*'2. Salmon Passage by Bin'!M15</f>
        <v>126.02121340687314</v>
      </c>
      <c r="V15" s="25">
        <f>J15*'2. Salmon Passage by Bin'!N15</f>
        <v>110.12183544303798</v>
      </c>
      <c r="W15" s="25">
        <f>I15*'2. Salmon Passage by Bin'!O15</f>
        <v>0</v>
      </c>
      <c r="X15" s="22">
        <f>E15*'2. Salmon Passage by Bin'!E15</f>
        <v>0</v>
      </c>
      <c r="Y15" s="41">
        <f t="shared" si="0"/>
        <v>4514.6590271867171</v>
      </c>
      <c r="Z15" s="42">
        <f>Y15/'[1]Passage Estimates'!$D15</f>
        <v>0.68830255082796443</v>
      </c>
      <c r="AA15" s="43">
        <f>IFERROR(SUMIF(L15:R15, "&lt;&gt;#N/A")/SUMIF('2. Salmon Passage by Bin'!E15:J15, "&lt;&gt;#N/A"), NA())</f>
        <v>0.73400428398328188</v>
      </c>
      <c r="AB15" s="42">
        <f>IFERROR(IF(ISNA(S15), NA(), S15/'2. Salmon Passage by Bin'!K15), NA())</f>
        <v>1</v>
      </c>
      <c r="AC15" s="44">
        <f>IFERROR(SUMIF(T15:W15, "&lt;&gt;#N/A")/SUMIF('2. Salmon Passage by Bin'!L15:N15, "&lt;&gt;#N/A"), NA())</f>
        <v>0.37720774187384887</v>
      </c>
    </row>
    <row r="16" spans="1:29" x14ac:dyDescent="0.3">
      <c r="A16" s="5">
        <f>'1. Mixture Model Inputs'!A16</f>
        <v>45118</v>
      </c>
      <c r="B16" s="13" t="str">
        <f>IF(ISBLANK('[1]Passage Estimates'!$C16),"",IF('[1]Passage Estimates'!$C16="Imputation",'[1]Passage Estimates'!$B16,'[1]Passage Estimates'!$C16))</f>
        <v>S1+M+A2</v>
      </c>
      <c r="C16" s="17">
        <f>IFERROR('1. Mixture Model Inputs'!B16/'1. Mixture Model Inputs'!Z16,NA())</f>
        <v>0</v>
      </c>
      <c r="D16" s="17">
        <f>IFERROR('1. Mixture Model Inputs'!C16/'1. Mixture Model Inputs'!AA16,NA())</f>
        <v>0</v>
      </c>
      <c r="E16" s="17">
        <f>IFERROR('1. Mixture Model Inputs'!D16/'1. Mixture Model Inputs'!AB16,NA())</f>
        <v>0</v>
      </c>
      <c r="F16" s="17">
        <f>IFERROR('1. Mixture Model Inputs'!E16/'1. Mixture Model Inputs'!AC16, NA())</f>
        <v>0.35832004253056887</v>
      </c>
      <c r="G16" s="17">
        <f>IFERROR('1. Mixture Model Inputs'!F16/'1. Mixture Model Inputs'!AD16, NA())</f>
        <v>0.61218548554793095</v>
      </c>
      <c r="H16" s="24">
        <f>WhonSpComp!AT31</f>
        <v>0</v>
      </c>
      <c r="I16" s="17">
        <f>IFERROR('1. Mixture Model Inputs'!G16/'1. Mixture Model Inputs'!AE16, NA())</f>
        <v>0</v>
      </c>
      <c r="J16" s="17">
        <f>IFERROR('1. Mixture Model Inputs'!H16/'1. Mixture Model Inputs'!AF16, NA())</f>
        <v>0.52689873417721522</v>
      </c>
      <c r="K16" s="17">
        <f>IFERROR('1. Mixture Model Inputs'!I16/'1. Mixture Model Inputs'!AG16, NA())</f>
        <v>0.29444208739923633</v>
      </c>
      <c r="L16" s="22">
        <f>C16*'2. Salmon Passage by Bin'!C16</f>
        <v>0</v>
      </c>
      <c r="M16" s="22">
        <f>D16*'2. Salmon Passage by Bin'!D16</f>
        <v>0</v>
      </c>
      <c r="N16" s="22">
        <f>F16*'2. Salmon Passage by Bin'!F16</f>
        <v>283.70347687400317</v>
      </c>
      <c r="O16" s="22">
        <f>G16*'2. Salmon Passage by Bin'!G16</f>
        <v>470.01152838427947</v>
      </c>
      <c r="P16" s="22">
        <f>$G16*'2. Salmon Passage by Bin'!H16</f>
        <v>397.57774173424826</v>
      </c>
      <c r="Q16" s="22">
        <f>$G16*'2. Salmon Passage by Bin'!I16</f>
        <v>207.31049282595134</v>
      </c>
      <c r="R16" s="22">
        <f>$G16*'2. Salmon Passage by Bin'!J16</f>
        <v>0</v>
      </c>
      <c r="S16" s="25">
        <f>'2. Salmon Passage by Bin'!K16*H16</f>
        <v>0</v>
      </c>
      <c r="T16" s="25">
        <f>K16*'2. Salmon Passage by Bin'!L16</f>
        <v>-5.3706236741620712</v>
      </c>
      <c r="U16" s="25">
        <f>K16*'2. Salmon Passage by Bin'!M16</f>
        <v>-18.867848960543064</v>
      </c>
      <c r="V16" s="25">
        <f>J16*'2. Salmon Passage by Bin'!N16</f>
        <v>54.249493670886082</v>
      </c>
      <c r="W16" s="25">
        <f>I16*'2. Salmon Passage by Bin'!O16</f>
        <v>0</v>
      </c>
      <c r="X16" s="22">
        <f>E16*'2. Salmon Passage by Bin'!E16</f>
        <v>0</v>
      </c>
      <c r="Y16" s="41">
        <f t="shared" si="0"/>
        <v>1388.6142608546631</v>
      </c>
      <c r="Z16" s="42">
        <f>Y16/'[1]Passage Estimates'!$D16</f>
        <v>0.29344691147543212</v>
      </c>
      <c r="AA16" s="43">
        <f>IFERROR(SUMIF(L16:R16, "&lt;&gt;#N/A")/SUMIF('2. Salmon Passage by Bin'!E16:J16, "&lt;&gt;#N/A"), NA())</f>
        <v>0.45744216828905132</v>
      </c>
      <c r="AB16" s="42">
        <f>IFERROR(IF(ISNA(S16), NA(), S16/'2. Salmon Passage by Bin'!K16), NA())</f>
        <v>0</v>
      </c>
      <c r="AC16" s="44">
        <f>IFERROR(SUMIF(T16:W16, "&lt;&gt;#N/A")/SUMIF('2. Salmon Passage by Bin'!L16:N16, "&lt;&gt;#N/A"), NA())</f>
        <v>1.4540223370242695</v>
      </c>
    </row>
    <row r="17" spans="1:29" x14ac:dyDescent="0.3">
      <c r="A17" s="5">
        <f>'1. Mixture Model Inputs'!A17</f>
        <v>45119</v>
      </c>
      <c r="B17" s="13" t="str">
        <f>IF(ISBLANK('[1]Passage Estimates'!$C17),"",IF('[1]Passage Estimates'!$C17="Imputation",'[1]Passage Estimates'!$B17,'[1]Passage Estimates'!$C17))</f>
        <v>S1+M+A2</v>
      </c>
      <c r="C17" s="17">
        <f>IFERROR('1. Mixture Model Inputs'!B17/'1. Mixture Model Inputs'!Z17,NA())</f>
        <v>0.24085365853658536</v>
      </c>
      <c r="D17" s="17">
        <f>IFERROR('1. Mixture Model Inputs'!C17/'1. Mixture Model Inputs'!AA17,NA())</f>
        <v>0</v>
      </c>
      <c r="E17" s="17">
        <f>IFERROR('1. Mixture Model Inputs'!D17/'1. Mixture Model Inputs'!AB17,NA())</f>
        <v>2.313624678663239E-2</v>
      </c>
      <c r="F17" s="17">
        <f>IFERROR('1. Mixture Model Inputs'!E17/'1. Mixture Model Inputs'!AC17, NA())</f>
        <v>0.41083974573435933</v>
      </c>
      <c r="G17" s="17">
        <f>IFERROR('1. Mixture Model Inputs'!F17/'1. Mixture Model Inputs'!AD17, NA())</f>
        <v>0.80843218980442444</v>
      </c>
      <c r="H17" s="24">
        <f>WhonSpComp!AT32</f>
        <v>0</v>
      </c>
      <c r="I17" s="17">
        <f>IFERROR('1. Mixture Model Inputs'!G17/'1. Mixture Model Inputs'!AE17, NA())</f>
        <v>0</v>
      </c>
      <c r="J17" s="17">
        <f>IFERROR('1. Mixture Model Inputs'!H17/'1. Mixture Model Inputs'!AF17, NA())</f>
        <v>0.21231422505307854</v>
      </c>
      <c r="K17" s="17">
        <f>IFERROR('1. Mixture Model Inputs'!I17/'1. Mixture Model Inputs'!AG17, NA())</f>
        <v>0.25917767988252571</v>
      </c>
      <c r="L17" s="22">
        <f>C17*'2. Salmon Passage by Bin'!C17</f>
        <v>74.63398004434589</v>
      </c>
      <c r="M17" s="22">
        <f>D17*'2. Salmon Passage by Bin'!D17</f>
        <v>0</v>
      </c>
      <c r="N17" s="22">
        <f>F17*'2. Salmon Passage by Bin'!F17</f>
        <v>329.92074941451989</v>
      </c>
      <c r="O17" s="22">
        <f>G17*'2. Salmon Passage by Bin'!G17</f>
        <v>550.32183975050282</v>
      </c>
      <c r="P17" s="22">
        <f>$G17*'2. Salmon Passage by Bin'!H17</f>
        <v>345.09765367687777</v>
      </c>
      <c r="Q17" s="22">
        <f>$G17*'2. Salmon Passage by Bin'!I17</f>
        <v>121.00025066309129</v>
      </c>
      <c r="R17" s="22">
        <f>$G17*'2. Salmon Passage by Bin'!J17</f>
        <v>0</v>
      </c>
      <c r="S17" s="25">
        <f>'2. Salmon Passage by Bin'!K17*H17</f>
        <v>0</v>
      </c>
      <c r="T17" s="25">
        <f>K17*'2. Salmon Passage by Bin'!L17</f>
        <v>-18.66079295154185</v>
      </c>
      <c r="U17" s="25">
        <f>K17*'2. Salmon Passage by Bin'!M17</f>
        <v>-13.684581497797359</v>
      </c>
      <c r="V17" s="25">
        <f>J17*'2. Salmon Passage by Bin'!N17</f>
        <v>-6.6242038216560513</v>
      </c>
      <c r="W17" s="25">
        <f>I17*'2. Salmon Passage by Bin'!O17</f>
        <v>0</v>
      </c>
      <c r="X17" s="22">
        <f>E17*'2. Salmon Passage by Bin'!E17</f>
        <v>14.338583781257302</v>
      </c>
      <c r="Y17" s="41">
        <f t="shared" si="0"/>
        <v>1321.7094990152539</v>
      </c>
      <c r="Z17" s="42">
        <f>Y17/'[1]Passage Estimates'!$D17</f>
        <v>0.2689693462428478</v>
      </c>
      <c r="AA17" s="43">
        <f>IFERROR(SUMIF(L17:R17, "&lt;&gt;#N/A")/SUMIF('2. Salmon Passage by Bin'!E17:J17, "&lt;&gt;#N/A"), NA())</f>
        <v>0.5302028452924602</v>
      </c>
      <c r="AB17" s="42">
        <f>IFERROR(IF(ISNA(S17), NA(), S17/'2. Salmon Passage by Bin'!K17), NA())</f>
        <v>0</v>
      </c>
      <c r="AC17" s="44">
        <f>IFERROR(SUMIF(T17:W17, "&lt;&gt;#N/A")/SUMIF('2. Salmon Passage by Bin'!L17:N17, "&lt;&gt;#N/A"), NA())</f>
        <v>0.2498049889166363</v>
      </c>
    </row>
    <row r="18" spans="1:29" x14ac:dyDescent="0.3">
      <c r="A18" s="5">
        <f>'1. Mixture Model Inputs'!A18</f>
        <v>45120</v>
      </c>
      <c r="B18" s="13" t="str">
        <f>IF(ISBLANK('[1]Passage Estimates'!$C18),"",IF('[1]Passage Estimates'!$C18="Imputation",'[1]Passage Estimates'!$B18,'[1]Passage Estimates'!$C18))</f>
        <v>S1+M+A2</v>
      </c>
      <c r="C18" s="17">
        <f>IFERROR('1. Mixture Model Inputs'!B18/'1. Mixture Model Inputs'!Z18,NA())</f>
        <v>0.17073170731707316</v>
      </c>
      <c r="D18" s="17">
        <f>IFERROR('1. Mixture Model Inputs'!C18/'1. Mixture Model Inputs'!AA18,NA())</f>
        <v>0</v>
      </c>
      <c r="E18" s="17">
        <f>IFERROR('1. Mixture Model Inputs'!D18/'1. Mixture Model Inputs'!AB18,NA())</f>
        <v>0</v>
      </c>
      <c r="F18" s="17">
        <f>IFERROR('1. Mixture Model Inputs'!E18/'1. Mixture Model Inputs'!AC18, NA())</f>
        <v>0.48167911775168976</v>
      </c>
      <c r="G18" s="17">
        <f>IFERROR('1. Mixture Model Inputs'!F18/'1. Mixture Model Inputs'!AD18, NA())</f>
        <v>0.71767810026385226</v>
      </c>
      <c r="H18" s="24">
        <f>WhonSpComp!AT33</f>
        <v>0</v>
      </c>
      <c r="I18" s="17">
        <f>IFERROR('1. Mixture Model Inputs'!G18/'1. Mixture Model Inputs'!AE18, NA())</f>
        <v>0</v>
      </c>
      <c r="J18" s="17">
        <f>IFERROR('1. Mixture Model Inputs'!H18/'1. Mixture Model Inputs'!AF18, NA())</f>
        <v>0.21231422505307854</v>
      </c>
      <c r="K18" s="17">
        <f>IFERROR('1. Mixture Model Inputs'!I18/'1. Mixture Model Inputs'!AG18, NA())</f>
        <v>0.25917767988252571</v>
      </c>
      <c r="L18" s="22">
        <f>C18*'2. Salmon Passage by Bin'!C18</f>
        <v>17.585365853658534</v>
      </c>
      <c r="M18" s="22">
        <f>D18*'2. Salmon Passage by Bin'!D18</f>
        <v>0</v>
      </c>
      <c r="N18" s="22">
        <f>F18*'2. Salmon Passage by Bin'!F18</f>
        <v>549.69220917822827</v>
      </c>
      <c r="O18" s="22">
        <f>G18*'2. Salmon Passage by Bin'!G18</f>
        <v>441.8026385224274</v>
      </c>
      <c r="P18" s="22">
        <f>$G18*'2. Salmon Passage by Bin'!H18</f>
        <v>361.53751978891825</v>
      </c>
      <c r="Q18" s="22">
        <f>$G18*'2. Salmon Passage by Bin'!I18</f>
        <v>89.221741424802104</v>
      </c>
      <c r="R18" s="22">
        <f>$G18*'2. Salmon Passage by Bin'!J18</f>
        <v>0</v>
      </c>
      <c r="S18" s="25">
        <f>'2. Salmon Passage by Bin'!K18*H18</f>
        <v>0</v>
      </c>
      <c r="T18" s="25">
        <f>K18*'2. Salmon Passage by Bin'!L18</f>
        <v>4.9762114537444946</v>
      </c>
      <c r="U18" s="25">
        <f>K18*'2. Salmon Passage by Bin'!M18</f>
        <v>49.762114537444937</v>
      </c>
      <c r="V18" s="25">
        <f>J18*'2. Salmon Passage by Bin'!N18</f>
        <v>16.305732484076433</v>
      </c>
      <c r="W18" s="25">
        <f>I18*'2. Salmon Passage by Bin'!O18</f>
        <v>0</v>
      </c>
      <c r="X18" s="22">
        <f>E18*'2. Salmon Passage by Bin'!E18</f>
        <v>0</v>
      </c>
      <c r="Y18" s="41">
        <f t="shared" si="0"/>
        <v>1513.298167389642</v>
      </c>
      <c r="Z18" s="42">
        <f>Y18/'[1]Passage Estimates'!$D18</f>
        <v>0.26405666195360677</v>
      </c>
      <c r="AA18" s="43">
        <f>IFERROR(SUMIF(L18:R18, "&lt;&gt;#N/A")/SUMIF('2. Salmon Passage by Bin'!E18:J18, "&lt;&gt;#N/A"), NA())</f>
        <v>0.4341659156459774</v>
      </c>
      <c r="AB18" s="42">
        <f>IFERROR(IF(ISNA(S18), NA(), S18/'2. Salmon Passage by Bin'!K18), NA())</f>
        <v>0</v>
      </c>
      <c r="AC18" s="44">
        <f>IFERROR(SUMIF(T18:W18, "&lt;&gt;#N/A")/SUMIF('2. Salmon Passage by Bin'!L18:N18, "&lt;&gt;#N/A"), NA())</f>
        <v>0.24668075859467317</v>
      </c>
    </row>
    <row r="19" spans="1:29" x14ac:dyDescent="0.3">
      <c r="A19" s="5">
        <f>'1. Mixture Model Inputs'!A19</f>
        <v>45121</v>
      </c>
      <c r="B19" s="13" t="str">
        <f>IF(ISBLANK('[1]Passage Estimates'!$C19),"",IF('[1]Passage Estimates'!$C19="Imputation",'[1]Passage Estimates'!$B19,'[1]Passage Estimates'!$C19))</f>
        <v>S1+M+A2</v>
      </c>
      <c r="C19" s="17">
        <f>IFERROR('1. Mixture Model Inputs'!B19/'1. Mixture Model Inputs'!Z19,NA())</f>
        <v>0</v>
      </c>
      <c r="D19" s="17">
        <f>IFERROR('1. Mixture Model Inputs'!C19/'1. Mixture Model Inputs'!AA19,NA())</f>
        <v>0</v>
      </c>
      <c r="E19" s="17">
        <f>IFERROR('1. Mixture Model Inputs'!D19/'1. Mixture Model Inputs'!AB19,NA())</f>
        <v>0</v>
      </c>
      <c r="F19" s="17">
        <f>IFERROR('1. Mixture Model Inputs'!E19/'1. Mixture Model Inputs'!AC19, NA())</f>
        <v>0.27233584499461788</v>
      </c>
      <c r="G19" s="17">
        <f>IFERROR('1. Mixture Model Inputs'!F19/'1. Mixture Model Inputs'!AD19, NA())</f>
        <v>0.45761150018429786</v>
      </c>
      <c r="H19" s="24">
        <f>WhonSpComp!AT34</f>
        <v>0.33333333333333331</v>
      </c>
      <c r="I19" s="17">
        <f>IFERROR('1. Mixture Model Inputs'!G19/'1. Mixture Model Inputs'!AE19, NA())</f>
        <v>0</v>
      </c>
      <c r="J19" s="17">
        <f>IFERROR('1. Mixture Model Inputs'!H19/'1. Mixture Model Inputs'!AF19, NA())</f>
        <v>0.38510101010101006</v>
      </c>
      <c r="K19" s="17">
        <f>IFERROR('1. Mixture Model Inputs'!I19/'1. Mixture Model Inputs'!AG19, NA())</f>
        <v>0.46383928571428573</v>
      </c>
      <c r="L19" s="22">
        <f>C19*'2. Salmon Passage by Bin'!C19</f>
        <v>0</v>
      </c>
      <c r="M19" s="22">
        <f>D19*'2. Salmon Passage by Bin'!D19</f>
        <v>0</v>
      </c>
      <c r="N19" s="22">
        <f>F19*'2. Salmon Passage by Bin'!F19</f>
        <v>212.94484391819159</v>
      </c>
      <c r="O19" s="22">
        <f>G19*'2. Salmon Passage by Bin'!G19</f>
        <v>338.59590121636563</v>
      </c>
      <c r="P19" s="22">
        <f>$G19*'2. Salmon Passage by Bin'!H19</f>
        <v>210.75755252488025</v>
      </c>
      <c r="Q19" s="22">
        <f>$G19*'2. Salmon Passage by Bin'!I19</f>
        <v>121.35856984887582</v>
      </c>
      <c r="R19" s="22">
        <f>$G19*'2. Salmon Passage by Bin'!J19</f>
        <v>0</v>
      </c>
      <c r="S19" s="25">
        <f>'2. Salmon Passage by Bin'!K19*H19</f>
        <v>428.56000000000017</v>
      </c>
      <c r="T19" s="25">
        <f>K19*'2. Salmon Passage by Bin'!L19</f>
        <v>3.7849285714285714</v>
      </c>
      <c r="U19" s="25">
        <f>K19*'2. Salmon Passage by Bin'!M19</f>
        <v>84.492964285714294</v>
      </c>
      <c r="V19" s="25">
        <f>J19*'2. Salmon Passage by Bin'!N19</f>
        <v>48.8</v>
      </c>
      <c r="W19" s="25">
        <f>I19*'2. Salmon Passage by Bin'!O19</f>
        <v>0</v>
      </c>
      <c r="X19" s="22">
        <f>E19*'2. Salmon Passage by Bin'!E19</f>
        <v>0</v>
      </c>
      <c r="Y19" s="41">
        <f t="shared" si="0"/>
        <v>1449.2947603654563</v>
      </c>
      <c r="Z19" s="42">
        <f>Y19/'[1]Passage Estimates'!$D19</f>
        <v>0.32187666799154635</v>
      </c>
      <c r="AA19" s="43">
        <f>IFERROR(SUMIF(L19:R19, "&lt;&gt;#N/A")/SUMIF('2. Salmon Passage by Bin'!E19:J19, "&lt;&gt;#N/A"), NA())</f>
        <v>0.31340684496237425</v>
      </c>
      <c r="AB19" s="42">
        <f>IFERROR(IF(ISNA(S19), NA(), S19/'2. Salmon Passage by Bin'!K19), NA())</f>
        <v>0.33333333333333331</v>
      </c>
      <c r="AC19" s="44">
        <f>IFERROR(SUMIF(T19:W19, "&lt;&gt;#N/A")/SUMIF('2. Salmon Passage by Bin'!L19:N19, "&lt;&gt;#N/A"), NA())</f>
        <v>0.43236781749035724</v>
      </c>
    </row>
    <row r="20" spans="1:29" x14ac:dyDescent="0.3">
      <c r="A20" s="5">
        <f>'1. Mixture Model Inputs'!A20</f>
        <v>45122</v>
      </c>
      <c r="B20" s="13" t="str">
        <f>IF(ISBLANK('[1]Passage Estimates'!$C20),"",IF('[1]Passage Estimates'!$C20="Imputation",'[1]Passage Estimates'!$B20,'[1]Passage Estimates'!$C20))</f>
        <v>S1+M+A2</v>
      </c>
      <c r="C20" s="17">
        <f>IFERROR('1. Mixture Model Inputs'!B20/'1. Mixture Model Inputs'!Z20,NA())</f>
        <v>0.94224924012158062</v>
      </c>
      <c r="D20" s="17">
        <f>IFERROR('1. Mixture Model Inputs'!C20/'1. Mixture Model Inputs'!AA20,NA())</f>
        <v>0.10294117647058824</v>
      </c>
      <c r="E20" s="17">
        <f>IFERROR('1. Mixture Model Inputs'!D20/'1. Mixture Model Inputs'!AB20,NA())</f>
        <v>0.2928709055876686</v>
      </c>
      <c r="F20" s="17">
        <f>IFERROR('1. Mixture Model Inputs'!E20/'1. Mixture Model Inputs'!AC20, NA())</f>
        <v>0.65766397755173622</v>
      </c>
      <c r="G20" s="17">
        <f>IFERROR('1. Mixture Model Inputs'!F20/'1. Mixture Model Inputs'!AD20, NA())</f>
        <v>0.46911673872760962</v>
      </c>
      <c r="H20" s="24">
        <f>WhonSpComp!AT35</f>
        <v>0.40909090909090912</v>
      </c>
      <c r="I20" s="17">
        <f>IFERROR('1. Mixture Model Inputs'!G20/'1. Mixture Model Inputs'!AE20, NA())</f>
        <v>0</v>
      </c>
      <c r="J20" s="17">
        <f>IFERROR('1. Mixture Model Inputs'!H20/'1. Mixture Model Inputs'!AF20, NA())</f>
        <v>0.38510101010101006</v>
      </c>
      <c r="K20" s="17">
        <f>IFERROR('1. Mixture Model Inputs'!I20/'1. Mixture Model Inputs'!AG20, NA())</f>
        <v>0.46383928571428573</v>
      </c>
      <c r="L20" s="22">
        <f>C20*'2. Salmon Passage by Bin'!C20</f>
        <v>47.112462006079028</v>
      </c>
      <c r="M20" s="22">
        <f>D20*'2. Salmon Passage by Bin'!D20</f>
        <v>14.308823529411766</v>
      </c>
      <c r="N20" s="22">
        <f>F20*'2. Salmon Passage by Bin'!F20</f>
        <v>481.56787092248334</v>
      </c>
      <c r="O20" s="22">
        <f>G20*'2. Salmon Passage by Bin'!G20</f>
        <v>272.01264978381715</v>
      </c>
      <c r="P20" s="22">
        <f>$G20*'2. Salmon Passage by Bin'!H20</f>
        <v>253.3230389129092</v>
      </c>
      <c r="Q20" s="22">
        <f>$G20*'2. Salmon Passage by Bin'!I20</f>
        <v>99.640395305744292</v>
      </c>
      <c r="R20" s="22">
        <f>$G20*'2. Salmon Passage by Bin'!J20</f>
        <v>0</v>
      </c>
      <c r="S20" s="25">
        <f>'2. Salmon Passage by Bin'!K20*H20</f>
        <v>300.73090909090905</v>
      </c>
      <c r="T20" s="25">
        <f>K20*'2. Salmon Passage by Bin'!L20</f>
        <v>-88.16657142857143</v>
      </c>
      <c r="U20" s="25">
        <f>K20*'2. Salmon Passage by Bin'!M20</f>
        <v>245.35242857142859</v>
      </c>
      <c r="V20" s="25">
        <f>J20*'2. Salmon Passage by Bin'!N20</f>
        <v>73.199999999999989</v>
      </c>
      <c r="W20" s="25">
        <f>I20*'2. Salmon Passage by Bin'!O20</f>
        <v>0</v>
      </c>
      <c r="X20" s="22">
        <f>E20*'2. Salmon Passage by Bin'!E20</f>
        <v>259.22589595375717</v>
      </c>
      <c r="Y20" s="41">
        <f t="shared" si="0"/>
        <v>1896.8866171124776</v>
      </c>
      <c r="Z20" s="42">
        <f>Y20/'[1]Passage Estimates'!$D20</f>
        <v>0.4375384321284686</v>
      </c>
      <c r="AA20" s="43">
        <f>IFERROR(SUMIF(L20:R20, "&lt;&gt;#N/A")/SUMIF('2. Salmon Passage by Bin'!E20:J20, "&lt;&gt;#N/A"), NA())</f>
        <v>0.39597411190006937</v>
      </c>
      <c r="AB20" s="42">
        <f>IFERROR(IF(ISNA(S20), NA(), S20/'2. Salmon Passage by Bin'!K20), NA())</f>
        <v>0.40909090909090912</v>
      </c>
      <c r="AC20" s="44">
        <f>IFERROR(SUMIF(T20:W20, "&lt;&gt;#N/A")/SUMIF('2. Salmon Passage by Bin'!L20:N20, "&lt;&gt;#N/A"), NA())</f>
        <v>0.43554495073891625</v>
      </c>
    </row>
    <row r="21" spans="1:29" x14ac:dyDescent="0.3">
      <c r="A21" s="5">
        <f>'1. Mixture Model Inputs'!A21</f>
        <v>45123</v>
      </c>
      <c r="B21" s="13" t="str">
        <f>IF(ISBLANK('[1]Passage Estimates'!$C21),"",IF('[1]Passage Estimates'!$C21="Imputation",'[1]Passage Estimates'!$B21,'[1]Passage Estimates'!$C21))</f>
        <v>S1+M+A2</v>
      </c>
      <c r="C21" s="17">
        <f>IFERROR('1. Mixture Model Inputs'!B21/'1. Mixture Model Inputs'!Z21,NA())</f>
        <v>0.11206896551724138</v>
      </c>
      <c r="D21" s="17">
        <f>IFERROR('1. Mixture Model Inputs'!C21/'1. Mixture Model Inputs'!AA21,NA())</f>
        <v>0</v>
      </c>
      <c r="E21" s="17">
        <f>IFERROR('1. Mixture Model Inputs'!D21/'1. Mixture Model Inputs'!AB21,NA())</f>
        <v>6.0085836909871237E-2</v>
      </c>
      <c r="F21" s="17">
        <f>IFERROR('1. Mixture Model Inputs'!E21/'1. Mixture Model Inputs'!AC21, NA())</f>
        <v>0.39878366637706347</v>
      </c>
      <c r="G21" s="17">
        <f>IFERROR('1. Mixture Model Inputs'!F21/'1. Mixture Model Inputs'!AD21, NA())</f>
        <v>0.48693726937269377</v>
      </c>
      <c r="H21" s="24">
        <f>WhonSpComp!AT36</f>
        <v>0.1</v>
      </c>
      <c r="I21" s="17">
        <f>IFERROR('1. Mixture Model Inputs'!G21/'1. Mixture Model Inputs'!AE21, NA())</f>
        <v>0</v>
      </c>
      <c r="J21" s="17">
        <f>IFERROR('1. Mixture Model Inputs'!H21/'1. Mixture Model Inputs'!AF21, NA())</f>
        <v>0.13688760806916425</v>
      </c>
      <c r="K21" s="17">
        <f>IFERROR('1. Mixture Model Inputs'!I21/'1. Mixture Model Inputs'!AG21, NA())</f>
        <v>0.43220338983050849</v>
      </c>
      <c r="L21" s="22">
        <f>C21*'2. Salmon Passage by Bin'!C21</f>
        <v>15.913793103448276</v>
      </c>
      <c r="M21" s="22">
        <f>D21*'2. Salmon Passage by Bin'!D21</f>
        <v>0</v>
      </c>
      <c r="N21" s="22">
        <f>F21*'2. Salmon Passage by Bin'!F21</f>
        <v>394.12587315377937</v>
      </c>
      <c r="O21" s="22">
        <f>G21*'2. Salmon Passage by Bin'!G21</f>
        <v>360.29462435424358</v>
      </c>
      <c r="P21" s="22">
        <f>$G21*'2. Salmon Passage by Bin'!H21</f>
        <v>265.28342435424361</v>
      </c>
      <c r="Q21" s="22">
        <f>$G21*'2. Salmon Passage by Bin'!I21</f>
        <v>197.85235129151292</v>
      </c>
      <c r="R21" s="22">
        <f>$G21*'2. Salmon Passage by Bin'!J21</f>
        <v>0</v>
      </c>
      <c r="S21" s="25">
        <f>'2. Salmon Passage by Bin'!K21*H21</f>
        <v>166.92000000000004</v>
      </c>
      <c r="T21" s="25">
        <f>K21*'2. Salmon Passage by Bin'!L21</f>
        <v>-66.593898305084736</v>
      </c>
      <c r="U21" s="25">
        <f>K21*'2. Salmon Passage by Bin'!M21</f>
        <v>12.862372881355931</v>
      </c>
      <c r="V21" s="25">
        <f>J21*'2. Salmon Passage by Bin'!N21</f>
        <v>27.990778097982705</v>
      </c>
      <c r="W21" s="25">
        <f>I21*'2. Salmon Passage by Bin'!O21</f>
        <v>0</v>
      </c>
      <c r="X21" s="22">
        <f>E21*'2. Salmon Passage by Bin'!E21</f>
        <v>49.54918454935622</v>
      </c>
      <c r="Y21" s="41">
        <f t="shared" si="0"/>
        <v>1408.2847103773895</v>
      </c>
      <c r="Z21" s="42">
        <f>Y21/'[1]Passage Estimates'!$D21</f>
        <v>0.26522568070447428</v>
      </c>
      <c r="AA21" s="43">
        <f>IFERROR(SUMIF(L21:R21, "&lt;&gt;#N/A")/SUMIF('2. Salmon Passage by Bin'!E21:J21, "&lt;&gt;#N/A"), NA())</f>
        <v>0.35201771297295309</v>
      </c>
      <c r="AB21" s="42">
        <f>IFERROR(IF(ISNA(S21), NA(), S21/'2. Salmon Passage by Bin'!K21), NA())</f>
        <v>0.1</v>
      </c>
      <c r="AC21" s="44">
        <f>IFERROR(SUMIF(T21:W21, "&lt;&gt;#N/A")/SUMIF('2. Salmon Passage by Bin'!L21:N21, "&lt;&gt;#N/A"), NA())</f>
        <v>-0.32111710735711202</v>
      </c>
    </row>
    <row r="22" spans="1:29" x14ac:dyDescent="0.3">
      <c r="A22" s="5">
        <f>'1. Mixture Model Inputs'!A22</f>
        <v>45124</v>
      </c>
      <c r="B22" s="13" t="str">
        <f>IF(ISBLANK('[1]Passage Estimates'!$C22),"",IF('[1]Passage Estimates'!$C22="Imputation",'[1]Passage Estimates'!$B22,'[1]Passage Estimates'!$C22))</f>
        <v>S1+M+A2</v>
      </c>
      <c r="C22" s="17">
        <f>IFERROR('1. Mixture Model Inputs'!B22/'1. Mixture Model Inputs'!Z22,NA())</f>
        <v>0.32575757575757575</v>
      </c>
      <c r="D22" s="17">
        <f>IFERROR('1. Mixture Model Inputs'!C22/'1. Mixture Model Inputs'!AA22,NA())</f>
        <v>0</v>
      </c>
      <c r="E22" s="17">
        <f>IFERROR('1. Mixture Model Inputs'!D22/'1. Mixture Model Inputs'!AB22,NA())</f>
        <v>7.4999999999999997E-2</v>
      </c>
      <c r="F22" s="17">
        <f>IFERROR('1. Mixture Model Inputs'!E22/'1. Mixture Model Inputs'!AC22, NA())</f>
        <v>0.52590011614401855</v>
      </c>
      <c r="G22" s="17">
        <f>IFERROR('1. Mixture Model Inputs'!F22/'1. Mixture Model Inputs'!AD22, NA())</f>
        <v>0.80182198327359633</v>
      </c>
      <c r="H22" s="24">
        <f>WhonSpComp!AT37</f>
        <v>0.4</v>
      </c>
      <c r="I22" s="17">
        <f>IFERROR('1. Mixture Model Inputs'!G22/'1. Mixture Model Inputs'!AE22, NA())</f>
        <v>0</v>
      </c>
      <c r="J22" s="17">
        <f>IFERROR('1. Mixture Model Inputs'!H22/'1. Mixture Model Inputs'!AF22, NA())</f>
        <v>0.13688760806916425</v>
      </c>
      <c r="K22" s="17">
        <f>IFERROR('1. Mixture Model Inputs'!I22/'1. Mixture Model Inputs'!AG22, NA())</f>
        <v>0.43220338983050849</v>
      </c>
      <c r="L22" s="22">
        <f>C22*'2. Salmon Passage by Bin'!C22</f>
        <v>30.621212121212121</v>
      </c>
      <c r="M22" s="22">
        <f>D22*'2. Salmon Passage by Bin'!D22</f>
        <v>0</v>
      </c>
      <c r="N22" s="22">
        <f>F22*'2. Salmon Passage by Bin'!F22</f>
        <v>401.99804878048781</v>
      </c>
      <c r="O22" s="22">
        <f>G22*'2. Salmon Passage by Bin'!G22</f>
        <v>481.09318996415777</v>
      </c>
      <c r="P22" s="22">
        <f>$G22*'2. Salmon Passage by Bin'!H22</f>
        <v>563.07146953405027</v>
      </c>
      <c r="Q22" s="22">
        <f>$G22*'2. Salmon Passage by Bin'!I22</f>
        <v>279.9962365591399</v>
      </c>
      <c r="R22" s="22">
        <f>$G22*'2. Salmon Passage by Bin'!J22</f>
        <v>0</v>
      </c>
      <c r="S22" s="25">
        <f>'2. Salmon Passage by Bin'!K22*H22</f>
        <v>1269.8112000000006</v>
      </c>
      <c r="T22" s="25">
        <f>K22*'2. Salmon Passage by Bin'!L22</f>
        <v>3.9416949152542378</v>
      </c>
      <c r="U22" s="25">
        <f>K22*'2. Salmon Passage by Bin'!M22</f>
        <v>105.69966101694915</v>
      </c>
      <c r="V22" s="25">
        <f>J22*'2. Salmon Passage by Bin'!N22</f>
        <v>84.793659942363092</v>
      </c>
      <c r="W22" s="25">
        <f>I22*'2. Salmon Passage by Bin'!O22</f>
        <v>0</v>
      </c>
      <c r="X22" s="22">
        <f>E22*'2. Salmon Passage by Bin'!E22</f>
        <v>126.52199999999998</v>
      </c>
      <c r="Y22" s="41">
        <f t="shared" si="0"/>
        <v>3316.9271607124028</v>
      </c>
      <c r="Z22" s="42">
        <f>Y22/'[1]Passage Estimates'!$D22</f>
        <v>0.40481689727364439</v>
      </c>
      <c r="AA22" s="43">
        <f>IFERROR(SUMIF(L22:R22, "&lt;&gt;#N/A")/SUMIF('2. Salmon Passage by Bin'!E22:J22, "&lt;&gt;#N/A"), NA())</f>
        <v>0.42819054230258558</v>
      </c>
      <c r="AB22" s="42">
        <f>IFERROR(IF(ISNA(S22), NA(), S22/'2. Salmon Passage by Bin'!K22), NA())</f>
        <v>0.4</v>
      </c>
      <c r="AC22" s="44">
        <f>IFERROR(SUMIF(T22:W22, "&lt;&gt;#N/A")/SUMIF('2. Salmon Passage by Bin'!L22:N22, "&lt;&gt;#N/A"), NA())</f>
        <v>0.22268991189592097</v>
      </c>
    </row>
    <row r="23" spans="1:29" x14ac:dyDescent="0.3">
      <c r="A23" s="5">
        <f>'1. Mixture Model Inputs'!A23</f>
        <v>45125</v>
      </c>
      <c r="B23" s="13" t="str">
        <f>IF(ISBLANK('[1]Passage Estimates'!$C23),"",IF('[1]Passage Estimates'!$C23="Imputation",'[1]Passage Estimates'!$B23,'[1]Passage Estimates'!$C23))</f>
        <v>S1+M+A2</v>
      </c>
      <c r="C23" s="17">
        <f>IFERROR('1. Mixture Model Inputs'!B23/'1. Mixture Model Inputs'!Z23,NA())</f>
        <v>0.33858267716535428</v>
      </c>
      <c r="D23" s="17">
        <f>IFERROR('1. Mixture Model Inputs'!C23/'1. Mixture Model Inputs'!AA23,NA())</f>
        <v>0</v>
      </c>
      <c r="E23" s="17">
        <f>IFERROR('1. Mixture Model Inputs'!D23/'1. Mixture Model Inputs'!AB23,NA())</f>
        <v>0.15656565656565655</v>
      </c>
      <c r="F23" s="17">
        <f>IFERROR('1. Mixture Model Inputs'!E23/'1. Mixture Model Inputs'!AC23, NA())</f>
        <v>0.19524119947848761</v>
      </c>
      <c r="G23" s="17">
        <f>IFERROR('1. Mixture Model Inputs'!F23/'1. Mixture Model Inputs'!AD23, NA())</f>
        <v>0.4130276033299255</v>
      </c>
      <c r="H23" s="24">
        <f>WhonSpComp!AT38</f>
        <v>0.29629629629629628</v>
      </c>
      <c r="I23" s="17">
        <f>IFERROR('1. Mixture Model Inputs'!G23/'1. Mixture Model Inputs'!AE23, NA())</f>
        <v>0</v>
      </c>
      <c r="J23" s="17">
        <f>IFERROR('1. Mixture Model Inputs'!H23/'1. Mixture Model Inputs'!AF23, NA())</f>
        <v>0.61188271604938271</v>
      </c>
      <c r="K23" s="17">
        <f>IFERROR('1. Mixture Model Inputs'!I23/'1. Mixture Model Inputs'!AG23, NA())</f>
        <v>0.53946028513238298</v>
      </c>
      <c r="L23" s="22">
        <f>C23*'2. Salmon Passage by Bin'!C23</f>
        <v>42.661417322834637</v>
      </c>
      <c r="M23" s="22">
        <f>D23*'2. Salmon Passage by Bin'!D23</f>
        <v>0</v>
      </c>
      <c r="N23" s="22">
        <f>F23*'2. Salmon Passage by Bin'!F23</f>
        <v>209.6890482398957</v>
      </c>
      <c r="O23" s="22">
        <f>G23*'2. Salmon Passage by Bin'!G23</f>
        <v>549.35975463706723</v>
      </c>
      <c r="P23" s="22">
        <f>$G23*'2. Salmon Passage by Bin'!H23</f>
        <v>413.35802541258948</v>
      </c>
      <c r="Q23" s="22">
        <f>$G23*'2. Salmon Passage by Bin'!I23</f>
        <v>280.6274748064846</v>
      </c>
      <c r="R23" s="22">
        <f>$G23*'2. Salmon Passage by Bin'!J23</f>
        <v>0</v>
      </c>
      <c r="S23" s="25">
        <f>'2. Salmon Passage by Bin'!K23*H23</f>
        <v>857.03111111111139</v>
      </c>
      <c r="T23" s="25">
        <f>K23*'2. Salmon Passage by Bin'!L23</f>
        <v>-43.761018329938906</v>
      </c>
      <c r="U23" s="25">
        <f>K23*'2. Salmon Passage by Bin'!M23</f>
        <v>59.685885947046863</v>
      </c>
      <c r="V23" s="25">
        <f>J23*'2. Salmon Passage by Bin'!N23</f>
        <v>161.24333333333331</v>
      </c>
      <c r="W23" s="25">
        <f>I23*'2. Salmon Passage by Bin'!O23</f>
        <v>0</v>
      </c>
      <c r="X23" s="22">
        <f>E23*'2. Salmon Passage by Bin'!E23</f>
        <v>170.89454545454544</v>
      </c>
      <c r="Y23" s="41">
        <f t="shared" si="0"/>
        <v>2658.1281606121347</v>
      </c>
      <c r="Z23" s="42">
        <f>Y23/'[1]Passage Estimates'!$D23</f>
        <v>0.31558723472148625</v>
      </c>
      <c r="AA23" s="43">
        <f>IFERROR(SUMIF(L23:R23, "&lt;&gt;#N/A")/SUMIF('2. Salmon Passage by Bin'!E23:J23, "&lt;&gt;#N/A"), NA())</f>
        <v>0.28897642129951301</v>
      </c>
      <c r="AB23" s="42">
        <f>IFERROR(IF(ISNA(S23), NA(), S23/'2. Salmon Passage by Bin'!K23), NA())</f>
        <v>0.29629629629629628</v>
      </c>
      <c r="AC23" s="44">
        <f>IFERROR(SUMIF(T23:W23, "&lt;&gt;#N/A")/SUMIF('2. Salmon Passage by Bin'!L23:N23, "&lt;&gt;#N/A"), NA())</f>
        <v>0.60458709033047131</v>
      </c>
    </row>
    <row r="24" spans="1:29" x14ac:dyDescent="0.3">
      <c r="A24" s="5">
        <f>'1. Mixture Model Inputs'!A24</f>
        <v>45126</v>
      </c>
      <c r="B24" s="13" t="str">
        <f>IF(ISBLANK('[1]Passage Estimates'!$C24),"",IF('[1]Passage Estimates'!$C24="Imputation",'[1]Passage Estimates'!$B24,'[1]Passage Estimates'!$C24))</f>
        <v>S1+M2+A2</v>
      </c>
      <c r="C24" s="17">
        <f>IFERROR('1. Mixture Model Inputs'!B24/'1. Mixture Model Inputs'!Z24,NA())</f>
        <v>0.51187335092348285</v>
      </c>
      <c r="D24" s="17">
        <f>IFERROR('1. Mixture Model Inputs'!C24/'1. Mixture Model Inputs'!AA24,NA())</f>
        <v>0</v>
      </c>
      <c r="E24" s="17">
        <f>IFERROR('1. Mixture Model Inputs'!D24/'1. Mixture Model Inputs'!AB24,NA())</f>
        <v>0.34649122807017546</v>
      </c>
      <c r="F24" s="17">
        <f>IFERROR('1. Mixture Model Inputs'!E24/'1. Mixture Model Inputs'!AC24, NA())</f>
        <v>5.4669703872437352E-2</v>
      </c>
      <c r="G24" s="17">
        <f>IFERROR('1. Mixture Model Inputs'!F24/'1. Mixture Model Inputs'!AD24, NA())</f>
        <v>0.46525771628402007</v>
      </c>
      <c r="H24" s="24">
        <f>WhonSpComp!AT39</f>
        <v>0.25</v>
      </c>
      <c r="I24" s="17">
        <f>IFERROR('1. Mixture Model Inputs'!G24/'1. Mixture Model Inputs'!AE24, NA())</f>
        <v>0</v>
      </c>
      <c r="J24" s="17">
        <f>IFERROR('1. Mixture Model Inputs'!H24/'1. Mixture Model Inputs'!AF24, NA())</f>
        <v>0.61188271604938271</v>
      </c>
      <c r="K24" s="17">
        <f>IFERROR('1. Mixture Model Inputs'!I24/'1. Mixture Model Inputs'!AG24, NA())</f>
        <v>0.53946028513238298</v>
      </c>
      <c r="L24" s="22">
        <f>C24*'2. Salmon Passage by Bin'!C24</f>
        <v>37.366754617414252</v>
      </c>
      <c r="M24" s="22">
        <f>D24*'2. Salmon Passage by Bin'!D24</f>
        <v>0</v>
      </c>
      <c r="N24" s="22">
        <f>F24*'2. Salmon Passage by Bin'!F24</f>
        <v>41.632072892938488</v>
      </c>
      <c r="O24" s="22">
        <f>G24*'2. Salmon Passage by Bin'!G24</f>
        <v>376.85875019005624</v>
      </c>
      <c r="P24" s="22">
        <f>$G24*'2. Salmon Passage by Bin'!H24</f>
        <v>417.05701687699565</v>
      </c>
      <c r="Q24" s="22">
        <f>$G24*'2. Salmon Passage by Bin'!I24</f>
        <v>214.72574121940093</v>
      </c>
      <c r="R24" s="22">
        <f>$G24*'2. Salmon Passage by Bin'!J24</f>
        <v>0</v>
      </c>
      <c r="S24" s="25">
        <f>'2. Salmon Passage by Bin'!K24*H24</f>
        <v>2034.4799999999996</v>
      </c>
      <c r="T24" s="25">
        <f>K24*'2. Salmon Passage by Bin'!L24</f>
        <v>-19.938452138492874</v>
      </c>
      <c r="U24" s="25">
        <f>K24*'2. Salmon Passage by Bin'!M24</f>
        <v>-39.747433808553971</v>
      </c>
      <c r="V24" s="25">
        <f>J24*'2. Salmon Passage by Bin'!N24</f>
        <v>17.62222222222222</v>
      </c>
      <c r="W24" s="25">
        <f>I24*'2. Salmon Passage by Bin'!O24</f>
        <v>0</v>
      </c>
      <c r="X24" s="22">
        <f>E24*'2. Salmon Passage by Bin'!E24</f>
        <v>211.80315789473684</v>
      </c>
      <c r="Y24" s="41">
        <f t="shared" si="0"/>
        <v>3254.4930753493036</v>
      </c>
      <c r="Z24" s="42">
        <f>Y24/'[1]Passage Estimates'!$D24</f>
        <v>0.27925591165294661</v>
      </c>
      <c r="AA24" s="43">
        <f>IFERROR(SUMIF(L24:R24, "&lt;&gt;#N/A")/SUMIF('2. Salmon Passage by Bin'!E24:J24, "&lt;&gt;#N/A"), NA())</f>
        <v>0.30718055530988203</v>
      </c>
      <c r="AB24" s="42">
        <f>IFERROR(IF(ISNA(S24), NA(), S24/'2. Salmon Passage by Bin'!K24), NA())</f>
        <v>0.25</v>
      </c>
      <c r="AC24" s="44">
        <f>IFERROR(SUMIF(T24:W24, "&lt;&gt;#N/A")/SUMIF('2. Salmon Passage by Bin'!L24:N24, "&lt;&gt;#N/A"), NA())</f>
        <v>0.51397438568945053</v>
      </c>
    </row>
    <row r="25" spans="1:29" x14ac:dyDescent="0.3">
      <c r="A25" s="5">
        <f>'1. Mixture Model Inputs'!A25</f>
        <v>45127</v>
      </c>
      <c r="B25" s="13" t="str">
        <f>IF(ISBLANK('[1]Passage Estimates'!$C25),"",IF('[1]Passage Estimates'!$C25="Imputation",'[1]Passage Estimates'!$B25,'[1]Passage Estimates'!$C25))</f>
        <v>S1+M2+A2</v>
      </c>
      <c r="C25" s="17">
        <f>IFERROR('1. Mixture Model Inputs'!B25/'1. Mixture Model Inputs'!Z25,NA())</f>
        <v>0</v>
      </c>
      <c r="D25" s="17">
        <f>IFERROR('1. Mixture Model Inputs'!C25/'1. Mixture Model Inputs'!AA25,NA())</f>
        <v>5.3424657534246578E-2</v>
      </c>
      <c r="E25" s="17">
        <f>IFERROR('1. Mixture Model Inputs'!D25/'1. Mixture Model Inputs'!AB25,NA())</f>
        <v>7.6923076923076927E-2</v>
      </c>
      <c r="F25" s="17">
        <f>IFERROR('1. Mixture Model Inputs'!E25/'1. Mixture Model Inputs'!AC25, NA())</f>
        <v>0.21176003178386971</v>
      </c>
      <c r="G25" s="17">
        <f>IFERROR('1. Mixture Model Inputs'!F25/'1. Mixture Model Inputs'!AD25, NA())</f>
        <v>0.40690866510538642</v>
      </c>
      <c r="H25" s="24">
        <f>WhonSpComp!AT40</f>
        <v>0.30769230769230771</v>
      </c>
      <c r="I25" s="17">
        <f>IFERROR('1. Mixture Model Inputs'!G25/'1. Mixture Model Inputs'!AE25, NA())</f>
        <v>0</v>
      </c>
      <c r="J25" s="17">
        <f>IFERROR('1. Mixture Model Inputs'!H25/'1. Mixture Model Inputs'!AF25, NA())</f>
        <v>0.68794326241134762</v>
      </c>
      <c r="K25" s="17">
        <f>IFERROR('1. Mixture Model Inputs'!I25/'1. Mixture Model Inputs'!AG25, NA())</f>
        <v>0.8859999999999999</v>
      </c>
      <c r="L25" s="22">
        <f>C25*'2. Salmon Passage by Bin'!C25</f>
        <v>0</v>
      </c>
      <c r="M25" s="22">
        <f>D25*'2. Salmon Passage by Bin'!D25</f>
        <v>17.523287671232879</v>
      </c>
      <c r="N25" s="22">
        <f>F25*'2. Salmon Passage by Bin'!F25</f>
        <v>167.30736591179979</v>
      </c>
      <c r="O25" s="22">
        <f>G25*'2. Salmon Passage by Bin'!G25</f>
        <v>320.31850117096019</v>
      </c>
      <c r="P25" s="22">
        <f>$G25*'2. Salmon Passage by Bin'!H25</f>
        <v>193.07002341920378</v>
      </c>
      <c r="Q25" s="22">
        <f>$G25*'2. Salmon Passage by Bin'!I25</f>
        <v>61.036299765807961</v>
      </c>
      <c r="R25" s="22">
        <f>$G25*'2. Salmon Passage by Bin'!J25</f>
        <v>0</v>
      </c>
      <c r="S25" s="25">
        <f>'2. Salmon Passage by Bin'!K25*H25</f>
        <v>3270.1292307692315</v>
      </c>
      <c r="T25" s="25">
        <f>K25*'2. Salmon Passage by Bin'!L25</f>
        <v>164.79599999999999</v>
      </c>
      <c r="U25" s="25">
        <f>K25*'2. Salmon Passage by Bin'!M25</f>
        <v>164.58335999999997</v>
      </c>
      <c r="V25" s="25">
        <f>J25*'2. Salmon Passage by Bin'!N25</f>
        <v>127.62723404255321</v>
      </c>
      <c r="W25" s="25">
        <f>I25*'2. Salmon Passage by Bin'!O25</f>
        <v>0</v>
      </c>
      <c r="X25" s="22">
        <f>E25*'2. Salmon Passage by Bin'!E25</f>
        <v>52.320000000000007</v>
      </c>
      <c r="Y25" s="41">
        <f t="shared" si="0"/>
        <v>4521.188015079556</v>
      </c>
      <c r="Z25" s="42">
        <f>Y25/'[1]Passage Estimates'!$D25</f>
        <v>0.3206516322751457</v>
      </c>
      <c r="AA25" s="43">
        <f>IFERROR(SUMIF(L25:R25, "&lt;&gt;#N/A")/SUMIF('2. Salmon Passage by Bin'!E25:J25, "&lt;&gt;#N/A"), NA())</f>
        <v>0.26345473779251494</v>
      </c>
      <c r="AB25" s="42">
        <f>IFERROR(IF(ISNA(S25), NA(), S25/'2. Salmon Passage by Bin'!K25), NA())</f>
        <v>0.30769230769230771</v>
      </c>
      <c r="AC25" s="44">
        <f>IFERROR(SUMIF(T25:W25, "&lt;&gt;#N/A")/SUMIF('2. Salmon Passage by Bin'!L25:N25, "&lt;&gt;#N/A"), NA())</f>
        <v>0.82006638322307135</v>
      </c>
    </row>
    <row r="26" spans="1:29" x14ac:dyDescent="0.3">
      <c r="A26" s="5">
        <f>'1. Mixture Model Inputs'!A26</f>
        <v>45128</v>
      </c>
      <c r="B26" s="13" t="str">
        <f>IF(ISBLANK('[1]Passage Estimates'!$C26),"",IF('[1]Passage Estimates'!$C26="Imputation",'[1]Passage Estimates'!$B26,'[1]Passage Estimates'!$C26))</f>
        <v>S1+M2+A2</v>
      </c>
      <c r="C26" s="17">
        <f>IFERROR('1. Mixture Model Inputs'!B26/'1. Mixture Model Inputs'!Z26,NA())</f>
        <v>0</v>
      </c>
      <c r="D26" s="17">
        <f>IFERROR('1. Mixture Model Inputs'!C26/'1. Mixture Model Inputs'!AA26,NA())</f>
        <v>0</v>
      </c>
      <c r="E26" s="17">
        <f>IFERROR('1. Mixture Model Inputs'!D26/'1. Mixture Model Inputs'!AB26,NA())</f>
        <v>0</v>
      </c>
      <c r="F26" s="17">
        <f>IFERROR('1. Mixture Model Inputs'!E26/'1. Mixture Model Inputs'!AC26, NA())</f>
        <v>0.24645823155837812</v>
      </c>
      <c r="G26" s="17">
        <f>IFERROR('1. Mixture Model Inputs'!F26/'1. Mixture Model Inputs'!AD26, NA())</f>
        <v>0.60708487084870855</v>
      </c>
      <c r="H26" s="24">
        <f>WhonSpComp!AT41</f>
        <v>0.5</v>
      </c>
      <c r="I26" s="17">
        <f>IFERROR('1. Mixture Model Inputs'!G26/'1. Mixture Model Inputs'!AE26, NA())</f>
        <v>0</v>
      </c>
      <c r="J26" s="17">
        <f>IFERROR('1. Mixture Model Inputs'!H26/'1. Mixture Model Inputs'!AF26, NA())</f>
        <v>0.68794326241134762</v>
      </c>
      <c r="K26" s="17">
        <f>IFERROR('1. Mixture Model Inputs'!I26/'1. Mixture Model Inputs'!AG26, NA())</f>
        <v>0.8859999999999999</v>
      </c>
      <c r="L26" s="22">
        <f>C26*'2. Salmon Passage by Bin'!C26</f>
        <v>0</v>
      </c>
      <c r="M26" s="22">
        <f>D26*'2. Salmon Passage by Bin'!D26</f>
        <v>0</v>
      </c>
      <c r="N26" s="22">
        <f>F26*'2. Salmon Passage by Bin'!F26</f>
        <v>181.53127503663902</v>
      </c>
      <c r="O26" s="22">
        <f>G26*'2. Salmon Passage by Bin'!G26</f>
        <v>341.66736531365314</v>
      </c>
      <c r="P26" s="22">
        <f>$G26*'2. Salmon Passage by Bin'!H26</f>
        <v>377.65535645756466</v>
      </c>
      <c r="Q26" s="22">
        <f>$G26*'2. Salmon Passage by Bin'!I26</f>
        <v>195.82129594095946</v>
      </c>
      <c r="R26" s="22">
        <f>$G26*'2. Salmon Passage by Bin'!J26</f>
        <v>0</v>
      </c>
      <c r="S26" s="25">
        <f>'2. Salmon Passage by Bin'!K26*H26</f>
        <v>3552.4799999999996</v>
      </c>
      <c r="T26" s="25">
        <f>K26*'2. Salmon Passage by Bin'!L26</f>
        <v>93.136319999999998</v>
      </c>
      <c r="U26" s="25">
        <f>K26*'2. Salmon Passage by Bin'!M26</f>
        <v>172.02575999999999</v>
      </c>
      <c r="V26" s="25">
        <f>J26*'2. Salmon Passage by Bin'!N26</f>
        <v>86.020425531914896</v>
      </c>
      <c r="W26" s="25">
        <f>I26*'2. Salmon Passage by Bin'!O26</f>
        <v>0</v>
      </c>
      <c r="X26" s="22">
        <f>E26*'2. Salmon Passage by Bin'!E26</f>
        <v>0</v>
      </c>
      <c r="Y26" s="41">
        <f t="shared" si="0"/>
        <v>5000.3377982807306</v>
      </c>
      <c r="Z26" s="42">
        <f>Y26/'[1]Passage Estimates'!$D26</f>
        <v>0.48974521240585095</v>
      </c>
      <c r="AA26" s="43">
        <f>IFERROR(SUMIF(L26:R26, "&lt;&gt;#N/A")/SUMIF('2. Salmon Passage by Bin'!E26:J26, "&lt;&gt;#N/A"), NA())</f>
        <v>0.41529404584689644</v>
      </c>
      <c r="AB26" s="42">
        <f>IFERROR(IF(ISNA(S26), NA(), S26/'2. Salmon Passage by Bin'!K26), NA())</f>
        <v>0.5</v>
      </c>
      <c r="AC26" s="44">
        <f>IFERROR(SUMIF(T26:W26, "&lt;&gt;#N/A")/SUMIF('2. Salmon Passage by Bin'!L26:N26, "&lt;&gt;#N/A"), NA())</f>
        <v>0.82763599531465626</v>
      </c>
    </row>
    <row r="27" spans="1:29" x14ac:dyDescent="0.3">
      <c r="A27" s="5">
        <f>'1. Mixture Model Inputs'!A27</f>
        <v>45129</v>
      </c>
      <c r="B27" s="13" t="str">
        <f>IF(ISBLANK('[1]Passage Estimates'!$C27),"",IF('[1]Passage Estimates'!$C27="Imputation",'[1]Passage Estimates'!$B27,'[1]Passage Estimates'!$C27))</f>
        <v>S1+M2+A2</v>
      </c>
      <c r="C27" s="17">
        <f>IFERROR('1. Mixture Model Inputs'!B27/'1. Mixture Model Inputs'!Z27,NA())</f>
        <v>0</v>
      </c>
      <c r="D27" s="17">
        <f>IFERROR('1. Mixture Model Inputs'!C27/'1. Mixture Model Inputs'!AA27,NA())</f>
        <v>0</v>
      </c>
      <c r="E27" s="17">
        <f>IFERROR('1. Mixture Model Inputs'!D27/'1. Mixture Model Inputs'!AB27,NA())</f>
        <v>0</v>
      </c>
      <c r="F27" s="17">
        <f>IFERROR('1. Mixture Model Inputs'!E27/'1. Mixture Model Inputs'!AC27, NA())</f>
        <v>0.12648221343873517</v>
      </c>
      <c r="G27" s="17">
        <f>IFERROR('1. Mixture Model Inputs'!F27/'1. Mixture Model Inputs'!AD27, NA())</f>
        <v>0.6196985629162286</v>
      </c>
      <c r="H27" s="24">
        <f>WhonSpComp!AT42</f>
        <v>1</v>
      </c>
      <c r="I27" s="17">
        <f>IFERROR('1. Mixture Model Inputs'!G27/'1. Mixture Model Inputs'!AE27, NA())</f>
        <v>0</v>
      </c>
      <c r="J27" s="17">
        <f>IFERROR('1. Mixture Model Inputs'!H27/'1. Mixture Model Inputs'!AF27, NA())</f>
        <v>0.71680790960451979</v>
      </c>
      <c r="K27" s="17">
        <f>IFERROR('1. Mixture Model Inputs'!I27/'1. Mixture Model Inputs'!AG27, NA())</f>
        <v>0.57235367372353674</v>
      </c>
      <c r="L27" s="22">
        <f>C27*'2. Salmon Passage by Bin'!C27</f>
        <v>0</v>
      </c>
      <c r="M27" s="22">
        <f>D27*'2. Salmon Passage by Bin'!D27</f>
        <v>0</v>
      </c>
      <c r="N27" s="22">
        <f>F27*'2. Salmon Passage by Bin'!F27</f>
        <v>130.22608695652173</v>
      </c>
      <c r="O27" s="22">
        <f>G27*'2. Salmon Passage by Bin'!G27</f>
        <v>660.20206098843335</v>
      </c>
      <c r="P27" s="22">
        <f>$G27*'2. Salmon Passage by Bin'!H27</f>
        <v>659.16096740273395</v>
      </c>
      <c r="Q27" s="22">
        <f>$G27*'2. Salmon Passage by Bin'!I27</f>
        <v>153.04075709779181</v>
      </c>
      <c r="R27" s="22">
        <f>$G27*'2. Salmon Passage by Bin'!J27</f>
        <v>0</v>
      </c>
      <c r="S27" s="25">
        <f ca="1">'2. Salmon Passage by Bin'!K27*H27</f>
        <v>6460.3199999999988</v>
      </c>
      <c r="T27" s="25">
        <f>K27*'2. Salmon Passage by Bin'!L27</f>
        <v>16.071691158156909</v>
      </c>
      <c r="U27" s="25">
        <f>K27*'2. Salmon Passage by Bin'!M27</f>
        <v>102.06210709838106</v>
      </c>
      <c r="V27" s="25">
        <f>J27*'2. Salmon Passage by Bin'!N27</f>
        <v>55.222881355932202</v>
      </c>
      <c r="W27" s="25">
        <f>I27*'2. Salmon Passage by Bin'!O27</f>
        <v>0</v>
      </c>
      <c r="X27" s="22">
        <f>E27*'2. Salmon Passage by Bin'!E27</f>
        <v>0</v>
      </c>
      <c r="Y27" s="41">
        <f t="shared" ca="1" si="0"/>
        <v>8236.3065520579494</v>
      </c>
      <c r="Z27" s="42">
        <f ca="1">Y27/'[1]Passage Estimates'!$D27</f>
        <v>0.7202993864265832</v>
      </c>
      <c r="AA27" s="43">
        <f>IFERROR(SUMIF(L27:R27, "&lt;&gt;#N/A")/SUMIF('2. Salmon Passage by Bin'!E27:J27, "&lt;&gt;#N/A"), NA())</f>
        <v>0.35472108730532997</v>
      </c>
      <c r="AB27" s="42">
        <f ca="1">IFERROR(IF(ISNA(S27), NA(), S27/'2. Salmon Passage by Bin'!K27), NA())</f>
        <v>1</v>
      </c>
      <c r="AC27" s="44">
        <f>IFERROR(SUMIF(T27:W27, "&lt;&gt;#N/A")/SUMIF('2. Salmon Passage by Bin'!L27:N27, "&lt;&gt;#N/A"), NA())</f>
        <v>0.61161684875977351</v>
      </c>
    </row>
    <row r="28" spans="1:29" x14ac:dyDescent="0.3">
      <c r="A28" s="5">
        <f>'1. Mixture Model Inputs'!A28</f>
        <v>45130</v>
      </c>
      <c r="B28" s="13" t="str">
        <f>IF(ISBLANK('[1]Passage Estimates'!$C28),"",IF('[1]Passage Estimates'!$C28="Imputation",'[1]Passage Estimates'!$B28,'[1]Passage Estimates'!$C28))</f>
        <v>S1+M2+A2</v>
      </c>
      <c r="C28" s="17">
        <f>IFERROR('1. Mixture Model Inputs'!B28/'1. Mixture Model Inputs'!Z28,NA())</f>
        <v>0</v>
      </c>
      <c r="D28" s="17">
        <f>IFERROR('1. Mixture Model Inputs'!C28/'1. Mixture Model Inputs'!AA28,NA())</f>
        <v>0</v>
      </c>
      <c r="E28" s="17">
        <f>IFERROR('1. Mixture Model Inputs'!D28/'1. Mixture Model Inputs'!AB28,NA())</f>
        <v>0</v>
      </c>
      <c r="F28" s="17">
        <f>IFERROR('1. Mixture Model Inputs'!E28/'1. Mixture Model Inputs'!AC28, NA())</f>
        <v>0.43579164517792685</v>
      </c>
      <c r="G28" s="17">
        <f>IFERROR('1. Mixture Model Inputs'!F28/'1. Mixture Model Inputs'!AD28, NA())</f>
        <v>0.63128976286871019</v>
      </c>
      <c r="H28" s="24">
        <f>WhonSpComp!AT43</f>
        <v>0</v>
      </c>
      <c r="I28" s="17">
        <f>IFERROR('1. Mixture Model Inputs'!G28/'1. Mixture Model Inputs'!AE28, NA())</f>
        <v>0</v>
      </c>
      <c r="J28" s="17">
        <f>IFERROR('1. Mixture Model Inputs'!H28/'1. Mixture Model Inputs'!AF28, NA())</f>
        <v>0.71680790960451979</v>
      </c>
      <c r="K28" s="17">
        <f>IFERROR('1. Mixture Model Inputs'!I28/'1. Mixture Model Inputs'!AG28, NA())</f>
        <v>0.57235367372353674</v>
      </c>
      <c r="L28" s="22">
        <f>C28*'2. Salmon Passage by Bin'!C28</f>
        <v>0</v>
      </c>
      <c r="M28" s="22">
        <f>D28*'2. Salmon Passage by Bin'!D28</f>
        <v>0</v>
      </c>
      <c r="N28" s="22">
        <f>F28*'2. Salmon Passage by Bin'!F28</f>
        <v>466.26219700876754</v>
      </c>
      <c r="O28" s="22">
        <f>G28*'2. Salmon Passage by Bin'!G28</f>
        <v>811.18209369577789</v>
      </c>
      <c r="P28" s="22">
        <f>$G28*'2. Salmon Passage by Bin'!H28</f>
        <v>607.55326778484675</v>
      </c>
      <c r="Q28" s="22">
        <f>$G28*'2. Salmon Passage by Bin'!I28</f>
        <v>375.59215731636783</v>
      </c>
      <c r="R28" s="22">
        <f>$G28*'2. Salmon Passage by Bin'!J28</f>
        <v>0</v>
      </c>
      <c r="S28" s="25">
        <f>'2. Salmon Passage by Bin'!K28*H28</f>
        <v>0</v>
      </c>
      <c r="T28" s="25">
        <f>K28*'2. Salmon Passage by Bin'!L28</f>
        <v>117.17224408468242</v>
      </c>
      <c r="U28" s="25">
        <f>K28*'2. Salmon Passage by Bin'!M28</f>
        <v>134.20548941469488</v>
      </c>
      <c r="V28" s="25">
        <f>J28*'2. Salmon Passage by Bin'!N28</f>
        <v>182.7</v>
      </c>
      <c r="W28" s="25">
        <f>I28*'2. Salmon Passage by Bin'!O28</f>
        <v>0</v>
      </c>
      <c r="X28" s="22">
        <f>E28*'2. Salmon Passage by Bin'!E28</f>
        <v>0</v>
      </c>
      <c r="Y28" s="41">
        <f t="shared" si="0"/>
        <v>2694.6674493051373</v>
      </c>
      <c r="Z28" s="42">
        <f>Y28/'[1]Passage Estimates'!$D28</f>
        <v>0.25525225722989536</v>
      </c>
      <c r="AA28" s="43">
        <f>IFERROR(SUMIF(L28:R28, "&lt;&gt;#N/A")/SUMIF('2. Salmon Passage by Bin'!E28:J28, "&lt;&gt;#N/A"), NA())</f>
        <v>0.46700995665909728</v>
      </c>
      <c r="AB28" s="42">
        <f>IFERROR(IF(ISNA(S28), NA(), S28/'2. Salmon Passage by Bin'!K28), NA())</f>
        <v>0</v>
      </c>
      <c r="AC28" s="44">
        <f>IFERROR(SUMIF(T28:W28, "&lt;&gt;#N/A")/SUMIF('2. Salmon Passage by Bin'!L28:N28, "&lt;&gt;#N/A"), NA())</f>
        <v>0.62540014623584794</v>
      </c>
    </row>
    <row r="29" spans="1:29" x14ac:dyDescent="0.3">
      <c r="A29" s="5">
        <f>'1. Mixture Model Inputs'!A29</f>
        <v>45131</v>
      </c>
      <c r="B29" s="13" t="str">
        <f>IF(ISBLANK('[1]Passage Estimates'!$C29),"",IF('[1]Passage Estimates'!$C29="Imputation",'[1]Passage Estimates'!$B29,'[1]Passage Estimates'!$C29))</f>
        <v>S1+M2+A2</v>
      </c>
      <c r="C29" s="17">
        <f>IFERROR('1. Mixture Model Inputs'!B29/'1. Mixture Model Inputs'!Z29,NA())</f>
        <v>1.6949152542372881E-2</v>
      </c>
      <c r="D29" s="17">
        <f>IFERROR('1. Mixture Model Inputs'!C29/'1. Mixture Model Inputs'!AA29,NA())</f>
        <v>0</v>
      </c>
      <c r="E29" s="17">
        <f>IFERROR('1. Mixture Model Inputs'!D29/'1. Mixture Model Inputs'!AB29,NA())</f>
        <v>0</v>
      </c>
      <c r="F29" s="17">
        <f>IFERROR('1. Mixture Model Inputs'!E29/'1. Mixture Model Inputs'!AC29, NA())</f>
        <v>0.39505261214694481</v>
      </c>
      <c r="G29" s="17">
        <f>IFERROR('1. Mixture Model Inputs'!F29/'1. Mixture Model Inputs'!AD29, NA())</f>
        <v>0.76997448637035049</v>
      </c>
      <c r="H29" s="24">
        <f>WhonSpComp!AT44</f>
        <v>0.16666666666666666</v>
      </c>
      <c r="I29" s="17">
        <f>IFERROR('1. Mixture Model Inputs'!G29/'1. Mixture Model Inputs'!AE29, NA())</f>
        <v>0.53402646502835538</v>
      </c>
      <c r="J29" s="17">
        <f>IFERROR('1. Mixture Model Inputs'!H29/'1. Mixture Model Inputs'!AF29, NA())</f>
        <v>0.37205162438807293</v>
      </c>
      <c r="K29" s="17">
        <f>IFERROR('1. Mixture Model Inputs'!I29/'1. Mixture Model Inputs'!AG29, NA())</f>
        <v>0.85800052205690414</v>
      </c>
      <c r="L29" s="22">
        <f>C29*'2. Salmon Passage by Bin'!C29</f>
        <v>6.1355932203389827</v>
      </c>
      <c r="M29" s="22">
        <f>D29*'2. Salmon Passage by Bin'!D29</f>
        <v>0</v>
      </c>
      <c r="N29" s="22">
        <f>F29*'2. Salmon Passage by Bin'!F29</f>
        <v>575.79708325641502</v>
      </c>
      <c r="O29" s="22">
        <f>G29*'2. Salmon Passage by Bin'!G29</f>
        <v>1110.4264052638646</v>
      </c>
      <c r="P29" s="22">
        <f>$G29*'2. Salmon Passage by Bin'!H29</f>
        <v>754.14381093057614</v>
      </c>
      <c r="Q29" s="22">
        <f>$G29*'2. Salmon Passage by Bin'!I29</f>
        <v>459.58237142473473</v>
      </c>
      <c r="R29" s="22">
        <f>$G29*'2. Salmon Passage by Bin'!J29</f>
        <v>0</v>
      </c>
      <c r="S29" s="25">
        <f ca="1">'2. Salmon Passage by Bin'!K29*H29</f>
        <v>1253.7589554524034</v>
      </c>
      <c r="T29" s="25">
        <f>K29*'2. Salmon Passage by Bin'!L29</f>
        <v>137.9664839467502</v>
      </c>
      <c r="U29" s="25">
        <f>K29*'2. Salmon Passage by Bin'!M29</f>
        <v>-41.389945184025052</v>
      </c>
      <c r="V29" s="25">
        <f>J29*'2. Salmon Passage by Bin'!N29</f>
        <v>53.932603471295053</v>
      </c>
      <c r="W29" s="25">
        <f>I29*'2. Salmon Passage by Bin'!O29</f>
        <v>78.437807183364839</v>
      </c>
      <c r="X29" s="22">
        <f>E29*'2. Salmon Passage by Bin'!E29</f>
        <v>0</v>
      </c>
      <c r="Y29" s="41">
        <f t="shared" ca="1" si="0"/>
        <v>4382.6555757453789</v>
      </c>
      <c r="Z29" s="42">
        <f ca="1">Y29/'[1]Passage Estimates'!$D29</f>
        <v>0.31092733000287676</v>
      </c>
      <c r="AA29" s="43">
        <f>IFERROR(SUMIF(L29:R29, "&lt;&gt;#N/A")/SUMIF('2. Salmon Passage by Bin'!E29:J29, "&lt;&gt;#N/A"), NA())</f>
        <v>0.47111853553807898</v>
      </c>
      <c r="AB29" s="42">
        <f ca="1">IFERROR(IF(ISNA(S29), NA(), S29/'2. Salmon Passage by Bin'!K29), NA())</f>
        <v>0.16666666666666666</v>
      </c>
      <c r="AC29" s="44">
        <f>IFERROR(SUMIF(T29:W29, "&lt;&gt;#N/A")/SUMIF('2. Salmon Passage by Bin'!L29:N29, "&lt;&gt;#N/A"), NA())</f>
        <v>0.88904531460618597</v>
      </c>
    </row>
    <row r="30" spans="1:29" x14ac:dyDescent="0.3">
      <c r="A30" s="5">
        <f>'1. Mixture Model Inputs'!A30</f>
        <v>45132</v>
      </c>
      <c r="B30" s="13" t="str">
        <f>IF(ISBLANK('[1]Passage Estimates'!$C30),"",IF('[1]Passage Estimates'!$C30="Imputation",'[1]Passage Estimates'!$B30,'[1]Passage Estimates'!$C30))</f>
        <v>S1+M2+A2</v>
      </c>
      <c r="C30" s="17">
        <f>IFERROR('1. Mixture Model Inputs'!B30/'1. Mixture Model Inputs'!Z30,NA())</f>
        <v>0</v>
      </c>
      <c r="D30" s="17">
        <f>IFERROR('1. Mixture Model Inputs'!C30/'1. Mixture Model Inputs'!AA30,NA())</f>
        <v>0.14786729857819905</v>
      </c>
      <c r="E30" s="17">
        <f>IFERROR('1. Mixture Model Inputs'!D30/'1. Mixture Model Inputs'!AB30,NA())</f>
        <v>0.10029940119760479</v>
      </c>
      <c r="F30" s="17">
        <f>IFERROR('1. Mixture Model Inputs'!E30/'1. Mixture Model Inputs'!AC30, NA())</f>
        <v>0.44339622641509435</v>
      </c>
      <c r="G30" s="17">
        <f>IFERROR('1. Mixture Model Inputs'!F30/'1. Mixture Model Inputs'!AD30, NA())</f>
        <v>0.8442954894567799</v>
      </c>
      <c r="H30" s="24">
        <f>WhonSpComp!AT45</f>
        <v>0.75</v>
      </c>
      <c r="I30" s="17">
        <f>IFERROR('1. Mixture Model Inputs'!G30/'1. Mixture Model Inputs'!AE30, NA())</f>
        <v>0.53402646502835538</v>
      </c>
      <c r="J30" s="17">
        <f>IFERROR('1. Mixture Model Inputs'!H30/'1. Mixture Model Inputs'!AF30, NA())</f>
        <v>0.37205162438807293</v>
      </c>
      <c r="K30" s="17">
        <f>IFERROR('1. Mixture Model Inputs'!I30/'1. Mixture Model Inputs'!AG30, NA())</f>
        <v>0.85800052205690414</v>
      </c>
      <c r="L30" s="22">
        <f>C30*'2. Salmon Passage by Bin'!C30</f>
        <v>0</v>
      </c>
      <c r="M30" s="22">
        <f>D30*'2. Salmon Passage by Bin'!D30</f>
        <v>112.82274881516588</v>
      </c>
      <c r="N30" s="22">
        <f>F30*'2. Salmon Passage by Bin'!F30</f>
        <v>545.90943396226407</v>
      </c>
      <c r="O30" s="22">
        <f>G30*'2. Salmon Passage by Bin'!G30</f>
        <v>821.66837033933814</v>
      </c>
      <c r="P30" s="22">
        <f>$G30*'2. Salmon Passage by Bin'!H30</f>
        <v>882.4576455802262</v>
      </c>
      <c r="Q30" s="22">
        <f>$G30*'2. Salmon Passage by Bin'!I30</f>
        <v>420.86441558441567</v>
      </c>
      <c r="R30" s="22">
        <f>$G30*'2. Salmon Passage by Bin'!J30</f>
        <v>0</v>
      </c>
      <c r="S30" s="25">
        <f>'2. Salmon Passage by Bin'!K30*H30</f>
        <v>4722.2999999999993</v>
      </c>
      <c r="T30" s="25">
        <f>K30*'2. Salmon Passage by Bin'!L30</f>
        <v>103.37190289741581</v>
      </c>
      <c r="U30" s="25">
        <f>K30*'2. Salmon Passage by Bin'!M30</f>
        <v>303.52626468285041</v>
      </c>
      <c r="V30" s="25">
        <f>J30*'2. Salmon Passage by Bin'!N30</f>
        <v>70.273110814419212</v>
      </c>
      <c r="W30" s="25">
        <f>I30*'2. Salmon Passage by Bin'!O30</f>
        <v>120.73270321361058</v>
      </c>
      <c r="X30" s="22">
        <f>E30*'2. Salmon Passage by Bin'!E30</f>
        <v>80.496287425149688</v>
      </c>
      <c r="Y30" s="41">
        <f t="shared" si="0"/>
        <v>8071.6001344996894</v>
      </c>
      <c r="Z30" s="42">
        <f>Y30/'[1]Passage Estimates'!$D30</f>
        <v>0.68775009155399769</v>
      </c>
      <c r="AA30" s="43">
        <f>IFERROR(SUMIF(L30:R30, "&lt;&gt;#N/A")/SUMIF('2. Salmon Passage by Bin'!E30:J30, "&lt;&gt;#N/A"), NA())</f>
        <v>0.61172112368401155</v>
      </c>
      <c r="AB30" s="42">
        <f>IFERROR(IF(ISNA(S30), NA(), S30/'2. Salmon Passage by Bin'!K30), NA())</f>
        <v>0.74999999999999989</v>
      </c>
      <c r="AC30" s="44">
        <f>IFERROR(SUMIF(T30:W30, "&lt;&gt;#N/A")/SUMIF('2. Salmon Passage by Bin'!L30:N30, "&lt;&gt;#N/A"), NA())</f>
        <v>0.90165276512289783</v>
      </c>
    </row>
    <row r="31" spans="1:29" x14ac:dyDescent="0.3">
      <c r="A31" s="5">
        <f>'1. Mixture Model Inputs'!A31</f>
        <v>45133</v>
      </c>
      <c r="B31" s="13" t="str">
        <f>IF(ISBLANK('[1]Passage Estimates'!$C31),"",IF('[1]Passage Estimates'!$C31="Imputation",'[1]Passage Estimates'!$B31,'[1]Passage Estimates'!$C31))</f>
        <v>S1+M2+A2</v>
      </c>
      <c r="C31" s="17">
        <f>IFERROR('1. Mixture Model Inputs'!B31/'1. Mixture Model Inputs'!Z31,NA())</f>
        <v>0.37000973709834467</v>
      </c>
      <c r="D31" s="17">
        <f>IFERROR('1. Mixture Model Inputs'!C31/'1. Mixture Model Inputs'!AA31,NA())</f>
        <v>7.8431372549019607E-2</v>
      </c>
      <c r="E31" s="17">
        <f>IFERROR('1. Mixture Model Inputs'!D31/'1. Mixture Model Inputs'!AB31,NA())</f>
        <v>0.13742926434923203</v>
      </c>
      <c r="F31" s="17">
        <f>IFERROR('1. Mixture Model Inputs'!E31/'1. Mixture Model Inputs'!AC31, NA())</f>
        <v>0.4627293577981651</v>
      </c>
      <c r="G31" s="17">
        <f>IFERROR('1. Mixture Model Inputs'!F31/'1. Mixture Model Inputs'!AD31, NA())</f>
        <v>0.77190812720848068</v>
      </c>
      <c r="H31" s="24">
        <f>WhonSpComp!AT46</f>
        <v>0.42857142857142855</v>
      </c>
      <c r="I31" s="17">
        <f>IFERROR('1. Mixture Model Inputs'!G31/'1. Mixture Model Inputs'!AE31, NA())</f>
        <v>0</v>
      </c>
      <c r="J31" s="17">
        <f>IFERROR('1. Mixture Model Inputs'!H31/'1. Mixture Model Inputs'!AF31, NA())</f>
        <v>0.46565847511027086</v>
      </c>
      <c r="K31" s="17">
        <f>IFERROR('1. Mixture Model Inputs'!I31/'1. Mixture Model Inputs'!AG31, NA())</f>
        <v>0.62489044697633656</v>
      </c>
      <c r="L31" s="22">
        <f>C31*'2. Salmon Passage by Bin'!C31</f>
        <v>256.78675754625118</v>
      </c>
      <c r="M31" s="22">
        <f>D31*'2. Salmon Passage by Bin'!D31</f>
        <v>56.078431372549019</v>
      </c>
      <c r="N31" s="22">
        <f>F31*'2. Salmon Passage by Bin'!F31</f>
        <v>530.62100917431189</v>
      </c>
      <c r="O31" s="22">
        <f>G31*'2. Salmon Passage by Bin'!G31</f>
        <v>976.30939929328645</v>
      </c>
      <c r="P31" s="22">
        <f>$G31*'2. Salmon Passage by Bin'!H31</f>
        <v>730.10158303886931</v>
      </c>
      <c r="Q31" s="22">
        <f>$G31*'2. Salmon Passage by Bin'!I31</f>
        <v>453.14094699646648</v>
      </c>
      <c r="R31" s="22">
        <f>$G31*'2. Salmon Passage by Bin'!J31</f>
        <v>0</v>
      </c>
      <c r="S31" s="25">
        <f>'2. Salmon Passage by Bin'!K31*H31</f>
        <v>3633.120000000004</v>
      </c>
      <c r="T31" s="25">
        <f>K31*'2. Salmon Passage by Bin'!L31</f>
        <v>139.9254688869413</v>
      </c>
      <c r="U31" s="25">
        <f>K31*'2. Salmon Passage by Bin'!M31</f>
        <v>25.94545135845749</v>
      </c>
      <c r="V31" s="25">
        <f>J31*'2. Salmon Passage by Bin'!N31</f>
        <v>46.379584120982983</v>
      </c>
      <c r="W31" s="25">
        <f>I31*'2. Salmon Passage by Bin'!O31</f>
        <v>0</v>
      </c>
      <c r="X31" s="22">
        <f>E31*'2. Salmon Passage by Bin'!E31</f>
        <v>96.871139854486671</v>
      </c>
      <c r="Y31" s="41">
        <f t="shared" si="0"/>
        <v>6632.4145827238071</v>
      </c>
      <c r="Z31" s="42">
        <f>Y31/'[1]Passage Estimates'!$D31</f>
        <v>0.48902091205869969</v>
      </c>
      <c r="AA31" s="43">
        <f>IFERROR(SUMIF(L31:R31, "&lt;&gt;#N/A")/SUMIF('2. Salmon Passage by Bin'!E31:J31, "&lt;&gt;#N/A"), NA())</f>
        <v>0.64591466365151906</v>
      </c>
      <c r="AB31" s="42">
        <f>IFERROR(IF(ISNA(S31), NA(), S31/'2. Salmon Passage by Bin'!K31), NA())</f>
        <v>0.42857142857142855</v>
      </c>
      <c r="AC31" s="44">
        <f>IFERROR(SUMIF(T31:W31, "&lt;&gt;#N/A")/SUMIF('2. Salmon Passage by Bin'!L31:N31, "&lt;&gt;#N/A"), NA())</f>
        <v>0.58144451119433971</v>
      </c>
    </row>
    <row r="32" spans="1:29" x14ac:dyDescent="0.3">
      <c r="A32" s="5">
        <f>'1. Mixture Model Inputs'!A32</f>
        <v>45134</v>
      </c>
      <c r="B32" s="13" t="str">
        <f>IF(ISBLANK('[1]Passage Estimates'!$C32),"",IF('[1]Passage Estimates'!$C32="Imputation",'[1]Passage Estimates'!$B32,'[1]Passage Estimates'!$C32))</f>
        <v>S1+M2+A2</v>
      </c>
      <c r="C32" s="17">
        <f>IFERROR('1. Mixture Model Inputs'!B32/'1. Mixture Model Inputs'!Z32,NA())</f>
        <v>0</v>
      </c>
      <c r="D32" s="17">
        <f>IFERROR('1. Mixture Model Inputs'!C32/'1. Mixture Model Inputs'!AA32,NA())</f>
        <v>0</v>
      </c>
      <c r="E32" s="17">
        <f>IFERROR('1. Mixture Model Inputs'!D32/'1. Mixture Model Inputs'!AB32,NA())</f>
        <v>0</v>
      </c>
      <c r="F32" s="17">
        <f>IFERROR('1. Mixture Model Inputs'!E32/'1. Mixture Model Inputs'!AC32, NA())</f>
        <v>0.28587278106508879</v>
      </c>
      <c r="G32" s="17">
        <f>IFERROR('1. Mixture Model Inputs'!F32/'1. Mixture Model Inputs'!AD32, NA())</f>
        <v>0.71840107190710134</v>
      </c>
      <c r="H32" s="24">
        <f>WhonSpComp!AT47</f>
        <v>0.75</v>
      </c>
      <c r="I32" s="17">
        <f>IFERROR('1. Mixture Model Inputs'!G32/'1. Mixture Model Inputs'!AE32, NA())</f>
        <v>0</v>
      </c>
      <c r="J32" s="17">
        <f>IFERROR('1. Mixture Model Inputs'!H32/'1. Mixture Model Inputs'!AF32, NA())</f>
        <v>0.46565847511027086</v>
      </c>
      <c r="K32" s="17">
        <f>IFERROR('1. Mixture Model Inputs'!I32/'1. Mixture Model Inputs'!AG32, NA())</f>
        <v>0.62489044697633656</v>
      </c>
      <c r="L32" s="22">
        <f>C32*'2. Salmon Passage by Bin'!C32</f>
        <v>0</v>
      </c>
      <c r="M32" s="22">
        <f>D32*'2. Salmon Passage by Bin'!D32</f>
        <v>0</v>
      </c>
      <c r="N32" s="22">
        <f>F32*'2. Salmon Passage by Bin'!F32</f>
        <v>315.05467455621306</v>
      </c>
      <c r="O32" s="22">
        <f>G32*'2. Salmon Passage by Bin'!G32</f>
        <v>550.18027690933457</v>
      </c>
      <c r="P32" s="22">
        <f>$G32*'2. Salmon Passage by Bin'!H32</f>
        <v>550.69752568110755</v>
      </c>
      <c r="Q32" s="22">
        <f>$G32*'2. Salmon Passage by Bin'!I32</f>
        <v>311.03892809289857</v>
      </c>
      <c r="R32" s="22">
        <f>$G32*'2. Salmon Passage by Bin'!J32</f>
        <v>0</v>
      </c>
      <c r="S32" s="25">
        <f>'2. Salmon Passage by Bin'!K32*H32</f>
        <v>5528.1600000000008</v>
      </c>
      <c r="T32" s="25">
        <f>K32*'2. Salmon Passage by Bin'!L32</f>
        <v>-10.348185801928132</v>
      </c>
      <c r="U32" s="25">
        <f>K32*'2. Salmon Passage by Bin'!M32</f>
        <v>82.935460122699382</v>
      </c>
      <c r="V32" s="25">
        <f>J32*'2. Salmon Passage by Bin'!N32</f>
        <v>79.795236294896014</v>
      </c>
      <c r="W32" s="25">
        <f>I32*'2. Salmon Passage by Bin'!O32</f>
        <v>0</v>
      </c>
      <c r="X32" s="22">
        <f>E32*'2. Salmon Passage by Bin'!E32</f>
        <v>0</v>
      </c>
      <c r="Y32" s="41">
        <f t="shared" si="0"/>
        <v>7407.5139158552229</v>
      </c>
      <c r="Z32" s="42">
        <f>Y32/'[1]Passage Estimates'!$D32</f>
        <v>0.63899302960671245</v>
      </c>
      <c r="AA32" s="43">
        <f>IFERROR(SUMIF(L32:R32, "&lt;&gt;#N/A")/SUMIF('2. Salmon Passage by Bin'!E32:J32, "&lt;&gt;#N/A"), NA())</f>
        <v>0.44632887907816288</v>
      </c>
      <c r="AB32" s="42">
        <f>IFERROR(IF(ISNA(S32), NA(), S32/'2. Salmon Passage by Bin'!K32), NA())</f>
        <v>0.75</v>
      </c>
      <c r="AC32" s="44">
        <f>IFERROR(SUMIF(T32:W32, "&lt;&gt;#N/A")/SUMIF('2. Salmon Passage by Bin'!L32:N32, "&lt;&gt;#N/A"), NA())</f>
        <v>0.52998925506283845</v>
      </c>
    </row>
    <row r="33" spans="1:29" x14ac:dyDescent="0.3">
      <c r="A33" s="5">
        <f>'1. Mixture Model Inputs'!A33</f>
        <v>45135</v>
      </c>
      <c r="B33" s="13" t="str">
        <f>IF(ISBLANK('[1]Passage Estimates'!$C33),"",IF('[1]Passage Estimates'!$C33="Imputation",'[1]Passage Estimates'!$B33,'[1]Passage Estimates'!$C33))</f>
        <v>S1+M2+A2</v>
      </c>
      <c r="C33" s="17">
        <f>IFERROR('1. Mixture Model Inputs'!B33/'1. Mixture Model Inputs'!Z33,NA())</f>
        <v>0.3358778625954198</v>
      </c>
      <c r="D33" s="17">
        <f>IFERROR('1. Mixture Model Inputs'!C33/'1. Mixture Model Inputs'!AA33,NA())</f>
        <v>6.781914893617022E-2</v>
      </c>
      <c r="E33" s="17">
        <f>IFERROR('1. Mixture Model Inputs'!D33/'1. Mixture Model Inputs'!AB33,NA())</f>
        <v>0.15749656121045391</v>
      </c>
      <c r="F33" s="17">
        <f>IFERROR('1. Mixture Model Inputs'!E33/'1. Mixture Model Inputs'!AC33, NA())</f>
        <v>0.34544561748097224</v>
      </c>
      <c r="G33" s="17">
        <f>IFERROR('1. Mixture Model Inputs'!F33/'1. Mixture Model Inputs'!AD33, NA())</f>
        <v>0.9219190968955786</v>
      </c>
      <c r="H33" s="24">
        <f>WhonSpComp!AT48</f>
        <v>0.18181818181818182</v>
      </c>
      <c r="I33" s="17">
        <f>IFERROR('1. Mixture Model Inputs'!G33/'1. Mixture Model Inputs'!AE33, NA())</f>
        <v>0</v>
      </c>
      <c r="J33" s="17">
        <f>IFERROR('1. Mixture Model Inputs'!H33/'1. Mixture Model Inputs'!AF33, NA())</f>
        <v>0.10526315789473685</v>
      </c>
      <c r="K33" s="17">
        <f>IFERROR('1. Mixture Model Inputs'!I33/'1. Mixture Model Inputs'!AG33, NA())</f>
        <v>0.47177848775292863</v>
      </c>
      <c r="L33" s="22">
        <f>C33*'2. Salmon Passage by Bin'!C33</f>
        <v>81.618320610687007</v>
      </c>
      <c r="M33" s="22">
        <f>D33*'2. Salmon Passage by Bin'!D33</f>
        <v>56.561170212765965</v>
      </c>
      <c r="N33" s="22">
        <f>F33*'2. Salmon Passage by Bin'!F33</f>
        <v>429.04345691136751</v>
      </c>
      <c r="O33" s="22">
        <f>G33*'2. Salmon Passage by Bin'!G33</f>
        <v>839.68391345249302</v>
      </c>
      <c r="P33" s="22">
        <f>$G33*'2. Salmon Passage by Bin'!H33</f>
        <v>494.51740357478843</v>
      </c>
      <c r="Q33" s="22">
        <f>$G33*'2. Salmon Passage by Bin'!I33</f>
        <v>353.13189087488246</v>
      </c>
      <c r="R33" s="22">
        <f>$G33*'2. Salmon Passage by Bin'!J33</f>
        <v>0</v>
      </c>
      <c r="S33" s="25">
        <f>'2. Salmon Passage by Bin'!K33*H33</f>
        <v>1014.9381818181819</v>
      </c>
      <c r="T33" s="25">
        <f>K33*'2. Salmon Passage by Bin'!L33</f>
        <v>15.512076677316294</v>
      </c>
      <c r="U33" s="25">
        <f>K33*'2. Salmon Passage by Bin'!M33</f>
        <v>58.764728434504789</v>
      </c>
      <c r="V33" s="25">
        <f>J33*'2. Salmon Passage by Bin'!N33</f>
        <v>36.151578947368421</v>
      </c>
      <c r="W33" s="25">
        <f>I33*'2. Salmon Passage by Bin'!O33</f>
        <v>0</v>
      </c>
      <c r="X33" s="22">
        <f>E33*'2. Salmon Passage by Bin'!E33</f>
        <v>154.59862448418156</v>
      </c>
      <c r="Y33" s="41">
        <f t="shared" si="0"/>
        <v>3396.3418551750842</v>
      </c>
      <c r="Z33" s="42">
        <f>Y33/'[1]Passage Estimates'!$D33</f>
        <v>0.33031661445690796</v>
      </c>
      <c r="AA33" s="43">
        <f>IFERROR(SUMIF(L33:R33, "&lt;&gt;#N/A")/SUMIF('2. Salmon Passage by Bin'!E33:J33, "&lt;&gt;#N/A"), NA())</f>
        <v>0.55615321661362671</v>
      </c>
      <c r="AB33" s="42">
        <f>IFERROR(IF(ISNA(S33), NA(), S33/'2. Salmon Passage by Bin'!K33), NA())</f>
        <v>0.18181818181818182</v>
      </c>
      <c r="AC33" s="44">
        <f>IFERROR(SUMIF(T33:W33, "&lt;&gt;#N/A")/SUMIF('2. Salmon Passage by Bin'!L33:N33, "&lt;&gt;#N/A"), NA())</f>
        <v>0.22046874313046941</v>
      </c>
    </row>
    <row r="34" spans="1:29" x14ac:dyDescent="0.3">
      <c r="A34" s="5">
        <f>'1. Mixture Model Inputs'!A34</f>
        <v>45136</v>
      </c>
      <c r="B34" s="13" t="str">
        <f>IF(ISBLANK('[1]Passage Estimates'!$C34),"",IF('[1]Passage Estimates'!$C34="Imputation",'[1]Passage Estimates'!$B34,'[1]Passage Estimates'!$C34))</f>
        <v>S1+M2+A2</v>
      </c>
      <c r="C34" s="17">
        <f>IFERROR('1. Mixture Model Inputs'!B34/'1. Mixture Model Inputs'!Z34,NA())</f>
        <v>0.37192118226600984</v>
      </c>
      <c r="D34" s="17">
        <f>IFERROR('1. Mixture Model Inputs'!C34/'1. Mixture Model Inputs'!AA34,NA())</f>
        <v>0.3160270880361174</v>
      </c>
      <c r="E34" s="17">
        <f>IFERROR('1. Mixture Model Inputs'!D34/'1. Mixture Model Inputs'!AB34,NA())</f>
        <v>0.35006435006434999</v>
      </c>
      <c r="F34" s="17">
        <f>IFERROR('1. Mixture Model Inputs'!E34/'1. Mixture Model Inputs'!AC34, NA())</f>
        <v>0.54579741379310354</v>
      </c>
      <c r="G34" s="17">
        <f>IFERROR('1. Mixture Model Inputs'!F34/'1. Mixture Model Inputs'!AD34, NA())</f>
        <v>0.70074937552039962</v>
      </c>
      <c r="H34" s="24">
        <f>WhonSpComp!AT49</f>
        <v>0.66666666666666663</v>
      </c>
      <c r="I34" s="17">
        <f>IFERROR('1. Mixture Model Inputs'!G34/'1. Mixture Model Inputs'!AE34, NA())</f>
        <v>0</v>
      </c>
      <c r="J34" s="17">
        <f>IFERROR('1. Mixture Model Inputs'!H34/'1. Mixture Model Inputs'!AF34, NA())</f>
        <v>0.10526315789473685</v>
      </c>
      <c r="K34" s="17">
        <f>IFERROR('1. Mixture Model Inputs'!I34/'1. Mixture Model Inputs'!AG34, NA())</f>
        <v>0.47177848775292863</v>
      </c>
      <c r="L34" s="22">
        <f>C34*'2. Salmon Passage by Bin'!C34</f>
        <v>82.938423645320199</v>
      </c>
      <c r="M34" s="22">
        <f>D34*'2. Salmon Passage by Bin'!D34</f>
        <v>104.60496613995485</v>
      </c>
      <c r="N34" s="22">
        <f>F34*'2. Salmon Passage by Bin'!F34</f>
        <v>854.84974137931056</v>
      </c>
      <c r="O34" s="22">
        <f>G34*'2. Salmon Passage by Bin'!G34</f>
        <v>841.57197002497912</v>
      </c>
      <c r="P34" s="22">
        <f>$G34*'2. Salmon Passage by Bin'!H34</f>
        <v>600.23388509575341</v>
      </c>
      <c r="Q34" s="22">
        <f>$G34*'2. Salmon Passage by Bin'!I34</f>
        <v>258.1560699417152</v>
      </c>
      <c r="R34" s="22">
        <f>$G34*'2. Salmon Passage by Bin'!J34</f>
        <v>0</v>
      </c>
      <c r="S34" s="25">
        <f>'2. Salmon Passage by Bin'!K34*H34</f>
        <v>4247.0400000000009</v>
      </c>
      <c r="T34" s="25">
        <f>K34*'2. Salmon Passage by Bin'!L34</f>
        <v>27.287667731629394</v>
      </c>
      <c r="U34" s="25">
        <f>K34*'2. Salmon Passage by Bin'!M34</f>
        <v>117.18977635782745</v>
      </c>
      <c r="V34" s="25">
        <f>J34*'2. Salmon Passage by Bin'!N34</f>
        <v>51.107368421052634</v>
      </c>
      <c r="W34" s="25">
        <f>I34*'2. Salmon Passage by Bin'!O34</f>
        <v>0</v>
      </c>
      <c r="X34" s="22">
        <f>E34*'2. Salmon Passage by Bin'!E34</f>
        <v>410.33142857142849</v>
      </c>
      <c r="Y34" s="41">
        <f t="shared" si="0"/>
        <v>7407.7679075236956</v>
      </c>
      <c r="Z34" s="42">
        <f>Y34/'[1]Passage Estimates'!$D34</f>
        <v>0.58669998697337078</v>
      </c>
      <c r="AA34" s="43">
        <f>IFERROR(SUMIF(L34:R34, "&lt;&gt;#N/A")/SUMIF('2. Salmon Passage by Bin'!E34:J34, "&lt;&gt;#N/A"), NA())</f>
        <v>0.5310195836483862</v>
      </c>
      <c r="AB34" s="42">
        <f>IFERROR(IF(ISNA(S34), NA(), S34/'2. Salmon Passage by Bin'!K34), NA())</f>
        <v>0.66666666666666663</v>
      </c>
      <c r="AC34" s="44">
        <f>IFERROR(SUMIF(T34:W34, "&lt;&gt;#N/A")/SUMIF('2. Salmon Passage by Bin'!L34:N34, "&lt;&gt;#N/A"), NA())</f>
        <v>0.24702537702145785</v>
      </c>
    </row>
    <row r="35" spans="1:29" x14ac:dyDescent="0.3">
      <c r="A35" s="5">
        <f>'1. Mixture Model Inputs'!A35</f>
        <v>45137</v>
      </c>
      <c r="B35" s="13" t="str">
        <f>IF(ISBLANK('[1]Passage Estimates'!$C35),"",IF('[1]Passage Estimates'!$C35="Imputation",'[1]Passage Estimates'!$B35,'[1]Passage Estimates'!$C35))</f>
        <v>S1+M2+A2</v>
      </c>
      <c r="C35" s="17">
        <f>IFERROR('1. Mixture Model Inputs'!B35/'1. Mixture Model Inputs'!Z35,NA())</f>
        <v>0</v>
      </c>
      <c r="D35" s="17">
        <f>IFERROR('1. Mixture Model Inputs'!C35/'1. Mixture Model Inputs'!AA35,NA())</f>
        <v>0.23806451612903226</v>
      </c>
      <c r="E35" s="17">
        <f>IFERROR('1. Mixture Model Inputs'!D35/'1. Mixture Model Inputs'!AB35,NA())</f>
        <v>0.1793103448275862</v>
      </c>
      <c r="F35" s="17">
        <f>IFERROR('1. Mixture Model Inputs'!E35/'1. Mixture Model Inputs'!AC35, NA())</f>
        <v>0.71147821133580169</v>
      </c>
      <c r="G35" s="17">
        <f>IFERROR('1. Mixture Model Inputs'!F35/'1. Mixture Model Inputs'!AD35, NA())</f>
        <v>0.66027193145837204</v>
      </c>
      <c r="H35" s="24">
        <f>WhonSpComp!AT50</f>
        <v>0.54545454545454541</v>
      </c>
      <c r="I35" s="17">
        <f>IFERROR('1. Mixture Model Inputs'!G35/'1. Mixture Model Inputs'!AE35, NA())</f>
        <v>0.19946091644204852</v>
      </c>
      <c r="J35" s="17">
        <f>IFERROR('1. Mixture Model Inputs'!H35/'1. Mixture Model Inputs'!AF35, NA())</f>
        <v>0.70893371757925072</v>
      </c>
      <c r="K35" s="17">
        <f>IFERROR('1. Mixture Model Inputs'!I35/'1. Mixture Model Inputs'!AG35, NA())</f>
        <v>0.72517047139045365</v>
      </c>
      <c r="L35" s="22">
        <f>C35*'2. Salmon Passage by Bin'!C35</f>
        <v>0</v>
      </c>
      <c r="M35" s="22">
        <f>D35*'2. Salmon Passage by Bin'!D35</f>
        <v>148.07612903225805</v>
      </c>
      <c r="N35" s="22">
        <f>F35*'2. Salmon Passage by Bin'!F35</f>
        <v>838.74743377954985</v>
      </c>
      <c r="O35" s="22">
        <f>G35*'2. Salmon Passage by Bin'!G35</f>
        <v>592.1846898863846</v>
      </c>
      <c r="P35" s="22">
        <f>$G35*'2. Salmon Passage by Bin'!H35</f>
        <v>694.07785434904054</v>
      </c>
      <c r="Q35" s="22">
        <f>$G35*'2. Salmon Passage by Bin'!I35</f>
        <v>428.33160737567505</v>
      </c>
      <c r="R35" s="22">
        <f>$G35*'2. Salmon Passage by Bin'!J35</f>
        <v>0</v>
      </c>
      <c r="S35" s="25">
        <f>'2. Salmon Passage by Bin'!K35*H35</f>
        <v>2366.05090909091</v>
      </c>
      <c r="T35" s="25">
        <f>K35*'2. Salmon Passage by Bin'!L35</f>
        <v>191.09692262081234</v>
      </c>
      <c r="U35" s="25">
        <f>K35*'2. Salmon Passage by Bin'!M35</f>
        <v>273.94039727245774</v>
      </c>
      <c r="V35" s="25">
        <f>J35*'2. Salmon Passage by Bin'!N35</f>
        <v>217.27400576368876</v>
      </c>
      <c r="W35" s="25">
        <f>I35*'2. Salmon Passage by Bin'!O35</f>
        <v>52.753423180592996</v>
      </c>
      <c r="X35" s="22">
        <f>E35*'2. Salmon Passage by Bin'!E35</f>
        <v>157.07586206896551</v>
      </c>
      <c r="Y35" s="41">
        <f t="shared" si="0"/>
        <v>5811.5331053880773</v>
      </c>
      <c r="Z35" s="42">
        <f>Y35/'[1]Passage Estimates'!$D35</f>
        <v>0.56966432052250959</v>
      </c>
      <c r="AA35" s="43">
        <f>IFERROR(SUMIF(L35:R35, "&lt;&gt;#N/A")/SUMIF('2. Salmon Passage by Bin'!E35:J35, "&lt;&gt;#N/A"), NA())</f>
        <v>0.58074023028731725</v>
      </c>
      <c r="AB35" s="42">
        <f>IFERROR(IF(ISNA(S35), NA(), S35/'2. Salmon Passage by Bin'!K35), NA())</f>
        <v>0.54545454545454541</v>
      </c>
      <c r="AC35" s="44">
        <f>IFERROR(SUMIF(T35:W35, "&lt;&gt;#N/A")/SUMIF('2. Salmon Passage by Bin'!L35:N35, "&lt;&gt;#N/A"), NA())</f>
        <v>0.77558110580479434</v>
      </c>
    </row>
    <row r="36" spans="1:29" x14ac:dyDescent="0.3">
      <c r="A36" s="5">
        <f>'1. Mixture Model Inputs'!A36</f>
        <v>45138</v>
      </c>
      <c r="B36" s="13" t="str">
        <f>IF(ISBLANK('[1]Passage Estimates'!$C36),"",IF('[1]Passage Estimates'!$C36="Imputation",'[1]Passage Estimates'!$B36,'[1]Passage Estimates'!$C36))</f>
        <v>S1+M2+A2</v>
      </c>
      <c r="C36" s="17">
        <f>IFERROR('1. Mixture Model Inputs'!B36/'1. Mixture Model Inputs'!Z36,NA())</f>
        <v>0.1702127659574468</v>
      </c>
      <c r="D36" s="17">
        <f>IFERROR('1. Mixture Model Inputs'!C36/'1. Mixture Model Inputs'!AA36,NA())</f>
        <v>0</v>
      </c>
      <c r="E36" s="17">
        <f>IFERROR('1. Mixture Model Inputs'!D36/'1. Mixture Model Inputs'!AB36,NA())</f>
        <v>3.2871972318339104E-2</v>
      </c>
      <c r="F36" s="17">
        <f>IFERROR('1. Mixture Model Inputs'!E36/'1. Mixture Model Inputs'!AC36, NA())</f>
        <v>0.47529917152500767</v>
      </c>
      <c r="G36" s="17">
        <f>IFERROR('1. Mixture Model Inputs'!F36/'1. Mixture Model Inputs'!AD36, NA())</f>
        <v>0.77584364025041985</v>
      </c>
      <c r="H36" s="24">
        <f>WhonSpComp!AT51</f>
        <v>0.125</v>
      </c>
      <c r="I36" s="17">
        <f>IFERROR('1. Mixture Model Inputs'!G36/'1. Mixture Model Inputs'!AE36, NA())</f>
        <v>0.19946091644204852</v>
      </c>
      <c r="J36" s="17">
        <f>IFERROR('1. Mixture Model Inputs'!H36/'1. Mixture Model Inputs'!AF36, NA())</f>
        <v>0.70893371757925072</v>
      </c>
      <c r="K36" s="17">
        <f>IFERROR('1. Mixture Model Inputs'!I36/'1. Mixture Model Inputs'!AG36, NA())</f>
        <v>0.72517047139045365</v>
      </c>
      <c r="L36" s="22">
        <f>C36*'2. Salmon Passage by Bin'!C36</f>
        <v>24.170212765957448</v>
      </c>
      <c r="M36" s="22">
        <f>D36*'2. Salmon Passage by Bin'!D36</f>
        <v>0</v>
      </c>
      <c r="N36" s="22">
        <f>F36*'2. Salmon Passage by Bin'!F36</f>
        <v>619.86616753605392</v>
      </c>
      <c r="O36" s="22">
        <f>G36*'2. Salmon Passage by Bin'!G36</f>
        <v>1195.2336784241868</v>
      </c>
      <c r="P36" s="22">
        <f>$G36*'2. Salmon Passage by Bin'!H36</f>
        <v>904.19921209344932</v>
      </c>
      <c r="Q36" s="22">
        <f>$G36*'2. Salmon Passage by Bin'!I36</f>
        <v>729.54129180027473</v>
      </c>
      <c r="R36" s="22">
        <f>$G36*'2. Salmon Passage by Bin'!J36</f>
        <v>0</v>
      </c>
      <c r="S36" s="25">
        <f>'2. Salmon Passage by Bin'!K36*H36</f>
        <v>1028.5500000000002</v>
      </c>
      <c r="T36" s="25">
        <f>K36*'2. Salmon Passage by Bin'!L36</f>
        <v>93.459970352801662</v>
      </c>
      <c r="U36" s="25">
        <f>K36*'2. Salmon Passage by Bin'!M36</f>
        <v>87.542579306255561</v>
      </c>
      <c r="V36" s="25">
        <f>J36*'2. Salmon Passage by Bin'!N36</f>
        <v>276.48414985590779</v>
      </c>
      <c r="W36" s="25">
        <f>I36*'2. Salmon Passage by Bin'!O36</f>
        <v>45.955795148247972</v>
      </c>
      <c r="X36" s="22">
        <f>E36*'2. Salmon Passage by Bin'!E36</f>
        <v>24.661868512110729</v>
      </c>
      <c r="Y36" s="41">
        <f t="shared" si="0"/>
        <v>5005.4947130292903</v>
      </c>
      <c r="Z36" s="42">
        <f>Y36/'[1]Passage Estimates'!$D36</f>
        <v>0.33822921315789661</v>
      </c>
      <c r="AA36" s="43">
        <f>IFERROR(SUMIF(L36:R36, "&lt;&gt;#N/A")/SUMIF('2. Salmon Passage by Bin'!E36:J36, "&lt;&gt;#N/A"), NA())</f>
        <v>0.60922314420282397</v>
      </c>
      <c r="AB36" s="42">
        <f>IFERROR(IF(ISNA(S36), NA(), S36/'2. Salmon Passage by Bin'!K36), NA())</f>
        <v>0.125</v>
      </c>
      <c r="AC36" s="44">
        <f>IFERROR(SUMIF(T36:W36, "&lt;&gt;#N/A")/SUMIF('2. Salmon Passage by Bin'!L36:N36, "&lt;&gt;#N/A"), NA())</f>
        <v>0.78712084844154617</v>
      </c>
    </row>
    <row r="37" spans="1:29" x14ac:dyDescent="0.3">
      <c r="A37" s="5">
        <f>'1. Mixture Model Inputs'!A37</f>
        <v>45139</v>
      </c>
      <c r="B37" s="13" t="str">
        <f>IF(ISBLANK('[1]Passage Estimates'!$C37),"",IF('[1]Passage Estimates'!$C37="Imputation",'[1]Passage Estimates'!$B37,'[1]Passage Estimates'!$C37))</f>
        <v>S1+M2+A2</v>
      </c>
      <c r="C37" s="17">
        <f>IFERROR('1. Mixture Model Inputs'!B37/'1. Mixture Model Inputs'!Z37,NA())</f>
        <v>0.16927083333333334</v>
      </c>
      <c r="D37" s="17">
        <f>IFERROR('1. Mixture Model Inputs'!C37/'1. Mixture Model Inputs'!AA37,NA())</f>
        <v>0.10096153846153846</v>
      </c>
      <c r="E37" s="17">
        <f>IFERROR('1. Mixture Model Inputs'!D37/'1. Mixture Model Inputs'!AB37,NA())</f>
        <v>0.11585365853658536</v>
      </c>
      <c r="F37" s="17">
        <f>IFERROR('1. Mixture Model Inputs'!E37/'1. Mixture Model Inputs'!AC37, NA())</f>
        <v>0.44634053849070915</v>
      </c>
      <c r="G37" s="17">
        <f>IFERROR('1. Mixture Model Inputs'!F37/'1. Mixture Model Inputs'!AD37, NA())</f>
        <v>0.77029675251959684</v>
      </c>
      <c r="H37" s="24">
        <f>WhonSpComp!AT52</f>
        <v>0.3888888888888889</v>
      </c>
      <c r="I37" s="17">
        <f>IFERROR('1. Mixture Model Inputs'!G37/'1. Mixture Model Inputs'!AE37, NA())</f>
        <v>0.56343283582089554</v>
      </c>
      <c r="J37" s="17">
        <f>IFERROR('1. Mixture Model Inputs'!H37/'1. Mixture Model Inputs'!AF37, NA())</f>
        <v>0.67497850386930347</v>
      </c>
      <c r="K37" s="17">
        <f>IFERROR('1. Mixture Model Inputs'!I37/'1. Mixture Model Inputs'!AG37, NA())</f>
        <v>0.51261620185922974</v>
      </c>
      <c r="L37" s="22">
        <f>C37*'2. Salmon Passage by Bin'!C37</f>
        <v>107.82552083333334</v>
      </c>
      <c r="M37" s="22">
        <f>D37*'2. Salmon Passage by Bin'!D37</f>
        <v>65.019230769230774</v>
      </c>
      <c r="N37" s="22">
        <f>F37*'2. Salmon Passage by Bin'!F37</f>
        <v>403.09906712172921</v>
      </c>
      <c r="O37" s="22">
        <f>G37*'2. Salmon Passage by Bin'!G37</f>
        <v>848.7437737961925</v>
      </c>
      <c r="P37" s="22">
        <f>$G37*'2. Salmon Passage by Bin'!H37</f>
        <v>622.64627099664051</v>
      </c>
      <c r="Q37" s="22">
        <f>$G37*'2. Salmon Passage by Bin'!I37</f>
        <v>748.5435722284434</v>
      </c>
      <c r="R37" s="22">
        <f>$G37*'2. Salmon Passage by Bin'!J37</f>
        <v>0</v>
      </c>
      <c r="S37" s="25">
        <f>'2. Salmon Passage by Bin'!K37*H37</f>
        <v>3375.4000000000015</v>
      </c>
      <c r="T37" s="25">
        <f>K37*'2. Salmon Passage by Bin'!L37</f>
        <v>-139.26756972111554</v>
      </c>
      <c r="U37" s="25">
        <f>K37*'2. Salmon Passage by Bin'!M37</f>
        <v>-43.059760956175296</v>
      </c>
      <c r="V37" s="25">
        <f>J37*'2. Salmon Passage by Bin'!N37</f>
        <v>52.648323301805668</v>
      </c>
      <c r="W37" s="25">
        <f>I37*'2. Salmon Passage by Bin'!O37</f>
        <v>70.451641791044779</v>
      </c>
      <c r="X37" s="22">
        <f>E37*'2. Salmon Passage by Bin'!E37</f>
        <v>72.153658536585368</v>
      </c>
      <c r="Y37" s="41">
        <f t="shared" si="0"/>
        <v>6011.3589770951512</v>
      </c>
      <c r="Z37" s="42">
        <f>Y37/'[1]Passage Estimates'!$D37</f>
        <v>0.46474309437294353</v>
      </c>
      <c r="AA37" s="43">
        <f>IFERROR(SUMIF(L37:R37, "&lt;&gt;#N/A")/SUMIF('2. Salmon Passage by Bin'!E37:J37, "&lt;&gt;#N/A"), NA())</f>
        <v>0.63429648892554391</v>
      </c>
      <c r="AB37" s="42">
        <f>IFERROR(IF(ISNA(S37), NA(), S37/'2. Salmon Passage by Bin'!K37), NA())</f>
        <v>0.3888888888888889</v>
      </c>
      <c r="AC37" s="44">
        <f>IFERROR(SUMIF(T37:W37, "&lt;&gt;#N/A")/SUMIF('2. Salmon Passage by Bin'!L37:N37, "&lt;&gt;#N/A"), NA())</f>
        <v>0.2132935954495836</v>
      </c>
    </row>
    <row r="38" spans="1:29" x14ac:dyDescent="0.3">
      <c r="A38" s="5">
        <f>'1. Mixture Model Inputs'!A38</f>
        <v>45140</v>
      </c>
      <c r="B38" s="13" t="str">
        <f>IF(ISBLANK('[1]Passage Estimates'!$C38),"",IF('[1]Passage Estimates'!$C38="Imputation",'[1]Passage Estimates'!$B38,'[1]Passage Estimates'!$C38))</f>
        <v>S1+M2+A2</v>
      </c>
      <c r="C38" s="17">
        <f>IFERROR('1. Mixture Model Inputs'!B38/'1. Mixture Model Inputs'!Z38,NA())</f>
        <v>0</v>
      </c>
      <c r="D38" s="17">
        <f>IFERROR('1. Mixture Model Inputs'!C38/'1. Mixture Model Inputs'!AA38,NA())</f>
        <v>0</v>
      </c>
      <c r="E38" s="17">
        <f>IFERROR('1. Mixture Model Inputs'!D38/'1. Mixture Model Inputs'!AB38,NA())</f>
        <v>0</v>
      </c>
      <c r="F38" s="17">
        <f>IFERROR('1. Mixture Model Inputs'!E38/'1. Mixture Model Inputs'!AC38, NA())</f>
        <v>0.46240831295843521</v>
      </c>
      <c r="G38" s="17">
        <f>IFERROR('1. Mixture Model Inputs'!F38/'1. Mixture Model Inputs'!AD38, NA())</f>
        <v>0.49982981620149763</v>
      </c>
      <c r="H38" s="24">
        <f>WhonSpComp!AT53</f>
        <v>0.375</v>
      </c>
      <c r="I38" s="17">
        <f>IFERROR('1. Mixture Model Inputs'!G38/'1. Mixture Model Inputs'!AE38, NA())</f>
        <v>0.56343283582089554</v>
      </c>
      <c r="J38" s="17">
        <f>IFERROR('1. Mixture Model Inputs'!H38/'1. Mixture Model Inputs'!AF38, NA())</f>
        <v>0.67497850386930347</v>
      </c>
      <c r="K38" s="17">
        <f>IFERROR('1. Mixture Model Inputs'!I38/'1. Mixture Model Inputs'!AG38, NA())</f>
        <v>0.51261620185922974</v>
      </c>
      <c r="L38" s="22">
        <f>C38*'2. Salmon Passage by Bin'!C38</f>
        <v>0</v>
      </c>
      <c r="M38" s="22">
        <f>D38*'2. Salmon Passage by Bin'!D38</f>
        <v>0</v>
      </c>
      <c r="N38" s="22">
        <f>F38*'2. Salmon Passage by Bin'!F38</f>
        <v>606.60572127139358</v>
      </c>
      <c r="O38" s="22">
        <f>G38*'2. Salmon Passage by Bin'!G38</f>
        <v>788.85140912185147</v>
      </c>
      <c r="P38" s="22">
        <f>$G38*'2. Salmon Passage by Bin'!H38</f>
        <v>543.89481279782171</v>
      </c>
      <c r="Q38" s="22">
        <f>$G38*'2. Salmon Passage by Bin'!I38</f>
        <v>340.68400272294076</v>
      </c>
      <c r="R38" s="22">
        <f>$G38*'2. Salmon Passage by Bin'!J38</f>
        <v>0</v>
      </c>
      <c r="S38" s="25">
        <f>'2. Salmon Passage by Bin'!K38*H38</f>
        <v>2270.0699999999997</v>
      </c>
      <c r="T38" s="25">
        <f>K38*'2. Salmon Passage by Bin'!L38</f>
        <v>-34.447808764940234</v>
      </c>
      <c r="U38" s="25">
        <f>K38*'2. Salmon Passage by Bin'!M38</f>
        <v>64.589641434262944</v>
      </c>
      <c r="V38" s="25">
        <f>J38*'2. Salmon Passage by Bin'!N38</f>
        <v>248.98607050730865</v>
      </c>
      <c r="W38" s="25">
        <f>I38*'2. Salmon Passage by Bin'!O38</f>
        <v>76.807164179104475</v>
      </c>
      <c r="X38" s="22">
        <f>E38*'2. Salmon Passage by Bin'!E38</f>
        <v>0</v>
      </c>
      <c r="Y38" s="41">
        <f t="shared" si="0"/>
        <v>4906.0410132697434</v>
      </c>
      <c r="Z38" s="42">
        <f>Y38/'[1]Passage Estimates'!$D38</f>
        <v>0.41015745812096144</v>
      </c>
      <c r="AA38" s="43">
        <f>IFERROR(SUMIF(L38:R38, "&lt;&gt;#N/A")/SUMIF('2. Salmon Passage by Bin'!E38:J38, "&lt;&gt;#N/A"), NA())</f>
        <v>0.42666620743023886</v>
      </c>
      <c r="AB38" s="42">
        <f>IFERROR(IF(ISNA(S38), NA(), S38/'2. Salmon Passage by Bin'!K38), NA())</f>
        <v>0.375</v>
      </c>
      <c r="AC38" s="44">
        <f>IFERROR(SUMIF(T38:W38, "&lt;&gt;#N/A")/SUMIF('2. Salmon Passage by Bin'!L38:N38, "&lt;&gt;#N/A"), NA())</f>
        <v>0.83224622932036996</v>
      </c>
    </row>
    <row r="39" spans="1:29" x14ac:dyDescent="0.3">
      <c r="A39" s="5">
        <f>'1. Mixture Model Inputs'!A39</f>
        <v>45141</v>
      </c>
      <c r="B39" s="13" t="str">
        <f>IF(ISBLANK('[1]Passage Estimates'!$C39),"",IF('[1]Passage Estimates'!$C39="Imputation",'[1]Passage Estimates'!$B39,'[1]Passage Estimates'!$C39))</f>
        <v>S1+M2+A2</v>
      </c>
      <c r="C39" s="17">
        <f>IFERROR('1. Mixture Model Inputs'!B39/'1. Mixture Model Inputs'!Z39,NA())</f>
        <v>0</v>
      </c>
      <c r="D39" s="17">
        <f>IFERROR('1. Mixture Model Inputs'!C39/'1. Mixture Model Inputs'!AA39,NA())</f>
        <v>0</v>
      </c>
      <c r="E39" s="17">
        <f>IFERROR('1. Mixture Model Inputs'!D39/'1. Mixture Model Inputs'!AB39,NA())</f>
        <v>0</v>
      </c>
      <c r="F39" s="17">
        <f>IFERROR('1. Mixture Model Inputs'!E39/'1. Mixture Model Inputs'!AC39, NA())</f>
        <v>0.23662346294449982</v>
      </c>
      <c r="G39" s="17">
        <f>IFERROR('1. Mixture Model Inputs'!F39/'1. Mixture Model Inputs'!AD39, NA())</f>
        <v>0.54178861788617882</v>
      </c>
      <c r="H39" s="24">
        <f>WhonSpComp!AT54</f>
        <v>0.26666666666666666</v>
      </c>
      <c r="I39" s="17">
        <f>IFERROR('1. Mixture Model Inputs'!G39/'1. Mixture Model Inputs'!AE39, NA())</f>
        <v>0</v>
      </c>
      <c r="J39" s="17">
        <f>IFERROR('1. Mixture Model Inputs'!H39/'1. Mixture Model Inputs'!AF39, NA())</f>
        <v>0.31353591160220995</v>
      </c>
      <c r="K39" s="17">
        <f>IFERROR('1. Mixture Model Inputs'!I39/'1. Mixture Model Inputs'!AG39, NA())</f>
        <v>0.78280542986425328</v>
      </c>
      <c r="L39" s="22">
        <f>C39*'2. Salmon Passage by Bin'!C39</f>
        <v>0</v>
      </c>
      <c r="M39" s="22">
        <f>D39*'2. Salmon Passage by Bin'!D39</f>
        <v>0</v>
      </c>
      <c r="N39" s="22">
        <f>F39*'2. Salmon Passage by Bin'!F39</f>
        <v>416.83589232303092</v>
      </c>
      <c r="O39" s="22">
        <f>G39*'2. Salmon Passage by Bin'!G39</f>
        <v>754.03972682926826</v>
      </c>
      <c r="P39" s="22">
        <f>$G39*'2. Salmon Passage by Bin'!H39</f>
        <v>897.46200975609759</v>
      </c>
      <c r="Q39" s="22">
        <f>$G39*'2. Salmon Passage by Bin'!I39</f>
        <v>504.51356097560966</v>
      </c>
      <c r="R39" s="22">
        <f>$G39*'2. Salmon Passage by Bin'!J39</f>
        <v>0</v>
      </c>
      <c r="S39" s="25">
        <f>'2. Salmon Passage by Bin'!K39*H39</f>
        <v>3670.4640000000013</v>
      </c>
      <c r="T39" s="25">
        <f>K39*'2. Salmon Passage by Bin'!L39</f>
        <v>70.45248868778279</v>
      </c>
      <c r="U39" s="25">
        <f>K39*'2. Salmon Passage by Bin'!M39</f>
        <v>231.64778280542984</v>
      </c>
      <c r="V39" s="25">
        <f>J39*'2. Salmon Passage by Bin'!N39</f>
        <v>133.19005524861876</v>
      </c>
      <c r="W39" s="25">
        <f>I39*'2. Salmon Passage by Bin'!O39</f>
        <v>0</v>
      </c>
      <c r="X39" s="22">
        <f>E39*'2. Salmon Passage by Bin'!E39</f>
        <v>0</v>
      </c>
      <c r="Y39" s="41">
        <f t="shared" si="0"/>
        <v>6678.6055166258384</v>
      </c>
      <c r="Z39" s="42">
        <f>Y39/'[1]Passage Estimates'!$D39</f>
        <v>0.30382708795655622</v>
      </c>
      <c r="AA39" s="43">
        <f>IFERROR(SUMIF(L39:R39, "&lt;&gt;#N/A")/SUMIF('2. Salmon Passage by Bin'!E39:J39, "&lt;&gt;#N/A"), NA())</f>
        <v>0.3742437874387628</v>
      </c>
      <c r="AB39" s="42">
        <f>IFERROR(IF(ISNA(S39), NA(), S39/'2. Salmon Passage by Bin'!K39), NA())</f>
        <v>0.26666666666666666</v>
      </c>
      <c r="AC39" s="44">
        <f>IFERROR(SUMIF(T39:W39, "&lt;&gt;#N/A")/SUMIF('2. Salmon Passage by Bin'!L39:N39, "&lt;&gt;#N/A"), NA())</f>
        <v>0.53691820448716121</v>
      </c>
    </row>
    <row r="40" spans="1:29" x14ac:dyDescent="0.3">
      <c r="A40" s="5">
        <f>'1. Mixture Model Inputs'!A40</f>
        <v>45142</v>
      </c>
      <c r="B40" s="13" t="str">
        <f>IF(ISBLANK('[1]Passage Estimates'!$C40),"",IF('[1]Passage Estimates'!$C40="Imputation",'[1]Passage Estimates'!$B40,'[1]Passage Estimates'!$C40))</f>
        <v>A1+S1+M2+A2</v>
      </c>
      <c r="C40" s="17">
        <f>IFERROR('1. Mixture Model Inputs'!B40/'1. Mixture Model Inputs'!Z40,NA())</f>
        <v>8.2706766917293228E-2</v>
      </c>
      <c r="D40" s="17">
        <f>IFERROR('1. Mixture Model Inputs'!C40/'1. Mixture Model Inputs'!AA40,NA())</f>
        <v>0</v>
      </c>
      <c r="E40" s="17">
        <f>IFERROR('1. Mixture Model Inputs'!D40/'1. Mixture Model Inputs'!AC40,NA())</f>
        <v>1.0374493927125507E-2</v>
      </c>
      <c r="F40" s="17">
        <f>IFERROR('1. Mixture Model Inputs'!E40/'1. Mixture Model Inputs'!AD40, NA())</f>
        <v>0.10222496909765141</v>
      </c>
      <c r="G40" s="17">
        <f>IFERROR('1. Mixture Model Inputs'!F40/'1. Mixture Model Inputs'!AD40, NA())</f>
        <v>0.49517923362175525</v>
      </c>
      <c r="H40" s="24">
        <f>WhonSpComp!AT55</f>
        <v>0.33333333333333331</v>
      </c>
      <c r="I40" s="17">
        <f>IFERROR('1. Mixture Model Inputs'!G40/'1. Mixture Model Inputs'!AE40, NA())</f>
        <v>0</v>
      </c>
      <c r="J40" s="17">
        <f>IFERROR('1. Mixture Model Inputs'!H40/'1. Mixture Model Inputs'!AF40, NA())</f>
        <v>0.31609529343404996</v>
      </c>
      <c r="K40" s="17">
        <f>IFERROR('1. Mixture Model Inputs'!I40/'1. Mixture Model Inputs'!AG40, NA())</f>
        <v>0.28503638089212274</v>
      </c>
      <c r="L40" s="22">
        <f>C40*'2. Salmon Passage by Bin'!C40</f>
        <v>9.1804511278195484</v>
      </c>
      <c r="M40" s="22">
        <f>D40*'2. Salmon Passage by Bin'!D40</f>
        <v>0</v>
      </c>
      <c r="N40" s="22">
        <f>F40*'2. Salmon Passage by Bin'!F40</f>
        <v>89.352800988875146</v>
      </c>
      <c r="O40" s="22">
        <f>G40*'2. Salmon Passage by Bin'!G40</f>
        <v>708.42321878862788</v>
      </c>
      <c r="P40" s="22">
        <f>$G40*'2. Salmon Passage by Bin'!H40</f>
        <v>651.73510012360941</v>
      </c>
      <c r="Q40" s="22">
        <f>$G40*'2. Salmon Passage by Bin'!I40</f>
        <v>423.19998022249689</v>
      </c>
      <c r="R40" s="22">
        <f>$G40*'2. Salmon Passage by Bin'!J40</f>
        <v>0</v>
      </c>
      <c r="S40" s="25">
        <f>'2. Salmon Passage by Bin'!K40*H40</f>
        <v>3920.4672000000014</v>
      </c>
      <c r="T40" s="25">
        <f>K40*'2. Salmon Passage by Bin'!L40</f>
        <v>4.7202024675735519</v>
      </c>
      <c r="U40" s="25">
        <f>K40*'2. Salmon Passage by Bin'!M40</f>
        <v>63.893755140778232</v>
      </c>
      <c r="V40" s="25">
        <f>J40*'2. Salmon Passage by Bin'!N40</f>
        <v>114.78052295177223</v>
      </c>
      <c r="W40" s="25">
        <f>I40*'2. Salmon Passage by Bin'!O40</f>
        <v>0</v>
      </c>
      <c r="X40" s="22">
        <f>E40*'2. Salmon Passage by Bin'!E40</f>
        <v>7.2828947368421062</v>
      </c>
      <c r="Y40" s="41">
        <f t="shared" si="0"/>
        <v>5985.7532318115545</v>
      </c>
      <c r="Z40" s="42">
        <f>Y40/'[1]Passage Estimates'!$D40</f>
        <v>0.33009544286558751</v>
      </c>
      <c r="AA40" s="43">
        <f>IFERROR(SUMIF(L40:R40, "&lt;&gt;#N/A")/SUMIF('2. Salmon Passage by Bin'!E40:J40, "&lt;&gt;#N/A"), NA())</f>
        <v>0.36347354549116734</v>
      </c>
      <c r="AB40" s="42">
        <f>IFERROR(IF(ISNA(S40), NA(), S40/'2. Salmon Passage by Bin'!K40), NA())</f>
        <v>0.33333333333333331</v>
      </c>
      <c r="AC40" s="44">
        <f>IFERROR(SUMIF(T40:W40, "&lt;&gt;#N/A")/SUMIF('2. Salmon Passage by Bin'!L40:N40, "&lt;&gt;#N/A"), NA())</f>
        <v>0.30371369992071412</v>
      </c>
    </row>
    <row r="41" spans="1:29" x14ac:dyDescent="0.3">
      <c r="A41" s="5">
        <f>'1. Mixture Model Inputs'!A41</f>
        <v>45143</v>
      </c>
      <c r="B41" s="13" t="str">
        <f>IF(ISBLANK('[1]Passage Estimates'!$C41),"",IF('[1]Passage Estimates'!$C41="Imputation",'[1]Passage Estimates'!$B41,'[1]Passage Estimates'!$C41))</f>
        <v>A1+S1+M2+A2</v>
      </c>
      <c r="C41" s="17">
        <f>IFERROR('1. Mixture Model Inputs'!B41/'1. Mixture Model Inputs'!Z41,NA())</f>
        <v>4.8646528050215763E-2</v>
      </c>
      <c r="D41" s="17">
        <f>IFERROR('1. Mixture Model Inputs'!C41/'1. Mixture Model Inputs'!AA41,NA())</f>
        <v>3.0805687203791472E-2</v>
      </c>
      <c r="E41" s="17">
        <f>IFERROR('1. Mixture Model Inputs'!D41/'1. Mixture Model Inputs'!AB41,NA())</f>
        <v>3.6121673003802278E-2</v>
      </c>
      <c r="F41" s="17">
        <f>IFERROR('1. Mixture Model Inputs'!E41/'1. Mixture Model Inputs'!AC41, NA())</f>
        <v>0.25036770714168982</v>
      </c>
      <c r="G41" s="17">
        <f>IFERROR('1. Mixture Model Inputs'!F41/'1. Mixture Model Inputs'!AD41, NA())</f>
        <v>0.60619575699132111</v>
      </c>
      <c r="H41" s="24">
        <f>WhonSpComp!AT56</f>
        <v>0.2</v>
      </c>
      <c r="I41" s="17">
        <f>IFERROR('1. Mixture Model Inputs'!G41/'1. Mixture Model Inputs'!AE41, NA())</f>
        <v>0</v>
      </c>
      <c r="J41" s="17">
        <f>IFERROR('1. Mixture Model Inputs'!H41/'1. Mixture Model Inputs'!AF41, NA())</f>
        <v>0.29393939393939394</v>
      </c>
      <c r="K41" s="17">
        <f>IFERROR('1. Mixture Model Inputs'!I41/'1. Mixture Model Inputs'!AG41, NA())</f>
        <v>0.33018549747048903</v>
      </c>
      <c r="L41" s="22">
        <f>C41*'2. Salmon Passage by Bin'!C41</f>
        <v>56.721851706551583</v>
      </c>
      <c r="M41" s="22">
        <f>D41*'2. Salmon Passage by Bin'!D41</f>
        <v>61.303317535545027</v>
      </c>
      <c r="N41" s="22">
        <f>F41*'2. Salmon Passage by Bin'!F41</f>
        <v>971.98752737375389</v>
      </c>
      <c r="O41" s="22">
        <f>G41*'2. Salmon Passage by Bin'!G41</f>
        <v>1388.9642140790741</v>
      </c>
      <c r="P41" s="22">
        <f>$G41*'2. Salmon Passage by Bin'!H41</f>
        <v>1188.6286403085826</v>
      </c>
      <c r="Q41" s="22">
        <f>$G41*'2. Salmon Passage by Bin'!I41</f>
        <v>1037.1766923818707</v>
      </c>
      <c r="R41" s="22">
        <f>$G41*'2. Salmon Passage by Bin'!J41</f>
        <v>0</v>
      </c>
      <c r="S41" s="25">
        <f>'2. Salmon Passage by Bin'!K41*H41</f>
        <v>2101.248</v>
      </c>
      <c r="T41" s="25">
        <f>K41*'2. Salmon Passage by Bin'!L41</f>
        <v>51.667426644182122</v>
      </c>
      <c r="U41" s="25">
        <f>K41*'2. Salmon Passage by Bin'!M41</f>
        <v>149.45516357504215</v>
      </c>
      <c r="V41" s="25">
        <f>J41*'2. Salmon Passage by Bin'!N41</f>
        <v>77.741090909090914</v>
      </c>
      <c r="W41" s="25">
        <f>I41*'2. Salmon Passage by Bin'!O41</f>
        <v>0</v>
      </c>
      <c r="X41" s="22">
        <f>E41*'2. Salmon Passage by Bin'!E41</f>
        <v>114.00866920152089</v>
      </c>
      <c r="Y41" s="41">
        <f t="shared" si="0"/>
        <v>7084.8939245136935</v>
      </c>
      <c r="Z41" s="42">
        <f>Y41/'[1]Passage Estimates'!$D41</f>
        <v>0.28675050852994122</v>
      </c>
      <c r="AA41" s="43">
        <f>IFERROR(SUMIF(L41:R41, "&lt;&gt;#N/A")/SUMIF('2. Salmon Passage by Bin'!E41:J41, "&lt;&gt;#N/A"), NA())</f>
        <v>0.3618640161600627</v>
      </c>
      <c r="AB41" s="42">
        <f>IFERROR(IF(ISNA(S41), NA(), S41/'2. Salmon Passage by Bin'!K41), NA())</f>
        <v>0.2</v>
      </c>
      <c r="AC41" s="44">
        <f>IFERROR(SUMIF(T41:W41, "&lt;&gt;#N/A")/SUMIF('2. Salmon Passage by Bin'!L41:N41, "&lt;&gt;#N/A"), NA())</f>
        <v>0.31921208920365751</v>
      </c>
    </row>
    <row r="42" spans="1:29" x14ac:dyDescent="0.3">
      <c r="A42" s="5">
        <f>'1. Mixture Model Inputs'!A42</f>
        <v>45144</v>
      </c>
      <c r="B42" s="13" t="str">
        <f>IF(ISBLANK('[1]Passage Estimates'!$C42),"",IF('[1]Passage Estimates'!$C42="Imputation",'[1]Passage Estimates'!$B42,'[1]Passage Estimates'!$C42))</f>
        <v>A1+S1+M2+A2</v>
      </c>
      <c r="C42" s="17">
        <f>IFERROR('1. Mixture Model Inputs'!B42/'1. Mixture Model Inputs'!Z42,NA())</f>
        <v>0.12694202349374764</v>
      </c>
      <c r="D42" s="17">
        <f>IFERROR('1. Mixture Model Inputs'!C42/'1. Mixture Model Inputs'!AA42,NA())</f>
        <v>0.18129447644866148</v>
      </c>
      <c r="E42" s="17">
        <f>IFERROR('1. Mixture Model Inputs'!D42/'1. Mixture Model Inputs'!AB42,NA())</f>
        <v>0.15660919540229887</v>
      </c>
      <c r="F42" s="17">
        <f>IFERROR('1. Mixture Model Inputs'!E42/'1. Mixture Model Inputs'!AC42, NA())</f>
        <v>0.47094222833562582</v>
      </c>
      <c r="G42" s="17">
        <f>IFERROR('1. Mixture Model Inputs'!F42/'1. Mixture Model Inputs'!AD42, NA())</f>
        <v>0.85733645435505723</v>
      </c>
      <c r="H42" s="24">
        <f>WhonSpComp!AT57</f>
        <v>0.4</v>
      </c>
      <c r="I42" s="17">
        <f>IFERROR('1. Mixture Model Inputs'!G42/'1. Mixture Model Inputs'!AE42, NA())</f>
        <v>0</v>
      </c>
      <c r="J42" s="17">
        <f>IFERROR('1. Mixture Model Inputs'!H42/'1. Mixture Model Inputs'!AF42, NA())</f>
        <v>0.29393939393939394</v>
      </c>
      <c r="K42" s="17">
        <f>IFERROR('1. Mixture Model Inputs'!I42/'1. Mixture Model Inputs'!AG42, NA())</f>
        <v>0.33018549747048903</v>
      </c>
      <c r="L42" s="22">
        <f>C42*'2. Salmon Passage by Bin'!C42</f>
        <v>158.16976127320956</v>
      </c>
      <c r="M42" s="22">
        <f>D42*'2. Salmon Passage by Bin'!D42</f>
        <v>595.91494408675032</v>
      </c>
      <c r="N42" s="22">
        <f>F42*'2. Salmon Passage by Bin'!F42</f>
        <v>1253.5728610729022</v>
      </c>
      <c r="O42" s="22">
        <f>G42*'2. Salmon Passage by Bin'!G42</f>
        <v>3485.381328076875</v>
      </c>
      <c r="P42" s="22">
        <f>$G42*'2. Salmon Passage by Bin'!H42</f>
        <v>2284.1500751509179</v>
      </c>
      <c r="Q42" s="22">
        <f>$G42*'2. Salmon Passage by Bin'!I42</f>
        <v>1443.6174153012196</v>
      </c>
      <c r="R42" s="22">
        <f>$G42*'2. Salmon Passage by Bin'!J42</f>
        <v>0</v>
      </c>
      <c r="S42" s="25">
        <f>'2. Salmon Passage by Bin'!K42*H42</f>
        <v>5156.3520000000026</v>
      </c>
      <c r="T42" s="25">
        <f>K42*'2. Salmon Passage by Bin'!L42</f>
        <v>73.380424957841484</v>
      </c>
      <c r="U42" s="25">
        <f>K42*'2. Salmon Passage by Bin'!M42</f>
        <v>154.92303541315346</v>
      </c>
      <c r="V42" s="25">
        <f>J42*'2. Salmon Passage by Bin'!N42</f>
        <v>68.922909090909087</v>
      </c>
      <c r="W42" s="25">
        <f>I42*'2. Salmon Passage by Bin'!O42</f>
        <v>0</v>
      </c>
      <c r="X42" s="22">
        <f>E42*'2. Salmon Passage by Bin'!E42</f>
        <v>709.81551724137933</v>
      </c>
      <c r="Y42" s="41">
        <f t="shared" si="0"/>
        <v>14674.38475442378</v>
      </c>
      <c r="Z42" s="42">
        <f>Y42/'[1]Passage Estimates'!$D42</f>
        <v>0.49227704045810627</v>
      </c>
      <c r="AA42" s="43">
        <f>IFERROR(SUMIF(L42:R42, "&lt;&gt;#N/A")/SUMIF('2. Salmon Passage by Bin'!E42:J42, "&lt;&gt;#N/A"), NA())</f>
        <v>0.59078648363894404</v>
      </c>
      <c r="AB42" s="42">
        <f>IFERROR(IF(ISNA(S42), NA(), S42/'2. Salmon Passage by Bin'!K42), NA())</f>
        <v>0.40000000000000008</v>
      </c>
      <c r="AC42" s="44">
        <f>IFERROR(SUMIF(T42:W42, "&lt;&gt;#N/A")/SUMIF('2. Salmon Passage by Bin'!L42:N42, "&lt;&gt;#N/A"), NA())</f>
        <v>0.32100653346067048</v>
      </c>
    </row>
    <row r="43" spans="1:29" x14ac:dyDescent="0.3">
      <c r="A43" s="5">
        <f>'1. Mixture Model Inputs'!A43</f>
        <v>45145</v>
      </c>
      <c r="B43" s="13" t="str">
        <f>IF(ISBLANK('[1]Passage Estimates'!$C43),"",IF('[1]Passage Estimates'!$C43="Imputation",'[1]Passage Estimates'!$B43,'[1]Passage Estimates'!$C43))</f>
        <v>A1+S1+M2+A2</v>
      </c>
      <c r="C43" s="17">
        <f>IFERROR('1. Mixture Model Inputs'!B43/'1. Mixture Model Inputs'!Z43,NA())</f>
        <v>0.20795942255169725</v>
      </c>
      <c r="D43" s="17">
        <f>IFERROR('1. Mixture Model Inputs'!C43/'1. Mixture Model Inputs'!AA43,NA())</f>
        <v>0.11102514506769826</v>
      </c>
      <c r="E43" s="17">
        <f>IFERROR('1. Mixture Model Inputs'!D43/'1. Mixture Model Inputs'!AB43,NA())</f>
        <v>0.16079039132119335</v>
      </c>
      <c r="F43" s="17">
        <f>IFERROR('1. Mixture Model Inputs'!E43/'1. Mixture Model Inputs'!AC43, NA())</f>
        <v>0.58362337424436705</v>
      </c>
      <c r="G43" s="17">
        <f>IFERROR('1. Mixture Model Inputs'!F43/'1. Mixture Model Inputs'!AD43, NA())</f>
        <v>0.7857142857142857</v>
      </c>
      <c r="H43" s="24">
        <f>WhonSpComp!AT58</f>
        <v>0.40909090909090912</v>
      </c>
      <c r="I43" s="17">
        <f>IFERROR('1. Mixture Model Inputs'!G43/'1. Mixture Model Inputs'!AE43, NA())</f>
        <v>0.1402284263959391</v>
      </c>
      <c r="J43" s="17">
        <f>IFERROR('1. Mixture Model Inputs'!H43/'1. Mixture Model Inputs'!AF43, NA())</f>
        <v>0.40315495207667729</v>
      </c>
      <c r="K43" s="17">
        <f>IFERROR('1. Mixture Model Inputs'!I43/'1. Mixture Model Inputs'!AG43, NA())</f>
        <v>0.56939862978939348</v>
      </c>
      <c r="L43" s="22">
        <f>C43*'2. Salmon Passage by Bin'!C43</f>
        <v>353.73897776043702</v>
      </c>
      <c r="M43" s="22">
        <f>D43*'2. Salmon Passage by Bin'!D43</f>
        <v>263.90676982591873</v>
      </c>
      <c r="N43" s="22">
        <f>F43*'2. Salmon Passage by Bin'!F43</f>
        <v>2358.3520205165778</v>
      </c>
      <c r="O43" s="22">
        <f>G43*'2. Salmon Passage by Bin'!G43</f>
        <v>2999.4171428571431</v>
      </c>
      <c r="P43" s="22">
        <f>$G43*'2. Salmon Passage by Bin'!H43</f>
        <v>2251.92</v>
      </c>
      <c r="Q43" s="22">
        <f>$G43*'2. Salmon Passage by Bin'!I43</f>
        <v>1548.9257142857143</v>
      </c>
      <c r="R43" s="22">
        <f>$G43*'2. Salmon Passage by Bin'!J43</f>
        <v>0</v>
      </c>
      <c r="S43" s="25">
        <f>'2. Salmon Passage by Bin'!K43*H43</f>
        <v>5344.625454545454</v>
      </c>
      <c r="T43" s="25">
        <f>K43*'2. Salmon Passage by Bin'!L43</f>
        <v>117.66053285968026</v>
      </c>
      <c r="U43" s="25">
        <f>K43*'2. Salmon Passage by Bin'!M43</f>
        <v>240.92394823648817</v>
      </c>
      <c r="V43" s="25">
        <f>J43*'2. Salmon Passage by Bin'!N43</f>
        <v>282.53099041533545</v>
      </c>
      <c r="W43" s="25">
        <f>I43*'2. Salmon Passage by Bin'!O43</f>
        <v>66.973096446700509</v>
      </c>
      <c r="X43" s="22">
        <f>E43*'2. Salmon Passage by Bin'!E43</f>
        <v>655.71607903913218</v>
      </c>
      <c r="Y43" s="41">
        <f t="shared" si="0"/>
        <v>15828.974647749448</v>
      </c>
      <c r="Z43" s="42">
        <f>Y43/'[1]Passage Estimates'!$D43</f>
        <v>0.50017868082518235</v>
      </c>
      <c r="AA43" s="43">
        <f>IFERROR(SUMIF(L43:R43, "&lt;&gt;#N/A")/SUMIF('2. Salmon Passage by Bin'!E43:J43, "&lt;&gt;#N/A"), NA())</f>
        <v>0.58282782149142898</v>
      </c>
      <c r="AB43" s="42">
        <f>IFERROR(IF(ISNA(S43), NA(), S43/'2. Salmon Passage by Bin'!K43), NA())</f>
        <v>0.40909090909090912</v>
      </c>
      <c r="AC43" s="44">
        <f>IFERROR(SUMIF(T43:W43, "&lt;&gt;#N/A")/SUMIF('2. Salmon Passage by Bin'!L43:N43, "&lt;&gt;#N/A"), NA())</f>
        <v>0.5321733465294346</v>
      </c>
    </row>
    <row r="44" spans="1:29" x14ac:dyDescent="0.3">
      <c r="A44" s="5">
        <f>'1. Mixture Model Inputs'!A44</f>
        <v>45146</v>
      </c>
      <c r="B44" s="13" t="str">
        <f>IF(ISBLANK('[1]Passage Estimates'!$C44),"",IF('[1]Passage Estimates'!$C44="Imputation",'[1]Passage Estimates'!$B44,'[1]Passage Estimates'!$C44))</f>
        <v>A1+S1+M2+A2</v>
      </c>
      <c r="C44" s="17">
        <f>IFERROR('1. Mixture Model Inputs'!B44/'1. Mixture Model Inputs'!Z44,NA())</f>
        <v>3.8378611470461406E-2</v>
      </c>
      <c r="D44" s="17">
        <f>IFERROR('1. Mixture Model Inputs'!C44/'1. Mixture Model Inputs'!AA44,NA())</f>
        <v>5.126658624849216E-2</v>
      </c>
      <c r="E44" s="17">
        <f>IFERROR('1. Mixture Model Inputs'!D44/'1. Mixture Model Inputs'!AB44,NA())</f>
        <v>4.529370134465676E-2</v>
      </c>
      <c r="F44" s="17">
        <f>IFERROR('1. Mixture Model Inputs'!E44/'1. Mixture Model Inputs'!AC44, NA())</f>
        <v>0.54784810126582273</v>
      </c>
      <c r="G44" s="17">
        <f>IFERROR('1. Mixture Model Inputs'!F44/'1. Mixture Model Inputs'!AD44, NA())</f>
        <v>0.73348745046235142</v>
      </c>
      <c r="H44" s="24">
        <f>WhonSpComp!AT59</f>
        <v>0.47826086956521741</v>
      </c>
      <c r="I44" s="17">
        <f>IFERROR('1. Mixture Model Inputs'!G44/'1. Mixture Model Inputs'!AE44, NA())</f>
        <v>0.1402284263959391</v>
      </c>
      <c r="J44" s="17">
        <f>IFERROR('1. Mixture Model Inputs'!H44/'1. Mixture Model Inputs'!AF44, NA())</f>
        <v>0.40315495207667729</v>
      </c>
      <c r="K44" s="17">
        <f>IFERROR('1. Mixture Model Inputs'!I44/'1. Mixture Model Inputs'!AG44, NA())</f>
        <v>0.56939862978939348</v>
      </c>
      <c r="L44" s="22">
        <f>C44*'2. Salmon Passage by Bin'!C44</f>
        <v>46.438119879258302</v>
      </c>
      <c r="M44" s="22">
        <f>D44*'2. Salmon Passage by Bin'!D44</f>
        <v>215.21712907117009</v>
      </c>
      <c r="N44" s="22">
        <f>F44*'2. Salmon Passage by Bin'!F44</f>
        <v>2248.1056405063287</v>
      </c>
      <c r="O44" s="22">
        <f>G44*'2. Salmon Passage by Bin'!G44</f>
        <v>2954.7808454425362</v>
      </c>
      <c r="P44" s="22">
        <f>$G44*'2. Salmon Passage by Bin'!H44</f>
        <v>1633.2711756935273</v>
      </c>
      <c r="Q44" s="22">
        <f>$G44*'2. Salmon Passage by Bin'!I44</f>
        <v>1308.4829326287982</v>
      </c>
      <c r="R44" s="22">
        <f>$G44*'2. Salmon Passage by Bin'!J44</f>
        <v>0</v>
      </c>
      <c r="S44" s="25">
        <f>'2. Salmon Passage by Bin'!K44*H44</f>
        <v>7989.7878260869475</v>
      </c>
      <c r="T44" s="25">
        <f>K44*'2. Salmon Passage by Bin'!L44</f>
        <v>72.837472722659214</v>
      </c>
      <c r="U44" s="25">
        <f>K44*'2. Salmon Passage by Bin'!M44</f>
        <v>330.57006851053029</v>
      </c>
      <c r="V44" s="25">
        <f>J44*'2. Salmon Passage by Bin'!N44</f>
        <v>331.10309904153348</v>
      </c>
      <c r="W44" s="25">
        <f>I44*'2. Salmon Passage by Bin'!O44</f>
        <v>116.44568527918784</v>
      </c>
      <c r="X44" s="22">
        <f>E44*'2. Salmon Passage by Bin'!E44</f>
        <v>244.95558386411889</v>
      </c>
      <c r="Y44" s="41">
        <f t="shared" si="0"/>
        <v>17247.039994862476</v>
      </c>
      <c r="Z44" s="42">
        <f>Y44/'[1]Passage Estimates'!$D44</f>
        <v>0.47101439762247072</v>
      </c>
      <c r="AA44" s="43">
        <f>IFERROR(SUMIF(L44:R44, "&lt;&gt;#N/A")/SUMIF('2. Salmon Passage by Bin'!E44:J44, "&lt;&gt;#N/A"), NA())</f>
        <v>0.47897156602245478</v>
      </c>
      <c r="AB44" s="42">
        <f>IFERROR(IF(ISNA(S44), NA(), S44/'2. Salmon Passage by Bin'!K44), NA())</f>
        <v>0.47826086956521741</v>
      </c>
      <c r="AC44" s="44">
        <f>IFERROR(SUMIF(T44:W44, "&lt;&gt;#N/A")/SUMIF('2. Salmon Passage by Bin'!L44:N44, "&lt;&gt;#N/A"), NA())</f>
        <v>0.55626786264114036</v>
      </c>
    </row>
    <row r="45" spans="1:29" x14ac:dyDescent="0.3">
      <c r="A45" s="5">
        <f>'1. Mixture Model Inputs'!A45</f>
        <v>45147</v>
      </c>
      <c r="B45" s="13" t="str">
        <f>IF(ISBLANK('[1]Passage Estimates'!$C45),"",IF('[1]Passage Estimates'!$C45="Imputation",'[1]Passage Estimates'!$B45,'[1]Passage Estimates'!$C45))</f>
        <v>A1+S1+M2+A2</v>
      </c>
      <c r="C45" s="17">
        <f>IFERROR('1. Mixture Model Inputs'!B45/'1. Mixture Model Inputs'!Z45,NA())</f>
        <v>5.4536440257808627E-2</v>
      </c>
      <c r="D45" s="17">
        <f>IFERROR('1. Mixture Model Inputs'!C45/'1. Mixture Model Inputs'!AA45,NA())</f>
        <v>0.11035653650254668</v>
      </c>
      <c r="E45" s="17">
        <f>IFERROR('1. Mixture Model Inputs'!D45/'1. Mixture Model Inputs'!AB45,NA())</f>
        <v>9.3492208982584785E-2</v>
      </c>
      <c r="F45" s="17">
        <f>IFERROR('1. Mixture Model Inputs'!E45/'1. Mixture Model Inputs'!AC45, NA())</f>
        <v>0.27708731676226894</v>
      </c>
      <c r="G45" s="17">
        <f>IFERROR('1. Mixture Model Inputs'!F45/'1. Mixture Model Inputs'!AD45, NA())</f>
        <v>0.53851444291609352</v>
      </c>
      <c r="H45" s="24">
        <f>WhonSpComp!AT60</f>
        <v>0.25</v>
      </c>
      <c r="I45" s="17">
        <f>IFERROR('1. Mixture Model Inputs'!G45/'1. Mixture Model Inputs'!AE45, NA())</f>
        <v>0.14168039538714994</v>
      </c>
      <c r="J45" s="17">
        <f>IFERROR('1. Mixture Model Inputs'!H45/'1. Mixture Model Inputs'!AF45, NA())</f>
        <v>0.24088707621718075</v>
      </c>
      <c r="K45" s="17">
        <f>IFERROR('1. Mixture Model Inputs'!I45/'1. Mixture Model Inputs'!AG45, NA())</f>
        <v>0.3922466011576255</v>
      </c>
      <c r="L45" s="22">
        <f>C45*'2. Salmon Passage by Bin'!C45</f>
        <v>53.17302925136341</v>
      </c>
      <c r="M45" s="22">
        <f>D45*'2. Salmon Passage by Bin'!D45</f>
        <v>180.21222410865872</v>
      </c>
      <c r="N45" s="22">
        <f>F45*'2. Salmon Passage by Bin'!F45</f>
        <v>745.07671128107074</v>
      </c>
      <c r="O45" s="22">
        <f>G45*'2. Salmon Passage by Bin'!G45</f>
        <v>1610.1151031636864</v>
      </c>
      <c r="P45" s="22">
        <f>$G45*'2. Salmon Passage by Bin'!H45</f>
        <v>1130.7510866574964</v>
      </c>
      <c r="Q45" s="22">
        <f>$G45*'2. Salmon Passage by Bin'!I45</f>
        <v>681.37155433287478</v>
      </c>
      <c r="R45" s="22">
        <f>$G45*'2. Salmon Passage by Bin'!J45</f>
        <v>0</v>
      </c>
      <c r="S45" s="25">
        <f>'2. Salmon Passage by Bin'!K45*H45</f>
        <v>2984.4600000000009</v>
      </c>
      <c r="T45" s="25">
        <f>K45*'2. Salmon Passage by Bin'!L45</f>
        <v>-125.01683672095838</v>
      </c>
      <c r="U45" s="25">
        <f>K45*'2. Salmon Passage by Bin'!M45</f>
        <v>214.82561852200837</v>
      </c>
      <c r="V45" s="25">
        <f>J45*'2. Salmon Passage by Bin'!N45</f>
        <v>84.291205709915886</v>
      </c>
      <c r="W45" s="25">
        <f>I45*'2. Salmon Passage by Bin'!O45</f>
        <v>75.691334431630978</v>
      </c>
      <c r="X45" s="22">
        <f>E45*'2. Salmon Passage by Bin'!E45</f>
        <v>243.76784601283228</v>
      </c>
      <c r="Y45" s="41">
        <f t="shared" si="0"/>
        <v>7634.9510307377477</v>
      </c>
      <c r="Z45" s="42">
        <f>Y45/'[1]Passage Estimates'!$D45</f>
        <v>0.30907929931608413</v>
      </c>
      <c r="AA45" s="43">
        <f>IFERROR(SUMIF(L45:R45, "&lt;&gt;#N/A")/SUMIF('2. Salmon Passage by Bin'!E45:J45, "&lt;&gt;#N/A"), NA())</f>
        <v>0.37770096579904955</v>
      </c>
      <c r="AB45" s="42">
        <f>IFERROR(IF(ISNA(S45), NA(), S45/'2. Salmon Passage by Bin'!K45), NA())</f>
        <v>0.25</v>
      </c>
      <c r="AC45" s="44">
        <f>IFERROR(SUMIF(T45:W45, "&lt;&gt;#N/A")/SUMIF('2. Salmon Passage by Bin'!L45:N45, "&lt;&gt;#N/A"), NA())</f>
        <v>0.43150794973500006</v>
      </c>
    </row>
    <row r="46" spans="1:29" x14ac:dyDescent="0.3">
      <c r="A46" s="5">
        <f>'1. Mixture Model Inputs'!A46</f>
        <v>45148</v>
      </c>
      <c r="B46" s="13" t="str">
        <f>IF(ISBLANK('[1]Passage Estimates'!$C46),"",IF('[1]Passage Estimates'!$C46="Imputation",'[1]Passage Estimates'!$B46,'[1]Passage Estimates'!$C46))</f>
        <v>A1+S1+M2+A2</v>
      </c>
      <c r="C46" s="17">
        <f>IFERROR('1. Mixture Model Inputs'!B46/'1. Mixture Model Inputs'!Z46,NA())</f>
        <v>2.0382165605095544E-2</v>
      </c>
      <c r="D46" s="17">
        <f>IFERROR('1. Mixture Model Inputs'!C46/'1. Mixture Model Inputs'!AA46,NA())</f>
        <v>5.0789044077634684E-3</v>
      </c>
      <c r="E46" s="17">
        <f>IFERROR('1. Mixture Model Inputs'!D46/'1. Mixture Model Inputs'!AB46,NA())</f>
        <v>1.0375835831219737E-2</v>
      </c>
      <c r="F46" s="17">
        <f>IFERROR('1. Mixture Model Inputs'!E46/'1. Mixture Model Inputs'!AC46, NA())</f>
        <v>0.25356022206130824</v>
      </c>
      <c r="G46" s="17">
        <f>IFERROR('1. Mixture Model Inputs'!F46/'1. Mixture Model Inputs'!AD46, NA())</f>
        <v>0.43728100911002105</v>
      </c>
      <c r="H46" s="24">
        <f>WhonSpComp!AT61</f>
        <v>0.33333333333333331</v>
      </c>
      <c r="I46" s="17">
        <f>IFERROR('1. Mixture Model Inputs'!G46/'1. Mixture Model Inputs'!AE46, NA())</f>
        <v>0.14168039538714994</v>
      </c>
      <c r="J46" s="17">
        <f>IFERROR('1. Mixture Model Inputs'!H46/'1. Mixture Model Inputs'!AF46, NA())</f>
        <v>0.24088707621718075</v>
      </c>
      <c r="K46" s="17">
        <f>IFERROR('1. Mixture Model Inputs'!I46/'1. Mixture Model Inputs'!AG46, NA())</f>
        <v>0.3922466011576255</v>
      </c>
      <c r="L46" s="22">
        <f>C46*'2. Salmon Passage by Bin'!C46</f>
        <v>35.91337579617835</v>
      </c>
      <c r="M46" s="22">
        <f>D46*'2. Salmon Passage by Bin'!D46</f>
        <v>23.139488481770361</v>
      </c>
      <c r="N46" s="22">
        <f>F46*'2. Salmon Passage by Bin'!F46</f>
        <v>1956.348964518465</v>
      </c>
      <c r="O46" s="22">
        <f>G46*'2. Salmon Passage by Bin'!G46</f>
        <v>2360.3729222144361</v>
      </c>
      <c r="P46" s="22">
        <f>$G46*'2. Salmon Passage by Bin'!H46</f>
        <v>1130.3888997897689</v>
      </c>
      <c r="Q46" s="22">
        <f>$G46*'2. Salmon Passage by Bin'!I46</f>
        <v>847.03080588647526</v>
      </c>
      <c r="R46" s="22">
        <f>$G46*'2. Salmon Passage by Bin'!J46</f>
        <v>0</v>
      </c>
      <c r="S46" s="25">
        <f>'2. Salmon Passage by Bin'!K46*H46</f>
        <v>4760.8799999999956</v>
      </c>
      <c r="T46" s="25">
        <f>K46*'2. Salmon Passage by Bin'!L46</f>
        <v>-38.314648001076861</v>
      </c>
      <c r="U46" s="25">
        <f>K46*'2. Salmon Passage by Bin'!M46</f>
        <v>76.723435186431558</v>
      </c>
      <c r="V46" s="25">
        <f>J46*'2. Salmon Passage by Bin'!N46</f>
        <v>64.345755799133329</v>
      </c>
      <c r="W46" s="25">
        <f>I46*'2. Salmon Passage by Bin'!O46</f>
        <v>11.18708401976936</v>
      </c>
      <c r="X46" s="22">
        <f>E46*'2. Salmon Passage by Bin'!E46</f>
        <v>65.557020982245788</v>
      </c>
      <c r="Y46" s="41">
        <f t="shared" si="0"/>
        <v>11228.016083691347</v>
      </c>
      <c r="Z46" s="42">
        <f>Y46/'[1]Passage Estimates'!$D46</f>
        <v>0.29027722841205422</v>
      </c>
      <c r="AA46" s="43">
        <f>IFERROR(SUMIF(L46:R46, "&lt;&gt;#N/A")/SUMIF('2. Salmon Passage by Bin'!E46:J46, "&lt;&gt;#N/A"), NA())</f>
        <v>0.26522832636518034</v>
      </c>
      <c r="AB46" s="42">
        <f>IFERROR(IF(ISNA(S46), NA(), S46/'2. Salmon Passage by Bin'!K46), NA())</f>
        <v>0.33333333333333331</v>
      </c>
      <c r="AC46" s="44">
        <f>IFERROR(SUMIF(T46:W46, "&lt;&gt;#N/A")/SUMIF('2. Salmon Passage by Bin'!L46:N46, "&lt;&gt;#N/A"), NA())</f>
        <v>0.31213463457225887</v>
      </c>
    </row>
    <row r="47" spans="1:29" x14ac:dyDescent="0.3">
      <c r="A47" s="5">
        <f>'1. Mixture Model Inputs'!A47</f>
        <v>45149</v>
      </c>
      <c r="B47" s="13" t="str">
        <f>IF(ISBLANK('[1]Passage Estimates'!$C47),"",IF('[1]Passage Estimates'!$C47="Imputation",'[1]Passage Estimates'!$B47,'[1]Passage Estimates'!$C47))</f>
        <v>A1+S1+M2+A2</v>
      </c>
      <c r="C47" s="17">
        <f>IFERROR('1. Mixture Model Inputs'!B47/'1. Mixture Model Inputs'!Z47,NA())</f>
        <v>5.5618615209988648E-2</v>
      </c>
      <c r="D47" s="17">
        <f>IFERROR('1. Mixture Model Inputs'!C47/'1. Mixture Model Inputs'!AA47,NA())</f>
        <v>0.11463213006337833</v>
      </c>
      <c r="E47" s="17">
        <f>IFERROR('1. Mixture Model Inputs'!D47/'1. Mixture Model Inputs'!AB47,NA())</f>
        <v>0.10281038776236213</v>
      </c>
      <c r="F47" s="17">
        <f>IFERROR('1. Mixture Model Inputs'!E47/'1. Mixture Model Inputs'!AC47, NA())</f>
        <v>0.48492142149228373</v>
      </c>
      <c r="G47" s="17">
        <f>IFERROR('1. Mixture Model Inputs'!F47/'1. Mixture Model Inputs'!AD47, NA())</f>
        <v>0.60407167850705112</v>
      </c>
      <c r="H47" s="24">
        <f>WhonSpComp!AT62</f>
        <v>0.13157894736842105</v>
      </c>
      <c r="I47" s="17">
        <f>IFERROR('1. Mixture Model Inputs'!G47/'1. Mixture Model Inputs'!AE47, NA())</f>
        <v>0.29914529914529914</v>
      </c>
      <c r="J47" s="17">
        <f>IFERROR('1. Mixture Model Inputs'!H47/'1. Mixture Model Inputs'!AF47, NA())</f>
        <v>0.34555148283905368</v>
      </c>
      <c r="K47" s="17">
        <f>IFERROR('1. Mixture Model Inputs'!I47/'1. Mixture Model Inputs'!AG47, NA())</f>
        <v>0.14995099640640316</v>
      </c>
      <c r="L47" s="22">
        <f>C47*'2. Salmon Passage by Bin'!C47</f>
        <v>63.349602724177068</v>
      </c>
      <c r="M47" s="22">
        <f>D47*'2. Salmon Passage by Bin'!D47</f>
        <v>416.80242491044362</v>
      </c>
      <c r="N47" s="22">
        <f>F47*'2. Salmon Passage by Bin'!F47</f>
        <v>2977.7278776723774</v>
      </c>
      <c r="O47" s="22">
        <f>G47*'2. Salmon Passage by Bin'!G47</f>
        <v>3526.715436327006</v>
      </c>
      <c r="P47" s="22">
        <f>$G47*'2. Salmon Passage by Bin'!H47</f>
        <v>3559.0453525607036</v>
      </c>
      <c r="Q47" s="22">
        <f>$G47*'2. Salmon Passage by Bin'!I47</f>
        <v>1805.5460841904355</v>
      </c>
      <c r="R47" s="22">
        <f>$G47*'2. Salmon Passage by Bin'!J47</f>
        <v>0</v>
      </c>
      <c r="S47" s="25">
        <f>'2. Salmon Passage by Bin'!K47*H47</f>
        <v>2201.0526315789489</v>
      </c>
      <c r="T47" s="25">
        <f>K47*'2. Salmon Passage by Bin'!L47</f>
        <v>-12.991754328650771</v>
      </c>
      <c r="U47" s="25">
        <f>K47*'2. Salmon Passage by Bin'!M47</f>
        <v>92.165880431231642</v>
      </c>
      <c r="V47" s="25">
        <f>J47*'2. Salmon Passage by Bin'!N47</f>
        <v>143.63884038653782</v>
      </c>
      <c r="W47" s="25">
        <f>I47*'2. Salmon Passage by Bin'!O47</f>
        <v>167.2820512820513</v>
      </c>
      <c r="X47" s="22">
        <f>E47*'2. Salmon Passage by Bin'!E47</f>
        <v>490.89903948772667</v>
      </c>
      <c r="Y47" s="41">
        <f t="shared" si="0"/>
        <v>14940.334427735261</v>
      </c>
      <c r="Z47" s="42">
        <f>Y47/'[1]Passage Estimates'!$D47</f>
        <v>0.34059589788860939</v>
      </c>
      <c r="AA47" s="43">
        <f>IFERROR(SUMIF(L47:R47, "&lt;&gt;#N/A")/SUMIF('2. Salmon Passage by Bin'!E47:J47, "&lt;&gt;#N/A"), NA())</f>
        <v>0.48174276668793264</v>
      </c>
      <c r="AB47" s="42">
        <f>IFERROR(IF(ISNA(S47), NA(), S47/'2. Salmon Passage by Bin'!K47), NA())</f>
        <v>0.13157894736842105</v>
      </c>
      <c r="AC47" s="44">
        <f>IFERROR(SUMIF(T47:W47, "&lt;&gt;#N/A")/SUMIF('2. Salmon Passage by Bin'!L47:N47, "&lt;&gt;#N/A"), NA())</f>
        <v>0.41337637522377285</v>
      </c>
    </row>
    <row r="48" spans="1:29" x14ac:dyDescent="0.3">
      <c r="A48" s="5">
        <f>'1. Mixture Model Inputs'!A48</f>
        <v>45150</v>
      </c>
      <c r="B48" s="13" t="str">
        <f>IF(ISBLANK('[1]Passage Estimates'!$C48),"",IF('[1]Passage Estimates'!$C48="Imputation",'[1]Passage Estimates'!$B48,'[1]Passage Estimates'!$C48))</f>
        <v>A1+S1+M2+A2</v>
      </c>
      <c r="C48" s="17">
        <f>IFERROR('1. Mixture Model Inputs'!B48/'1. Mixture Model Inputs'!Z48,NA())</f>
        <v>5.6936936936936938E-2</v>
      </c>
      <c r="D48" s="17">
        <f>IFERROR('1. Mixture Model Inputs'!C48/'1. Mixture Model Inputs'!AA48,NA())</f>
        <v>6.9304071614207333E-2</v>
      </c>
      <c r="E48" s="17">
        <f>IFERROR('1. Mixture Model Inputs'!D48/'1. Mixture Model Inputs'!AB48,NA())</f>
        <v>6.3747585318737934E-2</v>
      </c>
      <c r="F48" s="17">
        <f>IFERROR('1. Mixture Model Inputs'!E48/'1. Mixture Model Inputs'!AC48, NA())</f>
        <v>0.51823015571591335</v>
      </c>
      <c r="G48" s="17">
        <f>IFERROR('1. Mixture Model Inputs'!F48/'1. Mixture Model Inputs'!AD48, NA())</f>
        <v>0.55192700204106138</v>
      </c>
      <c r="H48" s="24">
        <f>WhonSpComp!AT63</f>
        <v>0.25974025974025972</v>
      </c>
      <c r="I48" s="17">
        <f>IFERROR('1. Mixture Model Inputs'!G48/'1. Mixture Model Inputs'!AE48, NA())</f>
        <v>0.29914529914529914</v>
      </c>
      <c r="J48" s="17">
        <f>IFERROR('1. Mixture Model Inputs'!H48/'1. Mixture Model Inputs'!AF48, NA())</f>
        <v>0.34555148283905368</v>
      </c>
      <c r="K48" s="17">
        <f>IFERROR('1. Mixture Model Inputs'!I48/'1. Mixture Model Inputs'!AG48, NA())</f>
        <v>0.14995099640640316</v>
      </c>
      <c r="L48" s="22">
        <f>C48*'2. Salmon Passage by Bin'!C48</f>
        <v>118.94126126126126</v>
      </c>
      <c r="M48" s="22">
        <f>D48*'2. Salmon Passage by Bin'!D48</f>
        <v>195.36817788045047</v>
      </c>
      <c r="N48" s="22">
        <f>F48*'2. Salmon Passage by Bin'!F48</f>
        <v>1761.7752373718192</v>
      </c>
      <c r="O48" s="22">
        <f>G48*'2. Salmon Passage by Bin'!G48</f>
        <v>1203.4216352503299</v>
      </c>
      <c r="P48" s="22">
        <f>$G48*'2. Salmon Passage by Bin'!H48</f>
        <v>1203.4216352503299</v>
      </c>
      <c r="Q48" s="22">
        <f>$G48*'2. Salmon Passage by Bin'!I48</f>
        <v>1131.3620458638493</v>
      </c>
      <c r="R48" s="22">
        <f>$G48*'2. Salmon Passage by Bin'!J48</f>
        <v>0</v>
      </c>
      <c r="S48" s="25">
        <f>'2. Salmon Passage by Bin'!K48*H48</f>
        <v>6677.9985038961004</v>
      </c>
      <c r="T48" s="25">
        <f>K48*'2. Salmon Passage by Bin'!L48</f>
        <v>43.869663508657311</v>
      </c>
      <c r="U48" s="25">
        <f>K48*'2. Salmon Passage by Bin'!M48</f>
        <v>84.50038549493631</v>
      </c>
      <c r="V48" s="25">
        <f>J48*'2. Salmon Passage by Bin'!N48</f>
        <v>346.98897700766418</v>
      </c>
      <c r="W48" s="25">
        <f>I48*'2. Salmon Passage by Bin'!O48</f>
        <v>394.15384615384613</v>
      </c>
      <c r="X48" s="22">
        <f>E48*'2. Salmon Passage by Bin'!E48</f>
        <v>312.88844816484226</v>
      </c>
      <c r="Y48" s="41">
        <f t="shared" si="0"/>
        <v>13161.801368939245</v>
      </c>
      <c r="Z48" s="42">
        <f>Y48/'[1]Passage Estimates'!$D48</f>
        <v>0.30183038968583881</v>
      </c>
      <c r="AA48" s="43">
        <f>IFERROR(SUMIF(L48:R48, "&lt;&gt;#N/A")/SUMIF('2. Salmon Passage by Bin'!E48:J48, "&lt;&gt;#N/A"), NA())</f>
        <v>0.38144495850645183</v>
      </c>
      <c r="AB48" s="42">
        <f>IFERROR(IF(ISNA(S48), NA(), S48/'2. Salmon Passage by Bin'!K48), NA())</f>
        <v>0.25974025974025972</v>
      </c>
      <c r="AC48" s="44">
        <f>IFERROR(SUMIF(T48:W48, "&lt;&gt;#N/A")/SUMIF('2. Salmon Passage by Bin'!L48:N48, "&lt;&gt;#N/A"), NA())</f>
        <v>0.46741972657565906</v>
      </c>
    </row>
    <row r="49" spans="1:29" x14ac:dyDescent="0.3">
      <c r="A49" s="5">
        <f>'1. Mixture Model Inputs'!A49</f>
        <v>45151</v>
      </c>
      <c r="B49" s="13" t="str">
        <f>IF(ISBLANK('[1]Passage Estimates'!$C49),"",IF('[1]Passage Estimates'!$C49="Imputation",'[1]Passage Estimates'!$B49,'[1]Passage Estimates'!$C49))</f>
        <v>A1+S1+M2+A2</v>
      </c>
      <c r="C49" s="17">
        <f>IFERROR('1. Mixture Model Inputs'!B49/'1. Mixture Model Inputs'!Z49,NA())</f>
        <v>0.17034358047016274</v>
      </c>
      <c r="D49" s="17">
        <f>IFERROR('1. Mixture Model Inputs'!C49/'1. Mixture Model Inputs'!AA49,NA())</f>
        <v>0.15842167255594816</v>
      </c>
      <c r="E49" s="17">
        <f>IFERROR('1. Mixture Model Inputs'!D49/'1. Mixture Model Inputs'!AB49,NA())</f>
        <v>0.16507098052162431</v>
      </c>
      <c r="F49" s="17">
        <f>IFERROR('1. Mixture Model Inputs'!E49/'1. Mixture Model Inputs'!AC49, NA())</f>
        <v>0.43024286474029422</v>
      </c>
      <c r="G49" s="17">
        <f>IFERROR('1. Mixture Model Inputs'!F49/'1. Mixture Model Inputs'!AD49, NA())</f>
        <v>0.75215629221656444</v>
      </c>
      <c r="H49" s="24">
        <f>WhonSpComp!AT64</f>
        <v>0.17307692307692307</v>
      </c>
      <c r="I49" s="17">
        <f>IFERROR('1. Mixture Model Inputs'!G49/'1. Mixture Model Inputs'!AE49, NA())</f>
        <v>0.2550267243573428</v>
      </c>
      <c r="J49" s="17">
        <f>IFERROR('1. Mixture Model Inputs'!H49/'1. Mixture Model Inputs'!AF49, NA())</f>
        <v>0.66382616105666803</v>
      </c>
      <c r="K49" s="17">
        <f>IFERROR('1. Mixture Model Inputs'!I49/'1. Mixture Model Inputs'!AG49, NA())</f>
        <v>0.5967494994700272</v>
      </c>
      <c r="L49" s="22">
        <f>C49*'2. Salmon Passage by Bin'!C49</f>
        <v>249.55334538878841</v>
      </c>
      <c r="M49" s="22">
        <f>D49*'2. Salmon Passage by Bin'!D49</f>
        <v>490.7903415783274</v>
      </c>
      <c r="N49" s="22">
        <f>F49*'2. Salmon Passage by Bin'!F49</f>
        <v>2239.9820315546885</v>
      </c>
      <c r="O49" s="22">
        <f>G49*'2. Salmon Passage by Bin'!G49</f>
        <v>3564.6792725761193</v>
      </c>
      <c r="P49" s="22">
        <f>$G49*'2. Salmon Passage by Bin'!H49</f>
        <v>2963.1949288163773</v>
      </c>
      <c r="Q49" s="22">
        <f>$G49*'2. Salmon Passage by Bin'!I49</f>
        <v>2877.6296290138212</v>
      </c>
      <c r="R49" s="22">
        <f>$G49*'2. Salmon Passage by Bin'!J49</f>
        <v>0</v>
      </c>
      <c r="S49" s="25">
        <f>'2. Salmon Passage by Bin'!K49*H49</f>
        <v>2651.940000000001</v>
      </c>
      <c r="T49" s="25">
        <f>K49*'2. Salmon Passage by Bin'!L49</f>
        <v>376.6682840654812</v>
      </c>
      <c r="U49" s="25">
        <f>K49*'2. Salmon Passage by Bin'!M49</f>
        <v>675.42495348015552</v>
      </c>
      <c r="V49" s="25">
        <f>J49*'2. Salmon Passage by Bin'!N49</f>
        <v>524.95372816361316</v>
      </c>
      <c r="W49" s="25">
        <f>I49*'2. Salmon Passage by Bin'!O49</f>
        <v>369.99277169763297</v>
      </c>
      <c r="X49" s="22">
        <f>E49*'2. Salmon Passage by Bin'!E49</f>
        <v>753.19907560250908</v>
      </c>
      <c r="Y49" s="41">
        <f t="shared" si="0"/>
        <v>16984.809286335007</v>
      </c>
      <c r="Z49" s="42">
        <f>Y49/'[1]Passage Estimates'!$D49</f>
        <v>0.40828004807434376</v>
      </c>
      <c r="AA49" s="43">
        <f>IFERROR(SUMIF(L49:R49, "&lt;&gt;#N/A")/SUMIF('2. Salmon Passage by Bin'!E49:J49, "&lt;&gt;#N/A"), NA())</f>
        <v>0.55606869149786486</v>
      </c>
      <c r="AB49" s="42">
        <f>IFERROR(IF(ISNA(S49), NA(), S49/'2. Salmon Passage by Bin'!K49), NA())</f>
        <v>0.17307692307692307</v>
      </c>
      <c r="AC49" s="44">
        <f>IFERROR(SUMIF(T49:W49, "&lt;&gt;#N/A")/SUMIF('2. Salmon Passage by Bin'!L49:N49, "&lt;&gt;#N/A"), NA())</f>
        <v>0.76239691500128548</v>
      </c>
    </row>
    <row r="50" spans="1:29" x14ac:dyDescent="0.3">
      <c r="A50" s="5">
        <f>'1. Mixture Model Inputs'!A50</f>
        <v>45152</v>
      </c>
      <c r="B50" s="13" t="str">
        <f>IF(ISBLANK('[1]Passage Estimates'!$C50),"",IF('[1]Passage Estimates'!$C50="Imputation",'[1]Passage Estimates'!$B50,'[1]Passage Estimates'!$C50))</f>
        <v>A1+S1+M2+A2</v>
      </c>
      <c r="C50" s="17">
        <f>IFERROR('1. Mixture Model Inputs'!B50/'1. Mixture Model Inputs'!Z50,NA())</f>
        <v>2.2663682148852823E-2</v>
      </c>
      <c r="D50" s="17">
        <f>IFERROR('1. Mixture Model Inputs'!C50/'1. Mixture Model Inputs'!AA50,NA())</f>
        <v>0.21079622132253711</v>
      </c>
      <c r="E50" s="17">
        <f>IFERROR('1. Mixture Model Inputs'!D50/'1. Mixture Model Inputs'!AB50,NA())</f>
        <v>0.12093663911845731</v>
      </c>
      <c r="F50" s="17">
        <f>IFERROR('1. Mixture Model Inputs'!E50/'1. Mixture Model Inputs'!AC50, NA())</f>
        <v>0.40477068732325094</v>
      </c>
      <c r="G50" s="17">
        <f>IFERROR('1. Mixture Model Inputs'!F50/'1. Mixture Model Inputs'!AD50, NA())</f>
        <v>0.67846638655462188</v>
      </c>
      <c r="H50" s="24">
        <f>WhonSpComp!AT65</f>
        <v>7.0422535211267609E-2</v>
      </c>
      <c r="I50" s="17">
        <f>IFERROR('1. Mixture Model Inputs'!G50/'1. Mixture Model Inputs'!AE50, NA())</f>
        <v>0.2550267243573428</v>
      </c>
      <c r="J50" s="17">
        <f>IFERROR('1. Mixture Model Inputs'!H50/'1. Mixture Model Inputs'!AF50, NA())</f>
        <v>0.66382616105666803</v>
      </c>
      <c r="K50" s="17">
        <f>IFERROR('1. Mixture Model Inputs'!I50/'1. Mixture Model Inputs'!AG50, NA())</f>
        <v>0.5967494994700272</v>
      </c>
      <c r="L50" s="22">
        <f>C50*'2. Salmon Passage by Bin'!C50</f>
        <v>62.529099048684941</v>
      </c>
      <c r="M50" s="22">
        <f>D50*'2. Salmon Passage by Bin'!D50</f>
        <v>1214.6078272604589</v>
      </c>
      <c r="N50" s="22">
        <f>F50*'2. Salmon Passage by Bin'!F50</f>
        <v>2509.4487347842123</v>
      </c>
      <c r="O50" s="22">
        <f>G50*'2. Salmon Passage by Bin'!G50</f>
        <v>2396.0718907563028</v>
      </c>
      <c r="P50" s="22">
        <f>$G50*'2. Salmon Passage by Bin'!H50</f>
        <v>1581.423731092437</v>
      </c>
      <c r="Q50" s="22">
        <f>$G50*'2. Salmon Passage by Bin'!I50</f>
        <v>1334.8961848739496</v>
      </c>
      <c r="R50" s="22">
        <f>$G50*'2. Salmon Passage by Bin'!J50</f>
        <v>0</v>
      </c>
      <c r="S50" s="25">
        <f>'2. Salmon Passage by Bin'!K50*H50</f>
        <v>617.07042253521195</v>
      </c>
      <c r="T50" s="25">
        <f>K50*'2. Salmon Passage by Bin'!L50</f>
        <v>-84.499729124955863</v>
      </c>
      <c r="U50" s="25">
        <f>K50*'2. Salmon Passage by Bin'!M50</f>
        <v>318.23457307737607</v>
      </c>
      <c r="V50" s="25">
        <f>J50*'2. Salmon Passage by Bin'!N50</f>
        <v>485.76143161482742</v>
      </c>
      <c r="W50" s="25">
        <f>I50*'2. Salmon Passage by Bin'!O50</f>
        <v>165.31852379740391</v>
      </c>
      <c r="X50" s="22">
        <f>E50*'2. Salmon Passage by Bin'!E50</f>
        <v>1030.4962644628101</v>
      </c>
      <c r="Y50" s="41">
        <f t="shared" si="0"/>
        <v>10600.862689715908</v>
      </c>
      <c r="Z50" s="42">
        <f>Y50/'[1]Passage Estimates'!$D50</f>
        <v>0.32041566891652418</v>
      </c>
      <c r="AA50" s="43">
        <f>IFERROR(SUMIF(L50:R50, "&lt;&gt;#N/A")/SUMIF('2. Salmon Passage by Bin'!E50:J50, "&lt;&gt;#N/A"), NA())</f>
        <v>0.40349087510669523</v>
      </c>
      <c r="AB50" s="42">
        <f>IFERROR(IF(ISNA(S50), NA(), S50/'2. Salmon Passage by Bin'!K50), NA())</f>
        <v>7.0422535211267609E-2</v>
      </c>
      <c r="AC50" s="44">
        <f>IFERROR(SUMIF(T50:W50, "&lt;&gt;#N/A")/SUMIF('2. Salmon Passage by Bin'!L50:N50, "&lt;&gt;#N/A"), NA())</f>
        <v>0.78759417446828628</v>
      </c>
    </row>
    <row r="51" spans="1:29" x14ac:dyDescent="0.3">
      <c r="A51" s="5">
        <f>'1. Mixture Model Inputs'!A51</f>
        <v>45153</v>
      </c>
      <c r="B51" s="13" t="str">
        <f>IF(ISBLANK('[1]Passage Estimates'!$C51),"",IF('[1]Passage Estimates'!$C51="Imputation",'[1]Passage Estimates'!$B51,'[1]Passage Estimates'!$C51))</f>
        <v>A1+S1+M2+A2</v>
      </c>
      <c r="C51" s="17">
        <f>IFERROR('1. Mixture Model Inputs'!B51/'1. Mixture Model Inputs'!Z51,NA())</f>
        <v>0.19222115075538412</v>
      </c>
      <c r="D51" s="17">
        <f>IFERROR('1. Mixture Model Inputs'!C51/'1. Mixture Model Inputs'!AA51,NA())</f>
        <v>8.9533417402269846E-2</v>
      </c>
      <c r="E51" s="17">
        <f>IFERROR('1. Mixture Model Inputs'!D51/'1. Mixture Model Inputs'!AB51,NA())</f>
        <v>0.14769230769230771</v>
      </c>
      <c r="F51" s="17">
        <f>IFERROR('1. Mixture Model Inputs'!E51/'1. Mixture Model Inputs'!AC51, NA())</f>
        <v>0.3247911652272405</v>
      </c>
      <c r="G51" s="17">
        <f>IFERROR('1. Mixture Model Inputs'!F51/'1. Mixture Model Inputs'!AD51, NA())</f>
        <v>0.62754449226474351</v>
      </c>
      <c r="H51" s="24">
        <f>WhonSpComp!AT66</f>
        <v>0.1440677966101695</v>
      </c>
      <c r="I51" s="17">
        <f>IFERROR('1. Mixture Model Inputs'!G51/'1. Mixture Model Inputs'!AE51, NA())</f>
        <v>0.28564429201371877</v>
      </c>
      <c r="J51" s="17">
        <f>IFERROR('1. Mixture Model Inputs'!H51/'1. Mixture Model Inputs'!AF51, NA())</f>
        <v>0.40848270638727591</v>
      </c>
      <c r="K51" s="17">
        <f>IFERROR('1. Mixture Model Inputs'!I51/'1. Mixture Model Inputs'!AG51, NA())</f>
        <v>0.56326970443349755</v>
      </c>
      <c r="L51" s="22">
        <f>C51*'2. Salmon Passage by Bin'!C51</f>
        <v>430.38315654130503</v>
      </c>
      <c r="M51" s="22">
        <f>D51*'2. Salmon Passage by Bin'!D51</f>
        <v>713.22320302648154</v>
      </c>
      <c r="N51" s="22">
        <f>F51*'2. Salmon Passage by Bin'!F51</f>
        <v>2066.2174600028316</v>
      </c>
      <c r="O51" s="22">
        <f>G51*'2. Salmon Passage by Bin'!G51</f>
        <v>2262.3229963940908</v>
      </c>
      <c r="P51" s="22">
        <f>$G51*'2. Salmon Passage by Bin'!H51</f>
        <v>1724.0404327090844</v>
      </c>
      <c r="Q51" s="22">
        <f>$G51*'2. Salmon Passage by Bin'!I51</f>
        <v>1327.1812958008609</v>
      </c>
      <c r="R51" s="22">
        <f>$G51*'2. Salmon Passage by Bin'!J51</f>
        <v>0</v>
      </c>
      <c r="S51" s="25">
        <f>'2. Salmon Passage by Bin'!K51*H51</f>
        <v>1811.3125423728802</v>
      </c>
      <c r="T51" s="25">
        <f>K51*'2. Salmon Passage by Bin'!L51</f>
        <v>287.53791871921186</v>
      </c>
      <c r="U51" s="25">
        <f>K51*'2. Salmon Passage by Bin'!M51</f>
        <v>140.86248768472905</v>
      </c>
      <c r="V51" s="25">
        <f>J51*'2. Salmon Passage by Bin'!N51</f>
        <v>201.16956324160566</v>
      </c>
      <c r="W51" s="25">
        <f>I51*'2. Salmon Passage by Bin'!O51</f>
        <v>143.55339539441451</v>
      </c>
      <c r="X51" s="22">
        <f>E51*'2. Salmon Passage by Bin'!E51</f>
        <v>1507.1704615384615</v>
      </c>
      <c r="Y51" s="41">
        <f t="shared" si="0"/>
        <v>11107.804451887494</v>
      </c>
      <c r="Z51" s="42">
        <f>Y51/'[1]Passage Estimates'!$D51</f>
        <v>0.28219671326722617</v>
      </c>
      <c r="AA51" s="43">
        <f>IFERROR(SUMIF(L51:R51, "&lt;&gt;#N/A")/SUMIF('2. Salmon Passage by Bin'!E51:J51, "&lt;&gt;#N/A"), NA())</f>
        <v>0.34047605244113743</v>
      </c>
      <c r="AB51" s="42">
        <f>IFERROR(IF(ISNA(S51), NA(), S51/'2. Salmon Passage by Bin'!K51), NA())</f>
        <v>0.1440677966101695</v>
      </c>
      <c r="AC51" s="44">
        <f>IFERROR(SUMIF(T51:W51, "&lt;&gt;#N/A")/SUMIF('2. Salmon Passage by Bin'!L51:N51, "&lt;&gt;#N/A"), NA())</f>
        <v>0.61699815252502799</v>
      </c>
    </row>
    <row r="52" spans="1:29" x14ac:dyDescent="0.3">
      <c r="A52" s="5">
        <f>'1. Mixture Model Inputs'!A52</f>
        <v>45154</v>
      </c>
      <c r="B52" s="13" t="str">
        <f>IF(ISBLANK('[1]Passage Estimates'!$C52),"",IF('[1]Passage Estimates'!$C52="Imputation",'[1]Passage Estimates'!$B52,'[1]Passage Estimates'!$C52))</f>
        <v>A1+S1+M2+A2</v>
      </c>
      <c r="C52" s="17">
        <f>IFERROR('1. Mixture Model Inputs'!B52/'1. Mixture Model Inputs'!Z52,NA())</f>
        <v>0.19176262178919398</v>
      </c>
      <c r="D52" s="17">
        <f>IFERROR('1. Mixture Model Inputs'!C52/'1. Mixture Model Inputs'!AA52,NA())</f>
        <v>0.10871113220982673</v>
      </c>
      <c r="E52" s="17">
        <f>IFERROR('1. Mixture Model Inputs'!D52/'1. Mixture Model Inputs'!AB52,NA())</f>
        <v>0.14683782091421413</v>
      </c>
      <c r="F52" s="17">
        <f>IFERROR('1. Mixture Model Inputs'!E52/'1. Mixture Model Inputs'!AC52, NA())</f>
        <v>0.32994855131329542</v>
      </c>
      <c r="G52" s="17">
        <f>IFERROR('1. Mixture Model Inputs'!F52/'1. Mixture Model Inputs'!AD52, NA())</f>
        <v>0.50720853672380517</v>
      </c>
      <c r="H52" s="24">
        <f>WhonSpComp!AT67</f>
        <v>4.3010752688172046E-2</v>
      </c>
      <c r="I52" s="17">
        <f>IFERROR('1. Mixture Model Inputs'!G52/'1. Mixture Model Inputs'!AE52, NA())</f>
        <v>0.28564429201371877</v>
      </c>
      <c r="J52" s="17">
        <f>IFERROR('1. Mixture Model Inputs'!H52/'1. Mixture Model Inputs'!AF52, NA())</f>
        <v>0.40848270638727591</v>
      </c>
      <c r="K52" s="17">
        <f>IFERROR('1. Mixture Model Inputs'!I52/'1. Mixture Model Inputs'!AG52, NA())</f>
        <v>0.56326970443349755</v>
      </c>
      <c r="L52" s="22">
        <f>C52*'2. Salmon Passage by Bin'!C52</f>
        <v>413.24844995571306</v>
      </c>
      <c r="M52" s="22">
        <f>D52*'2. Salmon Passage by Bin'!D52</f>
        <v>974.92143365772608</v>
      </c>
      <c r="N52" s="22">
        <f>F52*'2. Salmon Passage by Bin'!F52</f>
        <v>2737.9130787977256</v>
      </c>
      <c r="O52" s="22">
        <f>G52*'2. Salmon Passage by Bin'!G52</f>
        <v>2769.48034056079</v>
      </c>
      <c r="P52" s="22">
        <f>$G52*'2. Salmon Passage by Bin'!H52</f>
        <v>1856.1397843114992</v>
      </c>
      <c r="Q52" s="22">
        <f>$G52*'2. Salmon Passage by Bin'!I52</f>
        <v>1779.0846634124191</v>
      </c>
      <c r="R52" s="22">
        <f>$G52*'2. Salmon Passage by Bin'!J52</f>
        <v>0</v>
      </c>
      <c r="S52" s="25">
        <f>'2. Salmon Passage by Bin'!K52*H52</f>
        <v>570.84903225806386</v>
      </c>
      <c r="T52" s="25">
        <f>K52*'2. Salmon Passage by Bin'!L52</f>
        <v>191.69194581280789</v>
      </c>
      <c r="U52" s="25">
        <f>K52*'2. Salmon Passage by Bin'!M52</f>
        <v>157.89576354679804</v>
      </c>
      <c r="V52" s="25">
        <f>J52*'2. Salmon Passage by Bin'!N52</f>
        <v>284.69610704367585</v>
      </c>
      <c r="W52" s="25">
        <f>I52*'2. Salmon Passage by Bin'!O52</f>
        <v>114.89756001959825</v>
      </c>
      <c r="X52" s="22">
        <f>E52*'2. Salmon Passage by Bin'!E52</f>
        <v>1633.177232310582</v>
      </c>
      <c r="Y52" s="41">
        <f t="shared" si="0"/>
        <v>11850.818159376819</v>
      </c>
      <c r="Z52" s="42">
        <f>Y52/'[1]Passage Estimates'!$D52</f>
        <v>0.25193194351707621</v>
      </c>
      <c r="AA52" s="43">
        <f>IFERROR(SUMIF(L52:R52, "&lt;&gt;#N/A")/SUMIF('2. Salmon Passage by Bin'!E52:J52, "&lt;&gt;#N/A"), NA())</f>
        <v>0.32859750692392942</v>
      </c>
      <c r="AB52" s="42">
        <f>IFERROR(IF(ISNA(S52), NA(), S52/'2. Salmon Passage by Bin'!K52), NA())</f>
        <v>4.3010752688172046E-2</v>
      </c>
      <c r="AC52" s="44">
        <f>IFERROR(SUMIF(T52:W52, "&lt;&gt;#N/A")/SUMIF('2. Salmon Passage by Bin'!L52:N52, "&lt;&gt;#N/A"), NA())</f>
        <v>0.56859545873017614</v>
      </c>
    </row>
    <row r="53" spans="1:29" x14ac:dyDescent="0.3">
      <c r="A53" s="5">
        <f>'1. Mixture Model Inputs'!A53</f>
        <v>45155</v>
      </c>
      <c r="B53" s="13" t="str">
        <f>IF(ISBLANK('[1]Passage Estimates'!$C53),"",IF('[1]Passage Estimates'!$C53="Imputation",'[1]Passage Estimates'!$B53,'[1]Passage Estimates'!$C53))</f>
        <v>A1+S1+M2+A2</v>
      </c>
      <c r="C53" s="17">
        <f>IFERROR('1. Mixture Model Inputs'!B53/'1. Mixture Model Inputs'!Z53,NA())</f>
        <v>7.1131047741108622E-2</v>
      </c>
      <c r="D53" s="17">
        <f>IFERROR('1. Mixture Model Inputs'!C53/'1. Mixture Model Inputs'!AA53,NA())</f>
        <v>8.0992815153494449E-2</v>
      </c>
      <c r="E53" s="17">
        <f>IFERROR('1. Mixture Model Inputs'!D53/'1. Mixture Model Inputs'!AB53,NA())</f>
        <v>7.6999999999999999E-2</v>
      </c>
      <c r="F53" s="17">
        <f>IFERROR('1. Mixture Model Inputs'!E53/'1. Mixture Model Inputs'!AC53, NA())</f>
        <v>0.26709041380204956</v>
      </c>
      <c r="G53" s="17">
        <f>IFERROR('1. Mixture Model Inputs'!F53/'1. Mixture Model Inputs'!AD53, NA())</f>
        <v>0.41889203057911828</v>
      </c>
      <c r="H53" s="24">
        <f>WhonSpComp!AT68</f>
        <v>1.7857142857142856E-2</v>
      </c>
      <c r="I53" s="17">
        <f>IFERROR('1. Mixture Model Inputs'!G53/'1. Mixture Model Inputs'!AE53, NA())</f>
        <v>0.12783553875236295</v>
      </c>
      <c r="J53" s="17">
        <f>IFERROR('1. Mixture Model Inputs'!H53/'1. Mixture Model Inputs'!AF53, NA())</f>
        <v>0.18098390251241164</v>
      </c>
      <c r="K53" s="17">
        <f>IFERROR('1. Mixture Model Inputs'!I53/'1. Mixture Model Inputs'!AG53, NA())</f>
        <v>0.35243519702429388</v>
      </c>
      <c r="L53" s="22">
        <f>C53*'2. Salmon Passage by Bin'!C53</f>
        <v>206.280038449215</v>
      </c>
      <c r="M53" s="22">
        <f>D53*'2. Salmon Passage by Bin'!D53</f>
        <v>875.28935336381448</v>
      </c>
      <c r="N53" s="22">
        <f>F53*'2. Salmon Passage by Bin'!F53</f>
        <v>2179.2013698274741</v>
      </c>
      <c r="O53" s="22">
        <f>G53*'2. Salmon Passage by Bin'!G53</f>
        <v>2517.1724787935914</v>
      </c>
      <c r="P53" s="22">
        <f>$G53*'2. Salmon Passage by Bin'!H53</f>
        <v>1656.8017593465288</v>
      </c>
      <c r="Q53" s="22">
        <f>$G53*'2. Salmon Passage by Bin'!I53</f>
        <v>1667.3578385171227</v>
      </c>
      <c r="R53" s="22">
        <f>$G53*'2. Salmon Passage by Bin'!J53</f>
        <v>0</v>
      </c>
      <c r="S53" s="25">
        <f>'2. Salmon Passage by Bin'!K53*H53</f>
        <v>452.42571428571421</v>
      </c>
      <c r="T53" s="25">
        <f>K53*'2. Salmon Passage by Bin'!L53</f>
        <v>184.81701731953973</v>
      </c>
      <c r="U53" s="25">
        <f>K53*'2. Salmon Passage by Bin'!M53</f>
        <v>346.11955829361852</v>
      </c>
      <c r="V53" s="25">
        <f>J53*'2. Salmon Passage by Bin'!N53</f>
        <v>259.05311870016556</v>
      </c>
      <c r="W53" s="25">
        <f>I53*'2. Salmon Passage by Bin'!O53</f>
        <v>115.51219281663515</v>
      </c>
      <c r="X53" s="22">
        <f>E53*'2. Salmon Passage by Bin'!E53</f>
        <v>1055.41128</v>
      </c>
      <c r="Y53" s="41">
        <f>IF(B53="M",S53,IF(AND(ISNUMBER(SEARCH("A1*",B53)),SUMIF(L53:W53,"&lt;&gt;#N/A")&gt;0),SUMIF(L53:W53,"&lt;&gt;#N/A"),IF(SUMIF(N53:X53,"&lt;&gt;#N/A")&gt;0,SUMIF(N53:X53,"&lt;&gt;#N/A"),0)))</f>
        <v>10460.030439713419</v>
      </c>
      <c r="Z53" s="42">
        <f>Y53/'[1]Passage Estimates'!$D53</f>
        <v>0.16095405220979453</v>
      </c>
      <c r="AA53" s="43">
        <f>IFERROR(SUMIF(L53:R53, "&lt;&gt;#N/A")/SUMIF('2. Salmon Passage by Bin'!E53:J53, "&lt;&gt;#N/A"), NA())</f>
        <v>0.25417484413180935</v>
      </c>
      <c r="AB53" s="42">
        <f>IFERROR(IF(ISNA(S53), NA(), S53/'2. Salmon Passage by Bin'!K53), NA())</f>
        <v>1.7857142857142856E-2</v>
      </c>
      <c r="AC53" s="44">
        <f>IFERROR(SUMIF(T53:W53, "&lt;&gt;#N/A")/SUMIF('2. Salmon Passage by Bin'!L53:N53, "&lt;&gt;#N/A"), NA())</f>
        <v>0.30822028671743829</v>
      </c>
    </row>
    <row r="54" spans="1:29" x14ac:dyDescent="0.3">
      <c r="A54" s="5">
        <f>'1. Mixture Model Inputs'!A54</f>
        <v>45156</v>
      </c>
      <c r="B54" s="13" t="str">
        <f>IF(ISBLANK('[1]Passage Estimates'!$C54),"",IF('[1]Passage Estimates'!$C54="Imputation",'[1]Passage Estimates'!$B54,'[1]Passage Estimates'!$C54))</f>
        <v>A1+S1+M2+A2</v>
      </c>
      <c r="C54" s="17">
        <f>IFERROR('1. Mixture Model Inputs'!B54/'1. Mixture Model Inputs'!Z54,NA())</f>
        <v>0.14422110552763817</v>
      </c>
      <c r="D54" s="17">
        <f>IFERROR('1. Mixture Model Inputs'!C54/'1. Mixture Model Inputs'!AA54,NA())</f>
        <v>8.4273709483793521E-2</v>
      </c>
      <c r="E54" s="17">
        <f>IFERROR('1. Mixture Model Inputs'!D54/'1. Mixture Model Inputs'!AB54,NA())</f>
        <v>0.10499265785609398</v>
      </c>
      <c r="F54" s="17">
        <f>IFERROR('1. Mixture Model Inputs'!E54/'1. Mixture Model Inputs'!AC54, NA())</f>
        <v>0.34207481681450058</v>
      </c>
      <c r="G54" s="17">
        <f>IFERROR('1. Mixture Model Inputs'!F54/'1. Mixture Model Inputs'!AD54, NA())</f>
        <v>0.60202424090965889</v>
      </c>
      <c r="H54" s="24">
        <f>WhonSpComp!AT69</f>
        <v>2.0833333333333332E-2</v>
      </c>
      <c r="I54" s="17">
        <f>IFERROR('1. Mixture Model Inputs'!G54/'1. Mixture Model Inputs'!AE54, NA())</f>
        <v>0.12783553875236295</v>
      </c>
      <c r="J54" s="17">
        <f>IFERROR('1. Mixture Model Inputs'!H54/'1. Mixture Model Inputs'!AF54, NA())</f>
        <v>0.18098390251241164</v>
      </c>
      <c r="K54" s="17">
        <f>IFERROR('1. Mixture Model Inputs'!I54/'1. Mixture Model Inputs'!AG54, NA())</f>
        <v>0.35243519702429388</v>
      </c>
      <c r="L54" s="22">
        <f>C54*'2. Salmon Passage by Bin'!C54</f>
        <v>514.43668341708531</v>
      </c>
      <c r="M54" s="22">
        <f>D54*'2. Salmon Passage by Bin'!D54</f>
        <v>1100.1090036014407</v>
      </c>
      <c r="N54" s="22">
        <f>F54*'2. Salmon Passage by Bin'!F54</f>
        <v>6021.474585422292</v>
      </c>
      <c r="O54" s="22">
        <f>G54*'2. Salmon Passage by Bin'!G54</f>
        <v>6090.0772210421092</v>
      </c>
      <c r="P54" s="22">
        <f>$G54*'2. Salmon Passage by Bin'!H54</f>
        <v>4673.8272347869552</v>
      </c>
      <c r="Q54" s="22">
        <f>$G54*'2. Salmon Passage by Bin'!I54</f>
        <v>3149.9353142571535</v>
      </c>
      <c r="R54" s="22">
        <f>$G54*'2. Salmon Passage by Bin'!J54</f>
        <v>0</v>
      </c>
      <c r="S54" s="25">
        <f>'2. Salmon Passage by Bin'!K54*H54</f>
        <v>484.31000000000063</v>
      </c>
      <c r="T54" s="25">
        <f>K54*'2. Salmon Passage by Bin'!L54</f>
        <v>349.16459839590846</v>
      </c>
      <c r="U54" s="25">
        <f>K54*'2. Salmon Passage by Bin'!M54</f>
        <v>307.8028036731373</v>
      </c>
      <c r="V54" s="25">
        <f>J54*'2. Salmon Passage by Bin'!N54</f>
        <v>236.33601925680762</v>
      </c>
      <c r="W54" s="25">
        <f>I54*'2. Salmon Passage by Bin'!O54</f>
        <v>160.91937618147449</v>
      </c>
      <c r="X54" s="22">
        <f>E54*'2. Salmon Passage by Bin'!E54</f>
        <v>1745.0283700440527</v>
      </c>
      <c r="Y54" s="41">
        <f t="shared" si="0"/>
        <v>23088.392840034368</v>
      </c>
      <c r="Z54" s="42">
        <f>Y54/'[1]Passage Estimates'!$D54</f>
        <v>0.27159415386161495</v>
      </c>
      <c r="AA54" s="43">
        <f>IFERROR(SUMIF(L54:R54, "&lt;&gt;#N/A")/SUMIF('2. Salmon Passage by Bin'!E54:J54, "&lt;&gt;#N/A"), NA())</f>
        <v>0.37585846355957958</v>
      </c>
      <c r="AB54" s="42">
        <f>IFERROR(IF(ISNA(S54), NA(), S54/'2. Salmon Passage by Bin'!K54), NA())</f>
        <v>2.0833333333333332E-2</v>
      </c>
      <c r="AC54" s="44">
        <f>IFERROR(SUMIF(T54:W54, "&lt;&gt;#N/A")/SUMIF('2. Salmon Passage by Bin'!L54:N54, "&lt;&gt;#N/A"), NA())</f>
        <v>0.33257078964369063</v>
      </c>
    </row>
    <row r="55" spans="1:29" x14ac:dyDescent="0.3">
      <c r="A55" s="5">
        <f>'1. Mixture Model Inputs'!A55</f>
        <v>45157</v>
      </c>
      <c r="B55" s="13" t="str">
        <f>IF(ISBLANK('[1]Passage Estimates'!$C55),"",IF('[1]Passage Estimates'!$C55="Imputation",'[1]Passage Estimates'!$B55,'[1]Passage Estimates'!$C55))</f>
        <v>A1+S1+M2+A2</v>
      </c>
      <c r="C55" s="17">
        <f>IFERROR('1. Mixture Model Inputs'!B55/'1. Mixture Model Inputs'!Z55,NA())</f>
        <v>1.7126878713736454E-2</v>
      </c>
      <c r="D55" s="17">
        <f>IFERROR('1. Mixture Model Inputs'!C55/'1. Mixture Model Inputs'!AA55,NA())</f>
        <v>0.1313052522100884</v>
      </c>
      <c r="E55" s="17">
        <f>IFERROR('1. Mixture Model Inputs'!D55/'1. Mixture Model Inputs'!AB55,NA())</f>
        <v>8.5431654676258989E-2</v>
      </c>
      <c r="F55" s="17">
        <f>IFERROR('1. Mixture Model Inputs'!E55/'1. Mixture Model Inputs'!AC55, NA())</f>
        <v>0.19323554370226692</v>
      </c>
      <c r="G55" s="17">
        <f>IFERROR('1. Mixture Model Inputs'!F55/'1. Mixture Model Inputs'!AD55, NA())</f>
        <v>0.63951756998213227</v>
      </c>
      <c r="H55" s="24">
        <f>WhonSpComp!AT70</f>
        <v>5.8333333333333334E-2</v>
      </c>
      <c r="I55" s="17">
        <f>IFERROR('1. Mixture Model Inputs'!G55/'1. Mixture Model Inputs'!AE55, NA())</f>
        <v>0.1656291265798906</v>
      </c>
      <c r="J55" s="17">
        <f>IFERROR('1. Mixture Model Inputs'!H55/'1. Mixture Model Inputs'!AF55, NA())</f>
        <v>0.39072137302225796</v>
      </c>
      <c r="K55" s="17">
        <f>IFERROR('1. Mixture Model Inputs'!I55/'1. Mixture Model Inputs'!AG55, NA())</f>
        <v>0.55599110075219838</v>
      </c>
      <c r="L55" s="22">
        <f>C55*'2. Salmon Passage by Bin'!C55</f>
        <v>46.413841314225792</v>
      </c>
      <c r="M55" s="22">
        <f>D55*'2. Salmon Passage by Bin'!D55</f>
        <v>1106.6406656266252</v>
      </c>
      <c r="N55" s="22">
        <f>F55*'2. Salmon Passage by Bin'!F55</f>
        <v>3257.9976433507086</v>
      </c>
      <c r="O55" s="22">
        <f>G55*'2. Salmon Passage by Bin'!G55</f>
        <v>6649.7036926742112</v>
      </c>
      <c r="P55" s="22">
        <f>$G55*'2. Salmon Passage by Bin'!H55</f>
        <v>3865.193031566409</v>
      </c>
      <c r="Q55" s="22">
        <f>$G55*'2. Salmon Passage by Bin'!I55</f>
        <v>1686.6380583680764</v>
      </c>
      <c r="R55" s="22">
        <f>$G55*'2. Salmon Passage by Bin'!J55</f>
        <v>0</v>
      </c>
      <c r="S55" s="25">
        <f>'2. Salmon Passage by Bin'!K55*H55</f>
        <v>1543.908519999997</v>
      </c>
      <c r="T55" s="25">
        <f>K55*'2. Salmon Passage by Bin'!L55</f>
        <v>988.24082212098756</v>
      </c>
      <c r="U55" s="25">
        <f>K55*'2. Salmon Passage by Bin'!M55</f>
        <v>2201.1910075219835</v>
      </c>
      <c r="V55" s="25">
        <f>J55*'2. Salmon Passage by Bin'!N55</f>
        <v>1605.3022043443279</v>
      </c>
      <c r="W55" s="25">
        <f>I55*'2. Salmon Passage by Bin'!O55</f>
        <v>567.08762874929266</v>
      </c>
      <c r="X55" s="22">
        <f>E55*'2. Salmon Passage by Bin'!E55</f>
        <v>951.5309352517985</v>
      </c>
      <c r="Y55" s="41">
        <f t="shared" si="0"/>
        <v>23518.317115636844</v>
      </c>
      <c r="Z55" s="42">
        <f>Y55/'[1]Passage Estimates'!$D55</f>
        <v>0.27090677154997866</v>
      </c>
      <c r="AA55" s="43">
        <f>IFERROR(SUMIF(L55:R55, "&lt;&gt;#N/A")/SUMIF('2. Salmon Passage by Bin'!E55:J55, "&lt;&gt;#N/A"), NA())</f>
        <v>0.35287787383724045</v>
      </c>
      <c r="AB55" s="42">
        <f>IFERROR(IF(ISNA(S55), NA(), S55/'2. Salmon Passage by Bin'!K55), NA())</f>
        <v>5.8333333333333334E-2</v>
      </c>
      <c r="AC55" s="44">
        <f>IFERROR(SUMIF(T55:W55, "&lt;&gt;#N/A")/SUMIF('2. Salmon Passage by Bin'!L55:N55, "&lt;&gt;#N/A"), NA())</f>
        <v>0.5446216229427806</v>
      </c>
    </row>
    <row r="56" spans="1:29" x14ac:dyDescent="0.3">
      <c r="A56" s="5">
        <f>'1. Mixture Model Inputs'!A56</f>
        <v>45158</v>
      </c>
      <c r="B56" s="13" t="str">
        <f>IF(ISBLANK('[1]Passage Estimates'!$C56),"",IF('[1]Passage Estimates'!$C56="Imputation",'[1]Passage Estimates'!$B56,'[1]Passage Estimates'!$C56))</f>
        <v>A1+S1+M2+A2</v>
      </c>
      <c r="C56" s="17">
        <f>IFERROR('1. Mixture Model Inputs'!B56/'1. Mixture Model Inputs'!Z56,NA())</f>
        <v>0.23089941972920697</v>
      </c>
      <c r="D56" s="17">
        <f>IFERROR('1. Mixture Model Inputs'!C56/'1. Mixture Model Inputs'!AA56,NA())</f>
        <v>0.12587264649883648</v>
      </c>
      <c r="E56" s="17">
        <f>IFERROR('1. Mixture Model Inputs'!D56/'1. Mixture Model Inputs'!AB56,NA())</f>
        <v>0.16861510791366907</v>
      </c>
      <c r="F56" s="17">
        <f>IFERROR('1. Mixture Model Inputs'!E56/'1. Mixture Model Inputs'!AC56, NA())</f>
        <v>0.33170243522739912</v>
      </c>
      <c r="G56" s="17">
        <f>IFERROR('1. Mixture Model Inputs'!F56/'1. Mixture Model Inputs'!AD56, NA())</f>
        <v>0.71259105098855358</v>
      </c>
      <c r="H56" s="24">
        <f>WhonSpComp!AT71</f>
        <v>0.17679558011049723</v>
      </c>
      <c r="I56" s="17">
        <f>IFERROR('1. Mixture Model Inputs'!G56/'1. Mixture Model Inputs'!AE56, NA())</f>
        <v>0.1378906902891526</v>
      </c>
      <c r="J56" s="17">
        <f>IFERROR('1. Mixture Model Inputs'!H56/'1. Mixture Model Inputs'!AF56, NA())</f>
        <v>0.63662075750122971</v>
      </c>
      <c r="K56" s="17">
        <f>IFERROR('1. Mixture Model Inputs'!I56/'1. Mixture Model Inputs'!AG56, NA())</f>
        <v>0.72091007583965327</v>
      </c>
      <c r="L56" s="22">
        <f>C56*'2. Salmon Passage by Bin'!C56</f>
        <v>1155.4206963249517</v>
      </c>
      <c r="M56" s="22">
        <f>D56*'2. Salmon Passage by Bin'!D56</f>
        <v>1453.9549397080602</v>
      </c>
      <c r="N56" s="22">
        <f>F56*'2. Salmon Passage by Bin'!F56</f>
        <v>8249.1211297675982</v>
      </c>
      <c r="O56" s="22">
        <f>G56*'2. Salmon Passage by Bin'!G56</f>
        <v>10571.202730489074</v>
      </c>
      <c r="P56" s="22">
        <f>$G56*'2. Salmon Passage by Bin'!H56</f>
        <v>6433.1579937565039</v>
      </c>
      <c r="Q56" s="22">
        <f>$G56*'2. Salmon Passage by Bin'!I56</f>
        <v>4283.9263766909471</v>
      </c>
      <c r="R56" s="22">
        <f>$G56*'2. Salmon Passage by Bin'!J56</f>
        <v>0</v>
      </c>
      <c r="S56" s="25">
        <f>'2. Salmon Passage by Bin'!K56*H56</f>
        <v>4510.9180110497327</v>
      </c>
      <c r="T56" s="25">
        <f>K56*'2. Salmon Passage by Bin'!L56</f>
        <v>1624.4699284940411</v>
      </c>
      <c r="U56" s="25">
        <f>K56*'2. Salmon Passage by Bin'!M56</f>
        <v>2032.7933954496204</v>
      </c>
      <c r="V56" s="25">
        <f>J56*'2. Salmon Passage by Bin'!N56</f>
        <v>2914.7554058042306</v>
      </c>
      <c r="W56" s="25">
        <f>I56*'2. Salmon Passage by Bin'!O56</f>
        <v>526.45562426876154</v>
      </c>
      <c r="X56" s="22">
        <f>E56*'2. Salmon Passage by Bin'!E56</f>
        <v>2791.4568345323737</v>
      </c>
      <c r="Y56" s="41">
        <f t="shared" si="0"/>
        <v>43756.176231803518</v>
      </c>
      <c r="Z56" s="42">
        <f>Y56/'[1]Passage Estimates'!$D56</f>
        <v>0.39676222645680947</v>
      </c>
      <c r="AA56" s="43">
        <f>IFERROR(SUMIF(L56:R56, "&lt;&gt;#N/A")/SUMIF('2. Salmon Passage by Bin'!E56:J56, "&lt;&gt;#N/A"), NA())</f>
        <v>0.4508746281383052</v>
      </c>
      <c r="AB56" s="42">
        <f>IFERROR(IF(ISNA(S56), NA(), S56/'2. Salmon Passage by Bin'!K56), NA())</f>
        <v>0.17679558011049723</v>
      </c>
      <c r="AC56" s="44">
        <f>IFERROR(SUMIF(T56:W56, "&lt;&gt;#N/A")/SUMIF('2. Salmon Passage by Bin'!L56:N56, "&lt;&gt;#N/A"), NA())</f>
        <v>0.73547125388709167</v>
      </c>
    </row>
    <row r="57" spans="1:29" x14ac:dyDescent="0.3">
      <c r="A57" s="5">
        <f>'1. Mixture Model Inputs'!A57</f>
        <v>45159</v>
      </c>
      <c r="B57" s="13" t="str">
        <f>IF(ISBLANK('[1]Passage Estimates'!$C57),"",IF('[1]Passage Estimates'!$C57="Imputation",'[1]Passage Estimates'!$B57,'[1]Passage Estimates'!$C57))</f>
        <v>A1+S1+M2+A2</v>
      </c>
      <c r="C57" s="17">
        <f>IFERROR('1. Mixture Model Inputs'!B57/'1. Mixture Model Inputs'!Z57,NA())</f>
        <v>0.25135913015669975</v>
      </c>
      <c r="D57" s="17">
        <f>IFERROR('1. Mixture Model Inputs'!C57/'1. Mixture Model Inputs'!AA57,NA())</f>
        <v>0.16579723293263779</v>
      </c>
      <c r="E57" s="17">
        <f>IFERROR('1. Mixture Model Inputs'!D57/'1. Mixture Model Inputs'!AB57,NA())</f>
        <v>0.20042474117334749</v>
      </c>
      <c r="F57" s="17">
        <f>IFERROR('1. Mixture Model Inputs'!E57/'1. Mixture Model Inputs'!AC57, NA())</f>
        <v>0.34164093515659461</v>
      </c>
      <c r="G57" s="17">
        <f>IFERROR('1. Mixture Model Inputs'!F57/'1. Mixture Model Inputs'!AD57, NA())</f>
        <v>0.65990876837303603</v>
      </c>
      <c r="H57" s="24">
        <f>WhonSpComp!AT72</f>
        <v>0.33333333333333331</v>
      </c>
      <c r="I57" s="17">
        <f>IFERROR('1. Mixture Model Inputs'!G57/'1. Mixture Model Inputs'!AE57, NA())</f>
        <v>0.25135913015669975</v>
      </c>
      <c r="J57" s="17">
        <f>IFERROR('1. Mixture Model Inputs'!H57/'1. Mixture Model Inputs'!AF57, NA())</f>
        <v>0.56208999884911959</v>
      </c>
      <c r="K57" s="17">
        <f>IFERROR('1. Mixture Model Inputs'!I57/'1. Mixture Model Inputs'!AG57, NA())</f>
        <v>0.76672884122172991</v>
      </c>
      <c r="L57" s="22">
        <f>C57*'2. Salmon Passage by Bin'!C57</f>
        <v>1095.1717300927407</v>
      </c>
      <c r="M57" s="22">
        <f>D57*'2. Salmon Passage by Bin'!D57</f>
        <v>2019.4102971195282</v>
      </c>
      <c r="N57" s="22">
        <f>F57*'2. Salmon Passage by Bin'!F57</f>
        <v>12580.394477282753</v>
      </c>
      <c r="O57" s="22">
        <f>G57*'2. Salmon Passage by Bin'!G57</f>
        <v>11963.406872782565</v>
      </c>
      <c r="P57" s="22">
        <f>$G57*'2. Salmon Passage by Bin'!H57</f>
        <v>8796.1615408008111</v>
      </c>
      <c r="Q57" s="22">
        <f>$G57*'2. Salmon Passage by Bin'!I57</f>
        <v>4252.4521033958445</v>
      </c>
      <c r="R57" s="22">
        <f>$G57*'2. Salmon Passage by Bin'!J57</f>
        <v>0</v>
      </c>
      <c r="S57" s="25">
        <f>'2. Salmon Passage by Bin'!K57*H57</f>
        <v>12163.200000000012</v>
      </c>
      <c r="T57" s="25">
        <f>K57*'2. Salmon Passage by Bin'!L57</f>
        <v>1644.9093868034506</v>
      </c>
      <c r="U57" s="25">
        <f>K57*'2. Salmon Passage by Bin'!M57</f>
        <v>2738.6940825367215</v>
      </c>
      <c r="V57" s="25">
        <f>J57*'2. Salmon Passage by Bin'!N57</f>
        <v>3336.2514627690189</v>
      </c>
      <c r="W57" s="25">
        <f>I57*'2. Salmon Passage by Bin'!O57</f>
        <v>793.41006715701974</v>
      </c>
      <c r="X57" s="22">
        <f>E57*'2. Salmon Passage by Bin'!E57</f>
        <v>3314.4640297318815</v>
      </c>
      <c r="Y57" s="41">
        <f t="shared" si="0"/>
        <v>61383.462020740459</v>
      </c>
      <c r="Z57" s="42">
        <f>Y57/'[1]Passage Estimates'!$D57</f>
        <v>0.43057476609942064</v>
      </c>
      <c r="AA57" s="43">
        <f>IFERROR(SUMIF(L57:R57, "&lt;&gt;#N/A")/SUMIF('2. Salmon Passage by Bin'!E57:J57, "&lt;&gt;#N/A"), NA())</f>
        <v>0.44604111793835827</v>
      </c>
      <c r="AB57" s="42">
        <f>IFERROR(IF(ISNA(S57), NA(), S57/'2. Salmon Passage by Bin'!K57), NA())</f>
        <v>0.33333333333333331</v>
      </c>
      <c r="AC57" s="44">
        <f>IFERROR(SUMIF(T57:W57, "&lt;&gt;#N/A")/SUMIF('2. Salmon Passage by Bin'!L57:N57, "&lt;&gt;#N/A"), NA())</f>
        <v>0.73058178685029851</v>
      </c>
    </row>
    <row r="58" spans="1:29" x14ac:dyDescent="0.3">
      <c r="A58" s="5">
        <f>'1. Mixture Model Inputs'!A58</f>
        <v>45160</v>
      </c>
      <c r="B58" s="13" t="str">
        <f>IF(ISBLANK('[1]Passage Estimates'!$C58),"",IF('[1]Passage Estimates'!$C58="Imputation",'[1]Passage Estimates'!$B58,'[1]Passage Estimates'!$C58))</f>
        <v>A1+S1+M2+A2</v>
      </c>
      <c r="C58" s="17">
        <f>IFERROR('1. Mixture Model Inputs'!B58/'1. Mixture Model Inputs'!Z58,NA())</f>
        <v>8.9299661546472273E-2</v>
      </c>
      <c r="D58" s="17">
        <f>IFERROR('1. Mixture Model Inputs'!C58/'1. Mixture Model Inputs'!AA58,NA())</f>
        <v>0.10203703703703704</v>
      </c>
      <c r="E58" s="17">
        <f>IFERROR('1. Mixture Model Inputs'!D58/'1. Mixture Model Inputs'!AB58,NA())</f>
        <v>0.11374080882352942</v>
      </c>
      <c r="F58" s="17">
        <f>IFERROR('1. Mixture Model Inputs'!E58/'1. Mixture Model Inputs'!AC58, NA())</f>
        <v>0.4173778920308483</v>
      </c>
      <c r="G58" s="17">
        <f>IFERROR('1. Mixture Model Inputs'!F58/'1. Mixture Model Inputs'!AD58, NA())</f>
        <v>0.75835010060362174</v>
      </c>
      <c r="H58" s="24">
        <f>WhonSpComp!AT73</f>
        <v>0.51020408163265307</v>
      </c>
      <c r="I58" s="17">
        <f>IFERROR('1. Mixture Model Inputs'!G58/'1. Mixture Model Inputs'!AE58, NA())</f>
        <v>0.16038968753712726</v>
      </c>
      <c r="J58" s="17">
        <f>IFERROR('1. Mixture Model Inputs'!H58/'1. Mixture Model Inputs'!AF58, NA())</f>
        <v>0.52499712676703825</v>
      </c>
      <c r="K58" s="17">
        <f>IFERROR('1. Mixture Model Inputs'!I58/'1. Mixture Model Inputs'!AG58, NA())</f>
        <v>0.76706200582605066</v>
      </c>
      <c r="L58" s="22">
        <f>C58*'2. Salmon Passage by Bin'!C58</f>
        <v>672.87294975266855</v>
      </c>
      <c r="M58" s="22">
        <f>D58*'2. Salmon Passage by Bin'!D58</f>
        <v>2221.9585185185183</v>
      </c>
      <c r="N58" s="22">
        <f>F58*'2. Salmon Passage by Bin'!F58</f>
        <v>20856.640386632389</v>
      </c>
      <c r="O58" s="22">
        <f>G58*'2. Salmon Passage by Bin'!G58</f>
        <v>25407.397762575456</v>
      </c>
      <c r="P58" s="22">
        <f>$G58*'2. Salmon Passage by Bin'!H58</f>
        <v>15302.352338028169</v>
      </c>
      <c r="Q58" s="22">
        <f>$G58*'2. Salmon Passage by Bin'!I58</f>
        <v>9782.5342937625755</v>
      </c>
      <c r="R58" s="22">
        <f>$G58*'2. Salmon Passage by Bin'!J58</f>
        <v>0</v>
      </c>
      <c r="S58" s="25">
        <f>'2. Salmon Passage by Bin'!K58*H58</f>
        <v>21915.183673469419</v>
      </c>
      <c r="T58" s="25">
        <f>K58*'2. Salmon Passage by Bin'!L58</f>
        <v>2076.7743570536827</v>
      </c>
      <c r="U58" s="25">
        <f>K58*'2. Salmon Passage by Bin'!M58</f>
        <v>4366.1783021223464</v>
      </c>
      <c r="V58" s="25">
        <f>J58*'2. Salmon Passage by Bin'!N58</f>
        <v>3325.6257993334093</v>
      </c>
      <c r="W58" s="25">
        <f>I58*'2. Salmon Passage by Bin'!O58</f>
        <v>984.31792800285154</v>
      </c>
      <c r="X58" s="22">
        <f>E58*'2. Salmon Passage by Bin'!E58</f>
        <v>3333.8250000000003</v>
      </c>
      <c r="Y58" s="41">
        <f t="shared" si="0"/>
        <v>106911.83630925151</v>
      </c>
      <c r="Z58" s="42">
        <f>Y58/'[1]Passage Estimates'!$D58</f>
        <v>0.50986149092581101</v>
      </c>
      <c r="AA58" s="43">
        <f>IFERROR(SUMIF(L58:R58, "&lt;&gt;#N/A")/SUMIF('2. Salmon Passage by Bin'!E58:J58, "&lt;&gt;#N/A"), NA())</f>
        <v>0.50899607967572447</v>
      </c>
      <c r="AB58" s="42">
        <f>IFERROR(IF(ISNA(S58), NA(), S58/'2. Salmon Passage by Bin'!K58), NA())</f>
        <v>0.51020408163265307</v>
      </c>
      <c r="AC58" s="44">
        <f>IFERROR(SUMIF(T58:W58, "&lt;&gt;#N/A")/SUMIF('2. Salmon Passage by Bin'!L58:N58, "&lt;&gt;#N/A"), NA())</f>
        <v>0.7297976111513097</v>
      </c>
    </row>
    <row r="59" spans="1:29" x14ac:dyDescent="0.3">
      <c r="A59" s="5">
        <f>'1. Mixture Model Inputs'!A59</f>
        <v>45161</v>
      </c>
      <c r="B59" s="13" t="str">
        <f>IF(ISBLANK('[1]Passage Estimates'!$C59),"",IF('[1]Passage Estimates'!$C59="Imputation",'[1]Passage Estimates'!$B59,'[1]Passage Estimates'!$C59))</f>
        <v>A1+S1+M2+A2</v>
      </c>
      <c r="C59" s="17">
        <f>IFERROR('1. Mixture Model Inputs'!B59/'1. Mixture Model Inputs'!Z59,NA())</f>
        <v>0.17197452229299365</v>
      </c>
      <c r="D59" s="17">
        <f>IFERROR('1. Mixture Model Inputs'!C59/'1. Mixture Model Inputs'!AA59,NA())</f>
        <v>8.4766397808552732E-2</v>
      </c>
      <c r="E59" s="17">
        <f>IFERROR('1. Mixture Model Inputs'!D59/'1. Mixture Model Inputs'!AB59,NA())</f>
        <v>0.12208258527827648</v>
      </c>
      <c r="F59" s="17">
        <f>IFERROR('1. Mixture Model Inputs'!E59/'1. Mixture Model Inputs'!AC59, NA())</f>
        <v>0.32600808541515497</v>
      </c>
      <c r="G59" s="17">
        <f>IFERROR('1. Mixture Model Inputs'!F59/'1. Mixture Model Inputs'!AD59, NA())</f>
        <v>0.69190495368505844</v>
      </c>
      <c r="H59" s="24">
        <f>WhonSpComp!AT74</f>
        <v>0.30136986301369861</v>
      </c>
      <c r="I59" s="17">
        <f>IFERROR('1. Mixture Model Inputs'!G59/'1. Mixture Model Inputs'!AE59, NA())</f>
        <v>0.11066027296200663</v>
      </c>
      <c r="J59" s="17">
        <f>IFERROR('1. Mixture Model Inputs'!H59/'1. Mixture Model Inputs'!AF59, NA())</f>
        <v>0.43674286316233013</v>
      </c>
      <c r="K59" s="17">
        <f>IFERROR('1. Mixture Model Inputs'!I59/'1. Mixture Model Inputs'!AG59, NA())</f>
        <v>0.62376640553464235</v>
      </c>
      <c r="L59" s="22">
        <f>C59*'2. Salmon Passage by Bin'!C59</f>
        <v>1356.8789808917199</v>
      </c>
      <c r="M59" s="22">
        <f>D59*'2. Salmon Passage by Bin'!D59</f>
        <v>2529.0054786181709</v>
      </c>
      <c r="N59" s="22">
        <f>F59*'2. Salmon Passage by Bin'!F59</f>
        <v>14817.302207940293</v>
      </c>
      <c r="O59" s="22">
        <f>G59*'2. Salmon Passage by Bin'!G59</f>
        <v>15792.038662907775</v>
      </c>
      <c r="P59" s="22">
        <f>$G59*'2. Salmon Passage by Bin'!H59</f>
        <v>9282.5968586387444</v>
      </c>
      <c r="Q59" s="22">
        <f>$G59*'2. Salmon Passage by Bin'!I59</f>
        <v>4464.1154087797022</v>
      </c>
      <c r="R59" s="22">
        <f>$G59*'2. Salmon Passage by Bin'!J59</f>
        <v>0</v>
      </c>
      <c r="S59" s="25">
        <f>'2. Salmon Passage by Bin'!K59*H59</f>
        <v>17246.505205479451</v>
      </c>
      <c r="T59" s="25">
        <f>K59*'2. Salmon Passage by Bin'!L59</f>
        <v>2822.6677383253641</v>
      </c>
      <c r="U59" s="25">
        <f>K59*'2. Salmon Passage by Bin'!M59</f>
        <v>6598.6501495574312</v>
      </c>
      <c r="V59" s="25">
        <f>J59*'2. Salmon Passage by Bin'!N59</f>
        <v>5887.6431897187404</v>
      </c>
      <c r="W59" s="25">
        <f>I59*'2. Salmon Passage by Bin'!O59</f>
        <v>1757.4533382515676</v>
      </c>
      <c r="X59" s="22">
        <f>E59*'2. Salmon Passage by Bin'!E59</f>
        <v>4605.6094793536804</v>
      </c>
      <c r="Y59" s="41">
        <f t="shared" si="0"/>
        <v>82554.857219108962</v>
      </c>
      <c r="Z59" s="42">
        <f>Y59/'[1]Passage Estimates'!$D59</f>
        <v>0.36278077368482448</v>
      </c>
      <c r="AA59" s="43">
        <f>IFERROR(SUMIF(L59:R59, "&lt;&gt;#N/A")/SUMIF('2. Salmon Passage by Bin'!E59:J59, "&lt;&gt;#N/A"), NA())</f>
        <v>0.38327404580811969</v>
      </c>
      <c r="AB59" s="42">
        <f>IFERROR(IF(ISNA(S59), NA(), S59/'2. Salmon Passage by Bin'!K59), NA())</f>
        <v>0.30136986301369861</v>
      </c>
      <c r="AC59" s="44">
        <f>IFERROR(SUMIF(T59:W59, "&lt;&gt;#N/A")/SUMIF('2. Salmon Passage by Bin'!L59:N59, "&lt;&gt;#N/A"), NA())</f>
        <v>0.59704675840284971</v>
      </c>
    </row>
    <row r="60" spans="1:29" x14ac:dyDescent="0.3">
      <c r="A60" s="5">
        <f>'1. Mixture Model Inputs'!A60</f>
        <v>45162</v>
      </c>
      <c r="B60" s="13" t="str">
        <f>IF(ISBLANK('[1]Passage Estimates'!$C60),"",IF('[1]Passage Estimates'!$C60="Imputation",'[1]Passage Estimates'!$B60,'[1]Passage Estimates'!$C60))</f>
        <v>A1+S1+M2+A2</v>
      </c>
      <c r="C60" s="17">
        <f>IFERROR('1. Mixture Model Inputs'!B60/'1. Mixture Model Inputs'!Z60,NA())</f>
        <v>0.20666666666666667</v>
      </c>
      <c r="D60" s="17">
        <f>IFERROR('1. Mixture Model Inputs'!C60/'1. Mixture Model Inputs'!AA60,NA())</f>
        <v>8.1098442267544563E-2</v>
      </c>
      <c r="E60" s="17">
        <f>IFERROR('1. Mixture Model Inputs'!D60/'1. Mixture Model Inputs'!AB60,NA())</f>
        <v>0.11821161048689138</v>
      </c>
      <c r="F60" s="17">
        <f>IFERROR('1. Mixture Model Inputs'!E60/'1. Mixture Model Inputs'!AC60, NA())</f>
        <v>0.3027923211169285</v>
      </c>
      <c r="G60" s="17">
        <f>IFERROR('1. Mixture Model Inputs'!F60/'1. Mixture Model Inputs'!AD60, NA())</f>
        <v>0.65665625314924925</v>
      </c>
      <c r="H60" s="24">
        <f>WhonSpComp!AT75</f>
        <v>0.11363636363636363</v>
      </c>
      <c r="I60" s="17">
        <f>IFERROR('1. Mixture Model Inputs'!G60/'1. Mixture Model Inputs'!AE60, NA())</f>
        <v>0.11066027296200663</v>
      </c>
      <c r="J60" s="17">
        <f>IFERROR('1. Mixture Model Inputs'!H60/'1. Mixture Model Inputs'!AF60, NA())</f>
        <v>0.43674286316233013</v>
      </c>
      <c r="K60" s="17">
        <f>IFERROR('1. Mixture Model Inputs'!I60/'1. Mixture Model Inputs'!AG60, NA())</f>
        <v>0.62376640553464235</v>
      </c>
      <c r="L60" s="22">
        <f>C60*'2. Salmon Passage by Bin'!C60</f>
        <v>878.74666666666667</v>
      </c>
      <c r="M60" s="22">
        <f>D60*'2. Salmon Passage by Bin'!D60</f>
        <v>1944.8217440179862</v>
      </c>
      <c r="N60" s="22">
        <f>F60*'2. Salmon Passage by Bin'!F60</f>
        <v>10235.736963350786</v>
      </c>
      <c r="O60" s="22">
        <f>G60*'2. Salmon Passage by Bin'!G60</f>
        <v>14404.411569081931</v>
      </c>
      <c r="P60" s="22">
        <f>$G60*'2. Salmon Passage by Bin'!H60</f>
        <v>9944.4022976922297</v>
      </c>
      <c r="Q60" s="22">
        <f>$G60*'2. Salmon Passage by Bin'!I60</f>
        <v>6944.8490658067103</v>
      </c>
      <c r="R60" s="22">
        <f>$G60*'2. Salmon Passage by Bin'!J60</f>
        <v>0</v>
      </c>
      <c r="S60" s="25">
        <f>'2. Salmon Passage by Bin'!K60*H60</f>
        <v>6119.2363636363671</v>
      </c>
      <c r="T60" s="25">
        <f>K60*'2. Salmon Passage by Bin'!L60</f>
        <v>2554.5479865703528</v>
      </c>
      <c r="U60" s="25">
        <f>K60*'2. Salmon Passage by Bin'!M60</f>
        <v>4394.109968460677</v>
      </c>
      <c r="V60" s="25">
        <f>J60*'2. Salmon Passage by Bin'!N60</f>
        <v>3787.9232613504682</v>
      </c>
      <c r="W60" s="25">
        <f>I60*'2. Salmon Passage by Bin'!O60</f>
        <v>816.54002213205445</v>
      </c>
      <c r="X60" s="22">
        <f>E60*'2. Salmon Passage by Bin'!E60</f>
        <v>3337.5109550561797</v>
      </c>
      <c r="Y60" s="41">
        <f t="shared" si="0"/>
        <v>62025.325908766223</v>
      </c>
      <c r="Z60" s="42">
        <f>Y60/'[1]Passage Estimates'!$D60</f>
        <v>0.32519117580104989</v>
      </c>
      <c r="AA60" s="43">
        <f>IFERROR(SUMIF(L60:R60, "&lt;&gt;#N/A")/SUMIF('2. Salmon Passage by Bin'!E60:J60, "&lt;&gt;#N/A"), NA())</f>
        <v>0.40433388018785643</v>
      </c>
      <c r="AB60" s="42">
        <f>IFERROR(IF(ISNA(S60), NA(), S60/'2. Salmon Passage by Bin'!K60), NA())</f>
        <v>0.11363636363636365</v>
      </c>
      <c r="AC60" s="44">
        <f>IFERROR(SUMIF(T60:W60, "&lt;&gt;#N/A")/SUMIF('2. Salmon Passage by Bin'!L60:N60, "&lt;&gt;#N/A"), NA())</f>
        <v>0.58310930010021489</v>
      </c>
    </row>
    <row r="61" spans="1:29" x14ac:dyDescent="0.3">
      <c r="A61" s="5">
        <f>'1. Mixture Model Inputs'!A61</f>
        <v>45163</v>
      </c>
      <c r="B61" s="13" t="str">
        <f>IF(ISBLANK('[1]Passage Estimates'!$C61),"",IF('[1]Passage Estimates'!$C61="Imputation",'[1]Passage Estimates'!$B61,'[1]Passage Estimates'!$C61))</f>
        <v>A1+S1+M2+A2</v>
      </c>
      <c r="C61" s="17">
        <f>IFERROR('1. Mixture Model Inputs'!B61/'1. Mixture Model Inputs'!Z61,NA())</f>
        <v>0</v>
      </c>
      <c r="D61" s="17">
        <f>IFERROR('1. Mixture Model Inputs'!C61/'1. Mixture Model Inputs'!AA61,NA())</f>
        <v>1.7610343290236294E-2</v>
      </c>
      <c r="E61" s="17">
        <f>IFERROR('1. Mixture Model Inputs'!D61/'1. Mixture Model Inputs'!AB61,NA())</f>
        <v>1.2048192771084338E-2</v>
      </c>
      <c r="F61" s="17">
        <f>IFERROR('1. Mixture Model Inputs'!E61/'1. Mixture Model Inputs'!AC61, NA())</f>
        <v>0.26959587740710605</v>
      </c>
      <c r="G61" s="17">
        <f>IFERROR('1. Mixture Model Inputs'!F61/'1. Mixture Model Inputs'!AD61, NA())</f>
        <v>0.53753753753753752</v>
      </c>
      <c r="H61" s="24">
        <f>WhonSpComp!AT76</f>
        <v>0.17543859649122806</v>
      </c>
      <c r="I61" s="17">
        <f>IFERROR('1. Mixture Model Inputs'!G61/'1. Mixture Model Inputs'!AE61, NA())</f>
        <v>0.2002245508982036</v>
      </c>
      <c r="J61" s="17">
        <f>IFERROR('1. Mixture Model Inputs'!H61/'1. Mixture Model Inputs'!AF61, NA())</f>
        <v>0.34408221119773208</v>
      </c>
      <c r="K61" s="17">
        <f>IFERROR('1. Mixture Model Inputs'!I61/'1. Mixture Model Inputs'!AG61, NA())</f>
        <v>0.6426504031424437</v>
      </c>
      <c r="L61" s="22">
        <f>C61*'2. Salmon Passage by Bin'!C61</f>
        <v>0</v>
      </c>
      <c r="M61" s="22">
        <f>D61*'2. Salmon Passage by Bin'!D61</f>
        <v>140.86513597860011</v>
      </c>
      <c r="N61" s="22">
        <f>F61*'2. Salmon Passage by Bin'!F61</f>
        <v>5243.2731651749391</v>
      </c>
      <c r="O61" s="22">
        <f>G61*'2. Salmon Passage by Bin'!G61</f>
        <v>6676.2162162162158</v>
      </c>
      <c r="P61" s="22">
        <f>$G61*'2. Salmon Passage by Bin'!H61</f>
        <v>4225.0450450450453</v>
      </c>
      <c r="Q61" s="22">
        <f>$G61*'2. Salmon Passage by Bin'!I61</f>
        <v>3724.4900900900898</v>
      </c>
      <c r="R61" s="22">
        <f>$G61*'2. Salmon Passage by Bin'!J61</f>
        <v>0</v>
      </c>
      <c r="S61" s="25">
        <f>'2. Salmon Passage by Bin'!K61*H61</f>
        <v>8400.1684210526237</v>
      </c>
      <c r="T61" s="25">
        <f>K61*'2. Salmon Passage by Bin'!L61</f>
        <v>2230.716667355799</v>
      </c>
      <c r="U61" s="25">
        <f>K61*'2. Salmon Passage by Bin'!M61</f>
        <v>3763.8234690924132</v>
      </c>
      <c r="V61" s="25">
        <f>J61*'2. Salmon Passage by Bin'!N61</f>
        <v>2016.3492841956058</v>
      </c>
      <c r="W61" s="25">
        <f>I61*'2. Salmon Passage by Bin'!O61</f>
        <v>830.65958083832345</v>
      </c>
      <c r="X61" s="22">
        <f>E61*'2. Salmon Passage by Bin'!E61</f>
        <v>119.72240963855424</v>
      </c>
      <c r="Y61" s="41">
        <f t="shared" si="0"/>
        <v>37251.607075039647</v>
      </c>
      <c r="Z61" s="42">
        <f>Y61/'[1]Passage Estimates'!$D61</f>
        <v>0.300872541795973</v>
      </c>
      <c r="AA61" s="43">
        <f>IFERROR(SUMIF(L61:R61, "&lt;&gt;#N/A")/SUMIF('2. Salmon Passage by Bin'!E61:J61, "&lt;&gt;#N/A"), NA())</f>
        <v>0.35356660115673799</v>
      </c>
      <c r="AB61" s="42">
        <f>IFERROR(IF(ISNA(S61), NA(), S61/'2. Salmon Passage by Bin'!K61), NA())</f>
        <v>0.17543859649122806</v>
      </c>
      <c r="AC61" s="44">
        <f>IFERROR(SUMIF(T61:W61, "&lt;&gt;#N/A")/SUMIF('2. Salmon Passage by Bin'!L61:N61, "&lt;&gt;#N/A"), NA())</f>
        <v>0.58214350625247835</v>
      </c>
    </row>
    <row r="62" spans="1:29" x14ac:dyDescent="0.3">
      <c r="A62" s="5">
        <f>'1. Mixture Model Inputs'!A62</f>
        <v>45164</v>
      </c>
      <c r="B62" s="13" t="str">
        <f>IF(ISBLANK('[1]Passage Estimates'!$C62),"",IF('[1]Passage Estimates'!$C62="Imputation",'[1]Passage Estimates'!$B62,'[1]Passage Estimates'!$C62))</f>
        <v>A1+S1+M2+A2</v>
      </c>
      <c r="C62" s="17">
        <f>IFERROR('1. Mixture Model Inputs'!B62/'1. Mixture Model Inputs'!Z62,NA())</f>
        <v>9.9581589958159009E-2</v>
      </c>
      <c r="D62" s="17">
        <f>IFERROR('1. Mixture Model Inputs'!C62/'1. Mixture Model Inputs'!AA62,NA())</f>
        <v>9.9656357388316144E-3</v>
      </c>
      <c r="E62" s="17">
        <f>IFERROR('1. Mixture Model Inputs'!D62/'1. Mixture Model Inputs'!AB62,NA())</f>
        <v>4.913728432108027E-2</v>
      </c>
      <c r="F62" s="17">
        <f>IFERROR('1. Mixture Model Inputs'!E62/'1. Mixture Model Inputs'!AC62, NA())</f>
        <v>0.49845869297163997</v>
      </c>
      <c r="G62" s="17">
        <f>IFERROR('1. Mixture Model Inputs'!F62/'1. Mixture Model Inputs'!AD62, NA())</f>
        <v>0.64471158702899278</v>
      </c>
      <c r="H62" s="24">
        <f>WhonSpComp!AT77</f>
        <v>0.31958762886597936</v>
      </c>
      <c r="I62" s="17">
        <f>IFERROR('1. Mixture Model Inputs'!G62/'1. Mixture Model Inputs'!AE62, NA())</f>
        <v>0.2002245508982036</v>
      </c>
      <c r="J62" s="17">
        <f>IFERROR('1. Mixture Model Inputs'!H62/'1. Mixture Model Inputs'!AF62, NA())</f>
        <v>0.34408221119773208</v>
      </c>
      <c r="K62" s="17">
        <f>IFERROR('1. Mixture Model Inputs'!I62/'1. Mixture Model Inputs'!AG62, NA())</f>
        <v>0.6426504031424437</v>
      </c>
      <c r="L62" s="22">
        <f>C62*'2. Salmon Passage by Bin'!C62</f>
        <v>163.7121338912134</v>
      </c>
      <c r="M62" s="22">
        <f>D62*'2. Salmon Passage by Bin'!D62</f>
        <v>76.994501718213058</v>
      </c>
      <c r="N62" s="22">
        <f>F62*'2. Salmon Passage by Bin'!F62</f>
        <v>6738.5235018495687</v>
      </c>
      <c r="O62" s="22">
        <f>G62*'2. Salmon Passage by Bin'!G62</f>
        <v>6297.5427820992018</v>
      </c>
      <c r="P62" s="22">
        <f>$G62*'2. Salmon Passage by Bin'!H62</f>
        <v>4386.6176381452669</v>
      </c>
      <c r="Q62" s="22">
        <f>$G62*'2. Salmon Passage by Bin'!I62</f>
        <v>4153.7478129103956</v>
      </c>
      <c r="R62" s="22">
        <f>$G62*'2. Salmon Passage by Bin'!J62</f>
        <v>0</v>
      </c>
      <c r="S62" s="25">
        <f>'2. Salmon Passage by Bin'!K62*H62</f>
        <v>17694.697731958764</v>
      </c>
      <c r="T62" s="25">
        <f>K62*'2. Salmon Passage by Bin'!L62</f>
        <v>1526.9373578664463</v>
      </c>
      <c r="U62" s="25">
        <f>K62*'2. Salmon Passage by Bin'!M62</f>
        <v>2633.889824271243</v>
      </c>
      <c r="V62" s="25">
        <f>J62*'2. Salmon Passage by Bin'!N62</f>
        <v>1406.580552799433</v>
      </c>
      <c r="W62" s="25">
        <f>I62*'2. Salmon Passage by Bin'!O62</f>
        <v>585.77694610778451</v>
      </c>
      <c r="X62" s="22">
        <f>E62*'2. Salmon Passage by Bin'!E62</f>
        <v>460.43207801950484</v>
      </c>
      <c r="Y62" s="41">
        <f t="shared" si="0"/>
        <v>45665.020783617525</v>
      </c>
      <c r="Z62" s="42">
        <f>Y62/'[1]Passage Estimates'!$D62</f>
        <v>0.3979206252506774</v>
      </c>
      <c r="AA62" s="43">
        <f>IFERROR(SUMIF(L62:R62, "&lt;&gt;#N/A")/SUMIF('2. Salmon Passage by Bin'!E62:J62, "&lt;&gt;#N/A"), NA())</f>
        <v>0.47527915683336858</v>
      </c>
      <c r="AB62" s="42">
        <f>IFERROR(IF(ISNA(S62), NA(), S62/'2. Salmon Passage by Bin'!K62), NA())</f>
        <v>0.3195876288659793</v>
      </c>
      <c r="AC62" s="44">
        <f>IFERROR(SUMIF(T62:W62, "&lt;&gt;#N/A")/SUMIF('2. Salmon Passage by Bin'!L62:N62, "&lt;&gt;#N/A"), NA())</f>
        <v>0.58255554429342815</v>
      </c>
    </row>
    <row r="63" spans="1:29" x14ac:dyDescent="0.3">
      <c r="A63" s="5">
        <f>'1. Mixture Model Inputs'!A63</f>
        <v>45165</v>
      </c>
      <c r="B63" s="13" t="str">
        <f>IF(ISBLANK('[1]Passage Estimates'!$C63),"",IF('[1]Passage Estimates'!$C63="Imputation",'[1]Passage Estimates'!$B63,'[1]Passage Estimates'!$C63))</f>
        <v>A1+S1+M2+A2</v>
      </c>
      <c r="C63" s="17">
        <f>IFERROR('1. Mixture Model Inputs'!B63/'1. Mixture Model Inputs'!Z63,NA())</f>
        <v>0.16555109326193665</v>
      </c>
      <c r="D63" s="17">
        <f>IFERROR('1. Mixture Model Inputs'!C63/'1. Mixture Model Inputs'!AA63,NA())</f>
        <v>4.9528301886792456E-2</v>
      </c>
      <c r="E63" s="17">
        <f>IFERROR('1. Mixture Model Inputs'!D63/'1. Mixture Model Inputs'!AB63,NA())</f>
        <v>8.6928934010152295E-2</v>
      </c>
      <c r="F63" s="17">
        <f>IFERROR('1. Mixture Model Inputs'!E63/'1. Mixture Model Inputs'!AC63, NA())</f>
        <v>0.27356005954425744</v>
      </c>
      <c r="G63" s="17">
        <f>IFERROR('1. Mixture Model Inputs'!F63/'1. Mixture Model Inputs'!AD63, NA())</f>
        <v>0.55067772607728094</v>
      </c>
      <c r="H63" s="24">
        <f>WhonSpComp!AT78</f>
        <v>0.11363636363636363</v>
      </c>
      <c r="I63" s="17">
        <f>IFERROR('1. Mixture Model Inputs'!G63/'1. Mixture Model Inputs'!AE63, NA())</f>
        <v>0.10577622581114506</v>
      </c>
      <c r="J63" s="17">
        <f>IFERROR('1. Mixture Model Inputs'!H63/'1. Mixture Model Inputs'!AF63, NA())</f>
        <v>0.32911670883291166</v>
      </c>
      <c r="K63" s="17">
        <f>IFERROR('1. Mixture Model Inputs'!I63/'1. Mixture Model Inputs'!AG63, NA())</f>
        <v>0.71085505061382726</v>
      </c>
      <c r="L63" s="22">
        <f>C63*'2. Salmon Passage by Bin'!C63</f>
        <v>428.93482102322344</v>
      </c>
      <c r="M63" s="22">
        <f>D63*'2. Salmon Passage by Bin'!D63</f>
        <v>299.42597621000823</v>
      </c>
      <c r="N63" s="22">
        <f>F63*'2. Salmon Passage by Bin'!F63</f>
        <v>6440.7551327050323</v>
      </c>
      <c r="O63" s="22">
        <f>G63*'2. Salmon Passage by Bin'!G63</f>
        <v>8601.0765847179573</v>
      </c>
      <c r="P63" s="22">
        <f>$G63*'2. Salmon Passage by Bin'!H63</f>
        <v>6042.5311416231989</v>
      </c>
      <c r="Q63" s="22">
        <f>$G63*'2. Salmon Passage by Bin'!I63</f>
        <v>3605.6155638628188</v>
      </c>
      <c r="R63" s="22">
        <f>$G63*'2. Salmon Passage by Bin'!J63</f>
        <v>0</v>
      </c>
      <c r="S63" s="25">
        <f>'2. Salmon Passage by Bin'!K63*H63</f>
        <v>2420.6890909090862</v>
      </c>
      <c r="T63" s="25">
        <f>K63*'2. Salmon Passage by Bin'!L63</f>
        <v>1407.6636054275255</v>
      </c>
      <c r="U63" s="25">
        <f>K63*'2. Salmon Passage by Bin'!M63</f>
        <v>2428.3945897049321</v>
      </c>
      <c r="V63" s="25">
        <f>J63*'2. Salmon Passage by Bin'!N63</f>
        <v>1361.7532944670554</v>
      </c>
      <c r="W63" s="25">
        <f>I63*'2. Salmon Passage by Bin'!O63</f>
        <v>297.98432125709297</v>
      </c>
      <c r="X63" s="22">
        <f>E63*'2. Salmon Passage by Bin'!E63</f>
        <v>750.76211653056748</v>
      </c>
      <c r="Y63" s="41">
        <f t="shared" si="0"/>
        <v>33334.824121907928</v>
      </c>
      <c r="Z63" s="42">
        <f>Y63/'[1]Passage Estimates'!$D63</f>
        <v>0.31262445422691881</v>
      </c>
      <c r="AA63" s="43">
        <f>IFERROR(SUMIF(L63:R63, "&lt;&gt;#N/A")/SUMIF('2. Salmon Passage by Bin'!E63:J63, "&lt;&gt;#N/A"), NA())</f>
        <v>0.38913393920896977</v>
      </c>
      <c r="AB63" s="42">
        <f>IFERROR(IF(ISNA(S63), NA(), S63/'2. Salmon Passage by Bin'!K63), NA())</f>
        <v>0.11363636363636363</v>
      </c>
      <c r="AC63" s="44">
        <f>IFERROR(SUMIF(T63:W63, "&lt;&gt;#N/A")/SUMIF('2. Salmon Passage by Bin'!L63:N63, "&lt;&gt;#N/A"), NA())</f>
        <v>0.57644176744877351</v>
      </c>
    </row>
    <row r="64" spans="1:29" x14ac:dyDescent="0.3">
      <c r="A64" s="5">
        <f>'1. Mixture Model Inputs'!A64</f>
        <v>45166</v>
      </c>
      <c r="B64" s="13" t="str">
        <f>IF(ISBLANK('[1]Passage Estimates'!$C64),"",IF('[1]Passage Estimates'!$C64="Imputation",'[1]Passage Estimates'!$B64,'[1]Passage Estimates'!$C64))</f>
        <v>A1+S1+M2+A2</v>
      </c>
      <c r="C64" s="17">
        <f>IFERROR('1. Mixture Model Inputs'!B64/'1. Mixture Model Inputs'!Z64,NA())</f>
        <v>4.3070510593956238E-2</v>
      </c>
      <c r="D64" s="17">
        <f>IFERROR('1. Mixture Model Inputs'!C64/'1. Mixture Model Inputs'!AA64,NA())</f>
        <v>7.9147640791476393E-3</v>
      </c>
      <c r="E64" s="17">
        <f>IFERROR('1. Mixture Model Inputs'!D64/'1. Mixture Model Inputs'!AB64,NA())</f>
        <v>1.3510568751361952E-2</v>
      </c>
      <c r="F64" s="17">
        <f>IFERROR('1. Mixture Model Inputs'!E64/'1. Mixture Model Inputs'!AC64, NA())</f>
        <v>0.11652498444951274</v>
      </c>
      <c r="G64" s="17">
        <f>IFERROR('1. Mixture Model Inputs'!F64/'1. Mixture Model Inputs'!AD64, NA())</f>
        <v>0.56862546778598166</v>
      </c>
      <c r="H64" s="24">
        <f>WhonSpComp!AT79</f>
        <v>0.31481481481481483</v>
      </c>
      <c r="I64" s="17">
        <f>IFERROR('1. Mixture Model Inputs'!G64/'1. Mixture Model Inputs'!AE64, NA())</f>
        <v>0.10577622581114506</v>
      </c>
      <c r="J64" s="17">
        <f>IFERROR('1. Mixture Model Inputs'!H64/'1. Mixture Model Inputs'!AF64, NA())</f>
        <v>0.32911670883291166</v>
      </c>
      <c r="K64" s="17">
        <f>IFERROR('1. Mixture Model Inputs'!I64/'1. Mixture Model Inputs'!AG64, NA())</f>
        <v>0.71085505061382726</v>
      </c>
      <c r="L64" s="22">
        <f>C64*'2. Salmon Passage by Bin'!C64</f>
        <v>267.72629385203197</v>
      </c>
      <c r="M64" s="22">
        <f>D64*'2. Salmon Passage by Bin'!D64</f>
        <v>279.6286149162861</v>
      </c>
      <c r="N64" s="22">
        <f>F64*'2. Salmon Passage by Bin'!F64</f>
        <v>10245.874086668047</v>
      </c>
      <c r="O64" s="22">
        <f>G64*'2. Salmon Passage by Bin'!G64</f>
        <v>14332.364130676648</v>
      </c>
      <c r="P64" s="22">
        <f>$G64*'2. Salmon Passage by Bin'!H64</f>
        <v>4766.0822008698296</v>
      </c>
      <c r="Q64" s="22">
        <f>$G64*'2. Salmon Passage by Bin'!I64</f>
        <v>2449.7749853342775</v>
      </c>
      <c r="R64" s="22">
        <f>$G64*'2. Salmon Passage by Bin'!J64</f>
        <v>0</v>
      </c>
      <c r="S64" s="25">
        <f>'2. Salmon Passage by Bin'!K64*H64</f>
        <v>3840.1111111111045</v>
      </c>
      <c r="T64" s="25">
        <f>K64*'2. Salmon Passage by Bin'!L64</f>
        <v>576.1338014214947</v>
      </c>
      <c r="U64" s="25">
        <f>K64*'2. Salmon Passage by Bin'!M64</f>
        <v>1448.779461555029</v>
      </c>
      <c r="V64" s="25">
        <f>J64*'2. Salmon Passage by Bin'!N64</f>
        <v>1267.5205983940159</v>
      </c>
      <c r="W64" s="25">
        <f>I64*'2. Salmon Passage by Bin'!O64</f>
        <v>537.80864251418586</v>
      </c>
      <c r="X64" s="22">
        <f>E64*'2. Salmon Passage by Bin'!E64</f>
        <v>561.30900849858358</v>
      </c>
      <c r="Y64" s="41">
        <f>IF(B64="M",S64,IF(AND(ISNUMBER(SEARCH("A1*",B64)),SUMIF(L64:W64,"&lt;&gt;#N/A")&gt;0),SUMIF(L64:W64,"&lt;&gt;#N/A"),IF(SUMIF(N64:X64,"&lt;&gt;#N/A")&gt;0,SUMIF(N64:X64,"&lt;&gt;#N/A"),0)))</f>
        <v>40011.803927312954</v>
      </c>
      <c r="Z64" s="42">
        <f>Y64/'[1]Passage Estimates'!$D64</f>
        <v>0.20910052639801494</v>
      </c>
      <c r="AA64" s="43">
        <f>IFERROR(SUMIF(L64:R64, "&lt;&gt;#N/A")/SUMIF('2. Salmon Passage by Bin'!E64:J64, "&lt;&gt;#N/A"), NA())</f>
        <v>0.19323353461412099</v>
      </c>
      <c r="AB64" s="42">
        <f>IFERROR(IF(ISNA(S64), NA(), S64/'2. Salmon Passage by Bin'!K64), NA())</f>
        <v>0.31481481481481483</v>
      </c>
      <c r="AC64" s="44">
        <f>IFERROR(SUMIF(T64:W64, "&lt;&gt;#N/A")/SUMIF('2. Salmon Passage by Bin'!L64:N64, "&lt;&gt;#N/A"), NA())</f>
        <v>0.57169163799206035</v>
      </c>
    </row>
    <row r="65" spans="1:29" x14ac:dyDescent="0.3">
      <c r="A65" s="5">
        <f>'1. Mixture Model Inputs'!A65</f>
        <v>45167</v>
      </c>
      <c r="B65" s="13" t="str">
        <f>IF(ISBLANK('[1]Passage Estimates'!$C65),"",IF('[1]Passage Estimates'!$C65="Imputation",'[1]Passage Estimates'!$B65,'[1]Passage Estimates'!$C65))</f>
        <v>A1+S1+M2+A2</v>
      </c>
      <c r="C65" s="17">
        <f>IFERROR('1. Mixture Model Inputs'!B65/'1. Mixture Model Inputs'!Z65,NA())</f>
        <v>7.9513564078578125E-2</v>
      </c>
      <c r="D65" s="17">
        <f>IFERROR('1. Mixture Model Inputs'!C65/'1. Mixture Model Inputs'!AA65,NA())</f>
        <v>3.0050979339951704E-2</v>
      </c>
      <c r="E65" s="17">
        <f>IFERROR('1. Mixture Model Inputs'!D65/'1. Mixture Model Inputs'!AB65,NA())</f>
        <v>2.7255029201817004E-2</v>
      </c>
      <c r="F65" s="17">
        <f>IFERROR('1. Mixture Model Inputs'!E65/'1. Mixture Model Inputs'!AC65, NA())</f>
        <v>0.10395180230777086</v>
      </c>
      <c r="G65" s="17">
        <f>IFERROR('1. Mixture Model Inputs'!F65/'1. Mixture Model Inputs'!AD65, NA())</f>
        <v>0.52442133170184557</v>
      </c>
      <c r="H65" s="24">
        <f>WhonSpComp!AT80</f>
        <v>0.16666666666666666</v>
      </c>
      <c r="I65" s="17">
        <f>IFERROR('1. Mixture Model Inputs'!G65/'1. Mixture Model Inputs'!AE65, NA())</f>
        <v>1.9509835536923575E-2</v>
      </c>
      <c r="J65" s="17">
        <f>IFERROR('1. Mixture Model Inputs'!H65/'1. Mixture Model Inputs'!AF65, NA())</f>
        <v>0.33517928838432781</v>
      </c>
      <c r="K65" s="17">
        <f>IFERROR('1. Mixture Model Inputs'!I65/'1. Mixture Model Inputs'!AG65, NA())</f>
        <v>0.67551876142350276</v>
      </c>
      <c r="L65" s="22">
        <f>C65*'2. Salmon Passage by Bin'!C65</f>
        <v>1083.4518241347055</v>
      </c>
      <c r="M65" s="22">
        <f>D65*'2. Salmon Passage by Bin'!D65</f>
        <v>3955.6104105178429</v>
      </c>
      <c r="N65" s="22">
        <f>F65*'2. Salmon Passage by Bin'!F65</f>
        <v>6639.9255304809558</v>
      </c>
      <c r="O65" s="22">
        <f>G65*'2. Salmon Passage by Bin'!G65</f>
        <v>10454.150455796878</v>
      </c>
      <c r="P65" s="22">
        <f>$G65*'2. Salmon Passage by Bin'!H65</f>
        <v>4478.5162190272249</v>
      </c>
      <c r="Q65" s="22">
        <f>$G65*'2. Salmon Passage by Bin'!I65</f>
        <v>1957.0145487916793</v>
      </c>
      <c r="R65" s="22">
        <f>$G65*'2. Salmon Passage by Bin'!J65</f>
        <v>0</v>
      </c>
      <c r="S65" s="25">
        <f>'2. Salmon Passage by Bin'!K65*H65</f>
        <v>1469.0799999999872</v>
      </c>
      <c r="T65" s="25">
        <f>K65*'2. Salmon Passage by Bin'!L65</f>
        <v>724.6965272551339</v>
      </c>
      <c r="U65" s="25">
        <f>K65*'2. Salmon Passage by Bin'!M65</f>
        <v>1256.6270207504569</v>
      </c>
      <c r="V65" s="25">
        <f>J65*'2. Salmon Passage by Bin'!N65</f>
        <v>1043.0243167658866</v>
      </c>
      <c r="W65" s="25">
        <f>I65*'2. Salmon Passage by Bin'!O65</f>
        <v>147.67228635923897</v>
      </c>
      <c r="X65" s="22">
        <f>E65*'2. Salmon Passage by Bin'!E65</f>
        <v>3958.9608825438031</v>
      </c>
      <c r="Y65" s="41">
        <f t="shared" si="0"/>
        <v>33209.769139879987</v>
      </c>
      <c r="Z65" s="42">
        <f>Y65/'[1]Passage Estimates'!$D65</f>
        <v>0.12590617873372612</v>
      </c>
      <c r="AA65" s="43">
        <f>IFERROR(SUMIF(L65:R65, "&lt;&gt;#N/A")/SUMIF('2. Salmon Passage by Bin'!E65:J65, "&lt;&gt;#N/A"), NA())</f>
        <v>0.11837640905877081</v>
      </c>
      <c r="AB65" s="42">
        <f>IFERROR(IF(ISNA(S65), NA(), S65/'2. Salmon Passage by Bin'!K65), NA())</f>
        <v>0.16666666666666666</v>
      </c>
      <c r="AC65" s="44">
        <f>IFERROR(SUMIF(T65:W65, "&lt;&gt;#N/A")/SUMIF('2. Salmon Passage by Bin'!L65:N65, "&lt;&gt;#N/A"), NA())</f>
        <v>0.52474493308894732</v>
      </c>
    </row>
    <row r="66" spans="1:29" x14ac:dyDescent="0.3">
      <c r="A66" s="5">
        <f>'1. Mixture Model Inputs'!A66</f>
        <v>45168</v>
      </c>
      <c r="B66" s="13" t="str">
        <f>IF(ISBLANK('[1]Passage Estimates'!$C66),"",IF('[1]Passage Estimates'!$C66="Imputation",'[1]Passage Estimates'!$B66,'[1]Passage Estimates'!$C66))</f>
        <v>A1+S1+M2+A2</v>
      </c>
      <c r="C66" s="17">
        <f>IFERROR('1. Mixture Model Inputs'!B66/'1. Mixture Model Inputs'!Z66,NA())</f>
        <v>3.5403366221706326E-2</v>
      </c>
      <c r="D66" s="17">
        <f>IFERROR('1. Mixture Model Inputs'!C66/'1. Mixture Model Inputs'!AA66,NA())</f>
        <v>1.0752688172043012E-2</v>
      </c>
      <c r="E66" s="17">
        <f>IFERROR('1. Mixture Model Inputs'!D66/'1. Mixture Model Inputs'!AB66,NA())</f>
        <v>1.2566137566137567E-2</v>
      </c>
      <c r="F66" s="17">
        <f>IFERROR('1. Mixture Model Inputs'!E66/'1. Mixture Model Inputs'!AC66, NA())</f>
        <v>7.615859399518779E-2</v>
      </c>
      <c r="G66" s="17">
        <f>IFERROR('1. Mixture Model Inputs'!F66/'1. Mixture Model Inputs'!AD66, NA())</f>
        <v>0.27549140049140047</v>
      </c>
      <c r="H66" s="24">
        <f>WhonSpComp!AT81</f>
        <v>0.14925373134328357</v>
      </c>
      <c r="I66" s="17">
        <f>IFERROR('1. Mixture Model Inputs'!G66/'1. Mixture Model Inputs'!AE66, NA())</f>
        <v>1.9509835536923575E-2</v>
      </c>
      <c r="J66" s="17">
        <f>IFERROR('1. Mixture Model Inputs'!H66/'1. Mixture Model Inputs'!AF66, NA())</f>
        <v>0.33517928838432781</v>
      </c>
      <c r="K66" s="17">
        <f>IFERROR('1. Mixture Model Inputs'!I66/'1. Mixture Model Inputs'!AG66, NA())</f>
        <v>0.67551876142350276</v>
      </c>
      <c r="L66" s="22">
        <f>C66*'2. Salmon Passage by Bin'!C66</f>
        <v>156.27045850261172</v>
      </c>
      <c r="M66" s="22">
        <f>D66*'2. Salmon Passage by Bin'!D66</f>
        <v>1368.9569892473119</v>
      </c>
      <c r="N66" s="22">
        <f>F66*'2. Salmon Passage by Bin'!F66</f>
        <v>9561.8028664086214</v>
      </c>
      <c r="O66" s="22">
        <f>G66*'2. Salmon Passage by Bin'!G66</f>
        <v>6279.2865110565108</v>
      </c>
      <c r="P66" s="22">
        <f>$G66*'2. Salmon Passage by Bin'!H66</f>
        <v>2330.9217199017198</v>
      </c>
      <c r="Q66" s="22">
        <f>$G66*'2. Salmon Passage by Bin'!I66</f>
        <v>1974.2154545454546</v>
      </c>
      <c r="R66" s="22">
        <f>$G66*'2. Salmon Passage by Bin'!J66</f>
        <v>0</v>
      </c>
      <c r="S66" s="25">
        <f>'2. Salmon Passage by Bin'!K66*H66</f>
        <v>3060.2543283582095</v>
      </c>
      <c r="T66" s="25">
        <f>K66*'2. Salmon Passage by Bin'!L66</f>
        <v>362.34826362756695</v>
      </c>
      <c r="U66" s="25">
        <f>K66*'2. Salmon Passage by Bin'!M66</f>
        <v>1526.4021933125471</v>
      </c>
      <c r="V66" s="25">
        <f>J66*'2. Salmon Passage by Bin'!N66</f>
        <v>1437.5169320227049</v>
      </c>
      <c r="W66" s="25">
        <f>I66*'2. Salmon Passage by Bin'!O66</f>
        <v>164.77226701064171</v>
      </c>
      <c r="X66" s="22">
        <f>E66*'2. Salmon Passage by Bin'!E66</f>
        <v>1655.3011111111111</v>
      </c>
      <c r="Y66" s="41">
        <f t="shared" si="0"/>
        <v>28222.747983993897</v>
      </c>
      <c r="Z66" s="42">
        <f>Y66/'[1]Passage Estimates'!$D66</f>
        <v>8.5076803863180034E-2</v>
      </c>
      <c r="AA66" s="43">
        <f>IFERROR(SUMIF(L66:R66, "&lt;&gt;#N/A")/SUMIF('2. Salmon Passage by Bin'!E66:J66, "&lt;&gt;#N/A"), NA())</f>
        <v>7.3289027389191283E-2</v>
      </c>
      <c r="AB66" s="42">
        <f>IFERROR(IF(ISNA(S66), NA(), S66/'2. Salmon Passage by Bin'!K66), NA())</f>
        <v>0.14925373134328357</v>
      </c>
      <c r="AC66" s="44">
        <f>IFERROR(SUMIF(T66:W66, "&lt;&gt;#N/A")/SUMIF('2. Salmon Passage by Bin'!L66:N66, "&lt;&gt;#N/A"), NA())</f>
        <v>0.4927506289483769</v>
      </c>
    </row>
    <row r="67" spans="1:29" x14ac:dyDescent="0.3">
      <c r="A67" s="5">
        <f>'1. Mixture Model Inputs'!A67</f>
        <v>45169</v>
      </c>
      <c r="B67" s="13" t="str">
        <f>IF(ISBLANK('[1]Passage Estimates'!$C67),"",IF('[1]Passage Estimates'!$C67="Imputation",'[1]Passage Estimates'!$B67,'[1]Passage Estimates'!$C67))</f>
        <v>A1+S1+M2+A2</v>
      </c>
      <c r="C67" s="17">
        <f>IFERROR('1. Mixture Model Inputs'!B67/'1. Mixture Model Inputs'!Z67,NA())</f>
        <v>0</v>
      </c>
      <c r="D67" s="17">
        <f>IFERROR('1. Mixture Model Inputs'!C67/'1. Mixture Model Inputs'!AA67,NA())</f>
        <v>4.193548387096774E-3</v>
      </c>
      <c r="E67" s="17">
        <f>IFERROR('1. Mixture Model Inputs'!D67/'1. Mixture Model Inputs'!AB67,NA())</f>
        <v>2.0232458028411535E-2</v>
      </c>
      <c r="F67" s="17">
        <f>IFERROR('1. Mixture Model Inputs'!E67/'1. Mixture Model Inputs'!AC67, NA())</f>
        <v>0.1077623323902079</v>
      </c>
      <c r="G67" s="17">
        <f>IFERROR('1. Mixture Model Inputs'!F67/'1. Mixture Model Inputs'!AD67, NA())</f>
        <v>0.40904874780995565</v>
      </c>
      <c r="H67" s="24">
        <f>WhonSpComp!AT82</f>
        <v>0.36842105263157893</v>
      </c>
      <c r="I67" s="17">
        <f>IFERROR('1. Mixture Model Inputs'!G67/'1. Mixture Model Inputs'!AE67, NA())</f>
        <v>2.7816846382247226E-2</v>
      </c>
      <c r="J67" s="17">
        <f>IFERROR('1. Mixture Model Inputs'!H67/'1. Mixture Model Inputs'!AF67, NA())</f>
        <v>0.22535211267605634</v>
      </c>
      <c r="K67" s="17">
        <f>IFERROR('1. Mixture Model Inputs'!I67/'1. Mixture Model Inputs'!AG67, NA())</f>
        <v>0.48964985685972251</v>
      </c>
      <c r="L67" s="22">
        <f>C67*'2. Salmon Passage by Bin'!C67</f>
        <v>0</v>
      </c>
      <c r="M67" s="22">
        <f>D67*'2. Salmon Passage by Bin'!D67</f>
        <v>294.49193548387098</v>
      </c>
      <c r="N67" s="22">
        <f>F67*'2. Salmon Passage by Bin'!F67</f>
        <v>10897.228785828514</v>
      </c>
      <c r="O67" s="22">
        <f>G67*'2. Salmon Passage by Bin'!G67</f>
        <v>11879.462838297433</v>
      </c>
      <c r="P67" s="22">
        <f>$G67*'2. Salmon Passage by Bin'!H67</f>
        <v>5442.7371905596201</v>
      </c>
      <c r="Q67" s="22">
        <f>$G67*'2. Salmon Passage by Bin'!I67</f>
        <v>4654.6147871792218</v>
      </c>
      <c r="R67" s="22">
        <f>$G67*'2. Salmon Passage by Bin'!J67</f>
        <v>0</v>
      </c>
      <c r="S67" s="25">
        <f>'2. Salmon Passage by Bin'!K67*H67</f>
        <v>5186.6021052631249</v>
      </c>
      <c r="T67" s="25">
        <f>K67*'2. Salmon Passage by Bin'!L67</f>
        <v>1306.189958158996</v>
      </c>
      <c r="U67" s="25">
        <f>K67*'2. Salmon Passage by Bin'!M67</f>
        <v>2618.1381986346619</v>
      </c>
      <c r="V67" s="25">
        <f>J67*'2. Salmon Passage by Bin'!N67</f>
        <v>1402.3571830985918</v>
      </c>
      <c r="W67" s="25">
        <f>I67*'2. Salmon Passage by Bin'!O67</f>
        <v>225.55011720581342</v>
      </c>
      <c r="X67" s="22">
        <f>E67*'2. Salmon Passage by Bin'!E67</f>
        <v>1481.2732845458459</v>
      </c>
      <c r="Y67" s="41">
        <f t="shared" si="0"/>
        <v>43907.373099709846</v>
      </c>
      <c r="Z67" s="42">
        <f>Y67/'[1]Passage Estimates'!$D67</f>
        <v>0.16601019751408341</v>
      </c>
      <c r="AA67" s="43">
        <f>IFERROR(SUMIF(L67:R67, "&lt;&gt;#N/A")/SUMIF('2. Salmon Passage by Bin'!E67:J67, "&lt;&gt;#N/A"), NA())</f>
        <v>0.14543638250794724</v>
      </c>
      <c r="AB67" s="42">
        <f>IFERROR(IF(ISNA(S67), NA(), S67/'2. Salmon Passage by Bin'!K67), NA())</f>
        <v>0.36842105263157893</v>
      </c>
      <c r="AC67" s="44">
        <f>IFERROR(SUMIF(T67:W67, "&lt;&gt;#N/A")/SUMIF('2. Salmon Passage by Bin'!L67:N67, "&lt;&gt;#N/A"), NA())</f>
        <v>0.38997209184591575</v>
      </c>
    </row>
    <row r="68" spans="1:29" x14ac:dyDescent="0.3">
      <c r="A68" s="5">
        <f>'1. Mixture Model Inputs'!A68</f>
        <v>45170</v>
      </c>
      <c r="B68" s="13" t="str">
        <f>IF(ISBLANK('[1]Passage Estimates'!$C68),"",IF('[1]Passage Estimates'!$C68="Imputation",'[1]Passage Estimates'!$B68,'[1]Passage Estimates'!$C68))</f>
        <v>A1+S1+M2+A2</v>
      </c>
      <c r="C68" s="17">
        <f>IFERROR('1. Mixture Model Inputs'!B68/'1. Mixture Model Inputs'!Z68,NA())</f>
        <v>2.3837902264600714E-3</v>
      </c>
      <c r="D68" s="17">
        <f>IFERROR('1. Mixture Model Inputs'!C68/'1. Mixture Model Inputs'!AA68,NA())</f>
        <v>0</v>
      </c>
      <c r="E68" s="17">
        <f>IFERROR('1. Mixture Model Inputs'!D68/'1. Mixture Model Inputs'!AB68,NA())</f>
        <v>0</v>
      </c>
      <c r="F68" s="17">
        <f>IFERROR('1. Mixture Model Inputs'!E68/'1. Mixture Model Inputs'!AC68, NA())</f>
        <v>9.0027700831024918E-2</v>
      </c>
      <c r="G68" s="17">
        <f>IFERROR('1. Mixture Model Inputs'!F68/'1. Mixture Model Inputs'!AD68, NA())</f>
        <v>0.40083769633507854</v>
      </c>
      <c r="H68" s="24">
        <f>WhonSpComp!AT83</f>
        <v>0.26666666666666666</v>
      </c>
      <c r="I68" s="17">
        <f>IFERROR('1. Mixture Model Inputs'!G68/'1. Mixture Model Inputs'!AE68, NA())</f>
        <v>2.3837902264600714E-3</v>
      </c>
      <c r="J68" s="17">
        <f>IFERROR('1. Mixture Model Inputs'!H68/'1. Mixture Model Inputs'!AF68, NA())</f>
        <v>0.28973988439306358</v>
      </c>
      <c r="K68" s="17">
        <f>IFERROR('1. Mixture Model Inputs'!I68/'1. Mixture Model Inputs'!AG68, NA())</f>
        <v>0.44563147873915804</v>
      </c>
      <c r="L68" s="22">
        <f>C68*'2. Salmon Passage by Bin'!C68</f>
        <v>4.6436233611442193</v>
      </c>
      <c r="M68" s="22">
        <f>D68*'2. Salmon Passage by Bin'!D68</f>
        <v>0</v>
      </c>
      <c r="N68" s="22">
        <f>F68*'2. Salmon Passage by Bin'!F68</f>
        <v>7572.3091412742378</v>
      </c>
      <c r="O68" s="22">
        <f>G68*'2. Salmon Passage by Bin'!G68</f>
        <v>16614.594245026179</v>
      </c>
      <c r="P68" s="22">
        <f>$G68*'2. Salmon Passage by Bin'!H68</f>
        <v>6661.1529047120412</v>
      </c>
      <c r="Q68" s="22">
        <f>$G68*'2. Salmon Passage by Bin'!I68</f>
        <v>6296.069930890053</v>
      </c>
      <c r="R68" s="22">
        <f>$G68*'2. Salmon Passage by Bin'!J68</f>
        <v>0</v>
      </c>
      <c r="S68" s="25">
        <f>'2. Salmon Passage by Bin'!K68*H68</f>
        <v>7523.7759999999544</v>
      </c>
      <c r="T68" s="25">
        <f>K68*'2. Salmon Passage by Bin'!L68</f>
        <v>281.81734715464358</v>
      </c>
      <c r="U68" s="25">
        <f>K68*'2. Salmon Passage by Bin'!M68</f>
        <v>892.51072561878584</v>
      </c>
      <c r="V68" s="25">
        <f>J68*'2. Salmon Passage by Bin'!N68</f>
        <v>1429.3447976878615</v>
      </c>
      <c r="W68" s="25">
        <f>I68*'2. Salmon Passage by Bin'!O68</f>
        <v>4.6918712753277712</v>
      </c>
      <c r="X68" s="22">
        <f>E68*'2. Salmon Passage by Bin'!E68</f>
        <v>0</v>
      </c>
      <c r="Y68" s="41">
        <f t="shared" si="0"/>
        <v>47280.910587000224</v>
      </c>
      <c r="Z68" s="42">
        <f>Y68/'[1]Passage Estimates'!$D68</f>
        <v>0.19746784354483143</v>
      </c>
      <c r="AA68" s="43">
        <f>IFERROR(SUMIF(L68:R68, "&lt;&gt;#N/A")/SUMIF('2. Salmon Passage by Bin'!E68:J68, "&lt;&gt;#N/A"), NA())</f>
        <v>0.18419184870909544</v>
      </c>
      <c r="AB68" s="42">
        <f>IFERROR(IF(ISNA(S68), NA(), S68/'2. Salmon Passage by Bin'!K68), NA())</f>
        <v>0.26666666666666666</v>
      </c>
      <c r="AC68" s="44">
        <f>IFERROR(SUMIF(T68:W68, "&lt;&gt;#N/A")/SUMIF('2. Salmon Passage by Bin'!L68:N68, "&lt;&gt;#N/A"), NA())</f>
        <v>0.34463885916925879</v>
      </c>
    </row>
    <row r="69" spans="1:29" x14ac:dyDescent="0.3">
      <c r="A69" s="5">
        <f>'1. Mixture Model Inputs'!A69</f>
        <v>45171</v>
      </c>
      <c r="B69" s="13" t="str">
        <f>IF(ISBLANK('[1]Passage Estimates'!$C69),"",IF('[1]Passage Estimates'!$C69="Imputation",'[1]Passage Estimates'!$B69,'[1]Passage Estimates'!$C69))</f>
        <v>A1+S1+M2+A2</v>
      </c>
      <c r="C69" s="17">
        <f>IFERROR('1. Mixture Model Inputs'!B69/'1. Mixture Model Inputs'!Z69,NA())</f>
        <v>2.0817270624518117E-2</v>
      </c>
      <c r="D69" s="17">
        <f>IFERROR('1. Mixture Model Inputs'!C69/'1. Mixture Model Inputs'!AA69,NA())</f>
        <v>0</v>
      </c>
      <c r="E69" s="17">
        <f>IFERROR('1. Mixture Model Inputs'!D69/'1. Mixture Model Inputs'!AB69,NA())</f>
        <v>1.8899622007559848E-3</v>
      </c>
      <c r="F69" s="17">
        <f>IFERROR('1. Mixture Model Inputs'!E69/'1. Mixture Model Inputs'!AC69, NA())</f>
        <v>0.13838487094301047</v>
      </c>
      <c r="G69" s="17">
        <f>IFERROR('1. Mixture Model Inputs'!F69/'1. Mixture Model Inputs'!AD69, NA())</f>
        <v>0.23110086224182877</v>
      </c>
      <c r="H69" s="24">
        <f>WhonSpComp!AT84</f>
        <v>0.17567567567567569</v>
      </c>
      <c r="I69" s="17">
        <f>IFERROR('1. Mixture Model Inputs'!G69/'1. Mixture Model Inputs'!AE69, NA())</f>
        <v>2.3837902264600714E-3</v>
      </c>
      <c r="J69" s="17">
        <f>IFERROR('1. Mixture Model Inputs'!H69/'1. Mixture Model Inputs'!AF69, NA())</f>
        <v>0.28973988439306358</v>
      </c>
      <c r="K69" s="17">
        <f>IFERROR('1. Mixture Model Inputs'!I69/'1. Mixture Model Inputs'!AG69, NA())</f>
        <v>0.44563147873915804</v>
      </c>
      <c r="L69" s="22">
        <f>C69*'2. Salmon Passage by Bin'!C69</f>
        <v>433.74865073245945</v>
      </c>
      <c r="M69" s="22">
        <f>D69*'2. Salmon Passage by Bin'!D69</f>
        <v>0</v>
      </c>
      <c r="N69" s="22">
        <f>F69*'2. Salmon Passage by Bin'!F69</f>
        <v>26156.168740097113</v>
      </c>
      <c r="O69" s="22">
        <f>G69*'2. Salmon Passage by Bin'!G69</f>
        <v>32904.750872267898</v>
      </c>
      <c r="P69" s="22">
        <f>$G69*'2. Salmon Passage by Bin'!H69</f>
        <v>16204.644555845198</v>
      </c>
      <c r="Q69" s="22">
        <f>$G69*'2. Salmon Passage by Bin'!I69</f>
        <v>4793.1058351714464</v>
      </c>
      <c r="R69" s="22">
        <f>$G69*'2. Salmon Passage by Bin'!J69</f>
        <v>0</v>
      </c>
      <c r="S69" s="25">
        <f>'2. Salmon Passage by Bin'!K69*H69</f>
        <v>6599.0428540540106</v>
      </c>
      <c r="T69" s="25">
        <f>K69*'2. Salmon Passage by Bin'!L69</f>
        <v>657.64511106409986</v>
      </c>
      <c r="U69" s="25">
        <f>K69*'2. Salmon Passage by Bin'!M69</f>
        <v>2092.9349777871798</v>
      </c>
      <c r="V69" s="25">
        <f>J69*'2. Salmon Passage by Bin'!N69</f>
        <v>2282.6403468208091</v>
      </c>
      <c r="W69" s="25">
        <f>I69*'2. Salmon Passage by Bin'!O69</f>
        <v>9.3431227651966626</v>
      </c>
      <c r="X69" s="22">
        <f>E69*'2. Salmon Passage by Bin'!E69</f>
        <v>218.17406131877362</v>
      </c>
      <c r="Y69" s="41">
        <f t="shared" si="0"/>
        <v>92134.025066605434</v>
      </c>
      <c r="Z69" s="42">
        <f>Y69/'[1]Passage Estimates'!$D69</f>
        <v>0.15531048940045938</v>
      </c>
      <c r="AA69" s="43">
        <f>IFERROR(SUMIF(L69:R69, "&lt;&gt;#N/A")/SUMIF('2. Salmon Passage by Bin'!E69:J69, "&lt;&gt;#N/A"), NA())</f>
        <v>0.14970015239630236</v>
      </c>
      <c r="AB69" s="42">
        <f>IFERROR(IF(ISNA(S69), NA(), S69/'2. Salmon Passage by Bin'!K69), NA())</f>
        <v>0.17567567567567569</v>
      </c>
      <c r="AC69" s="44">
        <f>IFERROR(SUMIF(T69:W69, "&lt;&gt;#N/A")/SUMIF('2. Salmon Passage by Bin'!L69:N69, "&lt;&gt;#N/A"), NA())</f>
        <v>0.35888701649167615</v>
      </c>
    </row>
    <row r="70" spans="1:29" x14ac:dyDescent="0.3">
      <c r="A70" s="5">
        <f>'1. Mixture Model Inputs'!A70</f>
        <v>45172</v>
      </c>
      <c r="B70" s="13" t="str">
        <f>IF(ISBLANK('[1]Passage Estimates'!$C70),"",IF('[1]Passage Estimates'!$C70="Imputation",'[1]Passage Estimates'!$B70,'[1]Passage Estimates'!$C70))</f>
        <v>A1+S1+M2+A2</v>
      </c>
      <c r="C70" s="17">
        <f>IFERROR('1. Mixture Model Inputs'!B70/'1. Mixture Model Inputs'!Z70,NA())</f>
        <v>0</v>
      </c>
      <c r="D70" s="17">
        <f>IFERROR('1. Mixture Model Inputs'!C70/'1. Mixture Model Inputs'!AA70,NA())</f>
        <v>0</v>
      </c>
      <c r="E70" s="17">
        <f>IFERROR('1. Mixture Model Inputs'!D70/'1. Mixture Model Inputs'!AB70,NA())</f>
        <v>0</v>
      </c>
      <c r="F70" s="17">
        <f>IFERROR('1. Mixture Model Inputs'!E70/'1. Mixture Model Inputs'!AC70, NA())</f>
        <v>0.24464119291705497</v>
      </c>
      <c r="G70" s="17">
        <f>IFERROR('1. Mixture Model Inputs'!F70/'1. Mixture Model Inputs'!AD70, NA())</f>
        <v>0.43796758104738154</v>
      </c>
      <c r="H70" s="24">
        <f>WhonSpComp!AT85</f>
        <v>0.3380281690140845</v>
      </c>
      <c r="I70" s="17">
        <f>IFERROR('1. Mixture Model Inputs'!G70/'1. Mixture Model Inputs'!AE70, NA())</f>
        <v>2.0925808497146481E-2</v>
      </c>
      <c r="J70" s="17">
        <f>IFERROR('1. Mixture Model Inputs'!H70/'1. Mixture Model Inputs'!AF70, NA())</f>
        <v>0.38675799086757989</v>
      </c>
      <c r="K70" s="17">
        <f>IFERROR('1. Mixture Model Inputs'!I70/'1. Mixture Model Inputs'!AG70, NA())</f>
        <v>0.56905792620078344</v>
      </c>
      <c r="L70" s="22">
        <f>C70*'2. Salmon Passage by Bin'!C70</f>
        <v>0</v>
      </c>
      <c r="M70" s="22">
        <f>D70*'2. Salmon Passage by Bin'!D70</f>
        <v>0</v>
      </c>
      <c r="N70" s="22">
        <f>F70*'2. Salmon Passage by Bin'!F70</f>
        <v>64697.418452935693</v>
      </c>
      <c r="O70" s="22">
        <f>G70*'2. Salmon Passage by Bin'!G70</f>
        <v>53366.630049875304</v>
      </c>
      <c r="P70" s="22">
        <f>$G70*'2. Salmon Passage by Bin'!H70</f>
        <v>18525.187780548629</v>
      </c>
      <c r="Q70" s="22">
        <f>$G70*'2. Salmon Passage by Bin'!I70</f>
        <v>10485.784788029925</v>
      </c>
      <c r="R70" s="22">
        <f>$G70*'2. Salmon Passage by Bin'!J70</f>
        <v>0</v>
      </c>
      <c r="S70" s="25">
        <f>'2. Salmon Passage by Bin'!K70*H70</f>
        <v>7936.031459154894</v>
      </c>
      <c r="T70" s="25">
        <f>K70*'2. Salmon Passage by Bin'!L70</f>
        <v>1654.4562523191098</v>
      </c>
      <c r="U70" s="25">
        <f>K70*'2. Salmon Passage by Bin'!M70</f>
        <v>4704.424638218924</v>
      </c>
      <c r="V70" s="25">
        <f>J70*'2. Salmon Passage by Bin'!N70</f>
        <v>9605.6761643835598</v>
      </c>
      <c r="W70" s="25">
        <f>I70*'2. Salmon Passage by Bin'!O70</f>
        <v>1232.7276601141409</v>
      </c>
      <c r="X70" s="22">
        <f>E70*'2. Salmon Passage by Bin'!E70</f>
        <v>0</v>
      </c>
      <c r="Y70" s="41">
        <f t="shared" si="0"/>
        <v>172208.33724558019</v>
      </c>
      <c r="Z70" s="42">
        <f>Y70/'[1]Passage Estimates'!$D70</f>
        <v>0.22139255634632934</v>
      </c>
      <c r="AA70" s="43">
        <f>IFERROR(SUMIF(L70:R70, "&lt;&gt;#N/A")/SUMIF('2. Salmon Passage by Bin'!E70:J70, "&lt;&gt;#N/A"), NA())</f>
        <v>0.22302885296355385</v>
      </c>
      <c r="AB70" s="42">
        <f>IFERROR(IF(ISNA(S70), NA(), S70/'2. Salmon Passage by Bin'!K70), NA())</f>
        <v>0.3380281690140845</v>
      </c>
      <c r="AC70" s="44">
        <f>IFERROR(SUMIF(T70:W70, "&lt;&gt;#N/A")/SUMIF('2. Salmon Passage by Bin'!L70:N70, "&lt;&gt;#N/A"), NA())</f>
        <v>0.4775590854697962</v>
      </c>
    </row>
    <row r="71" spans="1:29" x14ac:dyDescent="0.3">
      <c r="A71" s="5">
        <f>'1. Mixture Model Inputs'!A71</f>
        <v>45173</v>
      </c>
      <c r="B71" s="13" t="str">
        <f>IF(ISBLANK('[1]Passage Estimates'!$C71),"",IF('[1]Passage Estimates'!$C71="Imputation",'[1]Passage Estimates'!$B71,'[1]Passage Estimates'!$C71))</f>
        <v>A1+S1+M2+A2</v>
      </c>
      <c r="C71" s="17">
        <f>IFERROR('1. Mixture Model Inputs'!B71/'1. Mixture Model Inputs'!Z71,NA())</f>
        <v>1.8416206261510127E-2</v>
      </c>
      <c r="D71" s="17">
        <f>IFERROR('1. Mixture Model Inputs'!C71/'1. Mixture Model Inputs'!AA71,NA())</f>
        <v>2.0418452230904965E-2</v>
      </c>
      <c r="E71" s="17">
        <f>IFERROR('1. Mixture Model Inputs'!D71/'1. Mixture Model Inputs'!AB71,NA())</f>
        <v>1.8721755971594575E-2</v>
      </c>
      <c r="F71" s="17">
        <f>IFERROR('1. Mixture Model Inputs'!E71/'1. Mixture Model Inputs'!AC71, NA())</f>
        <v>0.22314814814814815</v>
      </c>
      <c r="G71" s="17">
        <f>IFERROR('1. Mixture Model Inputs'!F71/'1. Mixture Model Inputs'!AD71, NA())</f>
        <v>0.42832781623031396</v>
      </c>
      <c r="H71" s="24">
        <f>WhonSpComp!AT86</f>
        <v>0.1116751269035533</v>
      </c>
      <c r="I71" s="17">
        <f>IFERROR('1. Mixture Model Inputs'!G71/'1. Mixture Model Inputs'!AE71, NA())</f>
        <v>2.0925808497146481E-2</v>
      </c>
      <c r="J71" s="17">
        <f>IFERROR('1. Mixture Model Inputs'!H71/'1. Mixture Model Inputs'!AF71, NA())</f>
        <v>0.38675799086757989</v>
      </c>
      <c r="K71" s="17">
        <f>IFERROR('1. Mixture Model Inputs'!I71/'1. Mixture Model Inputs'!AG71, NA())</f>
        <v>0.56905792620078344</v>
      </c>
      <c r="L71" s="22">
        <f>C71*'2. Salmon Passage by Bin'!C71</f>
        <v>228.39779005524861</v>
      </c>
      <c r="M71" s="22">
        <f>D71*'2. Salmon Passage by Bin'!D71</f>
        <v>1264.6372573733299</v>
      </c>
      <c r="N71" s="22">
        <f>F71*'2. Salmon Passage by Bin'!F71</f>
        <v>38700.529777777781</v>
      </c>
      <c r="O71" s="22">
        <f>G71*'2. Salmon Passage by Bin'!G71</f>
        <v>58518.146253385494</v>
      </c>
      <c r="P71" s="22">
        <f>$G71*'2. Salmon Passage by Bin'!H71</f>
        <v>23628.275654529039</v>
      </c>
      <c r="Q71" s="22">
        <f>$G71*'2. Salmon Passage by Bin'!I71</f>
        <v>14928.320914835991</v>
      </c>
      <c r="R71" s="22">
        <f>$G71*'2. Salmon Passage by Bin'!J71</f>
        <v>0</v>
      </c>
      <c r="S71" s="25">
        <f>'2. Salmon Passage by Bin'!K71*H71</f>
        <v>4029.3636548223672</v>
      </c>
      <c r="T71" s="25">
        <f>K71*'2. Salmon Passage by Bin'!L71</f>
        <v>2301.1336796536802</v>
      </c>
      <c r="U71" s="25">
        <f>K71*'2. Salmon Passage by Bin'!M71</f>
        <v>3526.6113048855914</v>
      </c>
      <c r="V71" s="25">
        <f>J71*'2. Salmon Passage by Bin'!N71</f>
        <v>5583.6096438356162</v>
      </c>
      <c r="W71" s="25">
        <f>I71*'2. Salmon Passage by Bin'!O71</f>
        <v>1192.0679771718451</v>
      </c>
      <c r="X71" s="22">
        <f>E71*'2. Salmon Passage by Bin'!E71</f>
        <v>1391.7483795997416</v>
      </c>
      <c r="Y71" s="41">
        <f t="shared" ref="Y71:Y128" si="1">IF(B71="M",S71,IF(AND(ISNUMBER(SEARCH("A1*",B71)),SUMIF(L71:W71,"&lt;&gt;#N/A")&gt;0),SUMIF(L71:W71,"&lt;&gt;#N/A"),IF(SUMIF(N71:X71,"&lt;&gt;#N/A")&gt;0,SUMIF(N71:X71,"&lt;&gt;#N/A"),0)))</f>
        <v>153901.093908326</v>
      </c>
      <c r="Z71" s="42">
        <f>Y71/'[1]Passage Estimates'!$D71</f>
        <v>0.25991081340921851</v>
      </c>
      <c r="AA71" s="43">
        <f>IFERROR(SUMIF(L71:R71, "&lt;&gt;#N/A")/SUMIF('2. Salmon Passage by Bin'!E71:J71, "&lt;&gt;#N/A"), NA())</f>
        <v>0.28934843091824197</v>
      </c>
      <c r="AB71" s="42">
        <f>IFERROR(IF(ISNA(S71), NA(), S71/'2. Salmon Passage by Bin'!K71), NA())</f>
        <v>0.1116751269035533</v>
      </c>
      <c r="AC71" s="44">
        <f>IFERROR(SUMIF(T71:W71, "&lt;&gt;#N/A")/SUMIF('2. Salmon Passage by Bin'!L71:N71, "&lt;&gt;#N/A"), NA())</f>
        <v>0.51071491229219279</v>
      </c>
    </row>
    <row r="72" spans="1:29" x14ac:dyDescent="0.3">
      <c r="A72" s="5">
        <f>'1. Mixture Model Inputs'!A72</f>
        <v>45174</v>
      </c>
      <c r="B72" s="13" t="str">
        <f>IF(ISBLANK('[1]Passage Estimates'!$C72),"",IF('[1]Passage Estimates'!$C72="Imputation",'[1]Passage Estimates'!$B72,'[1]Passage Estimates'!$C72))</f>
        <v>A1+S1+M2+A2</v>
      </c>
      <c r="C72" s="17">
        <f>IFERROR('1. Mixture Model Inputs'!B72/'1. Mixture Model Inputs'!Z72,NA())</f>
        <v>6.1524334251606978E-2</v>
      </c>
      <c r="D72" s="17">
        <f>IFERROR('1. Mixture Model Inputs'!C72/'1. Mixture Model Inputs'!AA72,NA())</f>
        <v>1.9309161124222269E-3</v>
      </c>
      <c r="E72" s="17">
        <f>IFERROR('1. Mixture Model Inputs'!D72/'1. Mixture Model Inputs'!AB72,NA())</f>
        <v>2.0989893754858768E-2</v>
      </c>
      <c r="F72" s="17">
        <f>IFERROR('1. Mixture Model Inputs'!E72/'1. Mixture Model Inputs'!AC72, NA())</f>
        <v>8.7089561021537004E-2</v>
      </c>
      <c r="G72" s="17">
        <f>IFERROR('1. Mixture Model Inputs'!F72/'1. Mixture Model Inputs'!AD72, NA())</f>
        <v>0.32173561242034993</v>
      </c>
      <c r="H72" s="24">
        <f>WhonSpComp!AT87</f>
        <v>0.16666666666666666</v>
      </c>
      <c r="I72" s="17">
        <f>IFERROR('1. Mixture Model Inputs'!G72/'1. Mixture Model Inputs'!AE72, NA())</f>
        <v>3.4248936903804164E-2</v>
      </c>
      <c r="J72" s="17">
        <f>IFERROR('1. Mixture Model Inputs'!H72/'1. Mixture Model Inputs'!AF72, NA())</f>
        <v>0.2423172024019781</v>
      </c>
      <c r="K72" s="17">
        <f>IFERROR('1. Mixture Model Inputs'!I72/'1. Mixture Model Inputs'!AG72, NA())</f>
        <v>0.49138958085129425</v>
      </c>
      <c r="L72" s="22">
        <f>C72*'2. Salmon Passage by Bin'!C72</f>
        <v>773.2993572084481</v>
      </c>
      <c r="M72" s="22">
        <f>D72*'2. Salmon Passage by Bin'!D72</f>
        <v>67.87556318386612</v>
      </c>
      <c r="N72" s="22">
        <f>F72*'2. Salmon Passage by Bin'!F72</f>
        <v>7869.015605507826</v>
      </c>
      <c r="O72" s="22">
        <f>G72*'2. Salmon Passage by Bin'!G72</f>
        <v>21494.692966521692</v>
      </c>
      <c r="P72" s="22">
        <f>$G72*'2. Salmon Passage by Bin'!H72</f>
        <v>10020.700167897239</v>
      </c>
      <c r="Q72" s="22">
        <f>$G72*'2. Salmon Passage by Bin'!I72</f>
        <v>5752.1694507939719</v>
      </c>
      <c r="R72" s="22">
        <f>$G72*'2. Salmon Passage by Bin'!J72</f>
        <v>0</v>
      </c>
      <c r="S72" s="25">
        <f>'2. Salmon Passage by Bin'!K72*H72</f>
        <v>8836.9600000000137</v>
      </c>
      <c r="T72" s="25">
        <f>K72*'2. Salmon Passage by Bin'!L72</f>
        <v>671.51334560814462</v>
      </c>
      <c r="U72" s="25">
        <f>K72*'2. Salmon Passage by Bin'!M72</f>
        <v>2747.6146691216286</v>
      </c>
      <c r="V72" s="25">
        <f>J72*'2. Salmon Passage by Bin'!N72</f>
        <v>2509.9021971034972</v>
      </c>
      <c r="W72" s="25">
        <f>I72*'2. Salmon Passage by Bin'!O72</f>
        <v>1058.6209401218252</v>
      </c>
      <c r="X72" s="22">
        <f>E72*'2. Salmon Passage by Bin'!E72</f>
        <v>1001.6562010883647</v>
      </c>
      <c r="Y72" s="41">
        <f t="shared" si="1"/>
        <v>61802.364263068142</v>
      </c>
      <c r="Z72" s="42">
        <f>Y72/'[1]Passage Estimates'!$D72</f>
        <v>0.17401442412627299</v>
      </c>
      <c r="AA72" s="43">
        <f>IFERROR(SUMIF(L72:R72, "&lt;&gt;#N/A")/SUMIF('2. Salmon Passage by Bin'!E72:J72, "&lt;&gt;#N/A"), NA())</f>
        <v>0.18107950838769543</v>
      </c>
      <c r="AB72" s="42">
        <f>IFERROR(IF(ISNA(S72), NA(), S72/'2. Salmon Passage by Bin'!K72), NA())</f>
        <v>0.16666666666666666</v>
      </c>
      <c r="AC72" s="44">
        <f>IFERROR(SUMIF(T72:W72, "&lt;&gt;#N/A")/SUMIF('2. Salmon Passage by Bin'!L72:N72, "&lt;&gt;#N/A"), NA())</f>
        <v>0.40353725756266429</v>
      </c>
    </row>
    <row r="73" spans="1:29" x14ac:dyDescent="0.3">
      <c r="A73" s="5">
        <f>'1. Mixture Model Inputs'!A73</f>
        <v>45175</v>
      </c>
      <c r="B73" s="13" t="str">
        <f>IF(ISBLANK('[1]Passage Estimates'!$C73),"",IF('[1]Passage Estimates'!$C73="Imputation",'[1]Passage Estimates'!$B73,'[1]Passage Estimates'!$C73))</f>
        <v>A1+S1+M2+A2</v>
      </c>
      <c r="C73" s="17">
        <f>IFERROR('1. Mixture Model Inputs'!B73/'1. Mixture Model Inputs'!Z73,NA())</f>
        <v>0.11568322981366459</v>
      </c>
      <c r="D73" s="17">
        <f>IFERROR('1. Mixture Model Inputs'!C73/'1. Mixture Model Inputs'!AA73,NA())</f>
        <v>3.98345334763291E-3</v>
      </c>
      <c r="E73" s="17">
        <f>IFERROR('1. Mixture Model Inputs'!D73/'1. Mixture Model Inputs'!AB73,NA())</f>
        <v>1.1527377521613834E-2</v>
      </c>
      <c r="F73" s="17">
        <f>IFERROR('1. Mixture Model Inputs'!E73/'1. Mixture Model Inputs'!AC73, NA())</f>
        <v>9.6870342771982115E-2</v>
      </c>
      <c r="G73" s="17">
        <f>IFERROR('1. Mixture Model Inputs'!F73/'1. Mixture Model Inputs'!AD73, NA())</f>
        <v>0.44029544521953223</v>
      </c>
      <c r="H73" s="24">
        <f>WhonSpComp!AT88</f>
        <v>7.6923076923076927E-2</v>
      </c>
      <c r="I73" s="17">
        <f>IFERROR('1. Mixture Model Inputs'!G73/'1. Mixture Model Inputs'!AE73, NA())</f>
        <v>3.4248936903804164E-2</v>
      </c>
      <c r="J73" s="17">
        <f>IFERROR('1. Mixture Model Inputs'!H73/'1. Mixture Model Inputs'!AF73, NA())</f>
        <v>0.2423172024019781</v>
      </c>
      <c r="K73" s="17">
        <f>IFERROR('1. Mixture Model Inputs'!I73/'1. Mixture Model Inputs'!AG73, NA())</f>
        <v>0.49138958085129425</v>
      </c>
      <c r="L73" s="22">
        <f>C73*'2. Salmon Passage by Bin'!C73</f>
        <v>654.53571428571422</v>
      </c>
      <c r="M73" s="22">
        <f>D73*'2. Salmon Passage by Bin'!D73</f>
        <v>161.06695265818908</v>
      </c>
      <c r="N73" s="22">
        <f>F73*'2. Salmon Passage by Bin'!F73</f>
        <v>6224.1675111773466</v>
      </c>
      <c r="O73" s="22">
        <f>G73*'2. Salmon Passage by Bin'!G73</f>
        <v>21342.458727944195</v>
      </c>
      <c r="P73" s="22">
        <f>$G73*'2. Salmon Passage by Bin'!H73</f>
        <v>7421.6904718916703</v>
      </c>
      <c r="Q73" s="22">
        <f>$G73*'2. Salmon Passage by Bin'!I73</f>
        <v>5857.0213541239227</v>
      </c>
      <c r="R73" s="22">
        <f>$G73*'2. Salmon Passage by Bin'!J73</f>
        <v>0</v>
      </c>
      <c r="S73" s="25">
        <f>'2. Salmon Passage by Bin'!K73*H73</f>
        <v>2178.2953846153746</v>
      </c>
      <c r="T73" s="25">
        <f>K73*'2. Salmon Passage by Bin'!L73</f>
        <v>700.76085346041361</v>
      </c>
      <c r="U73" s="25">
        <f>K73*'2. Salmon Passage by Bin'!M73</f>
        <v>1354.2303736596989</v>
      </c>
      <c r="V73" s="25">
        <f>J73*'2. Salmon Passage by Bin'!N73</f>
        <v>1607.3190815966088</v>
      </c>
      <c r="W73" s="25">
        <f>I73*'2. Salmon Passage by Bin'!O73</f>
        <v>609.29680726353297</v>
      </c>
      <c r="X73" s="22">
        <f>E73*'2. Salmon Passage by Bin'!E73</f>
        <v>531.32541786743514</v>
      </c>
      <c r="Y73" s="41">
        <f t="shared" si="1"/>
        <v>48110.843232676671</v>
      </c>
      <c r="Z73" s="42">
        <f>Y73/'[1]Passage Estimates'!$D73</f>
        <v>0.1956521304792482</v>
      </c>
      <c r="AA73" s="43">
        <f>IFERROR(SUMIF(L73:R73, "&lt;&gt;#N/A")/SUMIF('2. Salmon Passage by Bin'!E73:J73, "&lt;&gt;#N/A"), NA())</f>
        <v>0.22045541234963245</v>
      </c>
      <c r="AB73" s="42">
        <f>IFERROR(IF(ISNA(S73), NA(), S73/'2. Salmon Passage by Bin'!K73), NA())</f>
        <v>7.6923076923076927E-2</v>
      </c>
      <c r="AC73" s="44">
        <f>IFERROR(SUMIF(T73:W73, "&lt;&gt;#N/A")/SUMIF('2. Salmon Passage by Bin'!L73:N73, "&lt;&gt;#N/A"), NA())</f>
        <v>0.39496622469101172</v>
      </c>
    </row>
    <row r="74" spans="1:29" x14ac:dyDescent="0.3">
      <c r="A74" s="5">
        <f>'1. Mixture Model Inputs'!A74</f>
        <v>45176</v>
      </c>
      <c r="B74" s="13" t="str">
        <f>IF(ISBLANK('[1]Passage Estimates'!$C74),"",IF('[1]Passage Estimates'!$C74="Imputation",'[1]Passage Estimates'!$B74,'[1]Passage Estimates'!$C74))</f>
        <v>A1+S1+M2+A2</v>
      </c>
      <c r="C74" s="17">
        <f>IFERROR('1. Mixture Model Inputs'!B74/'1. Mixture Model Inputs'!Z74,NA())</f>
        <v>5.6667925953910094E-3</v>
      </c>
      <c r="D74" s="17">
        <f>IFERROR('1. Mixture Model Inputs'!C74/'1. Mixture Model Inputs'!AA74,NA())</f>
        <v>1.020408163265306E-2</v>
      </c>
      <c r="E74" s="17">
        <f>IFERROR('1. Mixture Model Inputs'!D74/'1. Mixture Model Inputs'!AB74,NA())</f>
        <v>8.1026333558406483E-3</v>
      </c>
      <c r="F74" s="17">
        <f>IFERROR('1. Mixture Model Inputs'!E74/'1. Mixture Model Inputs'!AC74, NA())</f>
        <v>0.16491847543877869</v>
      </c>
      <c r="G74" s="17">
        <f>IFERROR('1. Mixture Model Inputs'!F74/'1. Mixture Model Inputs'!AD74, NA())</f>
        <v>0.45322580645161292</v>
      </c>
      <c r="H74" s="24">
        <f>WhonSpComp!AT89</f>
        <v>0.14000000000000001</v>
      </c>
      <c r="I74" s="17">
        <f>IFERROR('1. Mixture Model Inputs'!G74/'1. Mixture Model Inputs'!AE74, NA())</f>
        <v>2.8757527344230063E-2</v>
      </c>
      <c r="J74" s="17">
        <f>IFERROR('1. Mixture Model Inputs'!H74/'1. Mixture Model Inputs'!AF74, NA())</f>
        <v>0.22647841684990166</v>
      </c>
      <c r="K74" s="17">
        <f>IFERROR('1. Mixture Model Inputs'!I74/'1. Mixture Model Inputs'!AG74, NA())</f>
        <v>0.42967728963506585</v>
      </c>
      <c r="L74" s="22">
        <f>C74*'2. Salmon Passage by Bin'!C74</f>
        <v>26.985266339251986</v>
      </c>
      <c r="M74" s="22">
        <f>D74*'2. Salmon Passage by Bin'!D74</f>
        <v>383.77551020408163</v>
      </c>
      <c r="N74" s="22">
        <f>F74*'2. Salmon Passage by Bin'!F74</f>
        <v>13082.402143524769</v>
      </c>
      <c r="O74" s="22">
        <f>G74*'2. Salmon Passage by Bin'!G74</f>
        <v>54422.230838709678</v>
      </c>
      <c r="P74" s="22">
        <f>$G74*'2. Salmon Passage by Bin'!H74</f>
        <v>7028.4445161290323</v>
      </c>
      <c r="Q74" s="22">
        <f>$G74*'2. Salmon Passage by Bin'!I74</f>
        <v>5396.8316129032255</v>
      </c>
      <c r="R74" s="22">
        <f>$G74*'2. Salmon Passage by Bin'!J74</f>
        <v>0</v>
      </c>
      <c r="S74" s="25">
        <f>'2. Salmon Passage by Bin'!K74*H74</f>
        <v>3263.0640000000112</v>
      </c>
      <c r="T74" s="25">
        <f>K74*'2. Salmon Passage by Bin'!L74</f>
        <v>654.82818940384038</v>
      </c>
      <c r="U74" s="25">
        <f>K74*'2. Salmon Passage by Bin'!M74</f>
        <v>1438.5595656982005</v>
      </c>
      <c r="V74" s="25">
        <f>J74*'2. Salmon Passage by Bin'!N74</f>
        <v>1473.994009952552</v>
      </c>
      <c r="W74" s="25">
        <f>I74*'2. Salmon Passage by Bin'!O74</f>
        <v>330.01678259800912</v>
      </c>
      <c r="X74" s="22">
        <f>E74*'2. Salmon Passage by Bin'!E74</f>
        <v>343.3286698176907</v>
      </c>
      <c r="Y74" s="41">
        <f t="shared" si="1"/>
        <v>87501.132435462656</v>
      </c>
      <c r="Z74" s="42">
        <f>Y74/'[1]Passage Estimates'!$D74</f>
        <v>0.27746828288569442</v>
      </c>
      <c r="AA74" s="43">
        <f>IFERROR(SUMIF(L74:R74, "&lt;&gt;#N/A")/SUMIF('2. Salmon Passage by Bin'!E74:J74, "&lt;&gt;#N/A"), NA())</f>
        <v>0.29845153419232734</v>
      </c>
      <c r="AB74" s="42">
        <f>IFERROR(IF(ISNA(S74), NA(), S74/'2. Salmon Passage by Bin'!K74), NA())</f>
        <v>0.14000000000000001</v>
      </c>
      <c r="AC74" s="44">
        <f>IFERROR(SUMIF(T74:W74, "&lt;&gt;#N/A")/SUMIF('2. Salmon Passage by Bin'!L74:N74, "&lt;&gt;#N/A"), NA())</f>
        <v>0.34246827397231383</v>
      </c>
    </row>
    <row r="75" spans="1:29" x14ac:dyDescent="0.3">
      <c r="A75" s="5">
        <f>'1. Mixture Model Inputs'!A75</f>
        <v>45177</v>
      </c>
      <c r="B75" s="13" t="str">
        <f>IF(ISBLANK('[1]Passage Estimates'!$C75),"",IF('[1]Passage Estimates'!$C75="Imputation",'[1]Passage Estimates'!$B75,'[1]Passage Estimates'!$C75))</f>
        <v>A1+S1+M2+A2</v>
      </c>
      <c r="C75" s="17">
        <f>IFERROR('1. Mixture Model Inputs'!B75/'1. Mixture Model Inputs'!Z75,NA())</f>
        <v>9.4831673779042207E-3</v>
      </c>
      <c r="D75" s="17">
        <f>IFERROR('1. Mixture Model Inputs'!C75/'1. Mixture Model Inputs'!AA75,NA())</f>
        <v>0</v>
      </c>
      <c r="E75" s="17">
        <f>IFERROR('1. Mixture Model Inputs'!D75/'1. Mixture Model Inputs'!AB75,NA())</f>
        <v>0</v>
      </c>
      <c r="F75" s="17">
        <f>IFERROR('1. Mixture Model Inputs'!E75/'1. Mixture Model Inputs'!AC75, NA())</f>
        <v>0.23878746901059275</v>
      </c>
      <c r="G75" s="17">
        <f>IFERROR('1. Mixture Model Inputs'!F75/'1. Mixture Model Inputs'!AD75, NA())</f>
        <v>0.46993865030674847</v>
      </c>
      <c r="H75" s="24">
        <f>WhonSpComp!AT90</f>
        <v>2.0134228187919462E-2</v>
      </c>
      <c r="I75" s="17">
        <f>IFERROR('1. Mixture Model Inputs'!G75/'1. Mixture Model Inputs'!AE75, NA())</f>
        <v>2.8757527344230063E-2</v>
      </c>
      <c r="J75" s="17">
        <f>IFERROR('1. Mixture Model Inputs'!H75/'1. Mixture Model Inputs'!AF75, NA())</f>
        <v>0.22647841684990166</v>
      </c>
      <c r="K75" s="17">
        <f>IFERROR('1. Mixture Model Inputs'!I75/'1. Mixture Model Inputs'!AG75, NA())</f>
        <v>0.42967728963506585</v>
      </c>
      <c r="L75" s="22">
        <f>C75*'2. Salmon Passage by Bin'!C75</f>
        <v>56.794689426268377</v>
      </c>
      <c r="M75" s="22">
        <f>D75*'2. Salmon Passage by Bin'!D75</f>
        <v>0</v>
      </c>
      <c r="N75" s="22">
        <f>F75*'2. Salmon Passage by Bin'!F75</f>
        <v>22141.271967545639</v>
      </c>
      <c r="O75" s="22">
        <f>G75*'2. Salmon Passage by Bin'!G75</f>
        <v>28510.538797546011</v>
      </c>
      <c r="P75" s="22">
        <f>$G75*'2. Salmon Passage by Bin'!H75</f>
        <v>8697.6621349693251</v>
      </c>
      <c r="Q75" s="22">
        <f>$G75*'2. Salmon Passage by Bin'!I75</f>
        <v>10462.187779141104</v>
      </c>
      <c r="R75" s="22">
        <f>$G75*'2. Salmon Passage by Bin'!J75</f>
        <v>0</v>
      </c>
      <c r="S75" s="25">
        <f>'2. Salmon Passage by Bin'!K75*H75</f>
        <v>514.62120805369284</v>
      </c>
      <c r="T75" s="25">
        <f>K75*'2. Salmon Passage by Bin'!L75</f>
        <v>500.14436513521667</v>
      </c>
      <c r="U75" s="25">
        <f>K75*'2. Salmon Passage by Bin'!M75</f>
        <v>1495.2769679300291</v>
      </c>
      <c r="V75" s="25">
        <f>J75*'2. Salmon Passage by Bin'!N75</f>
        <v>1386.428394861706</v>
      </c>
      <c r="W75" s="25">
        <f>I75*'2. Salmon Passage by Bin'!O75</f>
        <v>376.6108787022244</v>
      </c>
      <c r="X75" s="22">
        <f>E75*'2. Salmon Passage by Bin'!E75</f>
        <v>0</v>
      </c>
      <c r="Y75" s="41">
        <f t="shared" si="1"/>
        <v>74141.537183311215</v>
      </c>
      <c r="Z75" s="42">
        <f>Y75/'[1]Passage Estimates'!$D75</f>
        <v>0.25545547443207367</v>
      </c>
      <c r="AA75" s="43">
        <f>IFERROR(SUMIF(L75:R75, "&lt;&gt;#N/A")/SUMIF('2. Salmon Passage by Bin'!E75:J75, "&lt;&gt;#N/A"), NA())</f>
        <v>0.29013760878066408</v>
      </c>
      <c r="AB75" s="42">
        <f>IFERROR(IF(ISNA(S75), NA(), S75/'2. Salmon Passage by Bin'!K75), NA())</f>
        <v>2.0134228187919465E-2</v>
      </c>
      <c r="AC75" s="44">
        <f>IFERROR(SUMIF(T75:W75, "&lt;&gt;#N/A")/SUMIF('2. Salmon Passage by Bin'!L75:N75, "&lt;&gt;#N/A"), NA())</f>
        <v>0.34911502168271547</v>
      </c>
    </row>
    <row r="76" spans="1:29" x14ac:dyDescent="0.3">
      <c r="A76" s="5">
        <f>'1. Mixture Model Inputs'!A76</f>
        <v>45178</v>
      </c>
      <c r="B76" s="13" t="str">
        <f>IF(ISBLANK('[1]Passage Estimates'!$C76),"",IF('[1]Passage Estimates'!$C76="Imputation",'[1]Passage Estimates'!$B76,'[1]Passage Estimates'!$C76))</f>
        <v>A1+S1+M2+A2</v>
      </c>
      <c r="C76" s="17">
        <f>IFERROR('1. Mixture Model Inputs'!B76/'1. Mixture Model Inputs'!Z76,NA())</f>
        <v>4.5078888054094664E-3</v>
      </c>
      <c r="D76" s="17">
        <f>IFERROR('1. Mixture Model Inputs'!C76/'1. Mixture Model Inputs'!AA76,NA())</f>
        <v>0</v>
      </c>
      <c r="E76" s="17">
        <f>IFERROR('1. Mixture Model Inputs'!D76/'1. Mixture Model Inputs'!AB76,NA())</f>
        <v>0</v>
      </c>
      <c r="F76" s="17">
        <f>IFERROR('1. Mixture Model Inputs'!E76/'1. Mixture Model Inputs'!AC76, NA())</f>
        <v>5.0326188257222737E-2</v>
      </c>
      <c r="G76" s="17">
        <f>IFERROR('1. Mixture Model Inputs'!F76/'1. Mixture Model Inputs'!AD76, NA())</f>
        <v>0.21489229494614745</v>
      </c>
      <c r="H76" s="24">
        <f>WhonSpComp!AT91</f>
        <v>4.2553191489361703E-3</v>
      </c>
      <c r="I76" s="17">
        <f>IFERROR('1. Mixture Model Inputs'!G76/'1. Mixture Model Inputs'!AE76, NA())</f>
        <v>1.5710478327956235E-2</v>
      </c>
      <c r="J76" s="17">
        <f>IFERROR('1. Mixture Model Inputs'!H76/'1. Mixture Model Inputs'!AF76, NA())</f>
        <v>0.15659270594236166</v>
      </c>
      <c r="K76" s="17">
        <f>IFERROR('1. Mixture Model Inputs'!I76/'1. Mixture Model Inputs'!AG76, NA())</f>
        <v>0.51231420201801026</v>
      </c>
      <c r="L76" s="22">
        <f>C76*'2. Salmon Passage by Bin'!C76</f>
        <v>22.05709992486852</v>
      </c>
      <c r="M76" s="22">
        <f>D76*'2. Salmon Passage by Bin'!D76</f>
        <v>0</v>
      </c>
      <c r="N76" s="22">
        <f>F76*'2. Salmon Passage by Bin'!F76</f>
        <v>3114.2046598322454</v>
      </c>
      <c r="O76" s="22">
        <f>G76*'2. Salmon Passage by Bin'!G76</f>
        <v>11388.088235294115</v>
      </c>
      <c r="P76" s="22">
        <f>$G76*'2. Salmon Passage by Bin'!H76</f>
        <v>4927.7038111019056</v>
      </c>
      <c r="Q76" s="22">
        <f>$G76*'2. Salmon Passage by Bin'!I76</f>
        <v>3941.6060480530232</v>
      </c>
      <c r="R76" s="22">
        <f>$G76*'2. Salmon Passage by Bin'!J76</f>
        <v>0</v>
      </c>
      <c r="S76" s="25">
        <f>'2. Salmon Passage by Bin'!K76*H76</f>
        <v>158.55931914893594</v>
      </c>
      <c r="T76" s="25">
        <f>K76*'2. Salmon Passage by Bin'!L76</f>
        <v>902.36974286644261</v>
      </c>
      <c r="U76" s="25">
        <f>K76*'2. Salmon Passage by Bin'!M76</f>
        <v>3504.8439188456123</v>
      </c>
      <c r="V76" s="25">
        <f>J76*'2. Salmon Passage by Bin'!N76</f>
        <v>1516.7444223412397</v>
      </c>
      <c r="W76" s="25">
        <f>I76*'2. Salmon Passage by Bin'!O76</f>
        <v>157.56227240847241</v>
      </c>
      <c r="X76" s="22">
        <f>E76*'2. Salmon Passage by Bin'!E76</f>
        <v>0</v>
      </c>
      <c r="Y76" s="41">
        <f t="shared" si="1"/>
        <v>29633.739529816852</v>
      </c>
      <c r="Z76" s="42">
        <f>Y76/'[1]Passage Estimates'!$D76</f>
        <v>0.11384407231830909</v>
      </c>
      <c r="AA76" s="43">
        <f>IFERROR(SUMIF(L76:R76, "&lt;&gt;#N/A")/SUMIF('2. Salmon Passage by Bin'!E76:J76, "&lt;&gt;#N/A"), NA())</f>
        <v>0.12013871182048876</v>
      </c>
      <c r="AB76" s="42">
        <f>IFERROR(IF(ISNA(S76), NA(), S76/'2. Salmon Passage by Bin'!K76), NA())</f>
        <v>4.2553191489361703E-3</v>
      </c>
      <c r="AC76" s="44">
        <f>IFERROR(SUMIF(T76:W76, "&lt;&gt;#N/A")/SUMIF('2. Salmon Passage by Bin'!L76:N76, "&lt;&gt;#N/A"), NA())</f>
        <v>0.33253284890060658</v>
      </c>
    </row>
    <row r="77" spans="1:29" x14ac:dyDescent="0.3">
      <c r="A77" s="5">
        <f>'1. Mixture Model Inputs'!A77</f>
        <v>45179</v>
      </c>
      <c r="B77" s="13" t="str">
        <f>IF(ISBLANK('[1]Passage Estimates'!$C77),"",IF('[1]Passage Estimates'!$C77="Imputation",'[1]Passage Estimates'!$B77,'[1]Passage Estimates'!$C77))</f>
        <v>A1+S1+M2+A2</v>
      </c>
      <c r="C77" s="17">
        <f>IFERROR('1. Mixture Model Inputs'!B77/'1. Mixture Model Inputs'!Z77,NA())</f>
        <v>0</v>
      </c>
      <c r="D77" s="17">
        <f>IFERROR('1. Mixture Model Inputs'!C77/'1. Mixture Model Inputs'!AA77,NA())</f>
        <v>0</v>
      </c>
      <c r="E77" s="17">
        <f>IFERROR('1. Mixture Model Inputs'!D77/'1. Mixture Model Inputs'!AB77,NA())</f>
        <v>0</v>
      </c>
      <c r="F77" s="17">
        <f>IFERROR('1. Mixture Model Inputs'!E77/'1. Mixture Model Inputs'!AC77, NA())</f>
        <v>0.12737688932228181</v>
      </c>
      <c r="G77" s="17">
        <f>IFERROR('1. Mixture Model Inputs'!F77/'1. Mixture Model Inputs'!AD77, NA())</f>
        <v>0.31646876613319563</v>
      </c>
      <c r="H77" s="24">
        <f>WhonSpComp!AT92</f>
        <v>9.8039215686274508E-3</v>
      </c>
      <c r="I77" s="17">
        <f>IFERROR('1. Mixture Model Inputs'!G77/'1. Mixture Model Inputs'!AE77, NA())</f>
        <v>1.5710478327956235E-2</v>
      </c>
      <c r="J77" s="17">
        <f>IFERROR('1. Mixture Model Inputs'!H77/'1. Mixture Model Inputs'!AF77, NA())</f>
        <v>0.15659270594236166</v>
      </c>
      <c r="K77" s="17">
        <f>IFERROR('1. Mixture Model Inputs'!I77/'1. Mixture Model Inputs'!AG77, NA())</f>
        <v>0.51231420201801026</v>
      </c>
      <c r="L77" s="22">
        <f>C77*'2. Salmon Passage by Bin'!C77</f>
        <v>0</v>
      </c>
      <c r="M77" s="22">
        <f>D77*'2. Salmon Passage by Bin'!D77</f>
        <v>0</v>
      </c>
      <c r="N77" s="22">
        <f>F77*'2. Salmon Passage by Bin'!F77</f>
        <v>10310.466260360799</v>
      </c>
      <c r="O77" s="22">
        <f>G77*'2. Salmon Passage by Bin'!G77</f>
        <v>26461.5485389778</v>
      </c>
      <c r="P77" s="22">
        <f>$G77*'2. Salmon Passage by Bin'!H77</f>
        <v>10635.856974703147</v>
      </c>
      <c r="Q77" s="22">
        <f>$G77*'2. Salmon Passage by Bin'!I77</f>
        <v>3562.3243366029938</v>
      </c>
      <c r="R77" s="22">
        <f>$G77*'2. Salmon Passage by Bin'!J77</f>
        <v>0</v>
      </c>
      <c r="S77" s="25">
        <f>'2. Salmon Passage by Bin'!K77*H77</f>
        <v>502.22823529411704</v>
      </c>
      <c r="T77" s="25">
        <f>K77*'2. Salmon Passage by Bin'!L77</f>
        <v>1863.0203493544541</v>
      </c>
      <c r="U77" s="25">
        <f>K77*'2. Salmon Passage by Bin'!M77</f>
        <v>5559.920616252577</v>
      </c>
      <c r="V77" s="25">
        <f>J77*'2. Salmon Passage by Bin'!N77</f>
        <v>2113.5505432287682</v>
      </c>
      <c r="W77" s="25">
        <f>I77*'2. Salmon Passage by Bin'!O77</f>
        <v>392.5068200308599</v>
      </c>
      <c r="X77" s="22">
        <f>E77*'2. Salmon Passage by Bin'!E77</f>
        <v>0</v>
      </c>
      <c r="Y77" s="41">
        <f t="shared" si="1"/>
        <v>61401.422674805515</v>
      </c>
      <c r="Z77" s="42">
        <f>Y77/'[1]Passage Estimates'!$D77</f>
        <v>0.17343506073703538</v>
      </c>
      <c r="AA77" s="43">
        <f>IFERROR(SUMIF(L77:R77, "&lt;&gt;#N/A")/SUMIF('2. Salmon Passage by Bin'!E77:J77, "&lt;&gt;#N/A"), NA())</f>
        <v>0.20401625123339792</v>
      </c>
      <c r="AB77" s="42">
        <f>IFERROR(IF(ISNA(S77), NA(), S77/'2. Salmon Passage by Bin'!K77), NA())</f>
        <v>9.8039215686274508E-3</v>
      </c>
      <c r="AC77" s="44">
        <f>IFERROR(SUMIF(T77:W77, "&lt;&gt;#N/A")/SUMIF('2. Salmon Passage by Bin'!L77:N77, "&lt;&gt;#N/A"), NA())</f>
        <v>0.3547824470690748</v>
      </c>
    </row>
    <row r="78" spans="1:29" x14ac:dyDescent="0.3">
      <c r="A78" s="5">
        <f>'1. Mixture Model Inputs'!A78</f>
        <v>45180</v>
      </c>
      <c r="B78" s="13" t="str">
        <f>IF(ISBLANK('[1]Passage Estimates'!$C78),"",IF('[1]Passage Estimates'!$C78="Imputation",'[1]Passage Estimates'!$B78,'[1]Passage Estimates'!$C78))</f>
        <v>A1+S1+M2+A2</v>
      </c>
      <c r="C78" s="17">
        <f>IFERROR('1. Mixture Model Inputs'!B78/'1. Mixture Model Inputs'!Z78,NA())</f>
        <v>0</v>
      </c>
      <c r="D78" s="17">
        <f>IFERROR('1. Mixture Model Inputs'!C78/'1. Mixture Model Inputs'!AA78,NA())</f>
        <v>0</v>
      </c>
      <c r="E78" s="17">
        <f>IFERROR('1. Mixture Model Inputs'!D78/'1. Mixture Model Inputs'!AB78,NA())</f>
        <v>0</v>
      </c>
      <c r="F78" s="17">
        <f>IFERROR('1. Mixture Model Inputs'!E78/'1. Mixture Model Inputs'!AC78, NA())</f>
        <v>0.12358470412305063</v>
      </c>
      <c r="G78" s="17">
        <f>IFERROR('1. Mixture Model Inputs'!F78/'1. Mixture Model Inputs'!AD78, NA())</f>
        <v>0.4288006417970317</v>
      </c>
      <c r="H78" s="24">
        <f>WhonSpComp!AT93</f>
        <v>1.3745704467353952E-2</v>
      </c>
      <c r="I78" s="17">
        <f>IFERROR('1. Mixture Model Inputs'!G78/'1. Mixture Model Inputs'!AE78, NA())</f>
        <v>0</v>
      </c>
      <c r="J78" s="17">
        <f>IFERROR('1. Mixture Model Inputs'!H78/'1. Mixture Model Inputs'!AF78, NA())</f>
        <v>0.12450937636284343</v>
      </c>
      <c r="K78" s="17">
        <f>IFERROR('1. Mixture Model Inputs'!I78/'1. Mixture Model Inputs'!AG78, NA())</f>
        <v>0.39665523156089194</v>
      </c>
      <c r="L78" s="22">
        <f>C78*'2. Salmon Passage by Bin'!C78</f>
        <v>0</v>
      </c>
      <c r="M78" s="22">
        <f>D78*'2. Salmon Passage by Bin'!D78</f>
        <v>0</v>
      </c>
      <c r="N78" s="22">
        <f>F78*'2. Salmon Passage by Bin'!F78</f>
        <v>21342.297346720785</v>
      </c>
      <c r="O78" s="22">
        <f>G78*'2. Salmon Passage by Bin'!G78</f>
        <v>57944.688327316486</v>
      </c>
      <c r="P78" s="22">
        <f>$G78*'2. Salmon Passage by Bin'!H78</f>
        <v>19705.41342960289</v>
      </c>
      <c r="Q78" s="22">
        <f>$G78*'2. Salmon Passage by Bin'!I78</f>
        <v>6018.4056799037317</v>
      </c>
      <c r="R78" s="22">
        <f>$G78*'2. Salmon Passage by Bin'!J78</f>
        <v>0</v>
      </c>
      <c r="S78" s="25">
        <f>'2. Salmon Passage by Bin'!K78*H78</f>
        <v>984.28701030928039</v>
      </c>
      <c r="T78" s="25">
        <f>K78*'2. Salmon Passage by Bin'!L78</f>
        <v>1213.2890222984563</v>
      </c>
      <c r="U78" s="25">
        <f>K78*'2. Salmon Passage by Bin'!M78</f>
        <v>3404.8250428816468</v>
      </c>
      <c r="V78" s="25">
        <f>J78*'2. Salmon Passage by Bin'!N78</f>
        <v>1652.6976188399476</v>
      </c>
      <c r="W78" s="25">
        <f>I78*'2. Salmon Passage by Bin'!O78</f>
        <v>0</v>
      </c>
      <c r="X78" s="22">
        <f>E78*'2. Salmon Passage by Bin'!E78</f>
        <v>0</v>
      </c>
      <c r="Y78" s="41">
        <f t="shared" si="1"/>
        <v>112265.90347787325</v>
      </c>
      <c r="Z78" s="42">
        <f>Y78/'[1]Passage Estimates'!$D78</f>
        <v>0.17887787913212813</v>
      </c>
      <c r="AA78" s="43">
        <f>IFERROR(SUMIF(L78:R78, "&lt;&gt;#N/A")/SUMIF('2. Salmon Passage by Bin'!E78:J78, "&lt;&gt;#N/A"), NA())</f>
        <v>0.20983088168886793</v>
      </c>
      <c r="AB78" s="42">
        <f>IFERROR(IF(ISNA(S78), NA(), S78/'2. Salmon Passage by Bin'!K78), NA())</f>
        <v>1.3745704467353952E-2</v>
      </c>
      <c r="AC78" s="44">
        <f>IFERROR(SUMIF(T78:W78, "&lt;&gt;#N/A")/SUMIF('2. Salmon Passage by Bin'!L78:N78, "&lt;&gt;#N/A"), NA())</f>
        <v>0.25167487349737244</v>
      </c>
    </row>
    <row r="79" spans="1:29" x14ac:dyDescent="0.3">
      <c r="A79" s="5">
        <f>'1. Mixture Model Inputs'!A79</f>
        <v>45181</v>
      </c>
      <c r="B79" s="13" t="str">
        <f>IF(ISBLANK('[1]Passage Estimates'!$C79),"",IF('[1]Passage Estimates'!$C79="Imputation",'[1]Passage Estimates'!$B79,'[1]Passage Estimates'!$C79))</f>
        <v>A1+S1+M2+A2</v>
      </c>
      <c r="C79" s="17">
        <f>IFERROR('1. Mixture Model Inputs'!B79/'1. Mixture Model Inputs'!Z79,NA())</f>
        <v>0</v>
      </c>
      <c r="D79" s="17">
        <f>IFERROR('1. Mixture Model Inputs'!C79/'1. Mixture Model Inputs'!AA79,NA())</f>
        <v>1.8399264029438821E-2</v>
      </c>
      <c r="E79" s="17">
        <f>IFERROR('1. Mixture Model Inputs'!D79/'1. Mixture Model Inputs'!AB79,NA())</f>
        <v>1.7521902377972465E-2</v>
      </c>
      <c r="F79" s="17">
        <f>IFERROR('1. Mixture Model Inputs'!E79/'1. Mixture Model Inputs'!AC79, NA())</f>
        <v>7.7839643652561255E-2</v>
      </c>
      <c r="G79" s="17">
        <f>IFERROR('1. Mixture Model Inputs'!F79/'1. Mixture Model Inputs'!AD79, NA())</f>
        <v>0.33350352292453794</v>
      </c>
      <c r="H79" s="24">
        <f>WhonSpComp!AT94</f>
        <v>2.3076923076923078E-2</v>
      </c>
      <c r="I79" s="17">
        <f>IFERROR('1. Mixture Model Inputs'!G79/'1. Mixture Model Inputs'!AE79, NA())</f>
        <v>0</v>
      </c>
      <c r="J79" s="17">
        <f>IFERROR('1. Mixture Model Inputs'!H79/'1. Mixture Model Inputs'!AF79, NA())</f>
        <v>0.12450937636284343</v>
      </c>
      <c r="K79" s="17">
        <f>IFERROR('1. Mixture Model Inputs'!I79/'1. Mixture Model Inputs'!AG79, NA())</f>
        <v>0.39665523156089194</v>
      </c>
      <c r="L79" s="22">
        <f>C79*'2. Salmon Passage by Bin'!C79</f>
        <v>0</v>
      </c>
      <c r="M79" s="22">
        <f>D79*'2. Salmon Passage by Bin'!D79</f>
        <v>2173.2658693652252</v>
      </c>
      <c r="N79" s="22">
        <f>F79*'2. Salmon Passage by Bin'!F79</f>
        <v>15964.960730512252</v>
      </c>
      <c r="O79" s="22">
        <f>G79*'2. Salmon Passage by Bin'!G79</f>
        <v>45739.34116205453</v>
      </c>
      <c r="P79" s="22">
        <f>$G79*'2. Salmon Passage by Bin'!H79</f>
        <v>10325.269069743696</v>
      </c>
      <c r="Q79" s="22">
        <f>$G79*'2. Salmon Passage by Bin'!I79</f>
        <v>4301.6351598080264</v>
      </c>
      <c r="R79" s="22">
        <f>$G79*'2. Salmon Passage by Bin'!J79</f>
        <v>0</v>
      </c>
      <c r="S79" s="25">
        <f>'2. Salmon Passage by Bin'!K79*H79</f>
        <v>1001.6418461538525</v>
      </c>
      <c r="T79" s="25">
        <f>K79*'2. Salmon Passage by Bin'!L79</f>
        <v>269.88421955403089</v>
      </c>
      <c r="U79" s="25">
        <f>K79*'2. Salmon Passage by Bin'!M79</f>
        <v>618.3061749571184</v>
      </c>
      <c r="V79" s="25">
        <f>J79*'2. Salmon Passage by Bin'!N79</f>
        <v>1118.4627474923682</v>
      </c>
      <c r="W79" s="25">
        <f>I79*'2. Salmon Passage by Bin'!O79</f>
        <v>0</v>
      </c>
      <c r="X79" s="22">
        <f>E79*'2. Salmon Passage by Bin'!E79</f>
        <v>3575.2839048811011</v>
      </c>
      <c r="Y79" s="41">
        <f t="shared" si="1"/>
        <v>81512.766979641092</v>
      </c>
      <c r="Z79" s="42">
        <f>Y79/'[1]Passage Estimates'!$D79</f>
        <v>0.12133914898881976</v>
      </c>
      <c r="AA79" s="43">
        <f>IFERROR(SUMIF(L79:R79, "&lt;&gt;#N/A")/SUMIF('2. Salmon Passage by Bin'!E79:J79, "&lt;&gt;#N/A"), NA())</f>
        <v>0.13302381385691597</v>
      </c>
      <c r="AB79" s="42">
        <f>IFERROR(IF(ISNA(S79), NA(), S79/'2. Salmon Passage by Bin'!K79), NA())</f>
        <v>2.3076923076923078E-2</v>
      </c>
      <c r="AC79" s="44">
        <f>IFERROR(SUMIF(T79:W79, "&lt;&gt;#N/A")/SUMIF('2. Salmon Passage by Bin'!L79:N79, "&lt;&gt;#N/A"), NA())</f>
        <v>0.17881166745114285</v>
      </c>
    </row>
    <row r="80" spans="1:29" x14ac:dyDescent="0.3">
      <c r="A80" s="5">
        <f>'1. Mixture Model Inputs'!A80</f>
        <v>45182</v>
      </c>
      <c r="B80" s="13" t="str">
        <f>IF(ISBLANK('[1]Passage Estimates'!$C80),"",IF('[1]Passage Estimates'!$C80="Imputation",'[1]Passage Estimates'!$B80,'[1]Passage Estimates'!$C80))</f>
        <v>A1+S1+M2+A2</v>
      </c>
      <c r="C80" s="17">
        <f>IFERROR('1. Mixture Model Inputs'!B80/'1. Mixture Model Inputs'!Z80,NA())</f>
        <v>0</v>
      </c>
      <c r="D80" s="17">
        <f>IFERROR('1. Mixture Model Inputs'!C80/'1. Mixture Model Inputs'!AA80,NA())</f>
        <v>0</v>
      </c>
      <c r="E80" s="17">
        <f>IFERROR('1. Mixture Model Inputs'!D80/'1. Mixture Model Inputs'!AB80,NA())</f>
        <v>0</v>
      </c>
      <c r="F80" s="17">
        <f>IFERROR('1. Mixture Model Inputs'!E80/'1. Mixture Model Inputs'!AC80, NA())</f>
        <v>0.1693468579910935</v>
      </c>
      <c r="G80" s="17">
        <f>IFERROR('1. Mixture Model Inputs'!F80/'1. Mixture Model Inputs'!AD80, NA())</f>
        <v>0.26579234972677596</v>
      </c>
      <c r="H80" s="24">
        <f>WhonSpComp!AT95</f>
        <v>6.8965517241379309E-2</v>
      </c>
      <c r="I80" s="17">
        <f>IFERROR('1. Mixture Model Inputs'!G80/'1. Mixture Model Inputs'!AE80, NA())</f>
        <v>4.8821906177032477E-3</v>
      </c>
      <c r="J80" s="17">
        <f>IFERROR('1. Mixture Model Inputs'!H80/'1. Mixture Model Inputs'!AF80, NA())</f>
        <v>0.1839632714072176</v>
      </c>
      <c r="K80" s="17">
        <f>IFERROR('1. Mixture Model Inputs'!I80/'1. Mixture Model Inputs'!AG80, NA())</f>
        <v>0.48018193632228723</v>
      </c>
      <c r="L80" s="22">
        <f>C80*'2. Salmon Passage by Bin'!C80</f>
        <v>0</v>
      </c>
      <c r="M80" s="22">
        <f>D80*'2. Salmon Passage by Bin'!D80</f>
        <v>0</v>
      </c>
      <c r="N80" s="22">
        <f>F80*'2. Salmon Passage by Bin'!F80</f>
        <v>25362.686036615534</v>
      </c>
      <c r="O80" s="22">
        <f>G80*'2. Salmon Passage by Bin'!G80</f>
        <v>26267.449914754096</v>
      </c>
      <c r="P80" s="22">
        <f>$G80*'2. Salmon Passage by Bin'!H80</f>
        <v>8465.2737049180323</v>
      </c>
      <c r="Q80" s="22">
        <f>$G80*'2. Salmon Passage by Bin'!I80</f>
        <v>3198.3750295081968</v>
      </c>
      <c r="R80" s="22">
        <f>$G80*'2. Salmon Passage by Bin'!J80</f>
        <v>0</v>
      </c>
      <c r="S80" s="25">
        <f>'2. Salmon Passage by Bin'!K80*H80</f>
        <v>8034.0744827586241</v>
      </c>
      <c r="T80" s="25">
        <f>K80*'2. Salmon Passage by Bin'!L80</f>
        <v>-385.72054580896685</v>
      </c>
      <c r="U80" s="25">
        <f>K80*'2. Salmon Passage by Bin'!M80</f>
        <v>630.7285769980507</v>
      </c>
      <c r="V80" s="25">
        <f>J80*'2. Salmon Passage by Bin'!N80</f>
        <v>1861.3698142216529</v>
      </c>
      <c r="W80" s="25">
        <f>I80*'2. Salmon Passage by Bin'!O80</f>
        <v>145.96656336234346</v>
      </c>
      <c r="X80" s="22">
        <f>E80*'2. Salmon Passage by Bin'!E80</f>
        <v>0</v>
      </c>
      <c r="Y80" s="41">
        <f t="shared" si="1"/>
        <v>73580.203577327557</v>
      </c>
      <c r="Z80" s="42">
        <f>Y80/'[1]Passage Estimates'!$D80</f>
        <v>0.13611831519462378</v>
      </c>
      <c r="AA80" s="43">
        <f>IFERROR(SUMIF(L80:R80, "&lt;&gt;#N/A")/SUMIF('2. Salmon Passage by Bin'!E80:J80, "&lt;&gt;#N/A"), NA())</f>
        <v>0.16502507867696825</v>
      </c>
      <c r="AB80" s="42">
        <f>IFERROR(IF(ISNA(S80), NA(), S80/'2. Salmon Passage by Bin'!K80), NA())</f>
        <v>6.8965517241379309E-2</v>
      </c>
      <c r="AC80" s="44">
        <f>IFERROR(SUMIF(T80:W80, "&lt;&gt;#N/A")/SUMIF('2. Salmon Passage by Bin'!L80:N80, "&lt;&gt;#N/A"), NA())</f>
        <v>0.21191754250621736</v>
      </c>
    </row>
    <row r="81" spans="1:29" x14ac:dyDescent="0.3">
      <c r="A81" s="5">
        <f>'1. Mixture Model Inputs'!A81</f>
        <v>45183</v>
      </c>
      <c r="B81" s="13" t="str">
        <f>IF(ISBLANK('[1]Passage Estimates'!$C81),"",IF('[1]Passage Estimates'!$C81="Imputation",'[1]Passage Estimates'!$B81,'[1]Passage Estimates'!$C81))</f>
        <v>A1+S1+M2+A2</v>
      </c>
      <c r="C81" s="17">
        <f>IFERROR('1. Mixture Model Inputs'!B81/'1. Mixture Model Inputs'!Z81,NA())</f>
        <v>1.4337925217880236E-2</v>
      </c>
      <c r="D81" s="17">
        <f>IFERROR('1. Mixture Model Inputs'!C81/'1. Mixture Model Inputs'!AA81,NA())</f>
        <v>4.9170251997541483E-3</v>
      </c>
      <c r="E81" s="17">
        <f>IFERROR('1. Mixture Model Inputs'!D81/'1. Mixture Model Inputs'!AB81,NA())</f>
        <v>2.42306760358614E-2</v>
      </c>
      <c r="F81" s="17">
        <f>IFERROR('1. Mixture Model Inputs'!E81/'1. Mixture Model Inputs'!AC81, NA())</f>
        <v>0.21024691358024691</v>
      </c>
      <c r="G81" s="17">
        <f>IFERROR('1. Mixture Model Inputs'!F81/'1. Mixture Model Inputs'!AD81, NA())</f>
        <v>0.34269359542067185</v>
      </c>
      <c r="H81" s="24">
        <f>WhonSpComp!AT96</f>
        <v>0.26229508196721313</v>
      </c>
      <c r="I81" s="17">
        <f>IFERROR('1. Mixture Model Inputs'!G81/'1. Mixture Model Inputs'!AE81, NA())</f>
        <v>4.8821906177032477E-3</v>
      </c>
      <c r="J81" s="17">
        <f>IFERROR('1. Mixture Model Inputs'!H81/'1. Mixture Model Inputs'!AF81, NA())</f>
        <v>0.1839632714072176</v>
      </c>
      <c r="K81" s="17">
        <f>IFERROR('1. Mixture Model Inputs'!I81/'1. Mixture Model Inputs'!AG81, NA())</f>
        <v>0.48018193632228723</v>
      </c>
      <c r="L81" s="22">
        <f>C81*'2. Salmon Passage by Bin'!C81</f>
        <v>132.31037391059883</v>
      </c>
      <c r="M81" s="22">
        <f>D81*'2. Salmon Passage by Bin'!D81</f>
        <v>171.41733251382911</v>
      </c>
      <c r="N81" s="22">
        <f>F81*'2. Salmon Passage by Bin'!F81</f>
        <v>10559.659644444444</v>
      </c>
      <c r="O81" s="22">
        <f>G81*'2. Salmon Passage by Bin'!G81</f>
        <v>14522.504693811432</v>
      </c>
      <c r="P81" s="22">
        <f>$G81*'2. Salmon Passage by Bin'!H81</f>
        <v>5845.8318436116224</v>
      </c>
      <c r="Q81" s="22">
        <f>$G81*'2. Salmon Passage by Bin'!I81</f>
        <v>3615.1432768117511</v>
      </c>
      <c r="R81" s="22">
        <f>$G81*'2. Salmon Passage by Bin'!J81</f>
        <v>0</v>
      </c>
      <c r="S81" s="25">
        <f>'2. Salmon Passage by Bin'!K81*H81</f>
        <v>17617.982950819631</v>
      </c>
      <c r="T81" s="25">
        <f>K81*'2. Salmon Passage by Bin'!L81</f>
        <v>109.36623781676414</v>
      </c>
      <c r="U81" s="25">
        <f>K81*'2. Salmon Passage by Bin'!M81</f>
        <v>869.16771929824563</v>
      </c>
      <c r="V81" s="25">
        <f>J81*'2. Salmon Passage by Bin'!N81</f>
        <v>1051.8136835361947</v>
      </c>
      <c r="W81" s="25">
        <f>I81*'2. Salmon Passage by Bin'!O81</f>
        <v>120.7404797282955</v>
      </c>
      <c r="X81" s="22">
        <f>E81*'2. Salmon Passage by Bin'!E81</f>
        <v>1068.3111218803003</v>
      </c>
      <c r="Y81" s="41">
        <f t="shared" si="1"/>
        <v>54615.938236302813</v>
      </c>
      <c r="Z81" s="42">
        <f>Y81/'[1]Passage Estimates'!$D81</f>
        <v>0.20691448180359368</v>
      </c>
      <c r="AA81" s="43">
        <f>IFERROR(SUMIF(L81:R81, "&lt;&gt;#N/A")/SUMIF('2. Salmon Passage by Bin'!E81:J81, "&lt;&gt;#N/A"), NA())</f>
        <v>0.2120936453898058</v>
      </c>
      <c r="AB81" s="42">
        <f>IFERROR(IF(ISNA(S81), NA(), S81/'2. Salmon Passage by Bin'!K81), NA())</f>
        <v>0.26229508196721313</v>
      </c>
      <c r="AC81" s="44">
        <f>IFERROR(SUMIF(T81:W81, "&lt;&gt;#N/A")/SUMIF('2. Salmon Passage by Bin'!L81:N81, "&lt;&gt;#N/A"), NA())</f>
        <v>0.27736792623159984</v>
      </c>
    </row>
    <row r="82" spans="1:29" x14ac:dyDescent="0.3">
      <c r="A82" s="5">
        <f>'1. Mixture Model Inputs'!A82</f>
        <v>45184</v>
      </c>
      <c r="B82" s="13" t="str">
        <f>IF(ISBLANK('[1]Passage Estimates'!$C82),"",IF('[1]Passage Estimates'!$C82="Imputation",'[1]Passage Estimates'!$B82,'[1]Passage Estimates'!$C82))</f>
        <v>A1+S1+M2+A2</v>
      </c>
      <c r="C82" s="17">
        <f>IFERROR('1. Mixture Model Inputs'!B82/'1. Mixture Model Inputs'!Z82,NA())</f>
        <v>2.1313614615050023E-2</v>
      </c>
      <c r="D82" s="17">
        <f>IFERROR('1. Mixture Model Inputs'!C82/'1. Mixture Model Inputs'!AA82,NA())</f>
        <v>0</v>
      </c>
      <c r="E82" s="17">
        <f>IFERROR('1. Mixture Model Inputs'!D82/'1. Mixture Model Inputs'!AB82,NA())</f>
        <v>3.152585119798235E-3</v>
      </c>
      <c r="F82" s="17">
        <f>IFERROR('1. Mixture Model Inputs'!E82/'1. Mixture Model Inputs'!AC82, NA())</f>
        <v>0.14678244320209349</v>
      </c>
      <c r="G82" s="17">
        <f>IFERROR('1. Mixture Model Inputs'!F82/'1. Mixture Model Inputs'!AD82, NA())</f>
        <v>0.2371715349047028</v>
      </c>
      <c r="H82" s="24">
        <f>WhonSpComp!AT97</f>
        <v>2.4691358024691357E-2</v>
      </c>
      <c r="I82" s="17">
        <f>IFERROR('1. Mixture Model Inputs'!G82/'1. Mixture Model Inputs'!AE82, NA())</f>
        <v>0</v>
      </c>
      <c r="J82" s="17">
        <f>IFERROR('1. Mixture Model Inputs'!H82/'1. Mixture Model Inputs'!AF82, NA())</f>
        <v>0.15359348311654186</v>
      </c>
      <c r="K82" s="17">
        <f>IFERROR('1. Mixture Model Inputs'!I82/'1. Mixture Model Inputs'!AG82, NA())</f>
        <v>0.43298743855816491</v>
      </c>
      <c r="L82" s="22">
        <f>C82*'2. Salmon Passage by Bin'!C82</f>
        <v>79.819486733362339</v>
      </c>
      <c r="M82" s="22">
        <f>D82*'2. Salmon Passage by Bin'!D82</f>
        <v>0</v>
      </c>
      <c r="N82" s="22">
        <f>F82*'2. Salmon Passage by Bin'!F82</f>
        <v>5457.7704864993457</v>
      </c>
      <c r="O82" s="22">
        <f>G82*'2. Salmon Passage by Bin'!G82</f>
        <v>8781.1717243712628</v>
      </c>
      <c r="P82" s="22">
        <f>$G82*'2. Salmon Passage by Bin'!H82</f>
        <v>4500.927547084696</v>
      </c>
      <c r="Q82" s="22">
        <f>$G82*'2. Salmon Passage by Bin'!I82</f>
        <v>2443.2273102514941</v>
      </c>
      <c r="R82" s="22">
        <f>$G82*'2. Salmon Passage by Bin'!J82</f>
        <v>0</v>
      </c>
      <c r="S82" s="25">
        <f>'2. Salmon Passage by Bin'!K82*H82</f>
        <v>1644.9066666666658</v>
      </c>
      <c r="T82" s="25">
        <f>K82*'2. Salmon Passage by Bin'!L82</f>
        <v>208.35355543418896</v>
      </c>
      <c r="U82" s="25">
        <f>K82*'2. Salmon Passage by Bin'!M82</f>
        <v>1011.2161835062807</v>
      </c>
      <c r="V82" s="25">
        <f>J82*'2. Salmon Passage by Bin'!N82</f>
        <v>616.33992905005914</v>
      </c>
      <c r="W82" s="25">
        <f>I82*'2. Salmon Passage by Bin'!O82</f>
        <v>0</v>
      </c>
      <c r="X82" s="22">
        <f>E82*'2. Salmon Passage by Bin'!E82</f>
        <v>79.557124842370754</v>
      </c>
      <c r="Y82" s="41">
        <f t="shared" si="1"/>
        <v>24743.732889597359</v>
      </c>
      <c r="Z82" s="42">
        <f>Y82/'[1]Passage Estimates'!$D82</f>
        <v>0.11856784032843878</v>
      </c>
      <c r="AA82" s="43">
        <f>IFERROR(SUMIF(L82:R82, "&lt;&gt;#N/A")/SUMIF('2. Salmon Passage by Bin'!E82:J82, "&lt;&gt;#N/A"), NA())</f>
        <v>0.16518499545174431</v>
      </c>
      <c r="AB82" s="42">
        <f>IFERROR(IF(ISNA(S82), NA(), S82/'2. Salmon Passage by Bin'!K82), NA())</f>
        <v>2.4691358024691357E-2</v>
      </c>
      <c r="AC82" s="44">
        <f>IFERROR(SUMIF(T82:W82, "&lt;&gt;#N/A")/SUMIF('2. Salmon Passage by Bin'!L82:N82, "&lt;&gt;#N/A"), NA())</f>
        <v>0.26882287098071417</v>
      </c>
    </row>
    <row r="83" spans="1:29" x14ac:dyDescent="0.3">
      <c r="A83" s="5">
        <f>'1. Mixture Model Inputs'!A83</f>
        <v>45185</v>
      </c>
      <c r="B83" s="13" t="str">
        <f>IF(ISBLANK('[1]Passage Estimates'!$C83),"",IF('[1]Passage Estimates'!$C83="Imputation",'[1]Passage Estimates'!$B83,'[1]Passage Estimates'!$C83))</f>
        <v>A1+S1+M2+A2</v>
      </c>
      <c r="C83" s="17">
        <f>IFERROR('1. Mixture Model Inputs'!B83/'1. Mixture Model Inputs'!Z83,NA())</f>
        <v>1.2499999999999999E-2</v>
      </c>
      <c r="D83" s="17">
        <f>IFERROR('1. Mixture Model Inputs'!C83/'1. Mixture Model Inputs'!AA83,NA())</f>
        <v>0</v>
      </c>
      <c r="E83" s="17">
        <f>IFERROR('1. Mixture Model Inputs'!D83/'1. Mixture Model Inputs'!AB83,NA())</f>
        <v>4.2872454448017157E-3</v>
      </c>
      <c r="F83" s="17">
        <f>IFERROR('1. Mixture Model Inputs'!E83/'1. Mixture Model Inputs'!AC83, NA())</f>
        <v>8.2699838746832538E-2</v>
      </c>
      <c r="G83" s="17">
        <f>IFERROR('1. Mixture Model Inputs'!F83/'1. Mixture Model Inputs'!AD83, NA())</f>
        <v>0.19595565592280845</v>
      </c>
      <c r="H83" s="24">
        <f>WhonSpComp!AT98</f>
        <v>0.12307692307692308</v>
      </c>
      <c r="I83" s="17">
        <f>IFERROR('1. Mixture Model Inputs'!G83/'1. Mixture Model Inputs'!AE83, NA())</f>
        <v>0</v>
      </c>
      <c r="J83" s="17">
        <f>IFERROR('1. Mixture Model Inputs'!H83/'1. Mixture Model Inputs'!AF83, NA())</f>
        <v>0.15359348311654186</v>
      </c>
      <c r="K83" s="17">
        <f>IFERROR('1. Mixture Model Inputs'!I83/'1. Mixture Model Inputs'!AG83, NA())</f>
        <v>0.43298743855816491</v>
      </c>
      <c r="L83" s="22">
        <f>C83*'2. Salmon Passage by Bin'!C83</f>
        <v>72.262499999999989</v>
      </c>
      <c r="M83" s="22">
        <f>D83*'2. Salmon Passage by Bin'!D83</f>
        <v>0</v>
      </c>
      <c r="N83" s="22">
        <f>F83*'2. Salmon Passage by Bin'!F83</f>
        <v>4268.0063579820317</v>
      </c>
      <c r="O83" s="22">
        <f>G83*'2. Salmon Passage by Bin'!G83</f>
        <v>8297.2484417983978</v>
      </c>
      <c r="P83" s="22">
        <f>$G83*'2. Salmon Passage by Bin'!H83</f>
        <v>4730.6360336686512</v>
      </c>
      <c r="Q83" s="22">
        <f>$G83*'2. Salmon Passage by Bin'!I83</f>
        <v>2144.3035516321083</v>
      </c>
      <c r="R83" s="22">
        <f>$G83*'2. Salmon Passage by Bin'!J83</f>
        <v>0</v>
      </c>
      <c r="S83" s="25">
        <f>'2. Salmon Passage by Bin'!K83*H83</f>
        <v>6641.7526153846084</v>
      </c>
      <c r="T83" s="25">
        <f>K83*'2. Salmon Passage by Bin'!L83</f>
        <v>223.62935226652101</v>
      </c>
      <c r="U83" s="25">
        <f>K83*'2. Salmon Passage by Bin'!M83</f>
        <v>889.21764281813205</v>
      </c>
      <c r="V83" s="25">
        <f>J83*'2. Salmon Passage by Bin'!N83</f>
        <v>734.04168703192749</v>
      </c>
      <c r="W83" s="25">
        <f>I83*'2. Salmon Passage by Bin'!O83</f>
        <v>0</v>
      </c>
      <c r="X83" s="22">
        <f>E83*'2. Salmon Passage by Bin'!E83</f>
        <v>83.175305466237958</v>
      </c>
      <c r="Y83" s="41">
        <f t="shared" si="1"/>
        <v>28001.09818258238</v>
      </c>
      <c r="Z83" s="42">
        <f>Y83/'[1]Passage Estimates'!$D83</f>
        <v>0.13041065721870304</v>
      </c>
      <c r="AA83" s="43">
        <f>IFERROR(SUMIF(L83:R83, "&lt;&gt;#N/A")/SUMIF('2. Salmon Passage by Bin'!E83:J83, "&lt;&gt;#N/A"), NA())</f>
        <v>0.13145395288438191</v>
      </c>
      <c r="AB83" s="42">
        <f>IFERROR(IF(ISNA(S83), NA(), S83/'2. Salmon Passage by Bin'!K83), NA())</f>
        <v>0.12307692307692308</v>
      </c>
      <c r="AC83" s="44">
        <f>IFERROR(SUMIF(T83:W83, "&lt;&gt;#N/A")/SUMIF('2. Salmon Passage by Bin'!L83:N83, "&lt;&gt;#N/A"), NA())</f>
        <v>0.25130198905424489</v>
      </c>
    </row>
    <row r="84" spans="1:29" x14ac:dyDescent="0.3">
      <c r="A84" s="5">
        <f>'1. Mixture Model Inputs'!A84</f>
        <v>45186</v>
      </c>
      <c r="B84" s="13" t="str">
        <f>IF(ISBLANK('[1]Passage Estimates'!$C84),"",IF('[1]Passage Estimates'!$C84="Imputation",'[1]Passage Estimates'!$B84,'[1]Passage Estimates'!$C84))</f>
        <v>A1+S1+M2+A2</v>
      </c>
      <c r="C84" s="17">
        <f>IFERROR('1. Mixture Model Inputs'!B84/'1. Mixture Model Inputs'!Z84,NA())</f>
        <v>0</v>
      </c>
      <c r="D84" s="17">
        <f>IFERROR('1. Mixture Model Inputs'!C84/'1. Mixture Model Inputs'!AA84,NA())</f>
        <v>0</v>
      </c>
      <c r="E84" s="17">
        <f>IFERROR('1. Mixture Model Inputs'!D84/'1. Mixture Model Inputs'!AB84,NA())</f>
        <v>0</v>
      </c>
      <c r="F84" s="17">
        <f>IFERROR('1. Mixture Model Inputs'!E84/'1. Mixture Model Inputs'!AC84, NA())</f>
        <v>6.7320184244714781E-2</v>
      </c>
      <c r="G84" s="17">
        <f>IFERROR('1. Mixture Model Inputs'!F84/'1. Mixture Model Inputs'!AD84, NA())</f>
        <v>0.27826086956521739</v>
      </c>
      <c r="H84" s="24">
        <f>WhonSpComp!AT99</f>
        <v>6.3829787234042548E-2</v>
      </c>
      <c r="I84" s="17">
        <f>IFERROR('1. Mixture Model Inputs'!G84/'1. Mixture Model Inputs'!AE84, NA())</f>
        <v>8.0561714708056176E-2</v>
      </c>
      <c r="J84" s="17">
        <f>IFERROR('1. Mixture Model Inputs'!H84/'1. Mixture Model Inputs'!AF84, NA())</f>
        <v>0.1917347429120615</v>
      </c>
      <c r="K84" s="17">
        <f>IFERROR('1. Mixture Model Inputs'!I84/'1. Mixture Model Inputs'!AG84, NA())</f>
        <v>0.34437003968253971</v>
      </c>
      <c r="L84" s="22">
        <f>C84*'2. Salmon Passage by Bin'!C84</f>
        <v>0</v>
      </c>
      <c r="M84" s="22">
        <f>D84*'2. Salmon Passage by Bin'!D84</f>
        <v>0</v>
      </c>
      <c r="N84" s="22">
        <f>F84*'2. Salmon Passage by Bin'!F84</f>
        <v>4824.9991732608951</v>
      </c>
      <c r="O84" s="22">
        <f>G84*'2. Salmon Passage by Bin'!G84</f>
        <v>12134.600347826088</v>
      </c>
      <c r="P84" s="22">
        <f>$G84*'2. Salmon Passage by Bin'!H84</f>
        <v>5808.4173913043478</v>
      </c>
      <c r="Q84" s="22">
        <f>$G84*'2. Salmon Passage by Bin'!I84</f>
        <v>2111.7328695652177</v>
      </c>
      <c r="R84" s="22">
        <f>$G84*'2. Salmon Passage by Bin'!J84</f>
        <v>0</v>
      </c>
      <c r="S84" s="25">
        <f>'2. Salmon Passage by Bin'!K84*H84</f>
        <v>3175.3685106382941</v>
      </c>
      <c r="T84" s="25">
        <f>K84*'2. Salmon Passage by Bin'!L84</f>
        <v>198.43979166666668</v>
      </c>
      <c r="U84" s="25">
        <f>K84*'2. Salmon Passage by Bin'!M84</f>
        <v>880.54041666666672</v>
      </c>
      <c r="V84" s="25">
        <f>J84*'2. Salmon Passage by Bin'!N84</f>
        <v>902.6564920711196</v>
      </c>
      <c r="W84" s="25">
        <f>I84*'2. Salmon Passage by Bin'!O84</f>
        <v>513.43592017738365</v>
      </c>
      <c r="X84" s="22">
        <f>E84*'2. Salmon Passage by Bin'!E84</f>
        <v>0</v>
      </c>
      <c r="Y84" s="41">
        <f t="shared" si="1"/>
        <v>30550.190913176684</v>
      </c>
      <c r="Z84" s="42">
        <f>Y84/'[1]Passage Estimates'!$D84</f>
        <v>0.12067432038534286</v>
      </c>
      <c r="AA84" s="43">
        <f>IFERROR(SUMIF(L84:R84, "&lt;&gt;#N/A")/SUMIF('2. Salmon Passage by Bin'!E84:J84, "&lt;&gt;#N/A"), NA())</f>
        <v>0.1314992897590439</v>
      </c>
      <c r="AB84" s="42">
        <f>IFERROR(IF(ISNA(S84), NA(), S84/'2. Salmon Passage by Bin'!K84), NA())</f>
        <v>6.3829787234042548E-2</v>
      </c>
      <c r="AC84" s="44">
        <f>IFERROR(SUMIF(T84:W84, "&lt;&gt;#N/A")/SUMIF('2. Salmon Passage by Bin'!L84:N84, "&lt;&gt;#N/A"), NA())</f>
        <v>0.31820684763524182</v>
      </c>
    </row>
    <row r="85" spans="1:29" x14ac:dyDescent="0.3">
      <c r="A85" s="5">
        <f>'1. Mixture Model Inputs'!A85</f>
        <v>45187</v>
      </c>
      <c r="B85" s="13" t="str">
        <f>IF(ISBLANK('[1]Passage Estimates'!$C85),"",IF('[1]Passage Estimates'!$C85="Imputation",'[1]Passage Estimates'!$B85,'[1]Passage Estimates'!$C85))</f>
        <v>A1+S1+M2+A2</v>
      </c>
      <c r="C85" s="17">
        <f>IFERROR('1. Mixture Model Inputs'!B85/'1. Mixture Model Inputs'!Z85,NA())</f>
        <v>0</v>
      </c>
      <c r="D85" s="17">
        <f>IFERROR('1. Mixture Model Inputs'!C85/'1. Mixture Model Inputs'!AA85,NA())</f>
        <v>0</v>
      </c>
      <c r="E85" s="17">
        <f>IFERROR('1. Mixture Model Inputs'!D85/'1. Mixture Model Inputs'!AB85,NA())</f>
        <v>0</v>
      </c>
      <c r="F85" s="17">
        <f>IFERROR('1. Mixture Model Inputs'!E85/'1. Mixture Model Inputs'!AC85, NA())</f>
        <v>0.14079461571862789</v>
      </c>
      <c r="G85" s="17">
        <f>IFERROR('1. Mixture Model Inputs'!F85/'1. Mixture Model Inputs'!AD85, NA())</f>
        <v>0.39203245267318493</v>
      </c>
      <c r="H85" s="24">
        <f>WhonSpComp!AT100</f>
        <v>7.9646017699115043E-2</v>
      </c>
      <c r="I85" s="17">
        <f>IFERROR('1. Mixture Model Inputs'!G85/'1. Mixture Model Inputs'!AE85, NA())</f>
        <v>8.0561714708056176E-2</v>
      </c>
      <c r="J85" s="17">
        <f>IFERROR('1. Mixture Model Inputs'!H85/'1. Mixture Model Inputs'!AF85, NA())</f>
        <v>0.1917347429120615</v>
      </c>
      <c r="K85" s="17">
        <f>IFERROR('1. Mixture Model Inputs'!I85/'1. Mixture Model Inputs'!AG85, NA())</f>
        <v>0.34437003968253971</v>
      </c>
      <c r="L85" s="22">
        <f>C85*'2. Salmon Passage by Bin'!C85</f>
        <v>0</v>
      </c>
      <c r="M85" s="22">
        <f>D85*'2. Salmon Passage by Bin'!D85</f>
        <v>0</v>
      </c>
      <c r="N85" s="22">
        <f>F85*'2. Salmon Passage by Bin'!F85</f>
        <v>10587.439722101606</v>
      </c>
      <c r="O85" s="22">
        <f>G85*'2. Salmon Passage by Bin'!G85</f>
        <v>20453.462109423755</v>
      </c>
      <c r="P85" s="22">
        <f>$G85*'2. Salmon Passage by Bin'!H85</f>
        <v>9151.3546744331179</v>
      </c>
      <c r="Q85" s="22">
        <f>$G85*'2. Salmon Passage by Bin'!I85</f>
        <v>1839.6985313085081</v>
      </c>
      <c r="R85" s="22">
        <f>$G85*'2. Salmon Passage by Bin'!J85</f>
        <v>0</v>
      </c>
      <c r="S85" s="25">
        <f>'2. Salmon Passage by Bin'!K85*H85</f>
        <v>3809.2651327433514</v>
      </c>
      <c r="T85" s="25">
        <f>K85*'2. Salmon Passage by Bin'!L85</f>
        <v>61.986607142857146</v>
      </c>
      <c r="U85" s="25">
        <f>K85*'2. Salmon Passage by Bin'!M85</f>
        <v>541.5150000000001</v>
      </c>
      <c r="V85" s="25">
        <f>J85*'2. Salmon Passage by Bin'!N85</f>
        <v>654.49037962518003</v>
      </c>
      <c r="W85" s="25">
        <f>I85*'2. Salmon Passage by Bin'!O85</f>
        <v>534.66554323725052</v>
      </c>
      <c r="X85" s="22">
        <f>E85*'2. Salmon Passage by Bin'!E85</f>
        <v>0</v>
      </c>
      <c r="Y85" s="41">
        <f t="shared" si="1"/>
        <v>47633.877700015626</v>
      </c>
      <c r="Z85" s="42">
        <f>Y85/'[1]Passage Estimates'!$D85</f>
        <v>0.15604211431355985</v>
      </c>
      <c r="AA85" s="43">
        <f>IFERROR(SUMIF(L85:R85, "&lt;&gt;#N/A")/SUMIF('2. Salmon Passage by Bin'!E85:J85, "&lt;&gt;#N/A"), NA())</f>
        <v>0.17111702931069053</v>
      </c>
      <c r="AB85" s="42">
        <f>IFERROR(IF(ISNA(S85), NA(), S85/'2. Salmon Passage by Bin'!K85), NA())</f>
        <v>7.9646017699115043E-2</v>
      </c>
      <c r="AC85" s="44">
        <f>IFERROR(SUMIF(T85:W85, "&lt;&gt;#N/A")/SUMIF('2. Salmon Passage by Bin'!L85:N85, "&lt;&gt;#N/A"), NA())</f>
        <v>0.34701074912994345</v>
      </c>
    </row>
    <row r="86" spans="1:29" x14ac:dyDescent="0.3">
      <c r="A86" s="5">
        <f>'1. Mixture Model Inputs'!A86</f>
        <v>45188</v>
      </c>
      <c r="B86" s="13" t="str">
        <f>IF(ISBLANK('[1]Passage Estimates'!$C86),"",IF('[1]Passage Estimates'!$C86="Imputation",'[1]Passage Estimates'!$B86,'[1]Passage Estimates'!$C86))</f>
        <v>A1+S1+M2+A2</v>
      </c>
      <c r="C86" s="17">
        <f>IFERROR('1. Mixture Model Inputs'!B86/'1. Mixture Model Inputs'!Z86,NA())</f>
        <v>0</v>
      </c>
      <c r="D86" s="17">
        <f>IFERROR('1. Mixture Model Inputs'!C86/'1. Mixture Model Inputs'!AA86,NA())</f>
        <v>3.5492763611302547E-2</v>
      </c>
      <c r="E86" s="17">
        <f>IFERROR('1. Mixture Model Inputs'!D86/'1. Mixture Model Inputs'!AB86,NA())</f>
        <v>1.8698870276587457E-2</v>
      </c>
      <c r="F86" s="17">
        <f>IFERROR('1. Mixture Model Inputs'!E86/'1. Mixture Model Inputs'!AC86, NA())</f>
        <v>6.3832570307390465E-2</v>
      </c>
      <c r="G86" s="17">
        <f>IFERROR('1. Mixture Model Inputs'!F86/'1. Mixture Model Inputs'!AD86, NA())</f>
        <v>0.24270931326434619</v>
      </c>
      <c r="H86" s="24">
        <f>WhonSpComp!AT101</f>
        <v>0.05</v>
      </c>
      <c r="I86" s="17">
        <f>IFERROR('1. Mixture Model Inputs'!G86/'1. Mixture Model Inputs'!AE86, NA())</f>
        <v>3.3783783783783786E-2</v>
      </c>
      <c r="J86" s="17">
        <f>IFERROR('1. Mixture Model Inputs'!H86/'1. Mixture Model Inputs'!AF86, NA())</f>
        <v>0.20270096463022508</v>
      </c>
      <c r="K86" s="17">
        <f>IFERROR('1. Mixture Model Inputs'!I86/'1. Mixture Model Inputs'!AG86, NA())</f>
        <v>0.4905915492957747</v>
      </c>
      <c r="L86" s="22">
        <f>C86*'2. Salmon Passage by Bin'!C86</f>
        <v>0</v>
      </c>
      <c r="M86" s="22">
        <f>D86*'2. Salmon Passage by Bin'!D86</f>
        <v>1498.0785665058579</v>
      </c>
      <c r="N86" s="22">
        <f>F86*'2. Salmon Passage by Bin'!F86</f>
        <v>3740.4405284499685</v>
      </c>
      <c r="O86" s="22">
        <f>G86*'2. Salmon Passage by Bin'!G86</f>
        <v>9897.4139604891807</v>
      </c>
      <c r="P86" s="22">
        <f>$G86*'2. Salmon Passage by Bin'!H86</f>
        <v>4225.7050611476952</v>
      </c>
      <c r="Q86" s="22">
        <f>$G86*'2. Salmon Passage by Bin'!I86</f>
        <v>1834.0086547507058</v>
      </c>
      <c r="R86" s="22">
        <f>$G86*'2. Salmon Passage by Bin'!J86</f>
        <v>0</v>
      </c>
      <c r="S86" s="25">
        <f>'2. Salmon Passage by Bin'!K86*H86</f>
        <v>3561.9359999999965</v>
      </c>
      <c r="T86" s="25">
        <f>K86*'2. Salmon Passage by Bin'!L86</f>
        <v>156.24359661971835</v>
      </c>
      <c r="U86" s="25">
        <f>K86*'2. Salmon Passage by Bin'!M86</f>
        <v>943.23093633802819</v>
      </c>
      <c r="V86" s="25">
        <f>J86*'2. Salmon Passage by Bin'!N86</f>
        <v>802.16068938906744</v>
      </c>
      <c r="W86" s="25">
        <f>I86*'2. Salmon Passage by Bin'!O86</f>
        <v>202.07027027027027</v>
      </c>
      <c r="X86" s="22">
        <f>E86*'2. Salmon Passage by Bin'!E86</f>
        <v>1917.5706427736659</v>
      </c>
      <c r="Y86" s="41">
        <f t="shared" si="1"/>
        <v>26861.28826396049</v>
      </c>
      <c r="Z86" s="42">
        <f>Y86/'[1]Passage Estimates'!$D86</f>
        <v>8.6562174002251205E-2</v>
      </c>
      <c r="AA86" s="43">
        <f>IFERROR(SUMIF(L86:R86, "&lt;&gt;#N/A")/SUMIF('2. Salmon Passage by Bin'!E86:J86, "&lt;&gt;#N/A"), NA())</f>
        <v>9.3416679762423474E-2</v>
      </c>
      <c r="AB86" s="42">
        <f>IFERROR(IF(ISNA(S86), NA(), S86/'2. Salmon Passage by Bin'!K86), NA())</f>
        <v>0.05</v>
      </c>
      <c r="AC86" s="44">
        <f>IFERROR(SUMIF(T86:W86, "&lt;&gt;#N/A")/SUMIF('2. Salmon Passage by Bin'!L86:N86, "&lt;&gt;#N/A"), NA())</f>
        <v>0.33939054294231558</v>
      </c>
    </row>
    <row r="87" spans="1:29" x14ac:dyDescent="0.3">
      <c r="A87" s="5">
        <f>'1. Mixture Model Inputs'!A87</f>
        <v>45189</v>
      </c>
      <c r="B87" s="13" t="str">
        <f>IF(ISBLANK('[1]Passage Estimates'!$C87),"",IF('[1]Passage Estimates'!$C87="Imputation",'[1]Passage Estimates'!$B87,'[1]Passage Estimates'!$C87))</f>
        <v>A1+S1+M2+A2</v>
      </c>
      <c r="C87" s="17">
        <f>IFERROR('1. Mixture Model Inputs'!B87/'1. Mixture Model Inputs'!Z87,NA())</f>
        <v>2.5226757369614512E-2</v>
      </c>
      <c r="D87" s="17">
        <f>IFERROR('1. Mixture Model Inputs'!C87/'1. Mixture Model Inputs'!AA87,NA())</f>
        <v>2.7861698556562606E-2</v>
      </c>
      <c r="E87" s="17">
        <f>IFERROR('1. Mixture Model Inputs'!D87/'1. Mixture Model Inputs'!AB87,NA())</f>
        <v>4.0553285130462122E-2</v>
      </c>
      <c r="F87" s="17">
        <f>IFERROR('1. Mixture Model Inputs'!E87/'1. Mixture Model Inputs'!AC87, NA())</f>
        <v>4.4407685456164907E-2</v>
      </c>
      <c r="G87" s="17">
        <f>IFERROR('1. Mixture Model Inputs'!F87/'1. Mixture Model Inputs'!AD87, NA())</f>
        <v>0.22781065088757396</v>
      </c>
      <c r="H87" s="24">
        <f>WhonSpComp!AT102</f>
        <v>0.11475409836065574</v>
      </c>
      <c r="I87" s="17">
        <f>IFERROR('1. Mixture Model Inputs'!G87/'1. Mixture Model Inputs'!AE87, NA())</f>
        <v>3.3783783783783786E-2</v>
      </c>
      <c r="J87" s="17">
        <f>IFERROR('1. Mixture Model Inputs'!H87/'1. Mixture Model Inputs'!AF87, NA())</f>
        <v>0.20270096463022508</v>
      </c>
      <c r="K87" s="17">
        <f>IFERROR('1. Mixture Model Inputs'!I87/'1. Mixture Model Inputs'!AG87, NA())</f>
        <v>0.4905915492957747</v>
      </c>
      <c r="L87" s="22">
        <f>C87*'2. Salmon Passage by Bin'!C87</f>
        <v>303.75538548752832</v>
      </c>
      <c r="M87" s="22">
        <f>D87*'2. Salmon Passage by Bin'!D87</f>
        <v>77.511245384357167</v>
      </c>
      <c r="N87" s="22">
        <f>F87*'2. Salmon Passage by Bin'!F87</f>
        <v>1568.6002392161854</v>
      </c>
      <c r="O87" s="22">
        <f>G87*'2. Salmon Passage by Bin'!G87</f>
        <v>7298.8892307692304</v>
      </c>
      <c r="P87" s="22">
        <f>$G87*'2. Salmon Passage by Bin'!H87</f>
        <v>3545.1528994082842</v>
      </c>
      <c r="Q87" s="22">
        <f>$G87*'2. Salmon Passage by Bin'!I87</f>
        <v>2355.2705325443785</v>
      </c>
      <c r="R87" s="22">
        <f>$G87*'2. Salmon Passage by Bin'!J87</f>
        <v>0</v>
      </c>
      <c r="S87" s="25">
        <f>'2. Salmon Passage by Bin'!K87*H87</f>
        <v>5253.8281967213152</v>
      </c>
      <c r="T87" s="25">
        <f>K87*'2. Salmon Passage by Bin'!L87</f>
        <v>731.05990309859169</v>
      </c>
      <c r="U87" s="25">
        <f>K87*'2. Salmon Passage by Bin'!M87</f>
        <v>725.5260304225352</v>
      </c>
      <c r="V87" s="25">
        <f>J87*'2. Salmon Passage by Bin'!N87</f>
        <v>718.43708295819943</v>
      </c>
      <c r="W87" s="25">
        <f>I87*'2. Salmon Passage by Bin'!O87</f>
        <v>184.32162162162163</v>
      </c>
      <c r="X87" s="22">
        <f>E87*'2. Salmon Passage by Bin'!E87</f>
        <v>601.09701351776187</v>
      </c>
      <c r="Y87" s="41">
        <f t="shared" si="1"/>
        <v>22762.352367632226</v>
      </c>
      <c r="Z87" s="42">
        <f>Y87/'[1]Passage Estimates'!$D87</f>
        <v>0.13725688485381013</v>
      </c>
      <c r="AA87" s="43">
        <f>IFERROR(SUMIF(L87:R87, "&lt;&gt;#N/A")/SUMIF('2. Salmon Passage by Bin'!E87:J87, "&lt;&gt;#N/A"), NA())</f>
        <v>0.14015992172093106</v>
      </c>
      <c r="AB87" s="42">
        <f>IFERROR(IF(ISNA(S87), NA(), S87/'2. Salmon Passage by Bin'!K87), NA())</f>
        <v>0.11475409836065574</v>
      </c>
      <c r="AC87" s="44">
        <f>IFERROR(SUMIF(T87:W87, "&lt;&gt;#N/A")/SUMIF('2. Salmon Passage by Bin'!L87:N87, "&lt;&gt;#N/A"), NA())</f>
        <v>0.36223157296709346</v>
      </c>
    </row>
    <row r="88" spans="1:29" x14ac:dyDescent="0.3">
      <c r="A88" s="5">
        <f>'1. Mixture Model Inputs'!A88</f>
        <v>45190</v>
      </c>
      <c r="B88" s="13" t="str">
        <f>IF(ISBLANK('[1]Passage Estimates'!$C88),"",IF('[1]Passage Estimates'!$C88="Imputation",'[1]Passage Estimates'!$B88,'[1]Passage Estimates'!$C88))</f>
        <v>A1+S1+M2+A2</v>
      </c>
      <c r="C88" s="17">
        <f>IFERROR('1. Mixture Model Inputs'!B88/'1. Mixture Model Inputs'!Z88,NA())</f>
        <v>4.4300059066745417E-3</v>
      </c>
      <c r="D88" s="17">
        <f>IFERROR('1. Mixture Model Inputs'!C88/'1. Mixture Model Inputs'!AA88,NA())</f>
        <v>1.4426379665674376E-2</v>
      </c>
      <c r="E88" s="17">
        <f>IFERROR('1. Mixture Model Inputs'!D88/'1. Mixture Model Inputs'!AB88,NA())</f>
        <v>7.5268817204301071E-3</v>
      </c>
      <c r="F88" s="17">
        <f>IFERROR('1. Mixture Model Inputs'!E88/'1. Mixture Model Inputs'!AC88, NA())</f>
        <v>0.1410058623881518</v>
      </c>
      <c r="G88" s="17">
        <f>IFERROR('1. Mixture Model Inputs'!F88/'1. Mixture Model Inputs'!AD88, NA())</f>
        <v>0.34387834387834387</v>
      </c>
      <c r="H88" s="24">
        <f>WhonSpComp!AT103</f>
        <v>0</v>
      </c>
      <c r="I88" s="17">
        <f>IFERROR('1. Mixture Model Inputs'!G88/'1. Mixture Model Inputs'!AE88, NA())</f>
        <v>5.3189964157706091E-2</v>
      </c>
      <c r="J88" s="17">
        <f>IFERROR('1. Mixture Model Inputs'!H88/'1. Mixture Model Inputs'!AF88, NA())</f>
        <v>0.17290856031128404</v>
      </c>
      <c r="K88" s="17">
        <f>IFERROR('1. Mixture Model Inputs'!I88/'1. Mixture Model Inputs'!AG88, NA())</f>
        <v>0.41900381422481492</v>
      </c>
      <c r="L88" s="22">
        <f>C88*'2. Salmon Passage by Bin'!C88</f>
        <v>65.626107501476667</v>
      </c>
      <c r="M88" s="22">
        <f>D88*'2. Salmon Passage by Bin'!D88</f>
        <v>95.18525303411954</v>
      </c>
      <c r="N88" s="22">
        <f>F88*'2. Salmon Passage by Bin'!F88</f>
        <v>2101.4160074051219</v>
      </c>
      <c r="O88" s="22">
        <f>G88*'2. Salmon Passage by Bin'!G88</f>
        <v>6468.8468331668328</v>
      </c>
      <c r="P88" s="22">
        <f>$G88*'2. Salmon Passage by Bin'!H88</f>
        <v>3253.6943589743591</v>
      </c>
      <c r="Q88" s="22">
        <f>$G88*'2. Salmon Passage by Bin'!I88</f>
        <v>2356.1718814518813</v>
      </c>
      <c r="R88" s="22">
        <f>$G88*'2. Salmon Passage by Bin'!J88</f>
        <v>0</v>
      </c>
      <c r="S88" s="25">
        <f>'2. Salmon Passage by Bin'!K88*H88</f>
        <v>0</v>
      </c>
      <c r="T88" s="25">
        <f>K88*'2. Salmon Passage by Bin'!L88</f>
        <v>19.408256674893426</v>
      </c>
      <c r="U88" s="25">
        <f>K88*'2. Salmon Passage by Bin'!M88</f>
        <v>1063.7333632488223</v>
      </c>
      <c r="V88" s="25">
        <f>J88*'2. Salmon Passage by Bin'!N88</f>
        <v>542.37957198443576</v>
      </c>
      <c r="W88" s="25">
        <f>I88*'2. Salmon Passage by Bin'!O88</f>
        <v>306.33589677419354</v>
      </c>
      <c r="X88" s="22">
        <f>E88*'2. Salmon Passage by Bin'!E88</f>
        <v>161.16799999999998</v>
      </c>
      <c r="Y88" s="41">
        <f t="shared" si="1"/>
        <v>16272.797530216136</v>
      </c>
      <c r="Z88" s="42">
        <f>Y88/'[1]Passage Estimates'!$D88</f>
        <v>0.12714084573127205</v>
      </c>
      <c r="AA88" s="43">
        <f>IFERROR(SUMIF(L88:R88, "&lt;&gt;#N/A")/SUMIF('2. Salmon Passage by Bin'!E88:J88, "&lt;&gt;#N/A"), NA())</f>
        <v>0.20074014844185734</v>
      </c>
      <c r="AB88" s="42">
        <f>IFERROR(IF(ISNA(S88), NA(), S88/'2. Salmon Passage by Bin'!K88), NA())</f>
        <v>0</v>
      </c>
      <c r="AC88" s="44">
        <f>IFERROR(SUMIF(T88:W88, "&lt;&gt;#N/A")/SUMIF('2. Salmon Passage by Bin'!L88:N88, "&lt;&gt;#N/A"), NA())</f>
        <v>0.33762864545012533</v>
      </c>
    </row>
    <row r="89" spans="1:29" x14ac:dyDescent="0.3">
      <c r="A89" s="5">
        <f>'1. Mixture Model Inputs'!A89</f>
        <v>45191</v>
      </c>
      <c r="B89" s="13" t="str">
        <f>IF(ISBLANK('[1]Passage Estimates'!$C89),"",IF('[1]Passage Estimates'!$C89="Imputation",'[1]Passage Estimates'!$B89,'[1]Passage Estimates'!$C89))</f>
        <v>A1+S1+M2+A2</v>
      </c>
      <c r="C89" s="17">
        <f>IFERROR('1. Mixture Model Inputs'!B89/'1. Mixture Model Inputs'!Z89,NA())</f>
        <v>0</v>
      </c>
      <c r="D89" s="17">
        <f>IFERROR('1. Mixture Model Inputs'!C89/'1. Mixture Model Inputs'!AA89,NA())</f>
        <v>2.9239766081871343E-3</v>
      </c>
      <c r="E89" s="17">
        <f>IFERROR('1. Mixture Model Inputs'!D89/'1. Mixture Model Inputs'!AB89,NA())</f>
        <v>0</v>
      </c>
      <c r="F89" s="17">
        <f>IFERROR('1. Mixture Model Inputs'!E89/'1. Mixture Model Inputs'!AC89, NA())</f>
        <v>0.23175039246467816</v>
      </c>
      <c r="G89" s="17">
        <f>IFERROR('1. Mixture Model Inputs'!F89/'1. Mixture Model Inputs'!AD89, NA())</f>
        <v>0.23058123472532141</v>
      </c>
      <c r="H89" s="24">
        <f>WhonSpComp!AT104</f>
        <v>0.2</v>
      </c>
      <c r="I89" s="17">
        <f>IFERROR('1. Mixture Model Inputs'!G89/'1. Mixture Model Inputs'!AE89, NA())</f>
        <v>3.9321040420075712E-2</v>
      </c>
      <c r="J89" s="17">
        <f>IFERROR('1. Mixture Model Inputs'!H89/'1. Mixture Model Inputs'!AF89, NA())</f>
        <v>0.20909886264216973</v>
      </c>
      <c r="K89" s="17">
        <f>IFERROR('1. Mixture Model Inputs'!I89/'1. Mixture Model Inputs'!AG89, NA())</f>
        <v>0.31475919212843084</v>
      </c>
      <c r="L89" s="22">
        <f>C89*'2. Salmon Passage by Bin'!C89</f>
        <v>0</v>
      </c>
      <c r="M89" s="22">
        <f>D89*'2. Salmon Passage by Bin'!D89</f>
        <v>19.675438596491226</v>
      </c>
      <c r="N89" s="22">
        <f>F89*'2. Salmon Passage by Bin'!F89</f>
        <v>3709.1928414442696</v>
      </c>
      <c r="O89" s="22">
        <f>G89*'2. Salmon Passage by Bin'!G89</f>
        <v>3805.5311444054823</v>
      </c>
      <c r="P89" s="22">
        <f>$G89*'2. Salmon Passage by Bin'!H89</f>
        <v>1555.8699394325786</v>
      </c>
      <c r="Q89" s="22">
        <f>$G89*'2. Salmon Passage by Bin'!I89</f>
        <v>820.74007013069809</v>
      </c>
      <c r="R89" s="22">
        <f>$G89*'2. Salmon Passage by Bin'!J89</f>
        <v>0</v>
      </c>
      <c r="S89" s="25">
        <f>'2. Salmon Passage by Bin'!K89*H89</f>
        <v>4411.3440000000037</v>
      </c>
      <c r="T89" s="25">
        <f>K89*'2. Salmon Passage by Bin'!L89</f>
        <v>41.699297773174514</v>
      </c>
      <c r="U89" s="25">
        <f>K89*'2. Salmon Passage by Bin'!M89</f>
        <v>95.560890730191616</v>
      </c>
      <c r="V89" s="25">
        <f>J89*'2. Salmon Passage by Bin'!N89</f>
        <v>700.51464566929133</v>
      </c>
      <c r="W89" s="25">
        <f>I89*'2. Salmon Passage by Bin'!O89</f>
        <v>76.723214067651725</v>
      </c>
      <c r="X89" s="22">
        <f>E89*'2. Salmon Passage by Bin'!E89</f>
        <v>0</v>
      </c>
      <c r="Y89" s="41">
        <f t="shared" si="1"/>
        <v>15236.851482249835</v>
      </c>
      <c r="Z89" s="42">
        <f>Y89/'[1]Passage Estimates'!$D89</f>
        <v>0.17122289514419667</v>
      </c>
      <c r="AA89" s="43">
        <f>IFERROR(SUMIF(L89:R89, "&lt;&gt;#N/A")/SUMIF('2. Salmon Passage by Bin'!E89:J89, "&lt;&gt;#N/A"), NA())</f>
        <v>0.16195984187416201</v>
      </c>
      <c r="AB89" s="42">
        <f>IFERROR(IF(ISNA(S89), NA(), S89/'2. Salmon Passage by Bin'!K89), NA())</f>
        <v>0.2</v>
      </c>
      <c r="AC89" s="44">
        <f>IFERROR(SUMIF(T89:W89, "&lt;&gt;#N/A")/SUMIF('2. Salmon Passage by Bin'!L89:N89, "&lt;&gt;#N/A"), NA())</f>
        <v>0.24153198113175847</v>
      </c>
    </row>
    <row r="90" spans="1:29" x14ac:dyDescent="0.3">
      <c r="A90" s="5">
        <f>'1. Mixture Model Inputs'!A90</f>
        <v>45192</v>
      </c>
      <c r="B90" s="13" t="str">
        <f>IF(ISBLANK('[1]Passage Estimates'!$C90),"",IF('[1]Passage Estimates'!$C90="Imputation",'[1]Passage Estimates'!$B90,'[1]Passage Estimates'!$C90))</f>
        <v>A1+S1+M2+A2</v>
      </c>
      <c r="C90" s="17">
        <f>IFERROR('1. Mixture Model Inputs'!B90/'1. Mixture Model Inputs'!Z90,NA())</f>
        <v>2.7238678924072182E-2</v>
      </c>
      <c r="D90" s="17">
        <f>IFERROR('1. Mixture Model Inputs'!C90/'1. Mixture Model Inputs'!AA90,NA())</f>
        <v>1.2310059626851317E-2</v>
      </c>
      <c r="E90" s="17">
        <f>IFERROR('1. Mixture Model Inputs'!D90/'1. Mixture Model Inputs'!AB90,NA())</f>
        <v>2.2136422136422137E-2</v>
      </c>
      <c r="F90" s="17">
        <f>IFERROR('1. Mixture Model Inputs'!E90/'1. Mixture Model Inputs'!AC90, NA())</f>
        <v>0.17133990912113486</v>
      </c>
      <c r="G90" s="17">
        <f>IFERROR('1. Mixture Model Inputs'!F90/'1. Mixture Model Inputs'!AD90, NA())</f>
        <v>0.31355470876428959</v>
      </c>
      <c r="H90" s="24">
        <f>WhonSpComp!AT105</f>
        <v>0</v>
      </c>
      <c r="I90" s="17">
        <f>IFERROR('1. Mixture Model Inputs'!G90/'1. Mixture Model Inputs'!AE90, NA())</f>
        <v>4.7833758086649678E-2</v>
      </c>
      <c r="J90" s="17">
        <f>IFERROR('1. Mixture Model Inputs'!H90/'1. Mixture Model Inputs'!AF90, NA())</f>
        <v>0.22070957095709573</v>
      </c>
      <c r="K90" s="17">
        <f>IFERROR('1. Mixture Model Inputs'!I90/'1. Mixture Model Inputs'!AG90, NA())</f>
        <v>0.34020274033641529</v>
      </c>
      <c r="L90" s="22">
        <f>C90*'2. Salmon Passage by Bin'!C90</f>
        <v>150.43922369765068</v>
      </c>
      <c r="M90" s="22">
        <f>D90*'2. Salmon Passage by Bin'!D90</f>
        <v>104.51240623196769</v>
      </c>
      <c r="N90" s="22">
        <f>F90*'2. Salmon Passage by Bin'!F90</f>
        <v>3101.6772780671613</v>
      </c>
      <c r="O90" s="22">
        <f>G90*'2. Salmon Passage by Bin'!G90</f>
        <v>2808.8983342406095</v>
      </c>
      <c r="P90" s="22">
        <f>$G90*'2. Salmon Passage by Bin'!H90</f>
        <v>846.97397931409898</v>
      </c>
      <c r="Q90" s="22">
        <f>$G90*'2. Salmon Passage by Bin'!I90</f>
        <v>337.2092759934676</v>
      </c>
      <c r="R90" s="22">
        <f>$G90*'2. Salmon Passage by Bin'!J90</f>
        <v>0</v>
      </c>
      <c r="S90" s="25">
        <f>'2. Salmon Passage by Bin'!K90*H90</f>
        <v>0</v>
      </c>
      <c r="T90" s="25">
        <f>K90*'2. Salmon Passage by Bin'!L90</f>
        <v>166.64491032638966</v>
      </c>
      <c r="U90" s="25">
        <f>K90*'2. Salmon Passage by Bin'!M90</f>
        <v>603.13863428762397</v>
      </c>
      <c r="V90" s="25">
        <f>J90*'2. Salmon Passage by Bin'!N90</f>
        <v>736.65792079207927</v>
      </c>
      <c r="W90" s="25">
        <f>I90*'2. Salmon Passage by Bin'!O90</f>
        <v>109.45129190354832</v>
      </c>
      <c r="X90" s="22">
        <f>E90*'2. Salmon Passage by Bin'!E90</f>
        <v>310.21096525096522</v>
      </c>
      <c r="Y90" s="41">
        <f t="shared" si="1"/>
        <v>8965.6032548545954</v>
      </c>
      <c r="Z90" s="42">
        <f>Y90/'[1]Passage Estimates'!$D90</f>
        <v>0.12296785131470862</v>
      </c>
      <c r="AA90" s="43">
        <f>IFERROR(SUMIF(L90:R90, "&lt;&gt;#N/A")/SUMIF('2. Salmon Passage by Bin'!E90:J90, "&lt;&gt;#N/A"), NA())</f>
        <v>0.16386963618047318</v>
      </c>
      <c r="AB90" s="42">
        <f>IFERROR(IF(ISNA(S90), NA(), S90/'2. Salmon Passage by Bin'!K90), NA())</f>
        <v>0</v>
      </c>
      <c r="AC90" s="44">
        <f>IFERROR(SUMIF(T90:W90, "&lt;&gt;#N/A")/SUMIF('2. Salmon Passage by Bin'!L90:N90, "&lt;&gt;#N/A"), NA())</f>
        <v>0.28853166868610125</v>
      </c>
    </row>
    <row r="91" spans="1:29" x14ac:dyDescent="0.3">
      <c r="A91" s="5">
        <f>'1. Mixture Model Inputs'!A91</f>
        <v>45193</v>
      </c>
      <c r="B91" s="13" t="str">
        <f>IF(ISBLANK('[1]Passage Estimates'!$C91),"",IF('[1]Passage Estimates'!$C91="Imputation",'[1]Passage Estimates'!$B91,'[1]Passage Estimates'!$C91))</f>
        <v>A1+S1+M2+A2</v>
      </c>
      <c r="C91" s="17">
        <f>IFERROR('1. Mixture Model Inputs'!B91/'1. Mixture Model Inputs'!Z91,NA())</f>
        <v>9.9646415943426547E-2</v>
      </c>
      <c r="D91" s="17">
        <f>IFERROR('1. Mixture Model Inputs'!C91/'1. Mixture Model Inputs'!AA91,NA())</f>
        <v>5.7349665924276164E-2</v>
      </c>
      <c r="E91" s="17">
        <f>IFERROR('1. Mixture Model Inputs'!D91/'1. Mixture Model Inputs'!AB91,NA())</f>
        <v>5.9763502716522851E-2</v>
      </c>
      <c r="F91" s="17">
        <f>IFERROR('1. Mixture Model Inputs'!E91/'1. Mixture Model Inputs'!AC91, NA())</f>
        <v>0.10496095544327055</v>
      </c>
      <c r="G91" s="17">
        <f>IFERROR('1. Mixture Model Inputs'!F91/'1. Mixture Model Inputs'!AD91, NA())</f>
        <v>0.25648097076668508</v>
      </c>
      <c r="H91" s="24">
        <f>WhonSpComp!AT106</f>
        <v>0</v>
      </c>
      <c r="I91" s="17">
        <f>IFERROR('1. Mixture Model Inputs'!G91/'1. Mixture Model Inputs'!AE91, NA())</f>
        <v>4.7833758086649678E-2</v>
      </c>
      <c r="J91" s="17">
        <f>IFERROR('1. Mixture Model Inputs'!H91/'1. Mixture Model Inputs'!AF91, NA())</f>
        <v>0.22070957095709573</v>
      </c>
      <c r="K91" s="17">
        <f>IFERROR('1. Mixture Model Inputs'!I91/'1. Mixture Model Inputs'!AG91, NA())</f>
        <v>0.34020274033641529</v>
      </c>
      <c r="L91" s="22">
        <f>C91*'2. Salmon Passage by Bin'!C91</f>
        <v>738.67888138862099</v>
      </c>
      <c r="M91" s="22">
        <f>D91*'2. Salmon Passage by Bin'!D91</f>
        <v>154.15590200445433</v>
      </c>
      <c r="N91" s="22">
        <f>F91*'2. Salmon Passage by Bin'!F91</f>
        <v>1451.5848231511254</v>
      </c>
      <c r="O91" s="22">
        <f>G91*'2. Salmon Passage by Bin'!G91</f>
        <v>2237.1091009376723</v>
      </c>
      <c r="P91" s="22">
        <f>$G91*'2. Salmon Passage by Bin'!H91</f>
        <v>1099.1338113623831</v>
      </c>
      <c r="Q91" s="22">
        <f>$G91*'2. Salmon Passage by Bin'!I91</f>
        <v>249.73039161610595</v>
      </c>
      <c r="R91" s="22">
        <f>$G91*'2. Salmon Passage by Bin'!J91</f>
        <v>0</v>
      </c>
      <c r="S91" s="25">
        <f>'2. Salmon Passage by Bin'!K91*H91</f>
        <v>0</v>
      </c>
      <c r="T91" s="25">
        <f>K91*'2. Salmon Passage by Bin'!L91</f>
        <v>215.71575359251423</v>
      </c>
      <c r="U91" s="25">
        <f>K91*'2. Salmon Passage by Bin'!M91</f>
        <v>261.92889383981287</v>
      </c>
      <c r="V91" s="25">
        <f>J91*'2. Salmon Passage by Bin'!N91</f>
        <v>132.37277227722774</v>
      </c>
      <c r="W91" s="25">
        <f>I91*'2. Salmon Passage by Bin'!O91</f>
        <v>60.534577533816901</v>
      </c>
      <c r="X91" s="22">
        <f>E91*'2. Salmon Passage by Bin'!E91</f>
        <v>603.67831255992326</v>
      </c>
      <c r="Y91" s="41">
        <f t="shared" si="1"/>
        <v>6600.9449077037352</v>
      </c>
      <c r="Z91" s="42">
        <f>Y91/'[1]Passage Estimates'!$D91</f>
        <v>0.11951358898960399</v>
      </c>
      <c r="AA91" s="43">
        <f>IFERROR(SUMIF(L91:R91, "&lt;&gt;#N/A")/SUMIF('2. Salmon Passage by Bin'!E91:J91, "&lt;&gt;#N/A"), NA())</f>
        <v>0.1564238988925068</v>
      </c>
      <c r="AB91" s="42">
        <f>IFERROR(IF(ISNA(S91), NA(), S91/'2. Salmon Passage by Bin'!K91), NA())</f>
        <v>0</v>
      </c>
      <c r="AC91" s="44">
        <f>IFERROR(SUMIF(T91:W91, "&lt;&gt;#N/A")/SUMIF('2. Salmon Passage by Bin'!L91:N91, "&lt;&gt;#N/A"), NA())</f>
        <v>0.33464686252014797</v>
      </c>
    </row>
    <row r="92" spans="1:29" x14ac:dyDescent="0.3">
      <c r="A92" s="5">
        <f>'1. Mixture Model Inputs'!A92</f>
        <v>45194</v>
      </c>
      <c r="B92" s="13" t="str">
        <f>IF(ISBLANK('[1]Passage Estimates'!$C92),"",IF('[1]Passage Estimates'!$C92="Imputation",'[1]Passage Estimates'!$B92,'[1]Passage Estimates'!$C92))</f>
        <v>A1+S1+M2+A2</v>
      </c>
      <c r="C92" s="17">
        <f>IFERROR('1. Mixture Model Inputs'!B92/'1. Mixture Model Inputs'!Z92,NA())</f>
        <v>4.3748152527342599E-2</v>
      </c>
      <c r="D92" s="17">
        <f>IFERROR('1. Mixture Model Inputs'!C92/'1. Mixture Model Inputs'!AA92,NA())</f>
        <v>0</v>
      </c>
      <c r="E92" s="17">
        <f>IFERROR('1. Mixture Model Inputs'!D92/'1. Mixture Model Inputs'!AB92,NA())</f>
        <v>2.0021074815595365E-2</v>
      </c>
      <c r="F92" s="17">
        <f>IFERROR('1. Mixture Model Inputs'!E92/'1. Mixture Model Inputs'!AC92, NA())</f>
        <v>7.6546717171717168E-2</v>
      </c>
      <c r="G92" s="17">
        <f>IFERROR('1. Mixture Model Inputs'!F92/'1. Mixture Model Inputs'!AD92, NA())</f>
        <v>0.22055109070034443</v>
      </c>
      <c r="H92" s="24">
        <f>WhonSpComp!AT107</f>
        <v>0.125</v>
      </c>
      <c r="I92" s="17">
        <f>IFERROR('1. Mixture Model Inputs'!G92/'1. Mixture Model Inputs'!AE92, NA())</f>
        <v>1.164079822616408E-2</v>
      </c>
      <c r="J92" s="17">
        <f>IFERROR('1. Mixture Model Inputs'!H92/'1. Mixture Model Inputs'!AF92, NA())</f>
        <v>0.14764413227977757</v>
      </c>
      <c r="K92" s="17">
        <f>IFERROR('1. Mixture Model Inputs'!I92/'1. Mixture Model Inputs'!AG92, NA())</f>
        <v>0.4180232558139535</v>
      </c>
      <c r="L92" s="22">
        <f>C92*'2. Salmon Passage by Bin'!C92</f>
        <v>276.48832397280523</v>
      </c>
      <c r="M92" s="22">
        <f>D92*'2. Salmon Passage by Bin'!D92</f>
        <v>0</v>
      </c>
      <c r="N92" s="22">
        <f>F92*'2. Salmon Passage by Bin'!F92</f>
        <v>459.24356060606056</v>
      </c>
      <c r="O92" s="22">
        <f>G92*'2. Salmon Passage by Bin'!G92</f>
        <v>1153.0234580941446</v>
      </c>
      <c r="P92" s="22">
        <f>$G92*'2. Salmon Passage by Bin'!H92</f>
        <v>381.85333639494837</v>
      </c>
      <c r="Q92" s="22">
        <f>$G92*'2. Salmon Passage by Bin'!I92</f>
        <v>229.62015154994256</v>
      </c>
      <c r="R92" s="22">
        <f>$G92*'2. Salmon Passage by Bin'!J92</f>
        <v>0</v>
      </c>
      <c r="S92" s="25">
        <f>'2. Salmon Passage by Bin'!K92*H92</f>
        <v>1574.0700000000008</v>
      </c>
      <c r="T92" s="25">
        <f>K92*'2. Salmon Passage by Bin'!L92</f>
        <v>161.62451162790697</v>
      </c>
      <c r="U92" s="25">
        <f>K92*'2. Salmon Passage by Bin'!M92</f>
        <v>529.11711627906982</v>
      </c>
      <c r="V92" s="25">
        <f>J92*'2. Salmon Passage by Bin'!N92</f>
        <v>437.47546971027214</v>
      </c>
      <c r="W92" s="25">
        <f>I92*'2. Salmon Passage by Bin'!O92</f>
        <v>23.314190687361421</v>
      </c>
      <c r="X92" s="22">
        <f>E92*'2. Salmon Passage by Bin'!E92</f>
        <v>243.71253951527925</v>
      </c>
      <c r="Y92" s="41">
        <f t="shared" si="1"/>
        <v>5225.8301189225122</v>
      </c>
      <c r="Z92" s="42">
        <f>Y92/'[1]Passage Estimates'!$D92</f>
        <v>0.11514818856982691</v>
      </c>
      <c r="AA92" s="43">
        <f>IFERROR(SUMIF(L92:R92, "&lt;&gt;#N/A")/SUMIF('2. Salmon Passage by Bin'!E92:J92, "&lt;&gt;#N/A"), NA())</f>
        <v>9.5528047165823859E-2</v>
      </c>
      <c r="AB92" s="42">
        <f>IFERROR(IF(ISNA(S92), NA(), S92/'2. Salmon Passage by Bin'!K92), NA())</f>
        <v>0.125</v>
      </c>
      <c r="AC92" s="44">
        <f>IFERROR(SUMIF(T92:W92, "&lt;&gt;#N/A")/SUMIF('2. Salmon Passage by Bin'!L92:N92, "&lt;&gt;#N/A"), NA())</f>
        <v>0.24949545185390992</v>
      </c>
    </row>
    <row r="93" spans="1:29" x14ac:dyDescent="0.3">
      <c r="A93" s="5">
        <f>'1. Mixture Model Inputs'!A93</f>
        <v>45195</v>
      </c>
      <c r="B93" s="13" t="str">
        <f>IF(ISBLANK('[1]Passage Estimates'!$C93),"",IF('[1]Passage Estimates'!$C93="Imputation",'[1]Passage Estimates'!$B93,'[1]Passage Estimates'!$C93))</f>
        <v>A1+S1+M2+A2</v>
      </c>
      <c r="C93" s="17">
        <f>IFERROR('1. Mixture Model Inputs'!B93/'1. Mixture Model Inputs'!Z93,NA())</f>
        <v>0</v>
      </c>
      <c r="D93" s="17">
        <f>IFERROR('1. Mixture Model Inputs'!C93/'1. Mixture Model Inputs'!AA93,NA())</f>
        <v>5.0304164716892835E-2</v>
      </c>
      <c r="E93" s="17">
        <f>IFERROR('1. Mixture Model Inputs'!D93/'1. Mixture Model Inputs'!AB93,NA())</f>
        <v>3.48564733450498E-2</v>
      </c>
      <c r="F93" s="17">
        <f>IFERROR('1. Mixture Model Inputs'!E93/'1. Mixture Model Inputs'!AC93, NA())</f>
        <v>0.13832384052074859</v>
      </c>
      <c r="G93" s="17">
        <f>IFERROR('1. Mixture Model Inputs'!F93/'1. Mixture Model Inputs'!AD93, NA())</f>
        <v>8.419747520288548E-2</v>
      </c>
      <c r="H93" s="24">
        <f>WhonSpComp!AT108</f>
        <v>0</v>
      </c>
      <c r="I93" s="17">
        <f>IFERROR('1. Mixture Model Inputs'!G93/'1. Mixture Model Inputs'!AE93, NA())</f>
        <v>1.164079822616408E-2</v>
      </c>
      <c r="J93" s="17">
        <f>IFERROR('1. Mixture Model Inputs'!H93/'1. Mixture Model Inputs'!AF93, NA())</f>
        <v>0.14764413227977757</v>
      </c>
      <c r="K93" s="17">
        <f>IFERROR('1. Mixture Model Inputs'!I93/'1. Mixture Model Inputs'!AG93, NA())</f>
        <v>0.4180232558139535</v>
      </c>
      <c r="L93" s="22">
        <f>C93*'2. Salmon Passage by Bin'!C93</f>
        <v>0</v>
      </c>
      <c r="M93" s="22">
        <f>D93*'2. Salmon Passage by Bin'!D93</f>
        <v>235.2222742161909</v>
      </c>
      <c r="N93" s="22">
        <f>F93*'2. Salmon Passage by Bin'!F93</f>
        <v>1987.1824247355576</v>
      </c>
      <c r="O93" s="22">
        <f>G93*'2. Salmon Passage by Bin'!G93</f>
        <v>690.56748422001806</v>
      </c>
      <c r="P93" s="22">
        <f>$G93*'2. Salmon Passage by Bin'!H93</f>
        <v>142.19943192064923</v>
      </c>
      <c r="Q93" s="22">
        <f>$G93*'2. Salmon Passage by Bin'!I93</f>
        <v>96.692380522993673</v>
      </c>
      <c r="R93" s="22">
        <f>$G93*'2. Salmon Passage by Bin'!J93</f>
        <v>0</v>
      </c>
      <c r="S93" s="25">
        <f>'2. Salmon Passage by Bin'!K93*H93</f>
        <v>0</v>
      </c>
      <c r="T93" s="25">
        <f>K93*'2. Salmon Passage by Bin'!L93</f>
        <v>107.85000000000001</v>
      </c>
      <c r="U93" s="25">
        <f>K93*'2. Salmon Passage by Bin'!M93</f>
        <v>138.048</v>
      </c>
      <c r="V93" s="25">
        <f>J93*'2. Salmon Passage by Bin'!N93</f>
        <v>208.14279192273924</v>
      </c>
      <c r="W93" s="25">
        <f>I93*'2. Salmon Passage by Bin'!O93</f>
        <v>16.324124168514413</v>
      </c>
      <c r="X93" s="22">
        <f>E93*'2. Salmon Passage by Bin'!E93</f>
        <v>440.43803163444647</v>
      </c>
      <c r="Y93" s="41">
        <f t="shared" si="1"/>
        <v>3622.2289117066625</v>
      </c>
      <c r="Z93" s="42">
        <f>Y93/'[1]Passage Estimates'!$D93</f>
        <v>6.0766925282319577E-2</v>
      </c>
      <c r="AA93" s="43">
        <f>IFERROR(SUMIF(L93:R93, "&lt;&gt;#N/A")/SUMIF('2. Salmon Passage by Bin'!E93:J93, "&lt;&gt;#N/A"), NA())</f>
        <v>8.2854480949361139E-2</v>
      </c>
      <c r="AB93" s="42">
        <f>IFERROR(IF(ISNA(S93), NA(), S93/'2. Salmon Passage by Bin'!K93), NA())</f>
        <v>0</v>
      </c>
      <c r="AC93" s="44">
        <f>IFERROR(SUMIF(T93:W93, "&lt;&gt;#N/A")/SUMIF('2. Salmon Passage by Bin'!L93:N93, "&lt;&gt;#N/A"), NA())</f>
        <v>0.23541787592154836</v>
      </c>
    </row>
    <row r="94" spans="1:29" x14ac:dyDescent="0.3">
      <c r="A94" s="5">
        <f>'1. Mixture Model Inputs'!A94</f>
        <v>45196</v>
      </c>
      <c r="B94" s="13" t="str">
        <f>IF(ISBLANK('[1]Passage Estimates'!$C94),"",IF('[1]Passage Estimates'!$C94="Imputation",'[1]Passage Estimates'!$B94,'[1]Passage Estimates'!$C94))</f>
        <v>A1+S1+M2+A2</v>
      </c>
      <c r="C94" s="17">
        <f>IFERROR('1. Mixture Model Inputs'!B94/'1. Mixture Model Inputs'!Z94,NA())</f>
        <v>9.237779618889809E-2</v>
      </c>
      <c r="D94" s="17">
        <f>IFERROR('1. Mixture Model Inputs'!C94/'1. Mixture Model Inputs'!AA94,NA())</f>
        <v>0</v>
      </c>
      <c r="E94" s="17">
        <f>IFERROR('1. Mixture Model Inputs'!D94/'1. Mixture Model Inputs'!AB94,NA())</f>
        <v>2.573713143428286E-2</v>
      </c>
      <c r="F94" s="17">
        <f>IFERROR('1. Mixture Model Inputs'!E94/'1. Mixture Model Inputs'!AC94, NA())</f>
        <v>8.3549717427829545E-2</v>
      </c>
      <c r="G94" s="17">
        <f>IFERROR('1. Mixture Model Inputs'!F94/'1. Mixture Model Inputs'!AD94, NA())</f>
        <v>0.27126408319920764</v>
      </c>
      <c r="H94" s="24">
        <f>WhonSpComp!AT109</f>
        <v>0.22222222222222221</v>
      </c>
      <c r="I94" s="17">
        <f>IFERROR('1. Mixture Model Inputs'!G94/'1. Mixture Model Inputs'!AE94, NA())</f>
        <v>9.50209739193872E-2</v>
      </c>
      <c r="J94" s="17">
        <f>IFERROR('1. Mixture Model Inputs'!H94/'1. Mixture Model Inputs'!AF94, NA())</f>
        <v>0.11657914478619656</v>
      </c>
      <c r="K94" s="17">
        <f>IFERROR('1. Mixture Model Inputs'!I94/'1. Mixture Model Inputs'!AG94, NA())</f>
        <v>0.32721754724789626</v>
      </c>
      <c r="L94" s="22">
        <f>C94*'2. Salmon Passage by Bin'!C94</f>
        <v>720.54681027340507</v>
      </c>
      <c r="M94" s="22">
        <f>D94*'2. Salmon Passage by Bin'!D94</f>
        <v>0</v>
      </c>
      <c r="N94" s="22">
        <f>F94*'2. Salmon Passage by Bin'!F94</f>
        <v>1168.6266076065374</v>
      </c>
      <c r="O94" s="22">
        <f>G94*'2. Salmon Passage by Bin'!G94</f>
        <v>1908.5706871363132</v>
      </c>
      <c r="P94" s="22">
        <f>$G94*'2. Salmon Passage by Bin'!H94</f>
        <v>598.30006190417248</v>
      </c>
      <c r="Q94" s="22">
        <f>$G94*'2. Salmon Passage by Bin'!I94</f>
        <v>318.81125170236476</v>
      </c>
      <c r="R94" s="22">
        <f>$G94*'2. Salmon Passage by Bin'!J94</f>
        <v>0</v>
      </c>
      <c r="S94" s="25">
        <f>'2. Salmon Passage by Bin'!K94*H94</f>
        <v>3313.9199999999955</v>
      </c>
      <c r="T94" s="25">
        <f>K94*'2. Salmon Passage by Bin'!L94</f>
        <v>342.00778038350109</v>
      </c>
      <c r="U94" s="25">
        <f>K94*'2. Salmon Passage by Bin'!M94</f>
        <v>41.857668643950888</v>
      </c>
      <c r="V94" s="25">
        <f>J94*'2. Salmon Passage by Bin'!N94</f>
        <v>270.38900525131288</v>
      </c>
      <c r="W94" s="25">
        <f>I94*'2. Salmon Passage by Bin'!O94</f>
        <v>321.55097574320627</v>
      </c>
      <c r="X94" s="22">
        <f>E94*'2. Salmon Passage by Bin'!E94</f>
        <v>473.79382308845578</v>
      </c>
      <c r="Y94" s="41">
        <f t="shared" si="1"/>
        <v>9004.5808486447586</v>
      </c>
      <c r="Z94" s="42">
        <f>Y94/'[1]Passage Estimates'!$D94</f>
        <v>0.13938548107867807</v>
      </c>
      <c r="AA94" s="43">
        <f>IFERROR(SUMIF(L94:R94, "&lt;&gt;#N/A")/SUMIF('2. Salmon Passage by Bin'!E94:J94, "&lt;&gt;#N/A"), NA())</f>
        <v>0.11012703230015811</v>
      </c>
      <c r="AB94" s="42">
        <f>IFERROR(IF(ISNA(S94), NA(), S94/'2. Salmon Passage by Bin'!K94), NA())</f>
        <v>0.22222222222222221</v>
      </c>
      <c r="AC94" s="44">
        <f>IFERROR(SUMIF(T94:W94, "&lt;&gt;#N/A")/SUMIF('2. Salmon Passage by Bin'!L94:N94, "&lt;&gt;#N/A"), NA())</f>
        <v>0.27940186630187458</v>
      </c>
    </row>
    <row r="95" spans="1:29" x14ac:dyDescent="0.3">
      <c r="A95" s="5">
        <f>'1. Mixture Model Inputs'!A95</f>
        <v>45197</v>
      </c>
      <c r="B95" s="13" t="str">
        <f>IF(ISBLANK('[1]Passage Estimates'!$C95),"",IF('[1]Passage Estimates'!$C95="Imputation",'[1]Passage Estimates'!$B95,'[1]Passage Estimates'!$C95))</f>
        <v>A1+S1+M2+A2</v>
      </c>
      <c r="C95" s="17">
        <f>IFERROR('1. Mixture Model Inputs'!B95/'1. Mixture Model Inputs'!Z95,NA())</f>
        <v>2.9025955902874684E-2</v>
      </c>
      <c r="D95" s="17">
        <f>IFERROR('1. Mixture Model Inputs'!C95/'1. Mixture Model Inputs'!AA95,NA())</f>
        <v>2.1101093420295414E-2</v>
      </c>
      <c r="E95" s="17">
        <f>IFERROR('1. Mixture Model Inputs'!D95/'1. Mixture Model Inputs'!AB95,NA())</f>
        <v>2.5316455696202531E-2</v>
      </c>
      <c r="F95" s="17">
        <f>IFERROR('1. Mixture Model Inputs'!E95/'1. Mixture Model Inputs'!AC95, NA())</f>
        <v>0.27894138658873197</v>
      </c>
      <c r="G95" s="17">
        <f>IFERROR('1. Mixture Model Inputs'!F95/'1. Mixture Model Inputs'!AD95, NA())</f>
        <v>0.26363425388721284</v>
      </c>
      <c r="H95" s="24">
        <f>WhonSpComp!AT110</f>
        <v>0.125</v>
      </c>
      <c r="I95" s="17">
        <f>IFERROR('1. Mixture Model Inputs'!G95/'1. Mixture Model Inputs'!AE95, NA())</f>
        <v>9.50209739193872E-2</v>
      </c>
      <c r="J95" s="17">
        <f>IFERROR('1. Mixture Model Inputs'!H95/'1. Mixture Model Inputs'!AF95, NA())</f>
        <v>0.11657914478619656</v>
      </c>
      <c r="K95" s="17">
        <f>IFERROR('1. Mixture Model Inputs'!I95/'1. Mixture Model Inputs'!AG95, NA())</f>
        <v>0.32721754724789626</v>
      </c>
      <c r="L95" s="22">
        <f>C95*'2. Salmon Passage by Bin'!C95</f>
        <v>341.83868266815517</v>
      </c>
      <c r="M95" s="22">
        <f>D95*'2. Salmon Passage by Bin'!D95</f>
        <v>171.06656435833492</v>
      </c>
      <c r="N95" s="22">
        <f>F95*'2. Salmon Passage by Bin'!F95</f>
        <v>2106.3868290306868</v>
      </c>
      <c r="O95" s="22">
        <f>G95*'2. Salmon Passage by Bin'!G95</f>
        <v>1031.5902900905085</v>
      </c>
      <c r="P95" s="22">
        <f>$G95*'2. Salmon Passage by Bin'!H95</f>
        <v>334.96313761893714</v>
      </c>
      <c r="Q95" s="22">
        <f>$G95*'2. Salmon Passage by Bin'!I95</f>
        <v>138.56616384311906</v>
      </c>
      <c r="R95" s="22">
        <f>$G95*'2. Salmon Passage by Bin'!J95</f>
        <v>0</v>
      </c>
      <c r="S95" s="25">
        <f>'2. Salmon Passage by Bin'!K95*H95</f>
        <v>999.41999999999962</v>
      </c>
      <c r="T95" s="25">
        <f>K95*'2. Salmon Passage by Bin'!L95</f>
        <v>-6.9893668092150643</v>
      </c>
      <c r="U95" s="25">
        <f>K95*'2. Salmon Passage by Bin'!M95</f>
        <v>414.96420471789213</v>
      </c>
      <c r="V95" s="25">
        <f>J95*'2. Salmon Passage by Bin'!N95</f>
        <v>285.41372543135788</v>
      </c>
      <c r="W95" s="25">
        <f>I95*'2. Salmon Passage by Bin'!O95</f>
        <v>259.81774940725882</v>
      </c>
      <c r="X95" s="22">
        <f>E95*'2. Salmon Passage by Bin'!E95</f>
        <v>503.40455696202531</v>
      </c>
      <c r="Y95" s="41">
        <f t="shared" si="1"/>
        <v>6077.0379803570358</v>
      </c>
      <c r="Z95" s="42">
        <f>Y95/'[1]Passage Estimates'!$D95</f>
        <v>0.12775023881508216</v>
      </c>
      <c r="AA95" s="43">
        <f>IFERROR(SUMIF(L95:R95, "&lt;&gt;#N/A")/SUMIF('2. Salmon Passage by Bin'!E95:J95, "&lt;&gt;#N/A"), NA())</f>
        <v>0.12443556026647014</v>
      </c>
      <c r="AB95" s="42">
        <f>IFERROR(IF(ISNA(S95), NA(), S95/'2. Salmon Passage by Bin'!K95), NA())</f>
        <v>0.125</v>
      </c>
      <c r="AC95" s="44">
        <f>IFERROR(SUMIF(T95:W95, "&lt;&gt;#N/A")/SUMIF('2. Salmon Passage by Bin'!L95:N95, "&lt;&gt;#N/A"), NA())</f>
        <v>0.25796914586778319</v>
      </c>
    </row>
    <row r="96" spans="1:29" x14ac:dyDescent="0.3">
      <c r="A96" s="5">
        <f>'1. Mixture Model Inputs'!A96</f>
        <v>45198</v>
      </c>
      <c r="B96" s="13" t="str">
        <f>IF(ISBLANK('[1]Passage Estimates'!$C96),"",IF('[1]Passage Estimates'!$C96="Imputation",'[1]Passage Estimates'!$B96,'[1]Passage Estimates'!$C96))</f>
        <v>A1+S1+M2+A2</v>
      </c>
      <c r="C96" s="17">
        <f>IFERROR('1. Mixture Model Inputs'!B96/'1. Mixture Model Inputs'!Z96,NA())</f>
        <v>1.3944757307589165E-2</v>
      </c>
      <c r="D96" s="17">
        <f>IFERROR('1. Mixture Model Inputs'!C96/'1. Mixture Model Inputs'!AA96,NA())</f>
        <v>0.10059171597633138</v>
      </c>
      <c r="E96" s="17">
        <f>IFERROR('1. Mixture Model Inputs'!D96/'1. Mixture Model Inputs'!AB96,NA())</f>
        <v>3.4250421111734979E-2</v>
      </c>
      <c r="F96" s="17">
        <f>IFERROR('1. Mixture Model Inputs'!E96/'1. Mixture Model Inputs'!AC96, NA())</f>
        <v>0.19023569023569026</v>
      </c>
      <c r="G96" s="17">
        <f>IFERROR('1. Mixture Model Inputs'!F96/'1. Mixture Model Inputs'!AD96, NA())</f>
        <v>0.21323529411764705</v>
      </c>
      <c r="H96" s="24">
        <f>WhonSpComp!AT111</f>
        <v>0.2857142857142857</v>
      </c>
      <c r="I96" s="17" t="e">
        <f>IFERROR('1. Mixture Model Inputs'!G96/'1. Mixture Model Inputs'!AE96, NA())</f>
        <v>#N/A</v>
      </c>
      <c r="J96" s="17" t="e">
        <f>IFERROR('1. Mixture Model Inputs'!H96/'1. Mixture Model Inputs'!AF96, NA())</f>
        <v>#N/A</v>
      </c>
      <c r="K96" s="17" t="e">
        <f>IFERROR('1. Mixture Model Inputs'!I96/'1. Mixture Model Inputs'!AG96, NA())</f>
        <v>#N/A</v>
      </c>
      <c r="L96" s="22">
        <f>C96*'2. Salmon Passage by Bin'!C96</f>
        <v>190.30410297666933</v>
      </c>
      <c r="M96" s="22">
        <f>D96*'2. Salmon Passage by Bin'!D96</f>
        <v>361.6272189349113</v>
      </c>
      <c r="N96" s="22">
        <f>F96*'2. Salmon Passage by Bin'!F96</f>
        <v>1934.0577777777778</v>
      </c>
      <c r="O96" s="22">
        <f>G96*'2. Salmon Passage by Bin'!G96</f>
        <v>1634.934705882353</v>
      </c>
      <c r="P96" s="22">
        <f>$G96*'2. Salmon Passage by Bin'!H96</f>
        <v>669.08117647058828</v>
      </c>
      <c r="Q96" s="22">
        <f>$G96*'2. Salmon Passage by Bin'!I96</f>
        <v>525.01941176470586</v>
      </c>
      <c r="R96" s="22">
        <f>$G96*'2. Salmon Passage by Bin'!J96</f>
        <v>0</v>
      </c>
      <c r="S96" s="25">
        <f>'2. Salmon Passage by Bin'!K96*H96</f>
        <v>6640.8685714285793</v>
      </c>
      <c r="T96" s="25" t="e">
        <f>K96*'2. Salmon Passage by Bin'!L96</f>
        <v>#N/A</v>
      </c>
      <c r="U96" s="25" t="e">
        <f>K96*'2. Salmon Passage by Bin'!M96</f>
        <v>#N/A</v>
      </c>
      <c r="V96" s="25" t="e">
        <f>J96*'2. Salmon Passage by Bin'!N96</f>
        <v>#N/A</v>
      </c>
      <c r="W96" s="25" t="e">
        <f>I96*'2. Salmon Passage by Bin'!O96</f>
        <v>#N/A</v>
      </c>
      <c r="X96" s="22">
        <f>E96*'2. Salmon Passage by Bin'!E96</f>
        <v>590.54028074115661</v>
      </c>
      <c r="Y96" s="41">
        <f t="shared" si="1"/>
        <v>11955.892965235586</v>
      </c>
      <c r="Z96" s="42">
        <f>Y96/'[1]Passage Estimates'!$D96</f>
        <v>0.18704837902316535</v>
      </c>
      <c r="AA96" s="43">
        <f>IFERROR(SUMIF(L96:R96, "&lt;&gt;#N/A")/SUMIF('2. Salmon Passage by Bin'!E96:J96, "&lt;&gt;#N/A"), NA())</f>
        <v>0.13066835990958245</v>
      </c>
      <c r="AB96" s="42">
        <f>IFERROR(IF(ISNA(S96), NA(), S96/'2. Salmon Passage by Bin'!K96), NA())</f>
        <v>0.2857142857142857</v>
      </c>
      <c r="AC96" s="44" t="e">
        <f>IFERROR(SUMIF(T96:W96, "&lt;&gt;#N/A")/SUMIF('2. Salmon Passage by Bin'!L96:N96, "&lt;&gt;#N/A"), NA())</f>
        <v>#N/A</v>
      </c>
    </row>
    <row r="97" spans="1:29" x14ac:dyDescent="0.3">
      <c r="A97" s="5">
        <f>'1. Mixture Model Inputs'!A97</f>
        <v>45199</v>
      </c>
      <c r="B97" s="13" t="str">
        <f>IF(ISBLANK('[1]Passage Estimates'!$C97),"",IF('[1]Passage Estimates'!$C97="Imputation",'[1]Passage Estimates'!$B97,'[1]Passage Estimates'!$C97))</f>
        <v>A1+S1+M2+A2</v>
      </c>
      <c r="C97" s="17">
        <f>IFERROR('1. Mixture Model Inputs'!B97/'1. Mixture Model Inputs'!Z97,NA())</f>
        <v>6.7840704422653594E-2</v>
      </c>
      <c r="D97" s="17">
        <f>IFERROR('1. Mixture Model Inputs'!C97/'1. Mixture Model Inputs'!AA97,NA())</f>
        <v>6.1421206007621611E-2</v>
      </c>
      <c r="E97" s="17">
        <f>IFERROR('1. Mixture Model Inputs'!D97/'1. Mixture Model Inputs'!AB97,NA())</f>
        <v>6.4921465968586389E-2</v>
      </c>
      <c r="F97" s="17">
        <f>IFERROR('1. Mixture Model Inputs'!E97/'1. Mixture Model Inputs'!AC97, NA())</f>
        <v>0.16142722414335114</v>
      </c>
      <c r="G97" s="17">
        <f>IFERROR('1. Mixture Model Inputs'!F97/'1. Mixture Model Inputs'!AD97, NA())</f>
        <v>0.28299447643671405</v>
      </c>
      <c r="H97" s="24">
        <f>WhonSpComp!AT112</f>
        <v>0.2857142857142857</v>
      </c>
      <c r="I97" s="17" t="e">
        <f>IFERROR('1. Mixture Model Inputs'!G97/'1. Mixture Model Inputs'!AE97, NA())</f>
        <v>#N/A</v>
      </c>
      <c r="J97" s="17" t="e">
        <f>IFERROR('1. Mixture Model Inputs'!H97/'1. Mixture Model Inputs'!AF97, NA())</f>
        <v>#N/A</v>
      </c>
      <c r="K97" s="17" t="e">
        <f>IFERROR('1. Mixture Model Inputs'!I97/'1. Mixture Model Inputs'!AG97, NA())</f>
        <v>#N/A</v>
      </c>
      <c r="L97" s="22">
        <f>C97*'2. Salmon Passage by Bin'!C97</f>
        <v>498.76485891534924</v>
      </c>
      <c r="M97" s="22">
        <f>D97*'2. Salmon Passage by Bin'!D97</f>
        <v>123.76373010535754</v>
      </c>
      <c r="N97" s="22">
        <f>F97*'2. Salmon Passage by Bin'!F97</f>
        <v>1733.4959320968248</v>
      </c>
      <c r="O97" s="22">
        <f>G97*'2. Salmon Passage by Bin'!G97</f>
        <v>1816.8924573980489</v>
      </c>
      <c r="P97" s="22">
        <f>$G97*'2. Salmon Passage by Bin'!H97</f>
        <v>743.57364672699487</v>
      </c>
      <c r="Q97" s="22">
        <f>$G97*'2. Salmon Passage by Bin'!I97</f>
        <v>322.88537783523327</v>
      </c>
      <c r="R97" s="22">
        <f>$G97*'2. Salmon Passage by Bin'!J97</f>
        <v>0</v>
      </c>
      <c r="S97" s="25">
        <f>'2. Salmon Passage by Bin'!K97*H97</f>
        <v>7380.6857142857134</v>
      </c>
      <c r="T97" s="25" t="e">
        <f>K97*'2. Salmon Passage by Bin'!L97</f>
        <v>#N/A</v>
      </c>
      <c r="U97" s="25" t="e">
        <f>K97*'2. Salmon Passage by Bin'!M97</f>
        <v>#N/A</v>
      </c>
      <c r="V97" s="25" t="e">
        <f>J97*'2. Salmon Passage by Bin'!N97</f>
        <v>#N/A</v>
      </c>
      <c r="W97" s="25" t="e">
        <f>I97*'2. Salmon Passage by Bin'!O97</f>
        <v>#N/A</v>
      </c>
      <c r="X97" s="22">
        <f>E97*'2. Salmon Passage by Bin'!E97</f>
        <v>608.13235602094244</v>
      </c>
      <c r="Y97" s="41">
        <f t="shared" si="1"/>
        <v>12620.061717363522</v>
      </c>
      <c r="Z97" s="42">
        <f>Y97/'[1]Passage Estimates'!$D97</f>
        <v>0.22484880181053218</v>
      </c>
      <c r="AA97" s="43">
        <f>IFERROR(SUMIF(L97:R97, "&lt;&gt;#N/A")/SUMIF('2. Salmon Passage by Bin'!E97:J97, "&lt;&gt;#N/A"), NA())</f>
        <v>0.17294820716770212</v>
      </c>
      <c r="AB97" s="42">
        <f>IFERROR(IF(ISNA(S97), NA(), S97/'2. Salmon Passage by Bin'!K97), NA())</f>
        <v>0.2857142857142857</v>
      </c>
      <c r="AC97" s="44" t="e">
        <f>IFERROR(SUMIF(T97:W97, "&lt;&gt;#N/A")/SUMIF('2. Salmon Passage by Bin'!L97:N97, "&lt;&gt;#N/A"), NA())</f>
        <v>#N/A</v>
      </c>
    </row>
    <row r="98" spans="1:29" x14ac:dyDescent="0.3">
      <c r="A98" s="5">
        <f>'1. Mixture Model Inputs'!A98</f>
        <v>45200</v>
      </c>
      <c r="B98" s="13" t="str">
        <f>IF(ISBLANK('[1]Passage Estimates'!$C98),"",IF('[1]Passage Estimates'!$C98="Imputation",'[1]Passage Estimates'!$B98,'[1]Passage Estimates'!$C98))</f>
        <v>A1+S1+M2+A2</v>
      </c>
      <c r="C98" s="17">
        <f>IFERROR('1. Mixture Model Inputs'!B98/'1. Mixture Model Inputs'!Z98,NA())</f>
        <v>1.6089312099819404E-2</v>
      </c>
      <c r="D98" s="17">
        <f>IFERROR('1. Mixture Model Inputs'!C98/'1. Mixture Model Inputs'!AA98,NA())</f>
        <v>8.136321768498618E-2</v>
      </c>
      <c r="E98" s="17">
        <f>IFERROR('1. Mixture Model Inputs'!D98/'1. Mixture Model Inputs'!AB98,NA())</f>
        <v>4.2741807820167801E-2</v>
      </c>
      <c r="F98" s="17">
        <f>IFERROR('1. Mixture Model Inputs'!E98/'1. Mixture Model Inputs'!AC98, NA())</f>
        <v>0.15623579330201545</v>
      </c>
      <c r="G98" s="17">
        <f>IFERROR('1. Mixture Model Inputs'!F98/'1. Mixture Model Inputs'!AD98, NA())</f>
        <v>0.26469227209625174</v>
      </c>
      <c r="H98" s="24">
        <f>WhonSpComp!AT113</f>
        <v>0.26923076923076922</v>
      </c>
      <c r="I98" s="17" t="e">
        <f>IFERROR('1. Mixture Model Inputs'!G98/'1. Mixture Model Inputs'!AE98, NA())</f>
        <v>#N/A</v>
      </c>
      <c r="J98" s="17" t="e">
        <f>IFERROR('1. Mixture Model Inputs'!H98/'1. Mixture Model Inputs'!AF98, NA())</f>
        <v>#N/A</v>
      </c>
      <c r="K98" s="17" t="e">
        <f>IFERROR('1. Mixture Model Inputs'!I98/'1. Mixture Model Inputs'!AG98, NA())</f>
        <v>#N/A</v>
      </c>
      <c r="L98" s="22">
        <f>C98*'2. Salmon Passage by Bin'!C98</f>
        <v>130.61303562633393</v>
      </c>
      <c r="M98" s="22">
        <f>D98*'2. Salmon Passage by Bin'!D98</f>
        <v>180.87043291372427</v>
      </c>
      <c r="N98" s="22">
        <f>F98*'2. Salmon Passage by Bin'!F98</f>
        <v>1325.354484012729</v>
      </c>
      <c r="O98" s="22">
        <f>G98*'2. Salmon Passage by Bin'!G98</f>
        <v>1042.6546228597872</v>
      </c>
      <c r="P98" s="22">
        <f>$G98*'2. Salmon Passage by Bin'!H98</f>
        <v>918.01632577510406</v>
      </c>
      <c r="Q98" s="22">
        <f>$G98*'2. Salmon Passage by Bin'!I98</f>
        <v>1228.4050717260527</v>
      </c>
      <c r="R98" s="22">
        <f>$G98*'2. Salmon Passage by Bin'!J98</f>
        <v>0</v>
      </c>
      <c r="S98" s="25">
        <f>'2. Salmon Passage by Bin'!K98*H98</f>
        <v>5531.4646153846234</v>
      </c>
      <c r="T98" s="25" t="e">
        <f>K98*'2. Salmon Passage by Bin'!L98</f>
        <v>#N/A</v>
      </c>
      <c r="U98" s="25" t="e">
        <f>K98*'2. Salmon Passage by Bin'!M98</f>
        <v>#N/A</v>
      </c>
      <c r="V98" s="25" t="e">
        <f>J98*'2. Salmon Passage by Bin'!N98</f>
        <v>#N/A</v>
      </c>
      <c r="W98" s="25" t="e">
        <f>I98*'2. Salmon Passage by Bin'!O98</f>
        <v>#N/A</v>
      </c>
      <c r="X98" s="22">
        <f>E98*'2. Salmon Passage by Bin'!E98</f>
        <v>442.01867975304725</v>
      </c>
      <c r="Y98" s="41">
        <f t="shared" si="1"/>
        <v>10357.378588298354</v>
      </c>
      <c r="Z98" s="42">
        <f>Y98/'[1]Passage Estimates'!$D98</f>
        <v>0.20143362498615958</v>
      </c>
      <c r="AA98" s="43">
        <f>IFERROR(SUMIF(L98:R98, "&lt;&gt;#N/A")/SUMIF('2. Salmon Passage by Bin'!E98:J98, "&lt;&gt;#N/A"), NA())</f>
        <v>0.15631563925729414</v>
      </c>
      <c r="AB98" s="42">
        <f>IFERROR(IF(ISNA(S98), NA(), S98/'2. Salmon Passage by Bin'!K98), NA())</f>
        <v>0.26923076923076922</v>
      </c>
      <c r="AC98" s="44" t="e">
        <f>IFERROR(SUMIF(T98:W98, "&lt;&gt;#N/A")/SUMIF('2. Salmon Passage by Bin'!L98:N98, "&lt;&gt;#N/A"), NA())</f>
        <v>#N/A</v>
      </c>
    </row>
    <row r="99" spans="1:29" x14ac:dyDescent="0.3">
      <c r="A99" s="5">
        <f>'1. Mixture Model Inputs'!A99</f>
        <v>45201</v>
      </c>
      <c r="B99" s="13" t="str">
        <f>IF(ISBLANK('[1]Passage Estimates'!$C99),"",IF('[1]Passage Estimates'!$C99="Imputation",'[1]Passage Estimates'!$B99,'[1]Passage Estimates'!$C99))</f>
        <v>A1+S1+M2+A2</v>
      </c>
      <c r="C99" s="17">
        <f>IFERROR('1. Mixture Model Inputs'!B99/'1. Mixture Model Inputs'!Z99,NA())</f>
        <v>1.2318255250403878E-2</v>
      </c>
      <c r="D99" s="17">
        <f>IFERROR('1. Mixture Model Inputs'!C99/'1. Mixture Model Inputs'!AA99,NA())</f>
        <v>0.11723521525398481</v>
      </c>
      <c r="E99" s="17">
        <f>IFERROR('1. Mixture Model Inputs'!D99/'1. Mixture Model Inputs'!AB99,NA())</f>
        <v>6.440856440856442E-2</v>
      </c>
      <c r="F99" s="17">
        <f>IFERROR('1. Mixture Model Inputs'!E99/'1. Mixture Model Inputs'!AC99, NA())</f>
        <v>0.20238833746898263</v>
      </c>
      <c r="G99" s="17">
        <f>IFERROR('1. Mixture Model Inputs'!F99/'1. Mixture Model Inputs'!AD99, NA())</f>
        <v>0.51018986239331121</v>
      </c>
      <c r="H99" s="24">
        <f>WhonSpComp!AT114</f>
        <v>0.14285714285714285</v>
      </c>
      <c r="I99" s="17" t="e">
        <f>IFERROR('1. Mixture Model Inputs'!G99/'1. Mixture Model Inputs'!AE99, NA())</f>
        <v>#N/A</v>
      </c>
      <c r="J99" s="17" t="e">
        <f>IFERROR('1. Mixture Model Inputs'!H99/'1. Mixture Model Inputs'!AF99, NA())</f>
        <v>#N/A</v>
      </c>
      <c r="K99" s="17" t="e">
        <f>IFERROR('1. Mixture Model Inputs'!I99/'1. Mixture Model Inputs'!AG99, NA())</f>
        <v>#N/A</v>
      </c>
      <c r="L99" s="22">
        <f>C99*'2. Salmon Passage by Bin'!C99</f>
        <v>104.72980613893377</v>
      </c>
      <c r="M99" s="22">
        <f>D99*'2. Salmon Passage by Bin'!D99</f>
        <v>468.23744972441534</v>
      </c>
      <c r="N99" s="22">
        <f>F99*'2. Salmon Passage by Bin'!F99</f>
        <v>1061.6158808933003</v>
      </c>
      <c r="O99" s="22">
        <f>G99*'2. Salmon Passage by Bin'!G99</f>
        <v>968.54443476746189</v>
      </c>
      <c r="P99" s="22">
        <f>$G99*'2. Salmon Passage by Bin'!H99</f>
        <v>415.82514544504437</v>
      </c>
      <c r="Q99" s="22">
        <f>$G99*'2. Salmon Passage by Bin'!I99</f>
        <v>118.52730883121406</v>
      </c>
      <c r="R99" s="22">
        <f>$G99*'2. Salmon Passage by Bin'!J99</f>
        <v>0</v>
      </c>
      <c r="S99" s="25">
        <f>'2. Salmon Passage by Bin'!K99*H99</f>
        <v>1706.6057142857164</v>
      </c>
      <c r="T99" s="25" t="e">
        <f>K99*'2. Salmon Passage by Bin'!L99</f>
        <v>#N/A</v>
      </c>
      <c r="U99" s="25" t="e">
        <f>K99*'2. Salmon Passage by Bin'!M99</f>
        <v>#N/A</v>
      </c>
      <c r="V99" s="25" t="e">
        <f>J99*'2. Salmon Passage by Bin'!N99</f>
        <v>#N/A</v>
      </c>
      <c r="W99" s="25" t="e">
        <f>I99*'2. Salmon Passage by Bin'!O99</f>
        <v>#N/A</v>
      </c>
      <c r="X99" s="22">
        <f>E99*'2. Salmon Passage by Bin'!E99</f>
        <v>804.85457353457355</v>
      </c>
      <c r="Y99" s="41">
        <f t="shared" si="1"/>
        <v>4844.0857400860859</v>
      </c>
      <c r="Z99" s="42">
        <f>Y99/'[1]Passage Estimates'!$D99</f>
        <v>0.14843895908520083</v>
      </c>
      <c r="AA99" s="43">
        <f>IFERROR(SUMIF(L99:R99, "&lt;&gt;#N/A")/SUMIF('2. Salmon Passage by Bin'!E99:J99, "&lt;&gt;#N/A"), NA())</f>
        <v>0.15166227874328428</v>
      </c>
      <c r="AB99" s="42">
        <f>IFERROR(IF(ISNA(S99), NA(), S99/'2. Salmon Passage by Bin'!K99), NA())</f>
        <v>0.14285714285714285</v>
      </c>
      <c r="AC99" s="44" t="e">
        <f>IFERROR(SUMIF(T99:W99, "&lt;&gt;#N/A")/SUMIF('2. Salmon Passage by Bin'!L99:N99, "&lt;&gt;#N/A"), NA())</f>
        <v>#N/A</v>
      </c>
    </row>
    <row r="100" spans="1:29" x14ac:dyDescent="0.3">
      <c r="A100" s="5">
        <f>'1. Mixture Model Inputs'!A100</f>
        <v>45202</v>
      </c>
      <c r="B100" s="13" t="str">
        <f>IF(ISBLANK('[1]Passage Estimates'!$C100),"",IF('[1]Passage Estimates'!$C100="Imputation",'[1]Passage Estimates'!$B100,'[1]Passage Estimates'!$C100))</f>
        <v/>
      </c>
      <c r="C100" s="17" t="e">
        <f>IFERROR('1. Mixture Model Inputs'!B100/'1. Mixture Model Inputs'!Z100,NA())</f>
        <v>#N/A</v>
      </c>
      <c r="D100" s="17" t="e">
        <f>IFERROR('1. Mixture Model Inputs'!C100/'1. Mixture Model Inputs'!AA100,NA())</f>
        <v>#N/A</v>
      </c>
      <c r="E100" s="17" t="e">
        <f>IFERROR('1. Mixture Model Inputs'!D100/'1. Mixture Model Inputs'!AB100,NA())</f>
        <v>#N/A</v>
      </c>
      <c r="F100" s="17" t="e">
        <f>IFERROR('1. Mixture Model Inputs'!E100/'1. Mixture Model Inputs'!AC100, NA())</f>
        <v>#N/A</v>
      </c>
      <c r="G100" s="17" t="e">
        <f>IFERROR('1. Mixture Model Inputs'!F100/'1. Mixture Model Inputs'!AD100, NA())</f>
        <v>#N/A</v>
      </c>
      <c r="H100" s="24" t="str">
        <f>WhonSpComp!AT115</f>
        <v/>
      </c>
      <c r="I100" s="17" t="e">
        <f>IFERROR('1. Mixture Model Inputs'!G100/'1. Mixture Model Inputs'!AE100, NA())</f>
        <v>#N/A</v>
      </c>
      <c r="J100" s="17" t="e">
        <f>IFERROR('1. Mixture Model Inputs'!H100/'1. Mixture Model Inputs'!AF100, NA())</f>
        <v>#N/A</v>
      </c>
      <c r="K100" s="17" t="e">
        <f>IFERROR('1. Mixture Model Inputs'!I100/'1. Mixture Model Inputs'!AG100, NA())</f>
        <v>#N/A</v>
      </c>
      <c r="L100" s="22" t="e">
        <f>C100*'2. Salmon Passage by Bin'!C100</f>
        <v>#N/A</v>
      </c>
      <c r="M100" s="22" t="e">
        <f>D100*'2. Salmon Passage by Bin'!D100</f>
        <v>#N/A</v>
      </c>
      <c r="N100" s="22" t="e">
        <f>F100*'2. Salmon Passage by Bin'!F100</f>
        <v>#N/A</v>
      </c>
      <c r="O100" s="22" t="e">
        <f>G100*'2. Salmon Passage by Bin'!G100</f>
        <v>#N/A</v>
      </c>
      <c r="P100" s="22" t="e">
        <f>$G100*'2. Salmon Passage by Bin'!H100</f>
        <v>#N/A</v>
      </c>
      <c r="Q100" s="22" t="e">
        <f>$G100*'2. Salmon Passage by Bin'!I100</f>
        <v>#N/A</v>
      </c>
      <c r="R100" s="22" t="e">
        <f>$G100*'2. Salmon Passage by Bin'!J100</f>
        <v>#N/A</v>
      </c>
      <c r="S100" s="25" t="e">
        <f>'2. Salmon Passage by Bin'!K100*H100</f>
        <v>#N/A</v>
      </c>
      <c r="T100" s="25" t="e">
        <f>K100*'2. Salmon Passage by Bin'!L100</f>
        <v>#N/A</v>
      </c>
      <c r="U100" s="25" t="e">
        <f>K100*'2. Salmon Passage by Bin'!M100</f>
        <v>#N/A</v>
      </c>
      <c r="V100" s="25" t="e">
        <f>J100*'2. Salmon Passage by Bin'!N100</f>
        <v>#N/A</v>
      </c>
      <c r="W100" s="25" t="e">
        <f>I100*'2. Salmon Passage by Bin'!O100</f>
        <v>#N/A</v>
      </c>
      <c r="X100" s="22" t="e">
        <f>E100*'2. Salmon Passage by Bin'!E100</f>
        <v>#N/A</v>
      </c>
      <c r="Y100" s="41">
        <f t="shared" si="1"/>
        <v>0</v>
      </c>
      <c r="Z100" s="42" t="e">
        <f>Y100/'[1]Passage Estimates'!$D100</f>
        <v>#N/A</v>
      </c>
      <c r="AA100" s="43" t="e">
        <f>IFERROR(SUMIF(L100:R100, "&lt;&gt;#N/A")/SUMIF('2. Salmon Passage by Bin'!E100:J100, "&lt;&gt;#N/A"), NA())</f>
        <v>#N/A</v>
      </c>
      <c r="AB100" s="42" t="e">
        <f>IFERROR(IF(ISNA(S100), NA(), S100/'2. Salmon Passage by Bin'!K100), NA())</f>
        <v>#N/A</v>
      </c>
      <c r="AC100" s="44" t="e">
        <f>IFERROR(SUMIF(T100:W100, "&lt;&gt;#N/A")/SUMIF('2. Salmon Passage by Bin'!L100:N100, "&lt;&gt;#N/A"), NA())</f>
        <v>#N/A</v>
      </c>
    </row>
    <row r="101" spans="1:29" x14ac:dyDescent="0.3">
      <c r="A101" s="5">
        <f>'1. Mixture Model Inputs'!A101</f>
        <v>45203</v>
      </c>
      <c r="B101" s="13" t="str">
        <f>IF(ISBLANK('[1]Passage Estimates'!$C101),"",IF('[1]Passage Estimates'!$C101="Imputation",'[1]Passage Estimates'!$B101,'[1]Passage Estimates'!$C101))</f>
        <v/>
      </c>
      <c r="C101" s="17" t="e">
        <f>IFERROR('1. Mixture Model Inputs'!B101/'1. Mixture Model Inputs'!Z101,NA())</f>
        <v>#N/A</v>
      </c>
      <c r="D101" s="17" t="e">
        <f>IFERROR('1. Mixture Model Inputs'!C101/'1. Mixture Model Inputs'!AA101,NA())</f>
        <v>#N/A</v>
      </c>
      <c r="E101" s="17" t="e">
        <f>IFERROR('1. Mixture Model Inputs'!D101/'1. Mixture Model Inputs'!AB101,NA())</f>
        <v>#N/A</v>
      </c>
      <c r="F101" s="17" t="e">
        <f>IFERROR('1. Mixture Model Inputs'!E101/'1. Mixture Model Inputs'!AC101, NA())</f>
        <v>#N/A</v>
      </c>
      <c r="G101" s="17" t="e">
        <f>IFERROR('1. Mixture Model Inputs'!F101/'1. Mixture Model Inputs'!AD101, NA())</f>
        <v>#N/A</v>
      </c>
      <c r="H101" s="24" t="str">
        <f>WhonSpComp!AT116</f>
        <v/>
      </c>
      <c r="I101" s="17" t="e">
        <f>IFERROR('1. Mixture Model Inputs'!G101/'1. Mixture Model Inputs'!AE101, NA())</f>
        <v>#N/A</v>
      </c>
      <c r="J101" s="17" t="e">
        <f>IFERROR('1. Mixture Model Inputs'!H101/'1. Mixture Model Inputs'!AF101, NA())</f>
        <v>#N/A</v>
      </c>
      <c r="K101" s="17" t="e">
        <f>IFERROR('1. Mixture Model Inputs'!I101/'1. Mixture Model Inputs'!AG101, NA())</f>
        <v>#N/A</v>
      </c>
      <c r="L101" s="22" t="e">
        <f>C101*'2. Salmon Passage by Bin'!C101</f>
        <v>#N/A</v>
      </c>
      <c r="M101" s="22" t="e">
        <f>D101*'2. Salmon Passage by Bin'!D101</f>
        <v>#N/A</v>
      </c>
      <c r="N101" s="22" t="e">
        <f>F101*'2. Salmon Passage by Bin'!F101</f>
        <v>#N/A</v>
      </c>
      <c r="O101" s="22" t="e">
        <f>G101*'2. Salmon Passage by Bin'!G101</f>
        <v>#N/A</v>
      </c>
      <c r="P101" s="22" t="e">
        <f>$G101*'2. Salmon Passage by Bin'!H101</f>
        <v>#N/A</v>
      </c>
      <c r="Q101" s="22" t="e">
        <f>$G101*'2. Salmon Passage by Bin'!I101</f>
        <v>#N/A</v>
      </c>
      <c r="R101" s="22" t="e">
        <f>$G101*'2. Salmon Passage by Bin'!J101</f>
        <v>#N/A</v>
      </c>
      <c r="S101" s="25" t="e">
        <f>'2. Salmon Passage by Bin'!K101*H101</f>
        <v>#N/A</v>
      </c>
      <c r="T101" s="25" t="e">
        <f>K101*'2. Salmon Passage by Bin'!L101</f>
        <v>#N/A</v>
      </c>
      <c r="U101" s="25" t="e">
        <f>K101*'2. Salmon Passage by Bin'!M101</f>
        <v>#N/A</v>
      </c>
      <c r="V101" s="25" t="e">
        <f>J101*'2. Salmon Passage by Bin'!N101</f>
        <v>#N/A</v>
      </c>
      <c r="W101" s="25" t="e">
        <f>I101*'2. Salmon Passage by Bin'!O101</f>
        <v>#N/A</v>
      </c>
      <c r="X101" s="22" t="e">
        <f>E101*'2. Salmon Passage by Bin'!E101</f>
        <v>#N/A</v>
      </c>
      <c r="Y101" s="41">
        <f t="shared" si="1"/>
        <v>0</v>
      </c>
      <c r="Z101" s="42" t="e">
        <f>Y101/'[1]Passage Estimates'!$D101</f>
        <v>#N/A</v>
      </c>
      <c r="AA101" s="43" t="e">
        <f>IFERROR(SUMIF(L101:R101, "&lt;&gt;#N/A")/SUMIF('2. Salmon Passage by Bin'!E101:J101, "&lt;&gt;#N/A"), NA())</f>
        <v>#N/A</v>
      </c>
      <c r="AB101" s="42" t="e">
        <f>IFERROR(IF(ISNA(S101), NA(), S101/'2. Salmon Passage by Bin'!K101), NA())</f>
        <v>#N/A</v>
      </c>
      <c r="AC101" s="44" t="e">
        <f>IFERROR(SUMIF(T101:W101, "&lt;&gt;#N/A")/SUMIF('2. Salmon Passage by Bin'!L101:N101, "&lt;&gt;#N/A"), NA())</f>
        <v>#N/A</v>
      </c>
    </row>
    <row r="102" spans="1:29" x14ac:dyDescent="0.3">
      <c r="A102" s="5">
        <f>'1. Mixture Model Inputs'!A102</f>
        <v>45204</v>
      </c>
      <c r="B102" s="13" t="str">
        <f>IF(ISBLANK('[1]Passage Estimates'!$C102),"",IF('[1]Passage Estimates'!$C102="Imputation",'[1]Passage Estimates'!$B102,'[1]Passage Estimates'!$C102))</f>
        <v/>
      </c>
      <c r="C102" s="17" t="e">
        <f>IFERROR('1. Mixture Model Inputs'!B102/'1. Mixture Model Inputs'!Z102,NA())</f>
        <v>#N/A</v>
      </c>
      <c r="D102" s="17" t="e">
        <f>IFERROR('1. Mixture Model Inputs'!C102/'1. Mixture Model Inputs'!AA102,NA())</f>
        <v>#N/A</v>
      </c>
      <c r="E102" s="17" t="e">
        <f>IFERROR('1. Mixture Model Inputs'!D102/'1. Mixture Model Inputs'!AB102,NA())</f>
        <v>#N/A</v>
      </c>
      <c r="F102" s="17" t="e">
        <f>IFERROR('1. Mixture Model Inputs'!E102/'1. Mixture Model Inputs'!AC102, NA())</f>
        <v>#N/A</v>
      </c>
      <c r="G102" s="17" t="e">
        <f>IFERROR('1. Mixture Model Inputs'!F102/'1. Mixture Model Inputs'!AD102, NA())</f>
        <v>#N/A</v>
      </c>
      <c r="H102" s="24" t="str">
        <f>WhonSpComp!AT117</f>
        <v/>
      </c>
      <c r="I102" s="17" t="e">
        <f>IFERROR('1. Mixture Model Inputs'!G102/'1. Mixture Model Inputs'!AE102, NA())</f>
        <v>#N/A</v>
      </c>
      <c r="J102" s="17" t="e">
        <f>IFERROR('1. Mixture Model Inputs'!H102/'1. Mixture Model Inputs'!AF102, NA())</f>
        <v>#N/A</v>
      </c>
      <c r="K102" s="17" t="e">
        <f>IFERROR('1. Mixture Model Inputs'!I102/'1. Mixture Model Inputs'!AG102, NA())</f>
        <v>#N/A</v>
      </c>
      <c r="L102" s="22" t="e">
        <f>C102*'2. Salmon Passage by Bin'!C102</f>
        <v>#N/A</v>
      </c>
      <c r="M102" s="22" t="e">
        <f>D102*'2. Salmon Passage by Bin'!D102</f>
        <v>#N/A</v>
      </c>
      <c r="N102" s="22" t="e">
        <f>F102*'2. Salmon Passage by Bin'!F102</f>
        <v>#N/A</v>
      </c>
      <c r="O102" s="22" t="e">
        <f>G102*'2. Salmon Passage by Bin'!G102</f>
        <v>#N/A</v>
      </c>
      <c r="P102" s="22" t="e">
        <f>$G102*'2. Salmon Passage by Bin'!H102</f>
        <v>#N/A</v>
      </c>
      <c r="Q102" s="22" t="e">
        <f>$G102*'2. Salmon Passage by Bin'!I102</f>
        <v>#N/A</v>
      </c>
      <c r="R102" s="22" t="e">
        <f>$G102*'2. Salmon Passage by Bin'!J102</f>
        <v>#N/A</v>
      </c>
      <c r="S102" s="25" t="e">
        <f>'2. Salmon Passage by Bin'!K102*H102</f>
        <v>#N/A</v>
      </c>
      <c r="T102" s="25" t="e">
        <f>K102*'2. Salmon Passage by Bin'!L102</f>
        <v>#N/A</v>
      </c>
      <c r="U102" s="25" t="e">
        <f>K102*'2. Salmon Passage by Bin'!M102</f>
        <v>#N/A</v>
      </c>
      <c r="V102" s="25" t="e">
        <f>J102*'2. Salmon Passage by Bin'!N102</f>
        <v>#N/A</v>
      </c>
      <c r="W102" s="25" t="e">
        <f>I102*'2. Salmon Passage by Bin'!O102</f>
        <v>#N/A</v>
      </c>
      <c r="X102" s="22" t="e">
        <f>E102*'2. Salmon Passage by Bin'!E102</f>
        <v>#N/A</v>
      </c>
      <c r="Y102" s="41">
        <f t="shared" si="1"/>
        <v>0</v>
      </c>
      <c r="Z102" s="42" t="e">
        <f>Y102/'[1]Passage Estimates'!$D102</f>
        <v>#N/A</v>
      </c>
      <c r="AA102" s="43" t="e">
        <f>IFERROR(SUMIF(L102:R102, "&lt;&gt;#N/A")/SUMIF('2. Salmon Passage by Bin'!E102:J102, "&lt;&gt;#N/A"), NA())</f>
        <v>#N/A</v>
      </c>
      <c r="AB102" s="42" t="e">
        <f>IFERROR(IF(ISNA(S102), NA(), S102/'2. Salmon Passage by Bin'!K102), NA())</f>
        <v>#N/A</v>
      </c>
      <c r="AC102" s="44" t="e">
        <f>IFERROR(SUMIF(T102:W102, "&lt;&gt;#N/A")/SUMIF('2. Salmon Passage by Bin'!L102:N102, "&lt;&gt;#N/A"), NA())</f>
        <v>#N/A</v>
      </c>
    </row>
    <row r="103" spans="1:29" x14ac:dyDescent="0.3">
      <c r="A103" s="5">
        <f>'1. Mixture Model Inputs'!A103</f>
        <v>45205</v>
      </c>
      <c r="B103" s="13" t="str">
        <f>IF(ISBLANK('[1]Passage Estimates'!$C103),"",IF('[1]Passage Estimates'!$C103="Imputation",'[1]Passage Estimates'!$B103,'[1]Passage Estimates'!$C103))</f>
        <v/>
      </c>
      <c r="C103" s="17" t="e">
        <f>IFERROR('1. Mixture Model Inputs'!B103/'1. Mixture Model Inputs'!Z103,NA())</f>
        <v>#N/A</v>
      </c>
      <c r="D103" s="17" t="e">
        <f>IFERROR('1. Mixture Model Inputs'!C103/'1. Mixture Model Inputs'!AA103,NA())</f>
        <v>#N/A</v>
      </c>
      <c r="E103" s="17" t="e">
        <f>IFERROR('1. Mixture Model Inputs'!D103/'1. Mixture Model Inputs'!AB103,NA())</f>
        <v>#N/A</v>
      </c>
      <c r="F103" s="17" t="e">
        <f>IFERROR('1. Mixture Model Inputs'!E103/'1. Mixture Model Inputs'!AC103, NA())</f>
        <v>#N/A</v>
      </c>
      <c r="G103" s="17" t="e">
        <f>IFERROR('1. Mixture Model Inputs'!F103/'1. Mixture Model Inputs'!AD103, NA())</f>
        <v>#N/A</v>
      </c>
      <c r="H103" s="24" t="str">
        <f>WhonSpComp!AT118</f>
        <v/>
      </c>
      <c r="I103" s="17" t="e">
        <f>IFERROR('1. Mixture Model Inputs'!G103/'1. Mixture Model Inputs'!AE103, NA())</f>
        <v>#N/A</v>
      </c>
      <c r="J103" s="17" t="e">
        <f>IFERROR('1. Mixture Model Inputs'!H103/'1. Mixture Model Inputs'!AF103, NA())</f>
        <v>#N/A</v>
      </c>
      <c r="K103" s="17" t="e">
        <f>IFERROR('1. Mixture Model Inputs'!I103/'1. Mixture Model Inputs'!AG103, NA())</f>
        <v>#N/A</v>
      </c>
      <c r="L103" s="22" t="e">
        <f>C103*'2. Salmon Passage by Bin'!C103</f>
        <v>#N/A</v>
      </c>
      <c r="M103" s="22" t="e">
        <f>D103*'2. Salmon Passage by Bin'!D103</f>
        <v>#N/A</v>
      </c>
      <c r="N103" s="22" t="e">
        <f>F103*'2. Salmon Passage by Bin'!F103</f>
        <v>#N/A</v>
      </c>
      <c r="O103" s="22" t="e">
        <f>G103*'2. Salmon Passage by Bin'!G103</f>
        <v>#N/A</v>
      </c>
      <c r="P103" s="22" t="e">
        <f>$G103*'2. Salmon Passage by Bin'!H103</f>
        <v>#N/A</v>
      </c>
      <c r="Q103" s="22" t="e">
        <f>$G103*'2. Salmon Passage by Bin'!I103</f>
        <v>#N/A</v>
      </c>
      <c r="R103" s="22" t="e">
        <f>$G103*'2. Salmon Passage by Bin'!J103</f>
        <v>#N/A</v>
      </c>
      <c r="S103" s="25" t="e">
        <f>'2. Salmon Passage by Bin'!K103*H103</f>
        <v>#N/A</v>
      </c>
      <c r="T103" s="25" t="e">
        <f>K103*'2. Salmon Passage by Bin'!L103</f>
        <v>#N/A</v>
      </c>
      <c r="U103" s="25" t="e">
        <f>K103*'2. Salmon Passage by Bin'!M103</f>
        <v>#N/A</v>
      </c>
      <c r="V103" s="25" t="e">
        <f>J103*'2. Salmon Passage by Bin'!N103</f>
        <v>#N/A</v>
      </c>
      <c r="W103" s="25" t="e">
        <f>I103*'2. Salmon Passage by Bin'!O103</f>
        <v>#N/A</v>
      </c>
      <c r="X103" s="22" t="e">
        <f>E103*'2. Salmon Passage by Bin'!E103</f>
        <v>#N/A</v>
      </c>
      <c r="Y103" s="41">
        <f t="shared" si="1"/>
        <v>0</v>
      </c>
      <c r="Z103" s="42" t="e">
        <f>Y103/'[1]Passage Estimates'!$D103</f>
        <v>#N/A</v>
      </c>
      <c r="AA103" s="43" t="e">
        <f>IFERROR(SUMIF(L103:R103, "&lt;&gt;#N/A")/SUMIF('2. Salmon Passage by Bin'!E103:J103, "&lt;&gt;#N/A"), NA())</f>
        <v>#N/A</v>
      </c>
      <c r="AB103" s="42" t="e">
        <f>IFERROR(IF(ISNA(S103), NA(), S103/'2. Salmon Passage by Bin'!K103), NA())</f>
        <v>#N/A</v>
      </c>
      <c r="AC103" s="44" t="e">
        <f>IFERROR(SUMIF(T103:W103, "&lt;&gt;#N/A")/SUMIF('2. Salmon Passage by Bin'!L103:N103, "&lt;&gt;#N/A"), NA())</f>
        <v>#N/A</v>
      </c>
    </row>
    <row r="104" spans="1:29" x14ac:dyDescent="0.3">
      <c r="A104" s="5">
        <f>'1. Mixture Model Inputs'!A104</f>
        <v>45206</v>
      </c>
      <c r="B104" s="13" t="str">
        <f>IF(ISBLANK('[1]Passage Estimates'!$C104),"",IF('[1]Passage Estimates'!$C104="Imputation",'[1]Passage Estimates'!$B104,'[1]Passage Estimates'!$C104))</f>
        <v/>
      </c>
      <c r="C104" s="17" t="e">
        <f>IFERROR('1. Mixture Model Inputs'!B104/'1. Mixture Model Inputs'!Z104,NA())</f>
        <v>#N/A</v>
      </c>
      <c r="D104" s="17" t="e">
        <f>IFERROR('1. Mixture Model Inputs'!C104/'1. Mixture Model Inputs'!AA104,NA())</f>
        <v>#N/A</v>
      </c>
      <c r="E104" s="17" t="e">
        <f>IFERROR('1. Mixture Model Inputs'!D104/'1. Mixture Model Inputs'!AB104,NA())</f>
        <v>#N/A</v>
      </c>
      <c r="F104" s="17" t="e">
        <f>IFERROR('1. Mixture Model Inputs'!E104/'1. Mixture Model Inputs'!AC104, NA())</f>
        <v>#N/A</v>
      </c>
      <c r="G104" s="17" t="e">
        <f>IFERROR('1. Mixture Model Inputs'!F104/'1. Mixture Model Inputs'!AD104, NA())</f>
        <v>#N/A</v>
      </c>
      <c r="H104" s="24" t="str">
        <f>WhonSpComp!AT119</f>
        <v/>
      </c>
      <c r="I104" s="17" t="e">
        <f>IFERROR('1. Mixture Model Inputs'!G104/'1. Mixture Model Inputs'!AE104, NA())</f>
        <v>#N/A</v>
      </c>
      <c r="J104" s="17" t="e">
        <f>IFERROR('1. Mixture Model Inputs'!H104/'1. Mixture Model Inputs'!AF104, NA())</f>
        <v>#N/A</v>
      </c>
      <c r="K104" s="17" t="e">
        <f>IFERROR('1. Mixture Model Inputs'!I104/'1. Mixture Model Inputs'!AG104, NA())</f>
        <v>#N/A</v>
      </c>
      <c r="L104" s="22" t="e">
        <f>C104*'2. Salmon Passage by Bin'!C104</f>
        <v>#N/A</v>
      </c>
      <c r="M104" s="22" t="e">
        <f>D104*'2. Salmon Passage by Bin'!D104</f>
        <v>#N/A</v>
      </c>
      <c r="N104" s="22" t="e">
        <f>F104*'2. Salmon Passage by Bin'!F104</f>
        <v>#N/A</v>
      </c>
      <c r="O104" s="22" t="e">
        <f>G104*'2. Salmon Passage by Bin'!G104</f>
        <v>#N/A</v>
      </c>
      <c r="P104" s="22" t="e">
        <f>$G104*'2. Salmon Passage by Bin'!H104</f>
        <v>#N/A</v>
      </c>
      <c r="Q104" s="22" t="e">
        <f>$G104*'2. Salmon Passage by Bin'!I104</f>
        <v>#N/A</v>
      </c>
      <c r="R104" s="22" t="e">
        <f>$G104*'2. Salmon Passage by Bin'!J104</f>
        <v>#N/A</v>
      </c>
      <c r="S104" s="25" t="e">
        <f>'2. Salmon Passage by Bin'!K104*H104</f>
        <v>#N/A</v>
      </c>
      <c r="T104" s="25" t="e">
        <f>K104*'2. Salmon Passage by Bin'!L104</f>
        <v>#N/A</v>
      </c>
      <c r="U104" s="25" t="e">
        <f>K104*'2. Salmon Passage by Bin'!M104</f>
        <v>#N/A</v>
      </c>
      <c r="V104" s="25" t="e">
        <f>J104*'2. Salmon Passage by Bin'!N104</f>
        <v>#N/A</v>
      </c>
      <c r="W104" s="25" t="e">
        <f>I104*'2. Salmon Passage by Bin'!O104</f>
        <v>#N/A</v>
      </c>
      <c r="X104" s="22" t="e">
        <f>E104*'2. Salmon Passage by Bin'!E104</f>
        <v>#N/A</v>
      </c>
      <c r="Y104" s="41">
        <f t="shared" si="1"/>
        <v>0</v>
      </c>
      <c r="Z104" s="42" t="e">
        <f>Y104/'[1]Passage Estimates'!$D104</f>
        <v>#N/A</v>
      </c>
      <c r="AA104" s="43" t="e">
        <f>IFERROR(SUMIF(L104:R104, "&lt;&gt;#N/A")/SUMIF('2. Salmon Passage by Bin'!E104:J104, "&lt;&gt;#N/A"), NA())</f>
        <v>#N/A</v>
      </c>
      <c r="AB104" s="42" t="e">
        <f>IFERROR(IF(ISNA(S104), NA(), S104/'2. Salmon Passage by Bin'!K104), NA())</f>
        <v>#N/A</v>
      </c>
      <c r="AC104" s="44" t="e">
        <f>IFERROR(SUMIF(T104:W104, "&lt;&gt;#N/A")/SUMIF('2. Salmon Passage by Bin'!L104:N104, "&lt;&gt;#N/A"), NA())</f>
        <v>#N/A</v>
      </c>
    </row>
    <row r="105" spans="1:29" x14ac:dyDescent="0.3">
      <c r="A105" s="5">
        <f>'1. Mixture Model Inputs'!A105</f>
        <v>45207</v>
      </c>
      <c r="B105" s="13" t="str">
        <f>IF(ISBLANK('[1]Passage Estimates'!$C105),"",IF('[1]Passage Estimates'!$C105="Imputation",'[1]Passage Estimates'!$B105,'[1]Passage Estimates'!$C105))</f>
        <v/>
      </c>
      <c r="C105" s="17" t="e">
        <f>IFERROR('1. Mixture Model Inputs'!B105/'1. Mixture Model Inputs'!Z105,NA())</f>
        <v>#N/A</v>
      </c>
      <c r="D105" s="17" t="e">
        <f>IFERROR('1. Mixture Model Inputs'!C105/'1. Mixture Model Inputs'!AA105,NA())</f>
        <v>#N/A</v>
      </c>
      <c r="E105" s="17" t="e">
        <f>IFERROR('1. Mixture Model Inputs'!D105/'1. Mixture Model Inputs'!AB105,NA())</f>
        <v>#N/A</v>
      </c>
      <c r="F105" s="17" t="e">
        <f>IFERROR('1. Mixture Model Inputs'!E105/'1. Mixture Model Inputs'!AC105, NA())</f>
        <v>#N/A</v>
      </c>
      <c r="G105" s="17" t="e">
        <f>IFERROR('1. Mixture Model Inputs'!F105/'1. Mixture Model Inputs'!AD105, NA())</f>
        <v>#N/A</v>
      </c>
      <c r="H105" s="24" t="str">
        <f>WhonSpComp!AT120</f>
        <v/>
      </c>
      <c r="I105" s="17" t="e">
        <f>IFERROR('1. Mixture Model Inputs'!G105/'1. Mixture Model Inputs'!AE105, NA())</f>
        <v>#N/A</v>
      </c>
      <c r="J105" s="17" t="e">
        <f>IFERROR('1. Mixture Model Inputs'!H105/'1. Mixture Model Inputs'!AF105, NA())</f>
        <v>#N/A</v>
      </c>
      <c r="K105" s="17" t="e">
        <f>IFERROR('1. Mixture Model Inputs'!I105/'1. Mixture Model Inputs'!AG105, NA())</f>
        <v>#N/A</v>
      </c>
      <c r="L105" s="22" t="e">
        <f>C105*'2. Salmon Passage by Bin'!C105</f>
        <v>#N/A</v>
      </c>
      <c r="M105" s="22" t="e">
        <f>D105*'2. Salmon Passage by Bin'!D105</f>
        <v>#N/A</v>
      </c>
      <c r="N105" s="22" t="e">
        <f>F105*'2. Salmon Passage by Bin'!F105</f>
        <v>#N/A</v>
      </c>
      <c r="O105" s="22" t="e">
        <f>G105*'2. Salmon Passage by Bin'!G105</f>
        <v>#N/A</v>
      </c>
      <c r="P105" s="22" t="e">
        <f>$G105*'2. Salmon Passage by Bin'!H105</f>
        <v>#N/A</v>
      </c>
      <c r="Q105" s="22" t="e">
        <f>$G105*'2. Salmon Passage by Bin'!I105</f>
        <v>#N/A</v>
      </c>
      <c r="R105" s="22" t="e">
        <f>$G105*'2. Salmon Passage by Bin'!J105</f>
        <v>#N/A</v>
      </c>
      <c r="S105" s="25" t="e">
        <f>'2. Salmon Passage by Bin'!K105*H105</f>
        <v>#N/A</v>
      </c>
      <c r="T105" s="25" t="e">
        <f>K105*'2. Salmon Passage by Bin'!L105</f>
        <v>#N/A</v>
      </c>
      <c r="U105" s="25" t="e">
        <f>K105*'2. Salmon Passage by Bin'!M105</f>
        <v>#N/A</v>
      </c>
      <c r="V105" s="25" t="e">
        <f>J105*'2. Salmon Passage by Bin'!N105</f>
        <v>#N/A</v>
      </c>
      <c r="W105" s="25" t="e">
        <f>I105*'2. Salmon Passage by Bin'!O105</f>
        <v>#N/A</v>
      </c>
      <c r="X105" s="22" t="e">
        <f>E105*'2. Salmon Passage by Bin'!E105</f>
        <v>#N/A</v>
      </c>
      <c r="Y105" s="41">
        <f t="shared" si="1"/>
        <v>0</v>
      </c>
      <c r="Z105" s="42" t="e">
        <f>Y105/'[1]Passage Estimates'!$D105</f>
        <v>#N/A</v>
      </c>
      <c r="AA105" s="43" t="e">
        <f>IFERROR(SUMIF(L105:R105, "&lt;&gt;#N/A")/SUMIF('2. Salmon Passage by Bin'!E105:J105, "&lt;&gt;#N/A"), NA())</f>
        <v>#N/A</v>
      </c>
      <c r="AB105" s="42" t="e">
        <f>IFERROR(IF(ISNA(S105), NA(), S105/'2. Salmon Passage by Bin'!K105), NA())</f>
        <v>#N/A</v>
      </c>
      <c r="AC105" s="44" t="e">
        <f>IFERROR(SUMIF(T105:W105, "&lt;&gt;#N/A")/SUMIF('2. Salmon Passage by Bin'!L105:N105, "&lt;&gt;#N/A"), NA())</f>
        <v>#N/A</v>
      </c>
    </row>
    <row r="106" spans="1:29" x14ac:dyDescent="0.3">
      <c r="A106" s="5">
        <f>'1. Mixture Model Inputs'!A106</f>
        <v>45208</v>
      </c>
      <c r="B106" s="13" t="str">
        <f>IF(ISBLANK('[1]Passage Estimates'!$C106),"",IF('[1]Passage Estimates'!$C106="Imputation",'[1]Passage Estimates'!$B106,'[1]Passage Estimates'!$C106))</f>
        <v/>
      </c>
      <c r="C106" s="17" t="e">
        <f>IFERROR('1. Mixture Model Inputs'!B106/'1. Mixture Model Inputs'!Z106,NA())</f>
        <v>#N/A</v>
      </c>
      <c r="D106" s="17" t="e">
        <f>IFERROR('1. Mixture Model Inputs'!C106/'1. Mixture Model Inputs'!AA106,NA())</f>
        <v>#N/A</v>
      </c>
      <c r="E106" s="17" t="e">
        <f>IFERROR('1. Mixture Model Inputs'!D106/'1. Mixture Model Inputs'!AB106,NA())</f>
        <v>#N/A</v>
      </c>
      <c r="F106" s="17" t="e">
        <f>IFERROR('1. Mixture Model Inputs'!E106/'1. Mixture Model Inputs'!AC106, NA())</f>
        <v>#N/A</v>
      </c>
      <c r="G106" s="17" t="e">
        <f>IFERROR('1. Mixture Model Inputs'!F106/'1. Mixture Model Inputs'!AD106, NA())</f>
        <v>#N/A</v>
      </c>
      <c r="H106" s="24" t="str">
        <f>WhonSpComp!AT121</f>
        <v/>
      </c>
      <c r="I106" s="17" t="e">
        <f>IFERROR('1. Mixture Model Inputs'!G106/'1. Mixture Model Inputs'!AE106, NA())</f>
        <v>#N/A</v>
      </c>
      <c r="J106" s="17" t="e">
        <f>IFERROR('1. Mixture Model Inputs'!H106/'1. Mixture Model Inputs'!AF106, NA())</f>
        <v>#N/A</v>
      </c>
      <c r="K106" s="17" t="e">
        <f>IFERROR('1. Mixture Model Inputs'!I106/'1. Mixture Model Inputs'!AG106, NA())</f>
        <v>#N/A</v>
      </c>
      <c r="L106" s="22" t="e">
        <f>C106*'2. Salmon Passage by Bin'!C106</f>
        <v>#N/A</v>
      </c>
      <c r="M106" s="22" t="e">
        <f>D106*'2. Salmon Passage by Bin'!D106</f>
        <v>#N/A</v>
      </c>
      <c r="N106" s="22" t="e">
        <f>F106*'2. Salmon Passage by Bin'!F106</f>
        <v>#N/A</v>
      </c>
      <c r="O106" s="22" t="e">
        <f>G106*'2. Salmon Passage by Bin'!G106</f>
        <v>#N/A</v>
      </c>
      <c r="P106" s="22" t="e">
        <f>$G106*'2. Salmon Passage by Bin'!H106</f>
        <v>#N/A</v>
      </c>
      <c r="Q106" s="22" t="e">
        <f>$G106*'2. Salmon Passage by Bin'!I106</f>
        <v>#N/A</v>
      </c>
      <c r="R106" s="22" t="e">
        <f>$G106*'2. Salmon Passage by Bin'!J106</f>
        <v>#N/A</v>
      </c>
      <c r="S106" s="25" t="e">
        <f>'2. Salmon Passage by Bin'!K106*H106</f>
        <v>#N/A</v>
      </c>
      <c r="T106" s="25" t="e">
        <f>K106*'2. Salmon Passage by Bin'!L106</f>
        <v>#N/A</v>
      </c>
      <c r="U106" s="25" t="e">
        <f>K106*'2. Salmon Passage by Bin'!M106</f>
        <v>#N/A</v>
      </c>
      <c r="V106" s="25" t="e">
        <f>J106*'2. Salmon Passage by Bin'!N106</f>
        <v>#N/A</v>
      </c>
      <c r="W106" s="25" t="e">
        <f>I106*'2. Salmon Passage by Bin'!O106</f>
        <v>#N/A</v>
      </c>
      <c r="X106" s="22" t="e">
        <f>E106*'2. Salmon Passage by Bin'!E106</f>
        <v>#N/A</v>
      </c>
      <c r="Y106" s="41">
        <f t="shared" si="1"/>
        <v>0</v>
      </c>
      <c r="Z106" s="42" t="e">
        <f>Y106/'[1]Passage Estimates'!$D106</f>
        <v>#N/A</v>
      </c>
      <c r="AA106" s="43" t="e">
        <f>IFERROR(SUMIF(L106:R106, "&lt;&gt;#N/A")/SUMIF('2. Salmon Passage by Bin'!E106:J106, "&lt;&gt;#N/A"), NA())</f>
        <v>#N/A</v>
      </c>
      <c r="AB106" s="42" t="e">
        <f>IFERROR(IF(ISNA(S106), NA(), S106/'2. Salmon Passage by Bin'!K106), NA())</f>
        <v>#N/A</v>
      </c>
      <c r="AC106" s="44" t="e">
        <f>IFERROR(SUMIF(T106:W106, "&lt;&gt;#N/A")/SUMIF('2. Salmon Passage by Bin'!L106:N106, "&lt;&gt;#N/A"), NA())</f>
        <v>#N/A</v>
      </c>
    </row>
    <row r="107" spans="1:29" x14ac:dyDescent="0.3">
      <c r="A107" s="5">
        <f>'1. Mixture Model Inputs'!A107</f>
        <v>45209</v>
      </c>
      <c r="B107" s="13" t="str">
        <f>IF(ISBLANK('[1]Passage Estimates'!$C107),"",IF('[1]Passage Estimates'!$C107="Imputation",'[1]Passage Estimates'!$B107,'[1]Passage Estimates'!$C107))</f>
        <v/>
      </c>
      <c r="C107" s="17" t="e">
        <f>IFERROR('1. Mixture Model Inputs'!B107/'1. Mixture Model Inputs'!Z107,NA())</f>
        <v>#N/A</v>
      </c>
      <c r="D107" s="17" t="e">
        <f>IFERROR('1. Mixture Model Inputs'!C107/'1. Mixture Model Inputs'!AA107,NA())</f>
        <v>#N/A</v>
      </c>
      <c r="E107" s="17" t="e">
        <f>IFERROR('1. Mixture Model Inputs'!D107/'1. Mixture Model Inputs'!AB107,NA())</f>
        <v>#N/A</v>
      </c>
      <c r="F107" s="17" t="e">
        <f>IFERROR('1. Mixture Model Inputs'!E107/'1. Mixture Model Inputs'!AC107, NA())</f>
        <v>#N/A</v>
      </c>
      <c r="G107" s="17" t="e">
        <f>IFERROR('1. Mixture Model Inputs'!F107/'1. Mixture Model Inputs'!AD107, NA())</f>
        <v>#N/A</v>
      </c>
      <c r="H107" s="24" t="str">
        <f>WhonSpComp!AT122</f>
        <v/>
      </c>
      <c r="I107" s="17" t="e">
        <f>IFERROR('1. Mixture Model Inputs'!G107/'1. Mixture Model Inputs'!AE107, NA())</f>
        <v>#N/A</v>
      </c>
      <c r="J107" s="17" t="e">
        <f>IFERROR('1. Mixture Model Inputs'!H107/'1. Mixture Model Inputs'!AF107, NA())</f>
        <v>#N/A</v>
      </c>
      <c r="K107" s="17" t="e">
        <f>IFERROR('1. Mixture Model Inputs'!I107/'1. Mixture Model Inputs'!AG107, NA())</f>
        <v>#N/A</v>
      </c>
      <c r="L107" s="22" t="e">
        <f>C107*'2. Salmon Passage by Bin'!C107</f>
        <v>#N/A</v>
      </c>
      <c r="M107" s="22" t="e">
        <f>D107*'2. Salmon Passage by Bin'!D107</f>
        <v>#N/A</v>
      </c>
      <c r="N107" s="22" t="e">
        <f>F107*'2. Salmon Passage by Bin'!F107</f>
        <v>#N/A</v>
      </c>
      <c r="O107" s="22" t="e">
        <f>G107*'2. Salmon Passage by Bin'!G107</f>
        <v>#N/A</v>
      </c>
      <c r="P107" s="22" t="e">
        <f>$G107*'2. Salmon Passage by Bin'!H107</f>
        <v>#N/A</v>
      </c>
      <c r="Q107" s="22" t="e">
        <f>$G107*'2. Salmon Passage by Bin'!I107</f>
        <v>#N/A</v>
      </c>
      <c r="R107" s="22" t="e">
        <f>$G107*'2. Salmon Passage by Bin'!J107</f>
        <v>#N/A</v>
      </c>
      <c r="S107" s="25" t="e">
        <f>'2. Salmon Passage by Bin'!K107*H107</f>
        <v>#N/A</v>
      </c>
      <c r="T107" s="25" t="e">
        <f>K107*'2. Salmon Passage by Bin'!L107</f>
        <v>#N/A</v>
      </c>
      <c r="U107" s="25" t="e">
        <f>K107*'2. Salmon Passage by Bin'!M107</f>
        <v>#N/A</v>
      </c>
      <c r="V107" s="25" t="e">
        <f>J107*'2. Salmon Passage by Bin'!N107</f>
        <v>#N/A</v>
      </c>
      <c r="W107" s="25" t="e">
        <f>I107*'2. Salmon Passage by Bin'!O107</f>
        <v>#N/A</v>
      </c>
      <c r="X107" s="22" t="e">
        <f>E107*'2. Salmon Passage by Bin'!E107</f>
        <v>#N/A</v>
      </c>
      <c r="Y107" s="41">
        <f t="shared" si="1"/>
        <v>0</v>
      </c>
      <c r="Z107" s="42" t="e">
        <f>Y107/'[1]Passage Estimates'!$D107</f>
        <v>#N/A</v>
      </c>
      <c r="AA107" s="43" t="e">
        <f>IFERROR(SUMIF(L107:R107, "&lt;&gt;#N/A")/SUMIF('2. Salmon Passage by Bin'!E107:J107, "&lt;&gt;#N/A"), NA())</f>
        <v>#N/A</v>
      </c>
      <c r="AB107" s="42" t="e">
        <f>IFERROR(IF(ISNA(S107), NA(), S107/'2. Salmon Passage by Bin'!K107), NA())</f>
        <v>#N/A</v>
      </c>
      <c r="AC107" s="44" t="e">
        <f>IFERROR(SUMIF(T107:W107, "&lt;&gt;#N/A")/SUMIF('2. Salmon Passage by Bin'!L107:N107, "&lt;&gt;#N/A"), NA())</f>
        <v>#N/A</v>
      </c>
    </row>
    <row r="108" spans="1:29" x14ac:dyDescent="0.3">
      <c r="A108" s="5">
        <f>'1. Mixture Model Inputs'!A108</f>
        <v>45210</v>
      </c>
      <c r="B108" s="13" t="str">
        <f>IF(ISBLANK('[1]Passage Estimates'!$C108),"",IF('[1]Passage Estimates'!$C108="Imputation",'[1]Passage Estimates'!$B108,'[1]Passage Estimates'!$C108))</f>
        <v/>
      </c>
      <c r="C108" s="17" t="e">
        <f>IFERROR('1. Mixture Model Inputs'!B108/'1. Mixture Model Inputs'!Z108,NA())</f>
        <v>#N/A</v>
      </c>
      <c r="D108" s="17" t="e">
        <f>IFERROR('1. Mixture Model Inputs'!C108/'1. Mixture Model Inputs'!AA108,NA())</f>
        <v>#N/A</v>
      </c>
      <c r="E108" s="17" t="e">
        <f>IFERROR('1. Mixture Model Inputs'!D108/'1. Mixture Model Inputs'!AB108,NA())</f>
        <v>#N/A</v>
      </c>
      <c r="F108" s="17" t="e">
        <f>IFERROR('1. Mixture Model Inputs'!E108/'1. Mixture Model Inputs'!AC108, NA())</f>
        <v>#N/A</v>
      </c>
      <c r="G108" s="17" t="e">
        <f>IFERROR('1. Mixture Model Inputs'!F108/'1. Mixture Model Inputs'!AD108, NA())</f>
        <v>#N/A</v>
      </c>
      <c r="H108" s="24" t="str">
        <f>WhonSpComp!AT123</f>
        <v/>
      </c>
      <c r="I108" s="17" t="e">
        <f>IFERROR('1. Mixture Model Inputs'!G108/'1. Mixture Model Inputs'!AE108, NA())</f>
        <v>#N/A</v>
      </c>
      <c r="J108" s="17" t="e">
        <f>IFERROR('1. Mixture Model Inputs'!H108/'1. Mixture Model Inputs'!AF108, NA())</f>
        <v>#N/A</v>
      </c>
      <c r="K108" s="17" t="e">
        <f>IFERROR('1. Mixture Model Inputs'!I108/'1. Mixture Model Inputs'!AG108, NA())</f>
        <v>#N/A</v>
      </c>
      <c r="L108" s="22" t="e">
        <f>C108*'2. Salmon Passage by Bin'!C108</f>
        <v>#N/A</v>
      </c>
      <c r="M108" s="22" t="e">
        <f>D108*'2. Salmon Passage by Bin'!D108</f>
        <v>#N/A</v>
      </c>
      <c r="N108" s="22" t="e">
        <f>F108*'2. Salmon Passage by Bin'!F108</f>
        <v>#N/A</v>
      </c>
      <c r="O108" s="22" t="e">
        <f>G108*'2. Salmon Passage by Bin'!G108</f>
        <v>#N/A</v>
      </c>
      <c r="P108" s="22" t="e">
        <f>$G108*'2. Salmon Passage by Bin'!H108</f>
        <v>#N/A</v>
      </c>
      <c r="Q108" s="22" t="e">
        <f>$G108*'2. Salmon Passage by Bin'!I108</f>
        <v>#N/A</v>
      </c>
      <c r="R108" s="22" t="e">
        <f>$G108*'2. Salmon Passage by Bin'!J108</f>
        <v>#N/A</v>
      </c>
      <c r="S108" s="25" t="e">
        <f>'2. Salmon Passage by Bin'!K108*H108</f>
        <v>#N/A</v>
      </c>
      <c r="T108" s="25" t="e">
        <f>K108*'2. Salmon Passage by Bin'!L108</f>
        <v>#N/A</v>
      </c>
      <c r="U108" s="25" t="e">
        <f>K108*'2. Salmon Passage by Bin'!M108</f>
        <v>#N/A</v>
      </c>
      <c r="V108" s="25" t="e">
        <f>J108*'2. Salmon Passage by Bin'!N108</f>
        <v>#N/A</v>
      </c>
      <c r="W108" s="25" t="e">
        <f>I108*'2. Salmon Passage by Bin'!O108</f>
        <v>#N/A</v>
      </c>
      <c r="X108" s="22" t="e">
        <f>E108*'2. Salmon Passage by Bin'!E108</f>
        <v>#N/A</v>
      </c>
      <c r="Y108" s="41">
        <f t="shared" si="1"/>
        <v>0</v>
      </c>
      <c r="Z108" s="42" t="e">
        <f>Y108/'[1]Passage Estimates'!$D108</f>
        <v>#N/A</v>
      </c>
      <c r="AA108" s="43" t="e">
        <f>IFERROR(SUMIF(L108:R108, "&lt;&gt;#N/A")/SUMIF('2. Salmon Passage by Bin'!E108:J108, "&lt;&gt;#N/A"), NA())</f>
        <v>#N/A</v>
      </c>
      <c r="AB108" s="42" t="e">
        <f>IFERROR(IF(ISNA(S108), NA(), S108/'2. Salmon Passage by Bin'!K108), NA())</f>
        <v>#N/A</v>
      </c>
      <c r="AC108" s="44" t="e">
        <f>IFERROR(SUMIF(T108:W108, "&lt;&gt;#N/A")/SUMIF('2. Salmon Passage by Bin'!L108:N108, "&lt;&gt;#N/A"), NA())</f>
        <v>#N/A</v>
      </c>
    </row>
    <row r="109" spans="1:29" x14ac:dyDescent="0.3">
      <c r="A109" s="5">
        <f>'1. Mixture Model Inputs'!A109</f>
        <v>45211</v>
      </c>
      <c r="B109" s="13" t="str">
        <f>IF(ISBLANK('[1]Passage Estimates'!$C109),"",IF('[1]Passage Estimates'!$C109="Imputation",'[1]Passage Estimates'!$B109,'[1]Passage Estimates'!$C109))</f>
        <v/>
      </c>
      <c r="C109" s="17" t="e">
        <f>IFERROR('1. Mixture Model Inputs'!B109/'1. Mixture Model Inputs'!Z109,NA())</f>
        <v>#N/A</v>
      </c>
      <c r="D109" s="17" t="e">
        <f>IFERROR('1. Mixture Model Inputs'!C109/'1. Mixture Model Inputs'!AA109,NA())</f>
        <v>#N/A</v>
      </c>
      <c r="E109" s="17" t="e">
        <f>IFERROR('1. Mixture Model Inputs'!D109/'1. Mixture Model Inputs'!AB109,NA())</f>
        <v>#N/A</v>
      </c>
      <c r="F109" s="17" t="e">
        <f>IFERROR('1. Mixture Model Inputs'!E109/'1. Mixture Model Inputs'!AC109, NA())</f>
        <v>#N/A</v>
      </c>
      <c r="G109" s="17" t="e">
        <f>IFERROR('1. Mixture Model Inputs'!F109/'1. Mixture Model Inputs'!AD109, NA())</f>
        <v>#N/A</v>
      </c>
      <c r="H109" s="24" t="str">
        <f>WhonSpComp!AT124</f>
        <v/>
      </c>
      <c r="I109" s="17" t="e">
        <f>IFERROR('1. Mixture Model Inputs'!G109/'1. Mixture Model Inputs'!AE109, NA())</f>
        <v>#N/A</v>
      </c>
      <c r="J109" s="17" t="e">
        <f>IFERROR('1. Mixture Model Inputs'!H109/'1. Mixture Model Inputs'!AF109, NA())</f>
        <v>#N/A</v>
      </c>
      <c r="K109" s="17" t="e">
        <f>IFERROR('1. Mixture Model Inputs'!I109/'1. Mixture Model Inputs'!AG109, NA())</f>
        <v>#N/A</v>
      </c>
      <c r="L109" s="22" t="e">
        <f>C109*'2. Salmon Passage by Bin'!C109</f>
        <v>#N/A</v>
      </c>
      <c r="M109" s="22" t="e">
        <f>D109*'2. Salmon Passage by Bin'!D109</f>
        <v>#N/A</v>
      </c>
      <c r="N109" s="22" t="e">
        <f>F109*'2. Salmon Passage by Bin'!F109</f>
        <v>#N/A</v>
      </c>
      <c r="O109" s="22" t="e">
        <f>G109*'2. Salmon Passage by Bin'!G109</f>
        <v>#N/A</v>
      </c>
      <c r="P109" s="22" t="e">
        <f>$G109*'2. Salmon Passage by Bin'!H109</f>
        <v>#N/A</v>
      </c>
      <c r="Q109" s="22" t="e">
        <f>$G109*'2. Salmon Passage by Bin'!I109</f>
        <v>#N/A</v>
      </c>
      <c r="R109" s="22" t="e">
        <f>$G109*'2. Salmon Passage by Bin'!J109</f>
        <v>#N/A</v>
      </c>
      <c r="S109" s="25" t="e">
        <f>'2. Salmon Passage by Bin'!K109*H109</f>
        <v>#N/A</v>
      </c>
      <c r="T109" s="25" t="e">
        <f>K109*'2. Salmon Passage by Bin'!L109</f>
        <v>#N/A</v>
      </c>
      <c r="U109" s="25" t="e">
        <f>K109*'2. Salmon Passage by Bin'!M109</f>
        <v>#N/A</v>
      </c>
      <c r="V109" s="25" t="e">
        <f>J109*'2. Salmon Passage by Bin'!N109</f>
        <v>#N/A</v>
      </c>
      <c r="W109" s="25" t="e">
        <f>I109*'2. Salmon Passage by Bin'!O109</f>
        <v>#N/A</v>
      </c>
      <c r="X109" s="22" t="e">
        <f>E109*'2. Salmon Passage by Bin'!E109</f>
        <v>#N/A</v>
      </c>
      <c r="Y109" s="41">
        <f t="shared" si="1"/>
        <v>0</v>
      </c>
      <c r="Z109" s="42" t="e">
        <f>Y109/'[1]Passage Estimates'!$D109</f>
        <v>#N/A</v>
      </c>
      <c r="AA109" s="43" t="e">
        <f>IFERROR(SUMIF(L109:R109, "&lt;&gt;#N/A")/SUMIF('2. Salmon Passage by Bin'!E109:J109, "&lt;&gt;#N/A"), NA())</f>
        <v>#N/A</v>
      </c>
      <c r="AB109" s="42" t="e">
        <f>IFERROR(IF(ISNA(S109), NA(), S109/'2. Salmon Passage by Bin'!K109), NA())</f>
        <v>#N/A</v>
      </c>
      <c r="AC109" s="44" t="e">
        <f>IFERROR(SUMIF(T109:W109, "&lt;&gt;#N/A")/SUMIF('2. Salmon Passage by Bin'!L109:N109, "&lt;&gt;#N/A"), NA())</f>
        <v>#N/A</v>
      </c>
    </row>
    <row r="110" spans="1:29" x14ac:dyDescent="0.3">
      <c r="A110" s="5">
        <f>'1. Mixture Model Inputs'!A110</f>
        <v>45212</v>
      </c>
      <c r="B110" s="13" t="str">
        <f>IF(ISBLANK('[1]Passage Estimates'!$C110),"",IF('[1]Passage Estimates'!$C110="Imputation",'[1]Passage Estimates'!$B110,'[1]Passage Estimates'!$C110))</f>
        <v/>
      </c>
      <c r="C110" s="17" t="e">
        <f>IFERROR('1. Mixture Model Inputs'!B110/'1. Mixture Model Inputs'!Z110,NA())</f>
        <v>#N/A</v>
      </c>
      <c r="D110" s="17" t="e">
        <f>IFERROR('1. Mixture Model Inputs'!C110/'1. Mixture Model Inputs'!AA110,NA())</f>
        <v>#N/A</v>
      </c>
      <c r="E110" s="17" t="e">
        <f>IFERROR('1. Mixture Model Inputs'!D110/'1. Mixture Model Inputs'!AB110,NA())</f>
        <v>#N/A</v>
      </c>
      <c r="F110" s="17" t="e">
        <f>IFERROR('1. Mixture Model Inputs'!E110/'1. Mixture Model Inputs'!AC110, NA())</f>
        <v>#N/A</v>
      </c>
      <c r="G110" s="17" t="e">
        <f>IFERROR('1. Mixture Model Inputs'!F110/'1. Mixture Model Inputs'!AD110, NA())</f>
        <v>#N/A</v>
      </c>
      <c r="H110" s="24" t="str">
        <f>WhonSpComp!AT125</f>
        <v/>
      </c>
      <c r="I110" s="17" t="e">
        <f>IFERROR('1. Mixture Model Inputs'!G110/'1. Mixture Model Inputs'!AE110, NA())</f>
        <v>#N/A</v>
      </c>
      <c r="J110" s="17" t="e">
        <f>IFERROR('1. Mixture Model Inputs'!H110/'1. Mixture Model Inputs'!AF110, NA())</f>
        <v>#N/A</v>
      </c>
      <c r="K110" s="17" t="e">
        <f>IFERROR('1. Mixture Model Inputs'!I110/'1. Mixture Model Inputs'!AG110, NA())</f>
        <v>#N/A</v>
      </c>
      <c r="L110" s="22" t="e">
        <f>C110*'2. Salmon Passage by Bin'!C110</f>
        <v>#N/A</v>
      </c>
      <c r="M110" s="22" t="e">
        <f>D110*'2. Salmon Passage by Bin'!D110</f>
        <v>#N/A</v>
      </c>
      <c r="N110" s="22" t="e">
        <f>F110*'2. Salmon Passage by Bin'!F110</f>
        <v>#N/A</v>
      </c>
      <c r="O110" s="22" t="e">
        <f>G110*'2. Salmon Passage by Bin'!G110</f>
        <v>#N/A</v>
      </c>
      <c r="P110" s="22" t="e">
        <f>$G110*'2. Salmon Passage by Bin'!H110</f>
        <v>#N/A</v>
      </c>
      <c r="Q110" s="22" t="e">
        <f>$G110*'2. Salmon Passage by Bin'!I110</f>
        <v>#N/A</v>
      </c>
      <c r="R110" s="22" t="e">
        <f>$G110*'2. Salmon Passage by Bin'!J110</f>
        <v>#N/A</v>
      </c>
      <c r="S110" s="25" t="e">
        <f>'2. Salmon Passage by Bin'!K110*H110</f>
        <v>#N/A</v>
      </c>
      <c r="T110" s="25" t="e">
        <f>K110*'2. Salmon Passage by Bin'!L110</f>
        <v>#N/A</v>
      </c>
      <c r="U110" s="25" t="e">
        <f>K110*'2. Salmon Passage by Bin'!M110</f>
        <v>#N/A</v>
      </c>
      <c r="V110" s="25" t="e">
        <f>J110*'2. Salmon Passage by Bin'!N110</f>
        <v>#N/A</v>
      </c>
      <c r="W110" s="25" t="e">
        <f>I110*'2. Salmon Passage by Bin'!O110</f>
        <v>#N/A</v>
      </c>
      <c r="X110" s="22" t="e">
        <f>E110*'2. Salmon Passage by Bin'!E110</f>
        <v>#N/A</v>
      </c>
      <c r="Y110" s="41">
        <f t="shared" si="1"/>
        <v>0</v>
      </c>
      <c r="Z110" s="42" t="e">
        <f>Y110/'[1]Passage Estimates'!$D110</f>
        <v>#N/A</v>
      </c>
      <c r="AA110" s="43" t="e">
        <f>IFERROR(SUMIF(L110:R110, "&lt;&gt;#N/A")/SUMIF('2. Salmon Passage by Bin'!E110:J110, "&lt;&gt;#N/A"), NA())</f>
        <v>#N/A</v>
      </c>
      <c r="AB110" s="42" t="e">
        <f>IFERROR(IF(ISNA(S110), NA(), S110/'2. Salmon Passage by Bin'!K110), NA())</f>
        <v>#N/A</v>
      </c>
      <c r="AC110" s="44" t="e">
        <f>IFERROR(SUMIF(T110:W110, "&lt;&gt;#N/A")/SUMIF('2. Salmon Passage by Bin'!L110:N110, "&lt;&gt;#N/A"), NA())</f>
        <v>#N/A</v>
      </c>
    </row>
    <row r="111" spans="1:29" x14ac:dyDescent="0.3">
      <c r="A111" s="5">
        <f>'1. Mixture Model Inputs'!A111</f>
        <v>45213</v>
      </c>
      <c r="B111" s="13" t="str">
        <f>IF(ISBLANK('[1]Passage Estimates'!$C111),"",IF('[1]Passage Estimates'!$C111="Imputation",'[1]Passage Estimates'!$B111,'[1]Passage Estimates'!$C111))</f>
        <v/>
      </c>
      <c r="C111" s="17" t="e">
        <f>IFERROR('1. Mixture Model Inputs'!B111/'1. Mixture Model Inputs'!Z111,NA())</f>
        <v>#N/A</v>
      </c>
      <c r="D111" s="17" t="e">
        <f>IFERROR('1. Mixture Model Inputs'!C111/'1. Mixture Model Inputs'!AA111,NA())</f>
        <v>#N/A</v>
      </c>
      <c r="E111" s="17" t="e">
        <f>IFERROR('1. Mixture Model Inputs'!D111/'1. Mixture Model Inputs'!AB111,NA())</f>
        <v>#N/A</v>
      </c>
      <c r="F111" s="17" t="e">
        <f>IFERROR('1. Mixture Model Inputs'!E111/'1. Mixture Model Inputs'!AC111, NA())</f>
        <v>#N/A</v>
      </c>
      <c r="G111" s="17" t="e">
        <f>IFERROR('1. Mixture Model Inputs'!F111/'1. Mixture Model Inputs'!AD111, NA())</f>
        <v>#N/A</v>
      </c>
      <c r="H111" s="24" t="str">
        <f>WhonSpComp!AT126</f>
        <v/>
      </c>
      <c r="I111" s="17" t="e">
        <f>IFERROR('1. Mixture Model Inputs'!G111/'1. Mixture Model Inputs'!AE111, NA())</f>
        <v>#N/A</v>
      </c>
      <c r="J111" s="17" t="e">
        <f>IFERROR('1. Mixture Model Inputs'!H111/'1. Mixture Model Inputs'!AF111, NA())</f>
        <v>#N/A</v>
      </c>
      <c r="K111" s="17" t="e">
        <f>IFERROR('1. Mixture Model Inputs'!I111/'1. Mixture Model Inputs'!AG111, NA())</f>
        <v>#N/A</v>
      </c>
      <c r="L111" s="22" t="e">
        <f>C111*'2. Salmon Passage by Bin'!C111</f>
        <v>#N/A</v>
      </c>
      <c r="M111" s="22" t="e">
        <f>D111*'2. Salmon Passage by Bin'!D111</f>
        <v>#N/A</v>
      </c>
      <c r="N111" s="22" t="e">
        <f>F111*'2. Salmon Passage by Bin'!F111</f>
        <v>#N/A</v>
      </c>
      <c r="O111" s="22" t="e">
        <f>G111*'2. Salmon Passage by Bin'!G111</f>
        <v>#N/A</v>
      </c>
      <c r="P111" s="22" t="e">
        <f>$G111*'2. Salmon Passage by Bin'!H111</f>
        <v>#N/A</v>
      </c>
      <c r="Q111" s="22" t="e">
        <f>$G111*'2. Salmon Passage by Bin'!I111</f>
        <v>#N/A</v>
      </c>
      <c r="R111" s="22" t="e">
        <f>$G111*'2. Salmon Passage by Bin'!J111</f>
        <v>#N/A</v>
      </c>
      <c r="S111" s="25" t="e">
        <f>'2. Salmon Passage by Bin'!K111*H111</f>
        <v>#N/A</v>
      </c>
      <c r="T111" s="25" t="e">
        <f>K111*'2. Salmon Passage by Bin'!L111</f>
        <v>#N/A</v>
      </c>
      <c r="U111" s="25" t="e">
        <f>K111*'2. Salmon Passage by Bin'!M111</f>
        <v>#N/A</v>
      </c>
      <c r="V111" s="25" t="e">
        <f>J111*'2. Salmon Passage by Bin'!N111</f>
        <v>#N/A</v>
      </c>
      <c r="W111" s="25" t="e">
        <f>I111*'2. Salmon Passage by Bin'!O111</f>
        <v>#N/A</v>
      </c>
      <c r="X111" s="22" t="e">
        <f>E111*'2. Salmon Passage by Bin'!E111</f>
        <v>#N/A</v>
      </c>
      <c r="Y111" s="41">
        <f t="shared" si="1"/>
        <v>0</v>
      </c>
      <c r="Z111" s="42" t="e">
        <f>Y111/'[1]Passage Estimates'!$D111</f>
        <v>#N/A</v>
      </c>
      <c r="AA111" s="43" t="e">
        <f>IFERROR(SUMIF(L111:R111, "&lt;&gt;#N/A")/SUMIF('2. Salmon Passage by Bin'!E111:J111, "&lt;&gt;#N/A"), NA())</f>
        <v>#N/A</v>
      </c>
      <c r="AB111" s="42" t="e">
        <f>IFERROR(IF(ISNA(S111), NA(), S111/'2. Salmon Passage by Bin'!K111), NA())</f>
        <v>#N/A</v>
      </c>
      <c r="AC111" s="44" t="e">
        <f>IFERROR(SUMIF(T111:W111, "&lt;&gt;#N/A")/SUMIF('2. Salmon Passage by Bin'!L111:N111, "&lt;&gt;#N/A"), NA())</f>
        <v>#N/A</v>
      </c>
    </row>
    <row r="112" spans="1:29" x14ac:dyDescent="0.3">
      <c r="A112" s="5">
        <f>'1. Mixture Model Inputs'!A112</f>
        <v>45214</v>
      </c>
      <c r="B112" s="13" t="str">
        <f>IF(ISBLANK('[1]Passage Estimates'!$C112),"",IF('[1]Passage Estimates'!$C112="Imputation",'[1]Passage Estimates'!$B112,'[1]Passage Estimates'!$C112))</f>
        <v/>
      </c>
      <c r="C112" s="17" t="e">
        <f>IFERROR('1. Mixture Model Inputs'!B112/'1. Mixture Model Inputs'!Z112,NA())</f>
        <v>#N/A</v>
      </c>
      <c r="D112" s="17" t="e">
        <f>IFERROR('1. Mixture Model Inputs'!C112/'1. Mixture Model Inputs'!AA112,NA())</f>
        <v>#N/A</v>
      </c>
      <c r="E112" s="17" t="e">
        <f>IFERROR('1. Mixture Model Inputs'!D112/'1. Mixture Model Inputs'!AB112,NA())</f>
        <v>#N/A</v>
      </c>
      <c r="F112" s="17" t="e">
        <f>IFERROR('1. Mixture Model Inputs'!E112/'1. Mixture Model Inputs'!AC112, NA())</f>
        <v>#N/A</v>
      </c>
      <c r="G112" s="17" t="e">
        <f>IFERROR('1. Mixture Model Inputs'!F112/'1. Mixture Model Inputs'!AD112, NA())</f>
        <v>#N/A</v>
      </c>
      <c r="H112" s="24" t="str">
        <f>WhonSpComp!AT127</f>
        <v/>
      </c>
      <c r="I112" s="17" t="e">
        <f>IFERROR('1. Mixture Model Inputs'!G112/'1. Mixture Model Inputs'!AE112, NA())</f>
        <v>#N/A</v>
      </c>
      <c r="J112" s="17" t="e">
        <f>IFERROR('1. Mixture Model Inputs'!H112/'1. Mixture Model Inputs'!AF112, NA())</f>
        <v>#N/A</v>
      </c>
      <c r="K112" s="17" t="e">
        <f>IFERROR('1. Mixture Model Inputs'!I112/'1. Mixture Model Inputs'!AG112, NA())</f>
        <v>#N/A</v>
      </c>
      <c r="L112" s="22" t="e">
        <f>C112*'2. Salmon Passage by Bin'!C112</f>
        <v>#N/A</v>
      </c>
      <c r="M112" s="22" t="e">
        <f>D112*'2. Salmon Passage by Bin'!D112</f>
        <v>#N/A</v>
      </c>
      <c r="N112" s="22" t="e">
        <f>F112*'2. Salmon Passage by Bin'!F112</f>
        <v>#N/A</v>
      </c>
      <c r="O112" s="22" t="e">
        <f>G112*'2. Salmon Passage by Bin'!G112</f>
        <v>#N/A</v>
      </c>
      <c r="P112" s="22" t="e">
        <f>$G112*'2. Salmon Passage by Bin'!H112</f>
        <v>#N/A</v>
      </c>
      <c r="Q112" s="22" t="e">
        <f>$G112*'2. Salmon Passage by Bin'!I112</f>
        <v>#N/A</v>
      </c>
      <c r="R112" s="22" t="e">
        <f>$G112*'2. Salmon Passage by Bin'!J112</f>
        <v>#N/A</v>
      </c>
      <c r="S112" s="25" t="e">
        <f>'2. Salmon Passage by Bin'!K112*H112</f>
        <v>#N/A</v>
      </c>
      <c r="T112" s="25" t="e">
        <f>K112*'2. Salmon Passage by Bin'!L112</f>
        <v>#N/A</v>
      </c>
      <c r="U112" s="25" t="e">
        <f>K112*'2. Salmon Passage by Bin'!M112</f>
        <v>#N/A</v>
      </c>
      <c r="V112" s="25" t="e">
        <f>J112*'2. Salmon Passage by Bin'!N112</f>
        <v>#N/A</v>
      </c>
      <c r="W112" s="25" t="e">
        <f>I112*'2. Salmon Passage by Bin'!O112</f>
        <v>#N/A</v>
      </c>
      <c r="X112" s="22" t="e">
        <f>E112*'2. Salmon Passage by Bin'!E112</f>
        <v>#N/A</v>
      </c>
      <c r="Y112" s="41">
        <f t="shared" si="1"/>
        <v>0</v>
      </c>
      <c r="Z112" s="42" t="e">
        <f>Y112/'[1]Passage Estimates'!$D112</f>
        <v>#N/A</v>
      </c>
      <c r="AA112" s="43" t="e">
        <f>IFERROR(SUMIF(L112:R112, "&lt;&gt;#N/A")/SUMIF('2. Salmon Passage by Bin'!E112:J112, "&lt;&gt;#N/A"), NA())</f>
        <v>#N/A</v>
      </c>
      <c r="AB112" s="42" t="e">
        <f>IFERROR(IF(ISNA(S112), NA(), S112/'2. Salmon Passage by Bin'!K112), NA())</f>
        <v>#N/A</v>
      </c>
      <c r="AC112" s="44" t="e">
        <f>IFERROR(SUMIF(T112:W112, "&lt;&gt;#N/A")/SUMIF('2. Salmon Passage by Bin'!L112:N112, "&lt;&gt;#N/A"), NA())</f>
        <v>#N/A</v>
      </c>
    </row>
    <row r="113" spans="1:29" x14ac:dyDescent="0.3">
      <c r="A113" s="5">
        <f>'1. Mixture Model Inputs'!A113</f>
        <v>45215</v>
      </c>
      <c r="B113" s="13" t="str">
        <f>IF(ISBLANK('[1]Passage Estimates'!$C113),"",IF('[1]Passage Estimates'!$C113="Imputation",'[1]Passage Estimates'!$B113,'[1]Passage Estimates'!$C113))</f>
        <v/>
      </c>
      <c r="C113" s="17" t="e">
        <f>IFERROR('1. Mixture Model Inputs'!B113/'1. Mixture Model Inputs'!Z113,NA())</f>
        <v>#N/A</v>
      </c>
      <c r="D113" s="17" t="e">
        <f>IFERROR('1. Mixture Model Inputs'!C113/'1. Mixture Model Inputs'!AA113,NA())</f>
        <v>#N/A</v>
      </c>
      <c r="E113" s="17" t="e">
        <f>IFERROR('1. Mixture Model Inputs'!D113/'1. Mixture Model Inputs'!AB113,NA())</f>
        <v>#N/A</v>
      </c>
      <c r="F113" s="17" t="e">
        <f>IFERROR('1. Mixture Model Inputs'!E113/'1. Mixture Model Inputs'!AC113, NA())</f>
        <v>#N/A</v>
      </c>
      <c r="G113" s="17" t="e">
        <f>IFERROR('1. Mixture Model Inputs'!F113/'1. Mixture Model Inputs'!AD113, NA())</f>
        <v>#N/A</v>
      </c>
      <c r="H113" s="24" t="str">
        <f>WhonSpComp!AT128</f>
        <v/>
      </c>
      <c r="I113" s="17" t="e">
        <f>IFERROR('1. Mixture Model Inputs'!G113/'1. Mixture Model Inputs'!AE113, NA())</f>
        <v>#N/A</v>
      </c>
      <c r="J113" s="17" t="e">
        <f>IFERROR('1. Mixture Model Inputs'!H113/'1. Mixture Model Inputs'!AF113, NA())</f>
        <v>#N/A</v>
      </c>
      <c r="K113" s="17" t="e">
        <f>IFERROR('1. Mixture Model Inputs'!I113/'1. Mixture Model Inputs'!AG113, NA())</f>
        <v>#N/A</v>
      </c>
      <c r="L113" s="22" t="e">
        <f>C113*'2. Salmon Passage by Bin'!C113</f>
        <v>#N/A</v>
      </c>
      <c r="M113" s="22" t="e">
        <f>D113*'2. Salmon Passage by Bin'!D113</f>
        <v>#N/A</v>
      </c>
      <c r="N113" s="22" t="e">
        <f>F113*'2. Salmon Passage by Bin'!F113</f>
        <v>#N/A</v>
      </c>
      <c r="O113" s="22" t="e">
        <f>G113*'2. Salmon Passage by Bin'!G113</f>
        <v>#N/A</v>
      </c>
      <c r="P113" s="22" t="e">
        <f>$G113*'2. Salmon Passage by Bin'!H113</f>
        <v>#N/A</v>
      </c>
      <c r="Q113" s="22" t="e">
        <f>$G113*'2. Salmon Passage by Bin'!I113</f>
        <v>#N/A</v>
      </c>
      <c r="R113" s="22" t="e">
        <f>$G113*'2. Salmon Passage by Bin'!J113</f>
        <v>#N/A</v>
      </c>
      <c r="S113" s="25" t="e">
        <f>'2. Salmon Passage by Bin'!K113*H113</f>
        <v>#N/A</v>
      </c>
      <c r="T113" s="25" t="e">
        <f>K113*'2. Salmon Passage by Bin'!L113</f>
        <v>#N/A</v>
      </c>
      <c r="U113" s="25" t="e">
        <f>K113*'2. Salmon Passage by Bin'!M113</f>
        <v>#N/A</v>
      </c>
      <c r="V113" s="25" t="e">
        <f>J113*'2. Salmon Passage by Bin'!N113</f>
        <v>#N/A</v>
      </c>
      <c r="W113" s="25" t="e">
        <f>I113*'2. Salmon Passage by Bin'!O113</f>
        <v>#N/A</v>
      </c>
      <c r="X113" s="22" t="e">
        <f>E113*'2. Salmon Passage by Bin'!E113</f>
        <v>#N/A</v>
      </c>
      <c r="Y113" s="41">
        <f t="shared" si="1"/>
        <v>0</v>
      </c>
      <c r="Z113" s="42" t="e">
        <f>Y113/'[1]Passage Estimates'!$D113</f>
        <v>#N/A</v>
      </c>
      <c r="AA113" s="43" t="e">
        <f>IFERROR(SUMIF(L113:R113, "&lt;&gt;#N/A")/SUMIF('2. Salmon Passage by Bin'!E113:J113, "&lt;&gt;#N/A"), NA())</f>
        <v>#N/A</v>
      </c>
      <c r="AB113" s="42" t="e">
        <f>IFERROR(IF(ISNA(S113), NA(), S113/'2. Salmon Passage by Bin'!K113), NA())</f>
        <v>#N/A</v>
      </c>
      <c r="AC113" s="44" t="e">
        <f>IFERROR(SUMIF(T113:W113, "&lt;&gt;#N/A")/SUMIF('2. Salmon Passage by Bin'!L113:N113, "&lt;&gt;#N/A"), NA())</f>
        <v>#N/A</v>
      </c>
    </row>
    <row r="114" spans="1:29" x14ac:dyDescent="0.3">
      <c r="A114" s="5">
        <f>'1. Mixture Model Inputs'!A114</f>
        <v>45216</v>
      </c>
      <c r="B114" s="13" t="str">
        <f>IF(ISBLANK('[1]Passage Estimates'!$C114),"",IF('[1]Passage Estimates'!$C114="Imputation",'[1]Passage Estimates'!$B114,'[1]Passage Estimates'!$C114))</f>
        <v/>
      </c>
      <c r="C114" s="17" t="e">
        <f>IFERROR('1. Mixture Model Inputs'!B114/'1. Mixture Model Inputs'!Z114,NA())</f>
        <v>#N/A</v>
      </c>
      <c r="D114" s="17" t="e">
        <f>IFERROR('1. Mixture Model Inputs'!C114/'1. Mixture Model Inputs'!AA114,NA())</f>
        <v>#N/A</v>
      </c>
      <c r="E114" s="17" t="e">
        <f>IFERROR('1. Mixture Model Inputs'!D114/'1. Mixture Model Inputs'!AB114,NA())</f>
        <v>#N/A</v>
      </c>
      <c r="F114" s="17" t="e">
        <f>IFERROR('1. Mixture Model Inputs'!E114/'1. Mixture Model Inputs'!AC114, NA())</f>
        <v>#N/A</v>
      </c>
      <c r="G114" s="17" t="e">
        <f>IFERROR('1. Mixture Model Inputs'!F114/'1. Mixture Model Inputs'!AD114, NA())</f>
        <v>#N/A</v>
      </c>
      <c r="H114" s="24" t="str">
        <f>WhonSpComp!AT129</f>
        <v/>
      </c>
      <c r="I114" s="17" t="e">
        <f>IFERROR('1. Mixture Model Inputs'!G114/'1. Mixture Model Inputs'!AE114, NA())</f>
        <v>#N/A</v>
      </c>
      <c r="J114" s="17" t="e">
        <f>IFERROR('1. Mixture Model Inputs'!H114/'1. Mixture Model Inputs'!AF114, NA())</f>
        <v>#N/A</v>
      </c>
      <c r="K114" s="17" t="e">
        <f>IFERROR('1. Mixture Model Inputs'!I114/'1. Mixture Model Inputs'!AG114, NA())</f>
        <v>#N/A</v>
      </c>
      <c r="L114" s="22" t="e">
        <f>C114*'2. Salmon Passage by Bin'!C114</f>
        <v>#N/A</v>
      </c>
      <c r="M114" s="22" t="e">
        <f>D114*'2. Salmon Passage by Bin'!D114</f>
        <v>#N/A</v>
      </c>
      <c r="N114" s="22" t="e">
        <f>F114*'2. Salmon Passage by Bin'!F114</f>
        <v>#N/A</v>
      </c>
      <c r="O114" s="22" t="e">
        <f>G114*'2. Salmon Passage by Bin'!G114</f>
        <v>#N/A</v>
      </c>
      <c r="P114" s="22" t="e">
        <f>$G114*'2. Salmon Passage by Bin'!H114</f>
        <v>#N/A</v>
      </c>
      <c r="Q114" s="22" t="e">
        <f>$G114*'2. Salmon Passage by Bin'!I114</f>
        <v>#N/A</v>
      </c>
      <c r="R114" s="22" t="e">
        <f>$G114*'2. Salmon Passage by Bin'!J114</f>
        <v>#N/A</v>
      </c>
      <c r="S114" s="25" t="e">
        <f>'2. Salmon Passage by Bin'!K114*H114</f>
        <v>#N/A</v>
      </c>
      <c r="T114" s="25" t="e">
        <f>K114*'2. Salmon Passage by Bin'!L114</f>
        <v>#N/A</v>
      </c>
      <c r="U114" s="25" t="e">
        <f>K114*'2. Salmon Passage by Bin'!M114</f>
        <v>#N/A</v>
      </c>
      <c r="V114" s="25" t="e">
        <f>J114*'2. Salmon Passage by Bin'!N114</f>
        <v>#N/A</v>
      </c>
      <c r="W114" s="25" t="e">
        <f>I114*'2. Salmon Passage by Bin'!O114</f>
        <v>#N/A</v>
      </c>
      <c r="X114" s="22" t="e">
        <f>E114*'2. Salmon Passage by Bin'!E114</f>
        <v>#N/A</v>
      </c>
      <c r="Y114" s="41">
        <f t="shared" si="1"/>
        <v>0</v>
      </c>
      <c r="Z114" s="42" t="e">
        <f>Y114/'[1]Passage Estimates'!$D114</f>
        <v>#N/A</v>
      </c>
      <c r="AA114" s="43" t="e">
        <f>IFERROR(SUMIF(L114:R114, "&lt;&gt;#N/A")/SUMIF('2. Salmon Passage by Bin'!E114:J114, "&lt;&gt;#N/A"), NA())</f>
        <v>#N/A</v>
      </c>
      <c r="AB114" s="42" t="e">
        <f>IFERROR(IF(ISNA(S114), NA(), S114/'2. Salmon Passage by Bin'!K114), NA())</f>
        <v>#N/A</v>
      </c>
      <c r="AC114" s="44" t="e">
        <f>IFERROR(SUMIF(T114:W114, "&lt;&gt;#N/A")/SUMIF('2. Salmon Passage by Bin'!L114:N114, "&lt;&gt;#N/A"), NA())</f>
        <v>#N/A</v>
      </c>
    </row>
    <row r="115" spans="1:29" x14ac:dyDescent="0.3">
      <c r="A115" s="5">
        <f>'1. Mixture Model Inputs'!A115</f>
        <v>45217</v>
      </c>
      <c r="B115" s="13" t="str">
        <f>IF(ISBLANK('[1]Passage Estimates'!$C115),"",IF('[1]Passage Estimates'!$C115="Imputation",'[1]Passage Estimates'!$B115,'[1]Passage Estimates'!$C115))</f>
        <v/>
      </c>
      <c r="C115" s="17" t="e">
        <f>IFERROR('1. Mixture Model Inputs'!B115/'1. Mixture Model Inputs'!Z115,NA())</f>
        <v>#N/A</v>
      </c>
      <c r="D115" s="17" t="e">
        <f>IFERROR('1. Mixture Model Inputs'!C115/'1. Mixture Model Inputs'!AA115,NA())</f>
        <v>#N/A</v>
      </c>
      <c r="E115" s="17" t="e">
        <f>IFERROR('1. Mixture Model Inputs'!D115/'1. Mixture Model Inputs'!AB115,NA())</f>
        <v>#N/A</v>
      </c>
      <c r="F115" s="17" t="e">
        <f>IFERROR('1. Mixture Model Inputs'!E115/'1. Mixture Model Inputs'!AC115, NA())</f>
        <v>#N/A</v>
      </c>
      <c r="G115" s="17" t="e">
        <f>IFERROR('1. Mixture Model Inputs'!F115/'1. Mixture Model Inputs'!AD115, NA())</f>
        <v>#N/A</v>
      </c>
      <c r="H115" s="24" t="str">
        <f>WhonSpComp!AT130</f>
        <v/>
      </c>
      <c r="I115" s="17" t="e">
        <f>IFERROR('1. Mixture Model Inputs'!G115/'1. Mixture Model Inputs'!AE115, NA())</f>
        <v>#N/A</v>
      </c>
      <c r="J115" s="17" t="e">
        <f>IFERROR('1. Mixture Model Inputs'!H115/'1. Mixture Model Inputs'!AF115, NA())</f>
        <v>#N/A</v>
      </c>
      <c r="K115" s="17" t="e">
        <f>IFERROR('1. Mixture Model Inputs'!I115/'1. Mixture Model Inputs'!AG115, NA())</f>
        <v>#N/A</v>
      </c>
      <c r="L115" s="22" t="e">
        <f>C115*'2. Salmon Passage by Bin'!C115</f>
        <v>#N/A</v>
      </c>
      <c r="M115" s="22" t="e">
        <f>D115*'2. Salmon Passage by Bin'!D115</f>
        <v>#N/A</v>
      </c>
      <c r="N115" s="22" t="e">
        <f>F115*'2. Salmon Passage by Bin'!F115</f>
        <v>#N/A</v>
      </c>
      <c r="O115" s="22" t="e">
        <f>G115*'2. Salmon Passage by Bin'!G115</f>
        <v>#N/A</v>
      </c>
      <c r="P115" s="22" t="e">
        <f>$G115*'2. Salmon Passage by Bin'!H115</f>
        <v>#N/A</v>
      </c>
      <c r="Q115" s="22" t="e">
        <f>$G115*'2. Salmon Passage by Bin'!I115</f>
        <v>#N/A</v>
      </c>
      <c r="R115" s="22" t="e">
        <f>$G115*'2. Salmon Passage by Bin'!J115</f>
        <v>#N/A</v>
      </c>
      <c r="S115" s="25" t="e">
        <f>'2. Salmon Passage by Bin'!K115*H115</f>
        <v>#N/A</v>
      </c>
      <c r="T115" s="25" t="e">
        <f>K115*'2. Salmon Passage by Bin'!L115</f>
        <v>#N/A</v>
      </c>
      <c r="U115" s="25" t="e">
        <f>K115*'2. Salmon Passage by Bin'!M115</f>
        <v>#N/A</v>
      </c>
      <c r="V115" s="25" t="e">
        <f>J115*'2. Salmon Passage by Bin'!N115</f>
        <v>#N/A</v>
      </c>
      <c r="W115" s="25" t="e">
        <f>I115*'2. Salmon Passage by Bin'!O115</f>
        <v>#N/A</v>
      </c>
      <c r="X115" s="22" t="e">
        <f>E115*'2. Salmon Passage by Bin'!E115</f>
        <v>#N/A</v>
      </c>
      <c r="Y115" s="41">
        <f t="shared" si="1"/>
        <v>0</v>
      </c>
      <c r="Z115" s="42" t="e">
        <f>Y115/'[1]Passage Estimates'!$D115</f>
        <v>#N/A</v>
      </c>
      <c r="AA115" s="43" t="e">
        <f>IFERROR(SUMIF(L115:R115, "&lt;&gt;#N/A")/SUMIF('2. Salmon Passage by Bin'!E115:J115, "&lt;&gt;#N/A"), NA())</f>
        <v>#N/A</v>
      </c>
      <c r="AB115" s="42" t="e">
        <f>IFERROR(IF(ISNA(S115), NA(), S115/'2. Salmon Passage by Bin'!K115), NA())</f>
        <v>#N/A</v>
      </c>
      <c r="AC115" s="44" t="e">
        <f>IFERROR(SUMIF(T115:W115, "&lt;&gt;#N/A")/SUMIF('2. Salmon Passage by Bin'!L115:N115, "&lt;&gt;#N/A"), NA())</f>
        <v>#N/A</v>
      </c>
    </row>
    <row r="116" spans="1:29" x14ac:dyDescent="0.3">
      <c r="A116" s="5">
        <f>'1. Mixture Model Inputs'!A116</f>
        <v>45218</v>
      </c>
      <c r="B116" s="13" t="str">
        <f>IF(ISBLANK('[1]Passage Estimates'!$C116),"",IF('[1]Passage Estimates'!$C116="Imputation",'[1]Passage Estimates'!$B116,'[1]Passage Estimates'!$C116))</f>
        <v/>
      </c>
      <c r="C116" s="17" t="e">
        <f>IFERROR('1. Mixture Model Inputs'!B116/'1. Mixture Model Inputs'!Z116,NA())</f>
        <v>#N/A</v>
      </c>
      <c r="D116" s="17" t="e">
        <f>IFERROR('1. Mixture Model Inputs'!C116/'1. Mixture Model Inputs'!AA116,NA())</f>
        <v>#N/A</v>
      </c>
      <c r="E116" s="17" t="e">
        <f>IFERROR('1. Mixture Model Inputs'!D116/'1. Mixture Model Inputs'!AB116,NA())</f>
        <v>#N/A</v>
      </c>
      <c r="F116" s="17" t="e">
        <f>IFERROR('1. Mixture Model Inputs'!E116/'1. Mixture Model Inputs'!AC116, NA())</f>
        <v>#N/A</v>
      </c>
      <c r="G116" s="17" t="e">
        <f>IFERROR('1. Mixture Model Inputs'!F116/'1. Mixture Model Inputs'!AD116, NA())</f>
        <v>#N/A</v>
      </c>
      <c r="H116" s="24" t="str">
        <f>WhonSpComp!AT131</f>
        <v/>
      </c>
      <c r="I116" s="17" t="e">
        <f>IFERROR('1. Mixture Model Inputs'!G116/'1. Mixture Model Inputs'!AE116, NA())</f>
        <v>#N/A</v>
      </c>
      <c r="J116" s="17" t="e">
        <f>IFERROR('1. Mixture Model Inputs'!H116/'1. Mixture Model Inputs'!AF116, NA())</f>
        <v>#N/A</v>
      </c>
      <c r="K116" s="17" t="e">
        <f>IFERROR('1. Mixture Model Inputs'!I116/'1. Mixture Model Inputs'!AG116, NA())</f>
        <v>#N/A</v>
      </c>
      <c r="L116" s="22" t="e">
        <f>C116*'2. Salmon Passage by Bin'!C116</f>
        <v>#N/A</v>
      </c>
      <c r="M116" s="22" t="e">
        <f>D116*'2. Salmon Passage by Bin'!D116</f>
        <v>#N/A</v>
      </c>
      <c r="N116" s="22" t="e">
        <f>F116*'2. Salmon Passage by Bin'!F116</f>
        <v>#N/A</v>
      </c>
      <c r="O116" s="22" t="e">
        <f>G116*'2. Salmon Passage by Bin'!G116</f>
        <v>#N/A</v>
      </c>
      <c r="P116" s="22" t="e">
        <f>$G116*'2. Salmon Passage by Bin'!H116</f>
        <v>#N/A</v>
      </c>
      <c r="Q116" s="22" t="e">
        <f>$G116*'2. Salmon Passage by Bin'!I116</f>
        <v>#N/A</v>
      </c>
      <c r="R116" s="22" t="e">
        <f>$G116*'2. Salmon Passage by Bin'!J116</f>
        <v>#N/A</v>
      </c>
      <c r="S116" s="25" t="e">
        <f>'2. Salmon Passage by Bin'!K116*H116</f>
        <v>#N/A</v>
      </c>
      <c r="T116" s="25" t="e">
        <f>K116*'2. Salmon Passage by Bin'!L116</f>
        <v>#N/A</v>
      </c>
      <c r="U116" s="25" t="e">
        <f>K116*'2. Salmon Passage by Bin'!M116</f>
        <v>#N/A</v>
      </c>
      <c r="V116" s="25" t="e">
        <f>J116*'2. Salmon Passage by Bin'!N116</f>
        <v>#N/A</v>
      </c>
      <c r="W116" s="25" t="e">
        <f>I116*'2. Salmon Passage by Bin'!O116</f>
        <v>#N/A</v>
      </c>
      <c r="X116" s="22" t="e">
        <f>E116*'2. Salmon Passage by Bin'!E116</f>
        <v>#N/A</v>
      </c>
      <c r="Y116" s="41">
        <f t="shared" si="1"/>
        <v>0</v>
      </c>
      <c r="Z116" s="42" t="e">
        <f>Y116/'[1]Passage Estimates'!$D116</f>
        <v>#N/A</v>
      </c>
      <c r="AA116" s="43" t="e">
        <f>IFERROR(SUMIF(L116:R116, "&lt;&gt;#N/A")/SUMIF('2. Salmon Passage by Bin'!E116:J116, "&lt;&gt;#N/A"), NA())</f>
        <v>#N/A</v>
      </c>
      <c r="AB116" s="42" t="e">
        <f>IFERROR(IF(ISNA(S116), NA(), S116/'2. Salmon Passage by Bin'!K116), NA())</f>
        <v>#N/A</v>
      </c>
      <c r="AC116" s="44" t="e">
        <f>IFERROR(SUMIF(T116:W116, "&lt;&gt;#N/A")/SUMIF('2. Salmon Passage by Bin'!L116:N116, "&lt;&gt;#N/A"), NA())</f>
        <v>#N/A</v>
      </c>
    </row>
    <row r="117" spans="1:29" x14ac:dyDescent="0.3">
      <c r="A117" s="5">
        <f>'1. Mixture Model Inputs'!A117</f>
        <v>45219</v>
      </c>
      <c r="B117" s="13" t="str">
        <f>IF(ISBLANK('[1]Passage Estimates'!$C117),"",IF('[1]Passage Estimates'!$C117="Imputation",'[1]Passage Estimates'!$B117,'[1]Passage Estimates'!$C117))</f>
        <v/>
      </c>
      <c r="C117" s="17" t="e">
        <f>IFERROR('1. Mixture Model Inputs'!B117/'1. Mixture Model Inputs'!Z117,NA())</f>
        <v>#N/A</v>
      </c>
      <c r="D117" s="17" t="e">
        <f>IFERROR('1. Mixture Model Inputs'!C117/'1. Mixture Model Inputs'!AA117,NA())</f>
        <v>#N/A</v>
      </c>
      <c r="E117" s="17" t="e">
        <f>IFERROR('1. Mixture Model Inputs'!D117/'1. Mixture Model Inputs'!AB117,NA())</f>
        <v>#N/A</v>
      </c>
      <c r="F117" s="17" t="e">
        <f>IFERROR('1. Mixture Model Inputs'!E117/'1. Mixture Model Inputs'!AC117, NA())</f>
        <v>#N/A</v>
      </c>
      <c r="G117" s="17" t="e">
        <f>IFERROR('1. Mixture Model Inputs'!F117/'1. Mixture Model Inputs'!AD117, NA())</f>
        <v>#N/A</v>
      </c>
      <c r="H117" s="24" t="str">
        <f>WhonSpComp!AT132</f>
        <v/>
      </c>
      <c r="I117" s="17" t="e">
        <f>IFERROR('1. Mixture Model Inputs'!G117/'1. Mixture Model Inputs'!AE117, NA())</f>
        <v>#N/A</v>
      </c>
      <c r="J117" s="17" t="e">
        <f>IFERROR('1. Mixture Model Inputs'!H117/'1. Mixture Model Inputs'!AF117, NA())</f>
        <v>#N/A</v>
      </c>
      <c r="K117" s="17" t="e">
        <f>IFERROR('1. Mixture Model Inputs'!I117/'1. Mixture Model Inputs'!AG117, NA())</f>
        <v>#N/A</v>
      </c>
      <c r="L117" s="22" t="e">
        <f>C117*'2. Salmon Passage by Bin'!C117</f>
        <v>#N/A</v>
      </c>
      <c r="M117" s="22" t="e">
        <f>D117*'2. Salmon Passage by Bin'!D117</f>
        <v>#N/A</v>
      </c>
      <c r="N117" s="22" t="e">
        <f>F117*'2. Salmon Passage by Bin'!F117</f>
        <v>#N/A</v>
      </c>
      <c r="O117" s="22" t="e">
        <f>G117*'2. Salmon Passage by Bin'!G117</f>
        <v>#N/A</v>
      </c>
      <c r="P117" s="22" t="e">
        <f>$G117*'2. Salmon Passage by Bin'!H117</f>
        <v>#N/A</v>
      </c>
      <c r="Q117" s="22" t="e">
        <f>$G117*'2. Salmon Passage by Bin'!I117</f>
        <v>#N/A</v>
      </c>
      <c r="R117" s="22" t="e">
        <f>$G117*'2. Salmon Passage by Bin'!J117</f>
        <v>#N/A</v>
      </c>
      <c r="S117" s="25" t="e">
        <f>'2. Salmon Passage by Bin'!K117*H117</f>
        <v>#N/A</v>
      </c>
      <c r="T117" s="25" t="e">
        <f>K117*'2. Salmon Passage by Bin'!L117</f>
        <v>#N/A</v>
      </c>
      <c r="U117" s="25" t="e">
        <f>K117*'2. Salmon Passage by Bin'!M117</f>
        <v>#N/A</v>
      </c>
      <c r="V117" s="25" t="e">
        <f>J117*'2. Salmon Passage by Bin'!N117</f>
        <v>#N/A</v>
      </c>
      <c r="W117" s="25" t="e">
        <f>I117*'2. Salmon Passage by Bin'!O117</f>
        <v>#N/A</v>
      </c>
      <c r="X117" s="22" t="e">
        <f>E117*'2. Salmon Passage by Bin'!E117</f>
        <v>#N/A</v>
      </c>
      <c r="Y117" s="41">
        <f t="shared" si="1"/>
        <v>0</v>
      </c>
      <c r="Z117" s="42" t="e">
        <f>Y117/'[1]Passage Estimates'!$D117</f>
        <v>#N/A</v>
      </c>
      <c r="AA117" s="43" t="e">
        <f>IFERROR(SUMIF(L117:R117, "&lt;&gt;#N/A")/SUMIF('2. Salmon Passage by Bin'!E117:J117, "&lt;&gt;#N/A"), NA())</f>
        <v>#N/A</v>
      </c>
      <c r="AB117" s="42" t="e">
        <f>IFERROR(IF(ISNA(S117), NA(), S117/'2. Salmon Passage by Bin'!K117), NA())</f>
        <v>#N/A</v>
      </c>
      <c r="AC117" s="44" t="e">
        <f>IFERROR(SUMIF(T117:W117, "&lt;&gt;#N/A")/SUMIF('2. Salmon Passage by Bin'!L117:N117, "&lt;&gt;#N/A"), NA())</f>
        <v>#N/A</v>
      </c>
    </row>
    <row r="118" spans="1:29" x14ac:dyDescent="0.3">
      <c r="A118" s="5">
        <f>'1. Mixture Model Inputs'!A118</f>
        <v>45220</v>
      </c>
      <c r="B118" s="13" t="str">
        <f>IF(ISBLANK('[1]Passage Estimates'!$C118),"",IF('[1]Passage Estimates'!$C118="Imputation",'[1]Passage Estimates'!$B118,'[1]Passage Estimates'!$C118))</f>
        <v/>
      </c>
      <c r="C118" s="17" t="e">
        <f>IFERROR('1. Mixture Model Inputs'!B118/'1. Mixture Model Inputs'!Z118,NA())</f>
        <v>#N/A</v>
      </c>
      <c r="D118" s="17" t="e">
        <f>IFERROR('1. Mixture Model Inputs'!C118/'1. Mixture Model Inputs'!AA118,NA())</f>
        <v>#N/A</v>
      </c>
      <c r="E118" s="17" t="e">
        <f>IFERROR('1. Mixture Model Inputs'!D118/'1. Mixture Model Inputs'!AB118,NA())</f>
        <v>#N/A</v>
      </c>
      <c r="F118" s="17" t="e">
        <f>IFERROR('1. Mixture Model Inputs'!E118/'1. Mixture Model Inputs'!AC118, NA())</f>
        <v>#N/A</v>
      </c>
      <c r="G118" s="17" t="e">
        <f>IFERROR('1. Mixture Model Inputs'!F118/'1. Mixture Model Inputs'!AD118, NA())</f>
        <v>#N/A</v>
      </c>
      <c r="H118" s="24">
        <f>WhonSpComp!AT133</f>
        <v>0</v>
      </c>
      <c r="I118" s="17" t="e">
        <f>IFERROR('1. Mixture Model Inputs'!G118/'1. Mixture Model Inputs'!AE118, NA())</f>
        <v>#N/A</v>
      </c>
      <c r="J118" s="17" t="e">
        <f>IFERROR('1. Mixture Model Inputs'!H118/'1. Mixture Model Inputs'!AF118, NA())</f>
        <v>#N/A</v>
      </c>
      <c r="K118" s="17" t="e">
        <f>IFERROR('1. Mixture Model Inputs'!I118/'1. Mixture Model Inputs'!AG118, NA())</f>
        <v>#N/A</v>
      </c>
      <c r="L118" s="22" t="e">
        <f>C118*'2. Salmon Passage by Bin'!C118</f>
        <v>#N/A</v>
      </c>
      <c r="M118" s="22" t="e">
        <f>D118*'2. Salmon Passage by Bin'!D118</f>
        <v>#N/A</v>
      </c>
      <c r="N118" s="22" t="e">
        <f>F118*'2. Salmon Passage by Bin'!F118</f>
        <v>#N/A</v>
      </c>
      <c r="O118" s="22" t="e">
        <f>G118*'2. Salmon Passage by Bin'!G118</f>
        <v>#N/A</v>
      </c>
      <c r="P118" s="22" t="e">
        <f>$G118*'2. Salmon Passage by Bin'!H118</f>
        <v>#N/A</v>
      </c>
      <c r="Q118" s="22" t="e">
        <f>$G118*'2. Salmon Passage by Bin'!I118</f>
        <v>#N/A</v>
      </c>
      <c r="R118" s="22" t="e">
        <f>$G118*'2. Salmon Passage by Bin'!J118</f>
        <v>#N/A</v>
      </c>
      <c r="S118" s="25" t="e">
        <f>'2. Salmon Passage by Bin'!K118*H118</f>
        <v>#N/A</v>
      </c>
      <c r="T118" s="25" t="e">
        <f>K118*'2. Salmon Passage by Bin'!L118</f>
        <v>#N/A</v>
      </c>
      <c r="U118" s="25" t="e">
        <f>K118*'2. Salmon Passage by Bin'!M118</f>
        <v>#N/A</v>
      </c>
      <c r="V118" s="25" t="e">
        <f>J118*'2. Salmon Passage by Bin'!N118</f>
        <v>#N/A</v>
      </c>
      <c r="W118" s="25" t="e">
        <f>I118*'2. Salmon Passage by Bin'!O118</f>
        <v>#N/A</v>
      </c>
      <c r="X118" s="22" t="e">
        <f>E118*'2. Salmon Passage by Bin'!E118</f>
        <v>#N/A</v>
      </c>
      <c r="Y118" s="41">
        <f t="shared" si="1"/>
        <v>0</v>
      </c>
      <c r="Z118" s="42" t="e">
        <f>Y118/'[1]Passage Estimates'!$D118</f>
        <v>#N/A</v>
      </c>
      <c r="AA118" s="43" t="e">
        <f>IFERROR(SUMIF(L118:R118, "&lt;&gt;#N/A")/SUMIF('2. Salmon Passage by Bin'!E118:J118, "&lt;&gt;#N/A"), NA())</f>
        <v>#N/A</v>
      </c>
      <c r="AB118" s="42" t="e">
        <f>IFERROR(IF(ISNA(S118), NA(), S118/'2. Salmon Passage by Bin'!K118), NA())</f>
        <v>#N/A</v>
      </c>
      <c r="AC118" s="44" t="e">
        <f>IFERROR(SUMIF(T118:W118, "&lt;&gt;#N/A")/SUMIF('2. Salmon Passage by Bin'!L118:N118, "&lt;&gt;#N/A"), NA())</f>
        <v>#N/A</v>
      </c>
    </row>
    <row r="119" spans="1:29" x14ac:dyDescent="0.3">
      <c r="A119" s="5">
        <f>'1. Mixture Model Inputs'!A119</f>
        <v>45221</v>
      </c>
      <c r="B119" s="13" t="str">
        <f>IF(ISBLANK('[1]Passage Estimates'!$C119),"",IF('[1]Passage Estimates'!$C119="Imputation",'[1]Passage Estimates'!$B119,'[1]Passage Estimates'!$C119))</f>
        <v/>
      </c>
      <c r="C119" s="17" t="e">
        <f>IFERROR('1. Mixture Model Inputs'!B119/'1. Mixture Model Inputs'!Z119,NA())</f>
        <v>#N/A</v>
      </c>
      <c r="D119" s="17" t="e">
        <f>IFERROR('1. Mixture Model Inputs'!C119/'1. Mixture Model Inputs'!AA119,NA())</f>
        <v>#N/A</v>
      </c>
      <c r="E119" s="17" t="e">
        <f>IFERROR('1. Mixture Model Inputs'!D119/'1. Mixture Model Inputs'!AB119,NA())</f>
        <v>#N/A</v>
      </c>
      <c r="F119" s="17" t="e">
        <f>IFERROR('1. Mixture Model Inputs'!E119/'1. Mixture Model Inputs'!AC119, NA())</f>
        <v>#N/A</v>
      </c>
      <c r="G119" s="17" t="e">
        <f>IFERROR('1. Mixture Model Inputs'!F119/'1. Mixture Model Inputs'!AD119, NA())</f>
        <v>#N/A</v>
      </c>
      <c r="H119" s="24">
        <f>WhonSpComp!AT134</f>
        <v>0</v>
      </c>
      <c r="I119" s="17" t="e">
        <f>IFERROR('1. Mixture Model Inputs'!G119/'1. Mixture Model Inputs'!AE119, NA())</f>
        <v>#N/A</v>
      </c>
      <c r="J119" s="17" t="e">
        <f>IFERROR('1. Mixture Model Inputs'!H119/'1. Mixture Model Inputs'!AF119, NA())</f>
        <v>#N/A</v>
      </c>
      <c r="K119" s="17" t="e">
        <f>IFERROR('1. Mixture Model Inputs'!I119/'1. Mixture Model Inputs'!AG119, NA())</f>
        <v>#N/A</v>
      </c>
      <c r="L119" s="22" t="e">
        <f>C119*'2. Salmon Passage by Bin'!C119</f>
        <v>#N/A</v>
      </c>
      <c r="M119" s="22" t="e">
        <f>D119*'2. Salmon Passage by Bin'!D119</f>
        <v>#N/A</v>
      </c>
      <c r="N119" s="22" t="e">
        <f>F119*'2. Salmon Passage by Bin'!F119</f>
        <v>#N/A</v>
      </c>
      <c r="O119" s="22" t="e">
        <f>G119*'2. Salmon Passage by Bin'!G119</f>
        <v>#N/A</v>
      </c>
      <c r="P119" s="22" t="e">
        <f>$G119*'2. Salmon Passage by Bin'!H119</f>
        <v>#N/A</v>
      </c>
      <c r="Q119" s="22" t="e">
        <f>$G119*'2. Salmon Passage by Bin'!I119</f>
        <v>#N/A</v>
      </c>
      <c r="R119" s="22" t="e">
        <f>$G119*'2. Salmon Passage by Bin'!J119</f>
        <v>#N/A</v>
      </c>
      <c r="S119" s="25" t="e">
        <f>'2. Salmon Passage by Bin'!K119*H119</f>
        <v>#N/A</v>
      </c>
      <c r="T119" s="25" t="e">
        <f>K119*'2. Salmon Passage by Bin'!L119</f>
        <v>#N/A</v>
      </c>
      <c r="U119" s="25" t="e">
        <f>K119*'2. Salmon Passage by Bin'!M119</f>
        <v>#N/A</v>
      </c>
      <c r="V119" s="25" t="e">
        <f>J119*'2. Salmon Passage by Bin'!N119</f>
        <v>#N/A</v>
      </c>
      <c r="W119" s="25" t="e">
        <f>I119*'2. Salmon Passage by Bin'!O119</f>
        <v>#N/A</v>
      </c>
      <c r="X119" s="22" t="e">
        <f>E119*'2. Salmon Passage by Bin'!E119</f>
        <v>#N/A</v>
      </c>
      <c r="Y119" s="41">
        <f t="shared" si="1"/>
        <v>0</v>
      </c>
      <c r="Z119" s="42" t="e">
        <f>Y119/'[1]Passage Estimates'!$D119</f>
        <v>#N/A</v>
      </c>
      <c r="AA119" s="43" t="e">
        <f>IFERROR(SUMIF(L119:R119, "&lt;&gt;#N/A")/SUMIF('2. Salmon Passage by Bin'!E119:J119, "&lt;&gt;#N/A"), NA())</f>
        <v>#N/A</v>
      </c>
      <c r="AB119" s="42" t="e">
        <f>IFERROR(IF(ISNA(S119), NA(), S119/'2. Salmon Passage by Bin'!K119), NA())</f>
        <v>#N/A</v>
      </c>
      <c r="AC119" s="44" t="e">
        <f>IFERROR(SUMIF(T119:W119, "&lt;&gt;#N/A")/SUMIF('2. Salmon Passage by Bin'!L119:N119, "&lt;&gt;#N/A"), NA())</f>
        <v>#N/A</v>
      </c>
    </row>
    <row r="120" spans="1:29" x14ac:dyDescent="0.3">
      <c r="A120" s="5">
        <f>'1. Mixture Model Inputs'!A120</f>
        <v>45222</v>
      </c>
      <c r="B120" s="13" t="str">
        <f>IF(ISBLANK('[1]Passage Estimates'!$C120),"",IF('[1]Passage Estimates'!$C120="Imputation",'[1]Passage Estimates'!$B120,'[1]Passage Estimates'!$C120))</f>
        <v/>
      </c>
      <c r="C120" s="17" t="e">
        <f>IFERROR('1. Mixture Model Inputs'!B120/'1. Mixture Model Inputs'!Z120,NA())</f>
        <v>#N/A</v>
      </c>
      <c r="D120" s="17" t="e">
        <f>IFERROR('1. Mixture Model Inputs'!C120/'1. Mixture Model Inputs'!AA120,NA())</f>
        <v>#N/A</v>
      </c>
      <c r="E120" s="17" t="e">
        <f>IFERROR('1. Mixture Model Inputs'!D120/'1. Mixture Model Inputs'!AB120,NA())</f>
        <v>#N/A</v>
      </c>
      <c r="F120" s="17" t="e">
        <f>IFERROR('1. Mixture Model Inputs'!E120/'1. Mixture Model Inputs'!AC120, NA())</f>
        <v>#N/A</v>
      </c>
      <c r="G120" s="17" t="e">
        <f>IFERROR('1. Mixture Model Inputs'!F120/'1. Mixture Model Inputs'!AD120, NA())</f>
        <v>#N/A</v>
      </c>
      <c r="H120" s="24">
        <f>WhonSpComp!AT135</f>
        <v>0</v>
      </c>
      <c r="I120" s="17" t="e">
        <f>IFERROR('1. Mixture Model Inputs'!G120/'1. Mixture Model Inputs'!AE120, NA())</f>
        <v>#N/A</v>
      </c>
      <c r="J120" s="17" t="e">
        <f>IFERROR('1. Mixture Model Inputs'!H120/'1. Mixture Model Inputs'!AF120, NA())</f>
        <v>#N/A</v>
      </c>
      <c r="K120" s="17" t="e">
        <f>IFERROR('1. Mixture Model Inputs'!I120/'1. Mixture Model Inputs'!AG120, NA())</f>
        <v>#N/A</v>
      </c>
      <c r="L120" s="22" t="e">
        <f>C120*'2. Salmon Passage by Bin'!C120</f>
        <v>#N/A</v>
      </c>
      <c r="M120" s="22" t="e">
        <f>D120*'2. Salmon Passage by Bin'!D120</f>
        <v>#N/A</v>
      </c>
      <c r="N120" s="22" t="e">
        <f>F120*'2. Salmon Passage by Bin'!F120</f>
        <v>#N/A</v>
      </c>
      <c r="O120" s="22" t="e">
        <f>G120*'2. Salmon Passage by Bin'!G120</f>
        <v>#N/A</v>
      </c>
      <c r="P120" s="22" t="e">
        <f>$G120*'2. Salmon Passage by Bin'!H120</f>
        <v>#N/A</v>
      </c>
      <c r="Q120" s="22" t="e">
        <f>$G120*'2. Salmon Passage by Bin'!I120</f>
        <v>#N/A</v>
      </c>
      <c r="R120" s="22" t="e">
        <f>$G120*'2. Salmon Passage by Bin'!J120</f>
        <v>#N/A</v>
      </c>
      <c r="S120" s="25" t="e">
        <f>'2. Salmon Passage by Bin'!K120*H120</f>
        <v>#N/A</v>
      </c>
      <c r="T120" s="25" t="e">
        <f>K120*'2. Salmon Passage by Bin'!L120</f>
        <v>#N/A</v>
      </c>
      <c r="U120" s="25" t="e">
        <f>K120*'2. Salmon Passage by Bin'!M120</f>
        <v>#N/A</v>
      </c>
      <c r="V120" s="25" t="e">
        <f>J120*'2. Salmon Passage by Bin'!N120</f>
        <v>#N/A</v>
      </c>
      <c r="W120" s="25" t="e">
        <f>I120*'2. Salmon Passage by Bin'!O120</f>
        <v>#N/A</v>
      </c>
      <c r="X120" s="22" t="e">
        <f>E120*'2. Salmon Passage by Bin'!E120</f>
        <v>#N/A</v>
      </c>
      <c r="Y120" s="41">
        <f t="shared" si="1"/>
        <v>0</v>
      </c>
      <c r="Z120" s="42" t="e">
        <f>Y120/'[1]Passage Estimates'!$D120</f>
        <v>#N/A</v>
      </c>
      <c r="AA120" s="43" t="e">
        <f>IFERROR(SUMIF(L120:R120, "&lt;&gt;#N/A")/SUMIF('2. Salmon Passage by Bin'!E120:J120, "&lt;&gt;#N/A"), NA())</f>
        <v>#N/A</v>
      </c>
      <c r="AB120" s="42" t="e">
        <f>IFERROR(IF(ISNA(S120), NA(), S120/'2. Salmon Passage by Bin'!K120), NA())</f>
        <v>#N/A</v>
      </c>
      <c r="AC120" s="44" t="e">
        <f>IFERROR(SUMIF(T120:W120, "&lt;&gt;#N/A")/SUMIF('2. Salmon Passage by Bin'!L120:N120, "&lt;&gt;#N/A"), NA())</f>
        <v>#N/A</v>
      </c>
    </row>
    <row r="121" spans="1:29" x14ac:dyDescent="0.3">
      <c r="A121" s="5">
        <f>'1. Mixture Model Inputs'!A121</f>
        <v>45223</v>
      </c>
      <c r="B121" s="13" t="str">
        <f>IF(ISBLANK('[1]Passage Estimates'!$C121),"",IF('[1]Passage Estimates'!$C121="Imputation",'[1]Passage Estimates'!$B121,'[1]Passage Estimates'!$C121))</f>
        <v/>
      </c>
      <c r="C121" s="17" t="e">
        <f>IFERROR('1. Mixture Model Inputs'!B121/'1. Mixture Model Inputs'!Z121,NA())</f>
        <v>#N/A</v>
      </c>
      <c r="D121" s="17" t="e">
        <f>IFERROR('1. Mixture Model Inputs'!C121/'1. Mixture Model Inputs'!AA121,NA())</f>
        <v>#N/A</v>
      </c>
      <c r="E121" s="17" t="e">
        <f>IFERROR('1. Mixture Model Inputs'!D121/'1. Mixture Model Inputs'!AB121,NA())</f>
        <v>#N/A</v>
      </c>
      <c r="F121" s="17" t="e">
        <f>IFERROR('1. Mixture Model Inputs'!E121/'1. Mixture Model Inputs'!AC121, NA())</f>
        <v>#N/A</v>
      </c>
      <c r="G121" s="17" t="e">
        <f>IFERROR('1. Mixture Model Inputs'!F121/'1. Mixture Model Inputs'!AD121, NA())</f>
        <v>#N/A</v>
      </c>
      <c r="H121" s="24">
        <f>WhonSpComp!AT136</f>
        <v>0</v>
      </c>
      <c r="I121" s="17" t="e">
        <f>IFERROR('1. Mixture Model Inputs'!G121/'1. Mixture Model Inputs'!AE121, NA())</f>
        <v>#N/A</v>
      </c>
      <c r="J121" s="17" t="e">
        <f>IFERROR('1. Mixture Model Inputs'!H121/'1. Mixture Model Inputs'!AF121, NA())</f>
        <v>#N/A</v>
      </c>
      <c r="K121" s="17" t="e">
        <f>IFERROR('1. Mixture Model Inputs'!I121/'1. Mixture Model Inputs'!AG121, NA())</f>
        <v>#N/A</v>
      </c>
      <c r="L121" s="22" t="e">
        <f>C121*'2. Salmon Passage by Bin'!C121</f>
        <v>#N/A</v>
      </c>
      <c r="M121" s="22" t="e">
        <f>D121*'2. Salmon Passage by Bin'!D121</f>
        <v>#N/A</v>
      </c>
      <c r="N121" s="22" t="e">
        <f>F121*'2. Salmon Passage by Bin'!F121</f>
        <v>#N/A</v>
      </c>
      <c r="O121" s="22" t="e">
        <f>G121*'2. Salmon Passage by Bin'!G121</f>
        <v>#N/A</v>
      </c>
      <c r="P121" s="22" t="e">
        <f>$G121*'2. Salmon Passage by Bin'!H121</f>
        <v>#N/A</v>
      </c>
      <c r="Q121" s="22" t="e">
        <f>$G121*'2. Salmon Passage by Bin'!I121</f>
        <v>#N/A</v>
      </c>
      <c r="R121" s="22" t="e">
        <f>$G121*'2. Salmon Passage by Bin'!J121</f>
        <v>#N/A</v>
      </c>
      <c r="S121" s="25" t="e">
        <f>'2. Salmon Passage by Bin'!K121*H121</f>
        <v>#N/A</v>
      </c>
      <c r="T121" s="25" t="e">
        <f>K121*'2. Salmon Passage by Bin'!L121</f>
        <v>#N/A</v>
      </c>
      <c r="U121" s="25" t="e">
        <f>K121*'2. Salmon Passage by Bin'!M121</f>
        <v>#N/A</v>
      </c>
      <c r="V121" s="25" t="e">
        <f>J121*'2. Salmon Passage by Bin'!N121</f>
        <v>#N/A</v>
      </c>
      <c r="W121" s="25" t="e">
        <f>I121*'2. Salmon Passage by Bin'!O121</f>
        <v>#N/A</v>
      </c>
      <c r="X121" s="22" t="e">
        <f>E121*'2. Salmon Passage by Bin'!E121</f>
        <v>#N/A</v>
      </c>
      <c r="Y121" s="41">
        <f t="shared" si="1"/>
        <v>0</v>
      </c>
      <c r="Z121" s="42" t="e">
        <f>Y121/'[1]Passage Estimates'!$D121</f>
        <v>#N/A</v>
      </c>
      <c r="AA121" s="43" t="e">
        <f>IFERROR(SUMIF(L121:R121, "&lt;&gt;#N/A")/SUMIF('2. Salmon Passage by Bin'!E121:J121, "&lt;&gt;#N/A"), NA())</f>
        <v>#N/A</v>
      </c>
      <c r="AB121" s="42" t="e">
        <f>IFERROR(IF(ISNA(S121), NA(), S121/'2. Salmon Passage by Bin'!K121), NA())</f>
        <v>#N/A</v>
      </c>
      <c r="AC121" s="44" t="e">
        <f>IFERROR(SUMIF(T121:W121, "&lt;&gt;#N/A")/SUMIF('2. Salmon Passage by Bin'!L121:N121, "&lt;&gt;#N/A"), NA())</f>
        <v>#N/A</v>
      </c>
    </row>
    <row r="122" spans="1:29" x14ac:dyDescent="0.3">
      <c r="A122" s="5">
        <f>'1. Mixture Model Inputs'!A122</f>
        <v>45224</v>
      </c>
      <c r="B122" s="13" t="str">
        <f>IF(ISBLANK('[1]Passage Estimates'!$C122),"",IF('[1]Passage Estimates'!$C122="Imputation",'[1]Passage Estimates'!$B122,'[1]Passage Estimates'!$C122))</f>
        <v/>
      </c>
      <c r="C122" s="17" t="e">
        <f>IFERROR('1. Mixture Model Inputs'!B122/'1. Mixture Model Inputs'!Z122,NA())</f>
        <v>#N/A</v>
      </c>
      <c r="D122" s="17" t="e">
        <f>IFERROR('1. Mixture Model Inputs'!C122/'1. Mixture Model Inputs'!AA122,NA())</f>
        <v>#N/A</v>
      </c>
      <c r="E122" s="17" t="e">
        <f>IFERROR('1. Mixture Model Inputs'!D122/'1. Mixture Model Inputs'!AB122,NA())</f>
        <v>#N/A</v>
      </c>
      <c r="F122" s="17" t="e">
        <f>IFERROR('1. Mixture Model Inputs'!E122/'1. Mixture Model Inputs'!AC122, NA())</f>
        <v>#N/A</v>
      </c>
      <c r="G122" s="17" t="e">
        <f>IFERROR('1. Mixture Model Inputs'!F122/'1. Mixture Model Inputs'!AD122, NA())</f>
        <v>#N/A</v>
      </c>
      <c r="H122" s="24">
        <f>WhonSpComp!AT137</f>
        <v>0</v>
      </c>
      <c r="I122" s="17" t="e">
        <f>IFERROR('1. Mixture Model Inputs'!G122/'1. Mixture Model Inputs'!AE122, NA())</f>
        <v>#N/A</v>
      </c>
      <c r="J122" s="17" t="e">
        <f>IFERROR('1. Mixture Model Inputs'!H122/'1. Mixture Model Inputs'!AF122, NA())</f>
        <v>#N/A</v>
      </c>
      <c r="K122" s="17" t="e">
        <f>IFERROR('1. Mixture Model Inputs'!I122/'1. Mixture Model Inputs'!AG122, NA())</f>
        <v>#N/A</v>
      </c>
      <c r="L122" s="22" t="e">
        <f>C122*'2. Salmon Passage by Bin'!C122</f>
        <v>#N/A</v>
      </c>
      <c r="M122" s="22" t="e">
        <f>D122*'2. Salmon Passage by Bin'!D122</f>
        <v>#N/A</v>
      </c>
      <c r="N122" s="22" t="e">
        <f>F122*'2. Salmon Passage by Bin'!F122</f>
        <v>#N/A</v>
      </c>
      <c r="O122" s="22" t="e">
        <f>G122*'2. Salmon Passage by Bin'!G122</f>
        <v>#N/A</v>
      </c>
      <c r="P122" s="22" t="e">
        <f>$G122*'2. Salmon Passage by Bin'!H122</f>
        <v>#N/A</v>
      </c>
      <c r="Q122" s="22" t="e">
        <f>$G122*'2. Salmon Passage by Bin'!I122</f>
        <v>#N/A</v>
      </c>
      <c r="R122" s="22" t="e">
        <f>$G122*'2. Salmon Passage by Bin'!J122</f>
        <v>#N/A</v>
      </c>
      <c r="S122" s="25" t="e">
        <f>'2. Salmon Passage by Bin'!K122*H122</f>
        <v>#N/A</v>
      </c>
      <c r="T122" s="25" t="e">
        <f>K122*'2. Salmon Passage by Bin'!L122</f>
        <v>#N/A</v>
      </c>
      <c r="U122" s="25" t="e">
        <f>K122*'2. Salmon Passage by Bin'!M122</f>
        <v>#N/A</v>
      </c>
      <c r="V122" s="25" t="e">
        <f>J122*'2. Salmon Passage by Bin'!N122</f>
        <v>#N/A</v>
      </c>
      <c r="W122" s="25" t="e">
        <f>I122*'2. Salmon Passage by Bin'!O122</f>
        <v>#N/A</v>
      </c>
      <c r="X122" s="22" t="e">
        <f>E122*'2. Salmon Passage by Bin'!E122</f>
        <v>#N/A</v>
      </c>
      <c r="Y122" s="41">
        <f t="shared" si="1"/>
        <v>0</v>
      </c>
      <c r="Z122" s="42" t="e">
        <f>Y122/'[1]Passage Estimates'!$D122</f>
        <v>#N/A</v>
      </c>
      <c r="AA122" s="43" t="e">
        <f>IFERROR(SUMIF(L122:R122, "&lt;&gt;#N/A")/SUMIF('2. Salmon Passage by Bin'!E122:J122, "&lt;&gt;#N/A"), NA())</f>
        <v>#N/A</v>
      </c>
      <c r="AB122" s="42" t="e">
        <f>IFERROR(IF(ISNA(S122), NA(), S122/'2. Salmon Passage by Bin'!K122), NA())</f>
        <v>#N/A</v>
      </c>
      <c r="AC122" s="44" t="e">
        <f>IFERROR(SUMIF(T122:W122, "&lt;&gt;#N/A")/SUMIF('2. Salmon Passage by Bin'!L122:N122, "&lt;&gt;#N/A"), NA())</f>
        <v>#N/A</v>
      </c>
    </row>
    <row r="123" spans="1:29" x14ac:dyDescent="0.3">
      <c r="A123" s="5">
        <f>'1. Mixture Model Inputs'!A123</f>
        <v>45225</v>
      </c>
      <c r="B123" s="13" t="str">
        <f>IF(ISBLANK('[1]Passage Estimates'!$C123),"",IF('[1]Passage Estimates'!$C123="Imputation",'[1]Passage Estimates'!$B123,'[1]Passage Estimates'!$C123))</f>
        <v/>
      </c>
      <c r="C123" s="17" t="e">
        <f>IFERROR('1. Mixture Model Inputs'!B123/'1. Mixture Model Inputs'!Z123,NA())</f>
        <v>#N/A</v>
      </c>
      <c r="D123" s="17" t="e">
        <f>IFERROR('1. Mixture Model Inputs'!C123/'1. Mixture Model Inputs'!AA123,NA())</f>
        <v>#N/A</v>
      </c>
      <c r="E123" s="17" t="e">
        <f>IFERROR('1. Mixture Model Inputs'!D123/'1. Mixture Model Inputs'!AB123,NA())</f>
        <v>#N/A</v>
      </c>
      <c r="F123" s="17" t="e">
        <f>IFERROR('1. Mixture Model Inputs'!E123/'1. Mixture Model Inputs'!AC123, NA())</f>
        <v>#N/A</v>
      </c>
      <c r="G123" s="17" t="e">
        <f>IFERROR('1. Mixture Model Inputs'!F123/'1. Mixture Model Inputs'!AD123, NA())</f>
        <v>#N/A</v>
      </c>
      <c r="H123" s="24">
        <f>WhonSpComp!AT138</f>
        <v>0</v>
      </c>
      <c r="I123" s="17" t="e">
        <f>IFERROR('1. Mixture Model Inputs'!G123/'1. Mixture Model Inputs'!AE123, NA())</f>
        <v>#N/A</v>
      </c>
      <c r="J123" s="17" t="e">
        <f>IFERROR('1. Mixture Model Inputs'!H123/'1. Mixture Model Inputs'!AF123, NA())</f>
        <v>#N/A</v>
      </c>
      <c r="K123" s="17" t="e">
        <f>IFERROR('1. Mixture Model Inputs'!I123/'1. Mixture Model Inputs'!AG123, NA())</f>
        <v>#N/A</v>
      </c>
      <c r="L123" s="22" t="e">
        <f>C123*'2. Salmon Passage by Bin'!C123</f>
        <v>#N/A</v>
      </c>
      <c r="M123" s="22" t="e">
        <f>D123*'2. Salmon Passage by Bin'!D123</f>
        <v>#N/A</v>
      </c>
      <c r="N123" s="22" t="e">
        <f>F123*'2. Salmon Passage by Bin'!F123</f>
        <v>#N/A</v>
      </c>
      <c r="O123" s="22" t="e">
        <f>G123*'2. Salmon Passage by Bin'!G123</f>
        <v>#N/A</v>
      </c>
      <c r="P123" s="22" t="e">
        <f>$G123*'2. Salmon Passage by Bin'!H123</f>
        <v>#N/A</v>
      </c>
      <c r="Q123" s="22" t="e">
        <f>$G123*'2. Salmon Passage by Bin'!I123</f>
        <v>#N/A</v>
      </c>
      <c r="R123" s="22" t="e">
        <f>$G123*'2. Salmon Passage by Bin'!J123</f>
        <v>#N/A</v>
      </c>
      <c r="S123" s="25" t="e">
        <f>'2. Salmon Passage by Bin'!K123*H123</f>
        <v>#N/A</v>
      </c>
      <c r="T123" s="25" t="e">
        <f>K123*'2. Salmon Passage by Bin'!L123</f>
        <v>#N/A</v>
      </c>
      <c r="U123" s="25" t="e">
        <f>K123*'2. Salmon Passage by Bin'!M123</f>
        <v>#N/A</v>
      </c>
      <c r="V123" s="25" t="e">
        <f>J123*'2. Salmon Passage by Bin'!N123</f>
        <v>#N/A</v>
      </c>
      <c r="W123" s="25" t="e">
        <f>I123*'2. Salmon Passage by Bin'!O123</f>
        <v>#N/A</v>
      </c>
      <c r="X123" s="22" t="e">
        <f>E123*'2. Salmon Passage by Bin'!E123</f>
        <v>#N/A</v>
      </c>
      <c r="Y123" s="41">
        <f t="shared" si="1"/>
        <v>0</v>
      </c>
      <c r="Z123" s="42" t="e">
        <f>Y123/'[1]Passage Estimates'!$D123</f>
        <v>#N/A</v>
      </c>
      <c r="AA123" s="43" t="e">
        <f>IFERROR(SUMIF(L123:R123, "&lt;&gt;#N/A")/SUMIF('2. Salmon Passage by Bin'!E123:J123, "&lt;&gt;#N/A"), NA())</f>
        <v>#N/A</v>
      </c>
      <c r="AB123" s="42" t="e">
        <f>IFERROR(IF(ISNA(S123), NA(), S123/'2. Salmon Passage by Bin'!K123), NA())</f>
        <v>#N/A</v>
      </c>
      <c r="AC123" s="44" t="e">
        <f>IFERROR(SUMIF(T123:W123, "&lt;&gt;#N/A")/SUMIF('2. Salmon Passage by Bin'!L123:N123, "&lt;&gt;#N/A"), NA())</f>
        <v>#N/A</v>
      </c>
    </row>
    <row r="124" spans="1:29" x14ac:dyDescent="0.3">
      <c r="A124" s="5">
        <f>'1. Mixture Model Inputs'!A124</f>
        <v>45226</v>
      </c>
      <c r="B124" s="13" t="str">
        <f>IF(ISBLANK('[1]Passage Estimates'!$C124),"",IF('[1]Passage Estimates'!$C124="Imputation",'[1]Passage Estimates'!$B124,'[1]Passage Estimates'!$C124))</f>
        <v/>
      </c>
      <c r="C124" s="17" t="e">
        <f>IFERROR('1. Mixture Model Inputs'!B124/'1. Mixture Model Inputs'!Z124,NA())</f>
        <v>#N/A</v>
      </c>
      <c r="D124" s="17" t="e">
        <f>IFERROR('1. Mixture Model Inputs'!C124/'1. Mixture Model Inputs'!AA124,NA())</f>
        <v>#N/A</v>
      </c>
      <c r="E124" s="17" t="e">
        <f>IFERROR('1. Mixture Model Inputs'!D124/'1. Mixture Model Inputs'!AB124,NA())</f>
        <v>#N/A</v>
      </c>
      <c r="F124" s="17" t="e">
        <f>IFERROR('1. Mixture Model Inputs'!E124/'1. Mixture Model Inputs'!AC124, NA())</f>
        <v>#N/A</v>
      </c>
      <c r="G124" s="17" t="e">
        <f>IFERROR('1. Mixture Model Inputs'!F124/'1. Mixture Model Inputs'!AD124, NA())</f>
        <v>#N/A</v>
      </c>
      <c r="H124" s="24">
        <f>WhonSpComp!AT139</f>
        <v>0</v>
      </c>
      <c r="I124" s="17" t="e">
        <f>IFERROR('1. Mixture Model Inputs'!G124/'1. Mixture Model Inputs'!AE124, NA())</f>
        <v>#N/A</v>
      </c>
      <c r="J124" s="17" t="e">
        <f>IFERROR('1. Mixture Model Inputs'!H124/'1. Mixture Model Inputs'!AF124, NA())</f>
        <v>#N/A</v>
      </c>
      <c r="K124" s="17" t="e">
        <f>IFERROR('1. Mixture Model Inputs'!I124/'1. Mixture Model Inputs'!AG124, NA())</f>
        <v>#N/A</v>
      </c>
      <c r="L124" s="22" t="e">
        <f>C124*'2. Salmon Passage by Bin'!C124</f>
        <v>#N/A</v>
      </c>
      <c r="M124" s="22" t="e">
        <f>D124*'2. Salmon Passage by Bin'!D124</f>
        <v>#N/A</v>
      </c>
      <c r="N124" s="22" t="e">
        <f>F124*'2. Salmon Passage by Bin'!F124</f>
        <v>#N/A</v>
      </c>
      <c r="O124" s="22" t="e">
        <f>G124*'2. Salmon Passage by Bin'!G124</f>
        <v>#N/A</v>
      </c>
      <c r="P124" s="22" t="e">
        <f>$G124*'2. Salmon Passage by Bin'!H124</f>
        <v>#N/A</v>
      </c>
      <c r="Q124" s="22" t="e">
        <f>$G124*'2. Salmon Passage by Bin'!I124</f>
        <v>#N/A</v>
      </c>
      <c r="R124" s="22" t="e">
        <f>$G124*'2. Salmon Passage by Bin'!J124</f>
        <v>#N/A</v>
      </c>
      <c r="S124" s="25" t="e">
        <f>'2. Salmon Passage by Bin'!K124*H124</f>
        <v>#N/A</v>
      </c>
      <c r="T124" s="25" t="e">
        <f>K124*'2. Salmon Passage by Bin'!L124</f>
        <v>#N/A</v>
      </c>
      <c r="U124" s="25" t="e">
        <f>K124*'2. Salmon Passage by Bin'!M124</f>
        <v>#N/A</v>
      </c>
      <c r="V124" s="25" t="e">
        <f>J124*'2. Salmon Passage by Bin'!N124</f>
        <v>#N/A</v>
      </c>
      <c r="W124" s="25" t="e">
        <f>I124*'2. Salmon Passage by Bin'!O124</f>
        <v>#N/A</v>
      </c>
      <c r="X124" s="22" t="e">
        <f>E124*'2. Salmon Passage by Bin'!E124</f>
        <v>#N/A</v>
      </c>
      <c r="Y124" s="41">
        <f t="shared" si="1"/>
        <v>0</v>
      </c>
      <c r="Z124" s="42" t="e">
        <f>Y124/'[1]Passage Estimates'!$D124</f>
        <v>#N/A</v>
      </c>
      <c r="AA124" s="43" t="e">
        <f>IFERROR(SUMIF(L124:R124, "&lt;&gt;#N/A")/SUMIF('2. Salmon Passage by Bin'!E124:J124, "&lt;&gt;#N/A"), NA())</f>
        <v>#N/A</v>
      </c>
      <c r="AB124" s="42" t="e">
        <f>IFERROR(IF(ISNA(S124), NA(), S124/'2. Salmon Passage by Bin'!K124), NA())</f>
        <v>#N/A</v>
      </c>
      <c r="AC124" s="44" t="e">
        <f>IFERROR(SUMIF(T124:W124, "&lt;&gt;#N/A")/SUMIF('2. Salmon Passage by Bin'!L124:N124, "&lt;&gt;#N/A"), NA())</f>
        <v>#N/A</v>
      </c>
    </row>
    <row r="125" spans="1:29" x14ac:dyDescent="0.3">
      <c r="A125" s="5">
        <f>'1. Mixture Model Inputs'!A125</f>
        <v>45227</v>
      </c>
      <c r="B125" s="13" t="str">
        <f>IF(ISBLANK('[1]Passage Estimates'!$C125),"",IF('[1]Passage Estimates'!$C125="Imputation",'[1]Passage Estimates'!$B125,'[1]Passage Estimates'!$C125))</f>
        <v/>
      </c>
      <c r="C125" s="17" t="e">
        <f>IFERROR('1. Mixture Model Inputs'!B125/'1. Mixture Model Inputs'!Z125,NA())</f>
        <v>#N/A</v>
      </c>
      <c r="D125" s="17" t="e">
        <f>IFERROR('1. Mixture Model Inputs'!C125/'1. Mixture Model Inputs'!AA125,NA())</f>
        <v>#N/A</v>
      </c>
      <c r="E125" s="17" t="e">
        <f>IFERROR('1. Mixture Model Inputs'!D125/'1. Mixture Model Inputs'!AB125,NA())</f>
        <v>#N/A</v>
      </c>
      <c r="F125" s="17" t="e">
        <f>IFERROR('1. Mixture Model Inputs'!E125/'1. Mixture Model Inputs'!AC125, NA())</f>
        <v>#N/A</v>
      </c>
      <c r="G125" s="17" t="e">
        <f>IFERROR('1. Mixture Model Inputs'!F125/'1. Mixture Model Inputs'!AD125, NA())</f>
        <v>#N/A</v>
      </c>
      <c r="H125" s="24">
        <f>WhonSpComp!AT140</f>
        <v>0</v>
      </c>
      <c r="I125" s="17" t="e">
        <f>IFERROR('1. Mixture Model Inputs'!G125/'1. Mixture Model Inputs'!AE125, NA())</f>
        <v>#N/A</v>
      </c>
      <c r="J125" s="17" t="e">
        <f>IFERROR('1. Mixture Model Inputs'!H125/'1. Mixture Model Inputs'!AF125, NA())</f>
        <v>#N/A</v>
      </c>
      <c r="K125" s="17" t="e">
        <f>IFERROR('1. Mixture Model Inputs'!I125/'1. Mixture Model Inputs'!AG125, NA())</f>
        <v>#N/A</v>
      </c>
      <c r="L125" s="22" t="e">
        <f>C125*'2. Salmon Passage by Bin'!C125</f>
        <v>#N/A</v>
      </c>
      <c r="M125" s="22" t="e">
        <f>D125*'2. Salmon Passage by Bin'!D125</f>
        <v>#N/A</v>
      </c>
      <c r="N125" s="22" t="e">
        <f>F125*'2. Salmon Passage by Bin'!F125</f>
        <v>#N/A</v>
      </c>
      <c r="O125" s="22" t="e">
        <f>G125*'2. Salmon Passage by Bin'!G125</f>
        <v>#N/A</v>
      </c>
      <c r="P125" s="22" t="e">
        <f>$G125*'2. Salmon Passage by Bin'!H125</f>
        <v>#N/A</v>
      </c>
      <c r="Q125" s="22" t="e">
        <f>$G125*'2. Salmon Passage by Bin'!I125</f>
        <v>#N/A</v>
      </c>
      <c r="R125" s="22" t="e">
        <f>$G125*'2. Salmon Passage by Bin'!J125</f>
        <v>#N/A</v>
      </c>
      <c r="S125" s="25" t="e">
        <f>'2. Salmon Passage by Bin'!K125*H125</f>
        <v>#N/A</v>
      </c>
      <c r="T125" s="25" t="e">
        <f>K125*'2. Salmon Passage by Bin'!L125</f>
        <v>#N/A</v>
      </c>
      <c r="U125" s="25" t="e">
        <f>K125*'2. Salmon Passage by Bin'!M125</f>
        <v>#N/A</v>
      </c>
      <c r="V125" s="25" t="e">
        <f>J125*'2. Salmon Passage by Bin'!N125</f>
        <v>#N/A</v>
      </c>
      <c r="W125" s="25" t="e">
        <f>I125*'2. Salmon Passage by Bin'!O125</f>
        <v>#N/A</v>
      </c>
      <c r="X125" s="22" t="e">
        <f>E125*'2. Salmon Passage by Bin'!E125</f>
        <v>#N/A</v>
      </c>
      <c r="Y125" s="41">
        <f t="shared" si="1"/>
        <v>0</v>
      </c>
      <c r="Z125" s="42" t="e">
        <f>Y125/'[1]Passage Estimates'!$D125</f>
        <v>#N/A</v>
      </c>
      <c r="AA125" s="43" t="e">
        <f>IFERROR(SUMIF(L125:R125, "&lt;&gt;#N/A")/SUMIF('2. Salmon Passage by Bin'!E125:J125, "&lt;&gt;#N/A"), NA())</f>
        <v>#N/A</v>
      </c>
      <c r="AB125" s="42" t="e">
        <f>IFERROR(IF(ISNA(S125), NA(), S125/'2. Salmon Passage by Bin'!K125), NA())</f>
        <v>#N/A</v>
      </c>
      <c r="AC125" s="44" t="e">
        <f>IFERROR(SUMIF(T125:W125, "&lt;&gt;#N/A")/SUMIF('2. Salmon Passage by Bin'!L125:N125, "&lt;&gt;#N/A"), NA())</f>
        <v>#N/A</v>
      </c>
    </row>
    <row r="126" spans="1:29" x14ac:dyDescent="0.3">
      <c r="A126" s="5">
        <f>'1. Mixture Model Inputs'!A126</f>
        <v>45228</v>
      </c>
      <c r="B126" s="13" t="str">
        <f>IF(ISBLANK('[1]Passage Estimates'!$C126),"",IF('[1]Passage Estimates'!$C126="Imputation",'[1]Passage Estimates'!$B126,'[1]Passage Estimates'!$C126))</f>
        <v/>
      </c>
      <c r="C126" s="17" t="e">
        <f>IFERROR('1. Mixture Model Inputs'!B126/'1. Mixture Model Inputs'!Z126,NA())</f>
        <v>#N/A</v>
      </c>
      <c r="D126" s="17" t="e">
        <f>IFERROR('1. Mixture Model Inputs'!C126/'1. Mixture Model Inputs'!AA126,NA())</f>
        <v>#N/A</v>
      </c>
      <c r="E126" s="17" t="e">
        <f>IFERROR('1. Mixture Model Inputs'!D126/'1. Mixture Model Inputs'!AB126,NA())</f>
        <v>#N/A</v>
      </c>
      <c r="F126" s="17" t="e">
        <f>IFERROR('1. Mixture Model Inputs'!E126/'1. Mixture Model Inputs'!AC126, NA())</f>
        <v>#N/A</v>
      </c>
      <c r="G126" s="17" t="e">
        <f>IFERROR('1. Mixture Model Inputs'!F126/'1. Mixture Model Inputs'!AD126, NA())</f>
        <v>#N/A</v>
      </c>
      <c r="H126" s="24">
        <f>WhonSpComp!AT141</f>
        <v>0</v>
      </c>
      <c r="I126" s="17" t="e">
        <f>IFERROR('1. Mixture Model Inputs'!G126/'1. Mixture Model Inputs'!AE126, NA())</f>
        <v>#N/A</v>
      </c>
      <c r="J126" s="17" t="e">
        <f>IFERROR('1. Mixture Model Inputs'!H126/'1. Mixture Model Inputs'!AF126, NA())</f>
        <v>#N/A</v>
      </c>
      <c r="K126" s="17" t="e">
        <f>IFERROR('1. Mixture Model Inputs'!I126/'1. Mixture Model Inputs'!AG126, NA())</f>
        <v>#N/A</v>
      </c>
      <c r="L126" s="22" t="e">
        <f>C126*'2. Salmon Passage by Bin'!C126</f>
        <v>#N/A</v>
      </c>
      <c r="M126" s="22" t="e">
        <f>D126*'2. Salmon Passage by Bin'!D126</f>
        <v>#N/A</v>
      </c>
      <c r="N126" s="22" t="e">
        <f>F126*'2. Salmon Passage by Bin'!F126</f>
        <v>#N/A</v>
      </c>
      <c r="O126" s="22" t="e">
        <f>G126*'2. Salmon Passage by Bin'!G126</f>
        <v>#N/A</v>
      </c>
      <c r="P126" s="22" t="e">
        <f>$G126*'2. Salmon Passage by Bin'!H126</f>
        <v>#N/A</v>
      </c>
      <c r="Q126" s="22" t="e">
        <f>$G126*'2. Salmon Passage by Bin'!I126</f>
        <v>#N/A</v>
      </c>
      <c r="R126" s="22" t="e">
        <f>$G126*'2. Salmon Passage by Bin'!J126</f>
        <v>#N/A</v>
      </c>
      <c r="S126" s="25" t="e">
        <f>'2. Salmon Passage by Bin'!K126*H126</f>
        <v>#N/A</v>
      </c>
      <c r="T126" s="25" t="e">
        <f>K126*'2. Salmon Passage by Bin'!L126</f>
        <v>#N/A</v>
      </c>
      <c r="U126" s="25" t="e">
        <f>K126*'2. Salmon Passage by Bin'!M126</f>
        <v>#N/A</v>
      </c>
      <c r="V126" s="25" t="e">
        <f>J126*'2. Salmon Passage by Bin'!N126</f>
        <v>#N/A</v>
      </c>
      <c r="W126" s="25" t="e">
        <f>I126*'2. Salmon Passage by Bin'!O126</f>
        <v>#N/A</v>
      </c>
      <c r="X126" s="22" t="e">
        <f>E126*'2. Salmon Passage by Bin'!E126</f>
        <v>#N/A</v>
      </c>
      <c r="Y126" s="41">
        <f t="shared" si="1"/>
        <v>0</v>
      </c>
      <c r="Z126" s="42" t="e">
        <f>Y126/'[1]Passage Estimates'!$D126</f>
        <v>#N/A</v>
      </c>
      <c r="AA126" s="43" t="e">
        <f>IFERROR(SUMIF(L126:R126, "&lt;&gt;#N/A")/SUMIF('2. Salmon Passage by Bin'!E126:J126, "&lt;&gt;#N/A"), NA())</f>
        <v>#N/A</v>
      </c>
      <c r="AB126" s="42" t="e">
        <f>IFERROR(IF(ISNA(S126), NA(), S126/'2. Salmon Passage by Bin'!K126), NA())</f>
        <v>#N/A</v>
      </c>
      <c r="AC126" s="44" t="e">
        <f>IFERROR(SUMIF(T126:W126, "&lt;&gt;#N/A")/SUMIF('2. Salmon Passage by Bin'!L126:N126, "&lt;&gt;#N/A"), NA())</f>
        <v>#N/A</v>
      </c>
    </row>
    <row r="127" spans="1:29" x14ac:dyDescent="0.3">
      <c r="A127" s="5">
        <f>'1. Mixture Model Inputs'!A127</f>
        <v>45229</v>
      </c>
      <c r="B127" s="13" t="str">
        <f>IF(ISBLANK('[1]Passage Estimates'!$C127),"",IF('[1]Passage Estimates'!$C127="Imputation",'[1]Passage Estimates'!$B127,'[1]Passage Estimates'!$C127))</f>
        <v/>
      </c>
      <c r="C127" s="17" t="e">
        <f>IFERROR('1. Mixture Model Inputs'!B127/'1. Mixture Model Inputs'!Z127,NA())</f>
        <v>#N/A</v>
      </c>
      <c r="D127" s="17" t="e">
        <f>IFERROR('1. Mixture Model Inputs'!C127/'1. Mixture Model Inputs'!AA127,NA())</f>
        <v>#N/A</v>
      </c>
      <c r="E127" s="17" t="e">
        <f>IFERROR('1. Mixture Model Inputs'!D127/'1. Mixture Model Inputs'!AB127,NA())</f>
        <v>#N/A</v>
      </c>
      <c r="F127" s="17" t="e">
        <f>IFERROR('1. Mixture Model Inputs'!E127/'1. Mixture Model Inputs'!AC127, NA())</f>
        <v>#N/A</v>
      </c>
      <c r="G127" s="17" t="e">
        <f>IFERROR('1. Mixture Model Inputs'!F127/'1. Mixture Model Inputs'!AD127, NA())</f>
        <v>#N/A</v>
      </c>
      <c r="H127" s="24">
        <f>WhonSpComp!AT142</f>
        <v>0</v>
      </c>
      <c r="I127" s="17" t="e">
        <f>IFERROR('1. Mixture Model Inputs'!G127/'1. Mixture Model Inputs'!AE127, NA())</f>
        <v>#N/A</v>
      </c>
      <c r="J127" s="17" t="e">
        <f>IFERROR('1. Mixture Model Inputs'!H127/'1. Mixture Model Inputs'!AF127, NA())</f>
        <v>#N/A</v>
      </c>
      <c r="K127" s="17" t="e">
        <f>IFERROR('1. Mixture Model Inputs'!I127/'1. Mixture Model Inputs'!AG127, NA())</f>
        <v>#N/A</v>
      </c>
      <c r="L127" s="22" t="e">
        <f>C127*'2. Salmon Passage by Bin'!C127</f>
        <v>#N/A</v>
      </c>
      <c r="M127" s="22" t="e">
        <f>D127*'2. Salmon Passage by Bin'!D127</f>
        <v>#N/A</v>
      </c>
      <c r="N127" s="22" t="e">
        <f>F127*'2. Salmon Passage by Bin'!F127</f>
        <v>#N/A</v>
      </c>
      <c r="O127" s="22" t="e">
        <f>G127*'2. Salmon Passage by Bin'!G127</f>
        <v>#N/A</v>
      </c>
      <c r="P127" s="22" t="e">
        <f>$G127*'2. Salmon Passage by Bin'!H127</f>
        <v>#N/A</v>
      </c>
      <c r="Q127" s="22" t="e">
        <f>$G127*'2. Salmon Passage by Bin'!I127</f>
        <v>#N/A</v>
      </c>
      <c r="R127" s="22" t="e">
        <f>$G127*'2. Salmon Passage by Bin'!J127</f>
        <v>#N/A</v>
      </c>
      <c r="S127" s="25" t="e">
        <f>'2. Salmon Passage by Bin'!K127*H127</f>
        <v>#N/A</v>
      </c>
      <c r="T127" s="25" t="e">
        <f>K127*'2. Salmon Passage by Bin'!L127</f>
        <v>#N/A</v>
      </c>
      <c r="U127" s="25" t="e">
        <f>K127*'2. Salmon Passage by Bin'!M127</f>
        <v>#N/A</v>
      </c>
      <c r="V127" s="25" t="e">
        <f>J127*'2. Salmon Passage by Bin'!N127</f>
        <v>#N/A</v>
      </c>
      <c r="W127" s="25" t="e">
        <f>I127*'2. Salmon Passage by Bin'!O127</f>
        <v>#N/A</v>
      </c>
      <c r="X127" s="22" t="e">
        <f>E127*'2. Salmon Passage by Bin'!E127</f>
        <v>#N/A</v>
      </c>
      <c r="Y127" s="41">
        <f t="shared" si="1"/>
        <v>0</v>
      </c>
      <c r="Z127" s="42" t="e">
        <f>Y127/'[1]Passage Estimates'!$D127</f>
        <v>#N/A</v>
      </c>
      <c r="AA127" s="43" t="e">
        <f>IFERROR(SUMIF(L127:R127, "&lt;&gt;#N/A")/SUMIF('2. Salmon Passage by Bin'!E127:J127, "&lt;&gt;#N/A"), NA())</f>
        <v>#N/A</v>
      </c>
      <c r="AB127" s="42" t="e">
        <f>IFERROR(IF(ISNA(S127), NA(), S127/'2. Salmon Passage by Bin'!K127), NA())</f>
        <v>#N/A</v>
      </c>
      <c r="AC127" s="44" t="e">
        <f>IFERROR(SUMIF(T127:W127, "&lt;&gt;#N/A")/SUMIF('2. Salmon Passage by Bin'!L127:N127, "&lt;&gt;#N/A"), NA())</f>
        <v>#N/A</v>
      </c>
    </row>
    <row r="128" spans="1:29" ht="15" thickBot="1" x14ac:dyDescent="0.35">
      <c r="A128" s="6">
        <f>'1. Mixture Model Inputs'!A128</f>
        <v>45230</v>
      </c>
      <c r="B128" s="13" t="str">
        <f>IF(ISBLANK('[1]Passage Estimates'!$C128),"",IF('[1]Passage Estimates'!$C128="Imputation",'[1]Passage Estimates'!$B128,'[1]Passage Estimates'!$C128))</f>
        <v/>
      </c>
      <c r="C128" s="35" t="e">
        <f>IFERROR('1. Mixture Model Inputs'!B128/'1. Mixture Model Inputs'!Z128,NA())</f>
        <v>#N/A</v>
      </c>
      <c r="D128" s="36" t="e">
        <f>IFERROR('1. Mixture Model Inputs'!C128/'1. Mixture Model Inputs'!AA128,NA())</f>
        <v>#N/A</v>
      </c>
      <c r="E128" s="36" t="e">
        <f>IFERROR('1. Mixture Model Inputs'!D128/'1. Mixture Model Inputs'!AB128,NA())</f>
        <v>#N/A</v>
      </c>
      <c r="F128" s="36" t="e">
        <f>IFERROR('1. Mixture Model Inputs'!E128/'1. Mixture Model Inputs'!AC128, NA())</f>
        <v>#N/A</v>
      </c>
      <c r="G128" s="36" t="e">
        <f>IFERROR('1. Mixture Model Inputs'!F128/'1. Mixture Model Inputs'!AD128, NA())</f>
        <v>#N/A</v>
      </c>
      <c r="H128" s="37">
        <f>WhonSpComp!AT143</f>
        <v>0</v>
      </c>
      <c r="I128" s="36" t="e">
        <f>IFERROR('1. Mixture Model Inputs'!G128/'1. Mixture Model Inputs'!AE128, NA())</f>
        <v>#N/A</v>
      </c>
      <c r="J128" s="36" t="e">
        <f>IFERROR('1. Mixture Model Inputs'!H128/'1. Mixture Model Inputs'!AF128, NA())</f>
        <v>#N/A</v>
      </c>
      <c r="K128" s="36" t="e">
        <f>IFERROR('1. Mixture Model Inputs'!I128/'1. Mixture Model Inputs'!AG128, NA())</f>
        <v>#N/A</v>
      </c>
      <c r="L128" s="39" t="e">
        <f>C128*'2. Salmon Passage by Bin'!C128</f>
        <v>#N/A</v>
      </c>
      <c r="M128" s="39" t="e">
        <f>D128*'2. Salmon Passage by Bin'!D128</f>
        <v>#N/A</v>
      </c>
      <c r="N128" s="39" t="e">
        <f>F128*'2. Salmon Passage by Bin'!F128</f>
        <v>#N/A</v>
      </c>
      <c r="O128" s="39" t="e">
        <f>G128*'2. Salmon Passage by Bin'!G128</f>
        <v>#N/A</v>
      </c>
      <c r="P128" s="39" t="e">
        <f>$G128*'2. Salmon Passage by Bin'!H128</f>
        <v>#N/A</v>
      </c>
      <c r="Q128" s="39" t="e">
        <f>$G128*'2. Salmon Passage by Bin'!I128</f>
        <v>#N/A</v>
      </c>
      <c r="R128" s="39" t="e">
        <f>$G128*'2. Salmon Passage by Bin'!J128</f>
        <v>#N/A</v>
      </c>
      <c r="S128" s="40" t="e">
        <f>'2. Salmon Passage by Bin'!K128*H128</f>
        <v>#N/A</v>
      </c>
      <c r="T128" s="25" t="e">
        <f>K128*'2. Salmon Passage by Bin'!L128</f>
        <v>#N/A</v>
      </c>
      <c r="U128" s="25" t="e">
        <f>K128*'2. Salmon Passage by Bin'!M128</f>
        <v>#N/A</v>
      </c>
      <c r="V128" s="25" t="e">
        <f>J128*'2. Salmon Passage by Bin'!N128</f>
        <v>#N/A</v>
      </c>
      <c r="W128" s="25" t="e">
        <f>I128*'2. Salmon Passage by Bin'!O128</f>
        <v>#N/A</v>
      </c>
      <c r="X128" s="22" t="e">
        <f>E128*'2. Salmon Passage by Bin'!E128</f>
        <v>#N/A</v>
      </c>
      <c r="Y128" s="41">
        <f t="shared" si="1"/>
        <v>0</v>
      </c>
      <c r="Z128" s="47" t="e">
        <f>Y128/'[1]Passage Estimates'!$D128</f>
        <v>#N/A</v>
      </c>
      <c r="AA128" s="48" t="e">
        <f>IFERROR(SUMIF(L128:R128, "&lt;&gt;#N/A")/SUMIF('2. Salmon Passage by Bin'!E128:J128, "&lt;&gt;#N/A"), NA())</f>
        <v>#N/A</v>
      </c>
      <c r="AB128" s="47" t="e">
        <f>IFERROR(IF(ISNA(S128), NA(), S128/'2. Salmon Passage by Bin'!K128), NA())</f>
        <v>#N/A</v>
      </c>
      <c r="AC128" s="44" t="e">
        <f>IFERROR(SUMIF(T128:W128, "&lt;&gt;#N/A")/SUMIF('2. Salmon Passage by Bin'!L128:N128, "&lt;&gt;#N/A"), NA())</f>
        <v>#N/A</v>
      </c>
    </row>
    <row r="129" spans="1:1" x14ac:dyDescent="0.3">
      <c r="A129" s="1"/>
    </row>
  </sheetData>
  <mergeCells count="8">
    <mergeCell ref="AA4:AC4"/>
    <mergeCell ref="Y4:Y5"/>
    <mergeCell ref="Z4:Z5"/>
    <mergeCell ref="Y3:AC3"/>
    <mergeCell ref="A4:A5"/>
    <mergeCell ref="C4:K4"/>
    <mergeCell ref="L4:X4"/>
    <mergeCell ref="B4:B5"/>
  </mergeCells>
  <phoneticPr fontId="2" type="noConversion"/>
  <conditionalFormatting sqref="B6:S128 X6:AC128">
    <cfRule type="expression" dxfId="22" priority="2">
      <formula>ISNA(B6)</formula>
    </cfRule>
  </conditionalFormatting>
  <conditionalFormatting sqref="T6:W128">
    <cfRule type="expression" dxfId="21" priority="1">
      <formula>ISNA(T6)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7140-A9FA-49D0-9B4A-AF4002BE4094}">
  <sheetPr codeName="Sheet6">
    <tabColor theme="4" tint="0.59999389629810485"/>
  </sheetPr>
  <dimension ref="A2:AC129"/>
  <sheetViews>
    <sheetView topLeftCell="A25" workbookViewId="0">
      <selection activeCell="G14" sqref="G14"/>
    </sheetView>
  </sheetViews>
  <sheetFormatPr defaultRowHeight="14.4" x14ac:dyDescent="0.3"/>
  <cols>
    <col min="1" max="1" width="12.44140625" bestFit="1" customWidth="1"/>
    <col min="2" max="2" width="15.6640625" customWidth="1"/>
    <col min="3" max="3" width="9.44140625" bestFit="1" customWidth="1"/>
    <col min="4" max="5" width="9.44140625" customWidth="1"/>
    <col min="6" max="7" width="9.44140625" bestFit="1" customWidth="1"/>
    <col min="8" max="8" width="12.109375" customWidth="1"/>
    <col min="9" max="11" width="10.5546875" bestFit="1" customWidth="1"/>
    <col min="12" max="12" width="9.44140625" bestFit="1" customWidth="1"/>
    <col min="13" max="13" width="9.44140625" customWidth="1"/>
    <col min="14" max="15" width="9.44140625" bestFit="1" customWidth="1"/>
    <col min="16" max="18" width="9.44140625" customWidth="1"/>
    <col min="19" max="19" width="8.88671875" bestFit="1" customWidth="1"/>
    <col min="20" max="20" width="8.88671875" customWidth="1"/>
    <col min="21" max="23" width="10.5546875" bestFit="1" customWidth="1"/>
    <col min="24" max="24" width="9.44140625" customWidth="1"/>
    <col min="25" max="25" width="18.33203125" bestFit="1" customWidth="1"/>
    <col min="26" max="26" width="15.33203125" bestFit="1" customWidth="1"/>
    <col min="27" max="27" width="9.44140625" customWidth="1"/>
    <col min="28" max="28" width="7.33203125" bestFit="1" customWidth="1"/>
    <col min="29" max="29" width="10.33203125" customWidth="1"/>
  </cols>
  <sheetData>
    <row r="2" spans="1:29" ht="15" thickBot="1" x14ac:dyDescent="0.35"/>
    <row r="3" spans="1:29" ht="21.6" thickBot="1" x14ac:dyDescent="0.45">
      <c r="Y3" s="266" t="s">
        <v>20</v>
      </c>
      <c r="Z3" s="267"/>
      <c r="AA3" s="267"/>
      <c r="AB3" s="267"/>
      <c r="AC3" s="268"/>
    </row>
    <row r="4" spans="1:29" ht="18" x14ac:dyDescent="0.35">
      <c r="A4" s="260" t="s">
        <v>0</v>
      </c>
      <c r="B4" s="253" t="s">
        <v>21</v>
      </c>
      <c r="C4" s="255" t="s">
        <v>16</v>
      </c>
      <c r="D4" s="248"/>
      <c r="E4" s="248"/>
      <c r="F4" s="248"/>
      <c r="G4" s="248"/>
      <c r="H4" s="248"/>
      <c r="I4" s="248"/>
      <c r="J4" s="248"/>
      <c r="K4" s="248"/>
      <c r="L4" s="255" t="s">
        <v>17</v>
      </c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69" t="s">
        <v>19</v>
      </c>
      <c r="Z4" s="269" t="s">
        <v>22</v>
      </c>
      <c r="AA4" s="255" t="s">
        <v>23</v>
      </c>
      <c r="AB4" s="248"/>
      <c r="AC4" s="227"/>
    </row>
    <row r="5" spans="1:29" ht="43.2" x14ac:dyDescent="0.3">
      <c r="A5" s="261"/>
      <c r="B5" s="254"/>
      <c r="C5" s="26" t="s">
        <v>54</v>
      </c>
      <c r="D5" s="26" t="s">
        <v>55</v>
      </c>
      <c r="E5" s="26" t="s">
        <v>106</v>
      </c>
      <c r="F5" s="26" t="s">
        <v>8</v>
      </c>
      <c r="G5" s="26" t="s">
        <v>9</v>
      </c>
      <c r="H5" s="32" t="s">
        <v>33</v>
      </c>
      <c r="I5" s="27" t="s">
        <v>13</v>
      </c>
      <c r="J5" s="27" t="s">
        <v>14</v>
      </c>
      <c r="K5" s="27" t="s">
        <v>15</v>
      </c>
      <c r="L5" s="26" t="s">
        <v>54</v>
      </c>
      <c r="M5" s="26" t="s">
        <v>55</v>
      </c>
      <c r="N5" s="29" t="s">
        <v>8</v>
      </c>
      <c r="O5" s="29" t="s">
        <v>9</v>
      </c>
      <c r="P5" s="29" t="s">
        <v>102</v>
      </c>
      <c r="Q5" s="29" t="s">
        <v>103</v>
      </c>
      <c r="R5" s="29" t="s">
        <v>104</v>
      </c>
      <c r="S5" s="30" t="s">
        <v>18</v>
      </c>
      <c r="T5" s="27" t="s">
        <v>163</v>
      </c>
      <c r="U5" s="27" t="s">
        <v>15</v>
      </c>
      <c r="V5" s="27" t="s">
        <v>14</v>
      </c>
      <c r="W5" s="27" t="s">
        <v>13</v>
      </c>
      <c r="X5" s="26" t="s">
        <v>106</v>
      </c>
      <c r="Y5" s="270"/>
      <c r="Z5" s="270"/>
      <c r="AA5" s="11" t="s">
        <v>24</v>
      </c>
      <c r="AB5" s="31" t="s">
        <v>25</v>
      </c>
      <c r="AC5" s="8" t="s">
        <v>26</v>
      </c>
    </row>
    <row r="6" spans="1:29" x14ac:dyDescent="0.3">
      <c r="A6" s="5">
        <f>'1. Mixture Model Inputs'!A6</f>
        <v>45108</v>
      </c>
      <c r="B6" s="13" t="str">
        <f>IF(ISBLANK('[1]Passage Estimates'!$C6),"",IF('[1]Passage Estimates'!$C6="Imputation",'[1]Passage Estimates'!$B6,'[1]Passage Estimates'!$C6))</f>
        <v>S1+M+A2</v>
      </c>
      <c r="C6" s="17" t="e">
        <f>IFERROR('1. Mixture Model Inputs'!J6/'1. Mixture Model Inputs'!Z6,NA())</f>
        <v>#N/A</v>
      </c>
      <c r="D6" s="17" t="e">
        <f>IFERROR('1. Mixture Model Inputs'!K6/'1. Mixture Model Inputs'!AA6,NA())</f>
        <v>#N/A</v>
      </c>
      <c r="E6" s="17" t="e">
        <f>IFERROR('1. Mixture Model Inputs'!L6/'1. Mixture Model Inputs'!AB6,NA())</f>
        <v>#N/A</v>
      </c>
      <c r="F6" s="17" t="e">
        <f>IFERROR('1. Mixture Model Inputs'!M6/'1. Mixture Model Inputs'!AC6,NA())</f>
        <v>#N/A</v>
      </c>
      <c r="G6" s="17" t="e">
        <f>IFERROR('1. Mixture Model Inputs'!N6/'1. Mixture Model Inputs'!AD6,NA())</f>
        <v>#N/A</v>
      </c>
      <c r="H6" s="24">
        <f>WhonSpComp!AV21</f>
        <v>0</v>
      </c>
      <c r="I6" s="17" t="e">
        <f>IFERROR('1. Mixture Model Inputs'!O6/'1. Mixture Model Inputs'!AE6, NA())</f>
        <v>#N/A</v>
      </c>
      <c r="J6" s="17" t="e">
        <f>IFERROR('1. Mixture Model Inputs'!P6/'1. Mixture Model Inputs'!AF6, NA())</f>
        <v>#N/A</v>
      </c>
      <c r="K6" s="17" t="e">
        <f>IFERROR('1. Mixture Model Inputs'!Q6/'1. Mixture Model Inputs'!AG6, NA())</f>
        <v>#N/A</v>
      </c>
      <c r="L6" s="22" t="e">
        <f>C6*'2. Salmon Passage by Bin'!C6</f>
        <v>#N/A</v>
      </c>
      <c r="M6" s="22" t="e">
        <f>D6*'2. Salmon Passage by Bin'!D6</f>
        <v>#N/A</v>
      </c>
      <c r="N6" s="22" t="e">
        <f>F6*'2. Salmon Passage by Bin'!F6</f>
        <v>#N/A</v>
      </c>
      <c r="O6" s="22" t="e">
        <f>G6*'2. Salmon Passage by Bin'!G6</f>
        <v>#N/A</v>
      </c>
      <c r="P6" s="22" t="e">
        <f>$G6*'2. Salmon Passage by Bin'!H6</f>
        <v>#N/A</v>
      </c>
      <c r="Q6" s="22" t="e">
        <f>$G6*'2. Salmon Passage by Bin'!I6</f>
        <v>#N/A</v>
      </c>
      <c r="R6" s="22" t="e">
        <f>$G6*'2. Salmon Passage by Bin'!J6</f>
        <v>#N/A</v>
      </c>
      <c r="S6" s="25">
        <f>'2. Salmon Passage by Bin'!K6*H6</f>
        <v>0</v>
      </c>
      <c r="T6" s="25" t="e">
        <f>K6*'2. Salmon Passage by Bin'!L6</f>
        <v>#N/A</v>
      </c>
      <c r="U6" s="25" t="e">
        <f>K6*'2. Salmon Passage by Bin'!M6</f>
        <v>#N/A</v>
      </c>
      <c r="V6" s="25" t="e">
        <f>J6*'2. Salmon Passage by Bin'!N6</f>
        <v>#N/A</v>
      </c>
      <c r="W6" s="25" t="e">
        <f>I6*'2. Salmon Passage by Bin'!O6</f>
        <v>#N/A</v>
      </c>
      <c r="X6" s="22" t="e">
        <f>E6*'2. Salmon Passage by Bin'!E6</f>
        <v>#N/A</v>
      </c>
      <c r="Y6" s="41">
        <f>IF(B6="M",S6,IF(AND(ISNUMBER(SEARCH("A1*",B6)),SUMIF(L6:W6,"&lt;&gt;#N/A")&gt;0),SUMIF(L6:W6,"&lt;&gt;#N/A"),IF(SUMIF(N6:X6,"&lt;&gt;#N/A")&gt;0,SUMIF(N6:X6,"&lt;&gt;#N/A"),0)))</f>
        <v>0</v>
      </c>
      <c r="Z6" s="42">
        <f>Y6/'[1]Passage Estimates'!$D6</f>
        <v>0</v>
      </c>
      <c r="AA6" s="43">
        <f>IFERROR(SUMIF(L6:R6, "&lt;&gt;#N/A")/SUMIF('2. Salmon Passage by Bin'!E6:J6, "&lt;&gt;#N/A"), NA())</f>
        <v>0</v>
      </c>
      <c r="AB6" s="42">
        <f>IFERROR(IF(ISNA(S6), NA(), S6/'2. Salmon Passage by Bin'!K6), NA())</f>
        <v>0</v>
      </c>
      <c r="AC6" s="44">
        <f>IFERROR(SUMIF(T6:W6, "&lt;&gt;#N/A")/SUMIF('2. Salmon Passage by Bin'!L6:N6, "&lt;&gt;#N/A"), NA())</f>
        <v>0</v>
      </c>
    </row>
    <row r="7" spans="1:29" x14ac:dyDescent="0.3">
      <c r="A7" s="5">
        <f>'1. Mixture Model Inputs'!A7</f>
        <v>45109</v>
      </c>
      <c r="B7" s="13" t="str">
        <f>IF(ISBLANK('[1]Passage Estimates'!$C7),"",IF('[1]Passage Estimates'!$C7="Imputation",'[1]Passage Estimates'!$B7,'[1]Passage Estimates'!$C7))</f>
        <v>S1+M+A2</v>
      </c>
      <c r="C7" s="17" t="e">
        <f>IFERROR('1. Mixture Model Inputs'!J7/'1. Mixture Model Inputs'!Z7,NA())</f>
        <v>#N/A</v>
      </c>
      <c r="D7" s="17" t="e">
        <f>IFERROR('1. Mixture Model Inputs'!K7/'1. Mixture Model Inputs'!AA7,NA())</f>
        <v>#N/A</v>
      </c>
      <c r="E7" s="17" t="e">
        <f>IFERROR('1. Mixture Model Inputs'!L7/'1. Mixture Model Inputs'!AB7,NA())</f>
        <v>#N/A</v>
      </c>
      <c r="F7" s="17" t="e">
        <f>IFERROR('1. Mixture Model Inputs'!M7/'1. Mixture Model Inputs'!AC7,NA())</f>
        <v>#N/A</v>
      </c>
      <c r="G7" s="17" t="e">
        <f>IFERROR('1. Mixture Model Inputs'!N7/'1. Mixture Model Inputs'!AD7,NA())</f>
        <v>#N/A</v>
      </c>
      <c r="H7" s="24">
        <f>WhonSpComp!AV22</f>
        <v>0</v>
      </c>
      <c r="I7" s="17" t="e">
        <f>IFERROR('1. Mixture Model Inputs'!O7/'1. Mixture Model Inputs'!AE7, NA())</f>
        <v>#N/A</v>
      </c>
      <c r="J7" s="17" t="e">
        <f>IFERROR('1. Mixture Model Inputs'!P7/'1. Mixture Model Inputs'!AF7, NA())</f>
        <v>#N/A</v>
      </c>
      <c r="K7" s="17" t="e">
        <f>IFERROR('1. Mixture Model Inputs'!Q7/'1. Mixture Model Inputs'!AG7, NA())</f>
        <v>#N/A</v>
      </c>
      <c r="L7" s="22" t="e">
        <f>C7*'2. Salmon Passage by Bin'!C7</f>
        <v>#N/A</v>
      </c>
      <c r="M7" s="22" t="e">
        <f>D7*'2. Salmon Passage by Bin'!D7</f>
        <v>#N/A</v>
      </c>
      <c r="N7" s="22" t="e">
        <f>F7*'2. Salmon Passage by Bin'!F7</f>
        <v>#N/A</v>
      </c>
      <c r="O7" s="22" t="e">
        <f>G7*'2. Salmon Passage by Bin'!G7</f>
        <v>#N/A</v>
      </c>
      <c r="P7" s="22" t="e">
        <f>$G7*'2. Salmon Passage by Bin'!H7</f>
        <v>#N/A</v>
      </c>
      <c r="Q7" s="22" t="e">
        <f>$G7*'2. Salmon Passage by Bin'!I7</f>
        <v>#N/A</v>
      </c>
      <c r="R7" s="22" t="e">
        <f>$G7*'2. Salmon Passage by Bin'!J7</f>
        <v>#N/A</v>
      </c>
      <c r="S7" s="25">
        <f>'2. Salmon Passage by Bin'!K7*H7</f>
        <v>0</v>
      </c>
      <c r="T7" s="25" t="e">
        <f>K7*'2. Salmon Passage by Bin'!L7</f>
        <v>#N/A</v>
      </c>
      <c r="U7" s="25" t="e">
        <f>K7*'2. Salmon Passage by Bin'!M7</f>
        <v>#N/A</v>
      </c>
      <c r="V7" s="25" t="e">
        <f>J7*'2. Salmon Passage by Bin'!N7</f>
        <v>#N/A</v>
      </c>
      <c r="W7" s="25" t="e">
        <f>I7*'2. Salmon Passage by Bin'!O7</f>
        <v>#N/A</v>
      </c>
      <c r="X7" s="22" t="e">
        <f>E7*'2. Salmon Passage by Bin'!E7</f>
        <v>#N/A</v>
      </c>
      <c r="Y7" s="41">
        <f t="shared" ref="Y7:Y70" si="0">IF(B7="M",S7,IF(AND(ISNUMBER(SEARCH("A1*",B7)),SUMIF(L7:W7,"&lt;&gt;#N/A")&gt;0),SUMIF(L7:W7,"&lt;&gt;#N/A"),IF(SUMIF(N7:X7,"&lt;&gt;#N/A")&gt;0,SUMIF(N7:X7,"&lt;&gt;#N/A"),0)))</f>
        <v>0</v>
      </c>
      <c r="Z7" s="42">
        <f>Y7/'[1]Passage Estimates'!$D7</f>
        <v>0</v>
      </c>
      <c r="AA7" s="43">
        <f>IFERROR(SUMIF(L7:R7, "&lt;&gt;#N/A")/SUMIF('2. Salmon Passage by Bin'!E7:J7, "&lt;&gt;#N/A"), NA())</f>
        <v>0</v>
      </c>
      <c r="AB7" s="42">
        <f>IFERROR(IF(ISNA(S7), NA(), S7/'2. Salmon Passage by Bin'!K7), NA())</f>
        <v>0</v>
      </c>
      <c r="AC7" s="44">
        <f>IFERROR(SUMIF(T7:W7, "&lt;&gt;#N/A")/SUMIF('2. Salmon Passage by Bin'!L7:N7, "&lt;&gt;#N/A"), NA())</f>
        <v>0</v>
      </c>
    </row>
    <row r="8" spans="1:29" x14ac:dyDescent="0.3">
      <c r="A8" s="5">
        <f>'1. Mixture Model Inputs'!A8</f>
        <v>45110</v>
      </c>
      <c r="B8" s="13" t="str">
        <f>IF(ISBLANK('[1]Passage Estimates'!$C8),"",IF('[1]Passage Estimates'!$C8="Imputation",'[1]Passage Estimates'!$B8,'[1]Passage Estimates'!$C8))</f>
        <v>S1+M+A2</v>
      </c>
      <c r="C8" s="17" t="e">
        <f>IFERROR('1. Mixture Model Inputs'!J8/'1. Mixture Model Inputs'!Z8,NA())</f>
        <v>#N/A</v>
      </c>
      <c r="D8" s="17" t="e">
        <f>IFERROR('1. Mixture Model Inputs'!K8/'1. Mixture Model Inputs'!AA8,NA())</f>
        <v>#N/A</v>
      </c>
      <c r="E8" s="17" t="e">
        <f>IFERROR('1. Mixture Model Inputs'!L8/'1. Mixture Model Inputs'!AB8,NA())</f>
        <v>#N/A</v>
      </c>
      <c r="F8" s="17" t="e">
        <f>IFERROR('1. Mixture Model Inputs'!M8/'1. Mixture Model Inputs'!AC8,NA())</f>
        <v>#N/A</v>
      </c>
      <c r="G8" s="17" t="e">
        <f>IFERROR('1. Mixture Model Inputs'!N8/'1. Mixture Model Inputs'!AD8,NA())</f>
        <v>#N/A</v>
      </c>
      <c r="H8" s="24">
        <f>WhonSpComp!AV23</f>
        <v>0</v>
      </c>
      <c r="I8" s="17" t="e">
        <f>IFERROR('1. Mixture Model Inputs'!O8/'1. Mixture Model Inputs'!AE8, NA())</f>
        <v>#N/A</v>
      </c>
      <c r="J8" s="17" t="e">
        <f>IFERROR('1. Mixture Model Inputs'!P8/'1. Mixture Model Inputs'!AF8, NA())</f>
        <v>#N/A</v>
      </c>
      <c r="K8" s="17" t="e">
        <f>IFERROR('1. Mixture Model Inputs'!Q8/'1. Mixture Model Inputs'!AG8, NA())</f>
        <v>#N/A</v>
      </c>
      <c r="L8" s="22" t="e">
        <f>C8*'2. Salmon Passage by Bin'!C8</f>
        <v>#N/A</v>
      </c>
      <c r="M8" s="22" t="e">
        <f>D8*'2. Salmon Passage by Bin'!D8</f>
        <v>#N/A</v>
      </c>
      <c r="N8" s="22" t="e">
        <f>F8*'2. Salmon Passage by Bin'!F8</f>
        <v>#N/A</v>
      </c>
      <c r="O8" s="22" t="e">
        <f>G8*'2. Salmon Passage by Bin'!G8</f>
        <v>#N/A</v>
      </c>
      <c r="P8" s="22" t="e">
        <f>$G8*'2. Salmon Passage by Bin'!H8</f>
        <v>#N/A</v>
      </c>
      <c r="Q8" s="22" t="e">
        <f>$G8*'2. Salmon Passage by Bin'!I8</f>
        <v>#N/A</v>
      </c>
      <c r="R8" s="22" t="e">
        <f>$G8*'2. Salmon Passage by Bin'!J8</f>
        <v>#N/A</v>
      </c>
      <c r="S8" s="25">
        <f>'2. Salmon Passage by Bin'!K8*H8</f>
        <v>0</v>
      </c>
      <c r="T8" s="25" t="e">
        <f>K8*'2. Salmon Passage by Bin'!L8</f>
        <v>#N/A</v>
      </c>
      <c r="U8" s="25" t="e">
        <f>K8*'2. Salmon Passage by Bin'!M8</f>
        <v>#N/A</v>
      </c>
      <c r="V8" s="25" t="e">
        <f>J8*'2. Salmon Passage by Bin'!N8</f>
        <v>#N/A</v>
      </c>
      <c r="W8" s="25" t="e">
        <f>I8*'2. Salmon Passage by Bin'!O8</f>
        <v>#N/A</v>
      </c>
      <c r="X8" s="22" t="e">
        <f>E8*'2. Salmon Passage by Bin'!E8</f>
        <v>#N/A</v>
      </c>
      <c r="Y8" s="41">
        <f t="shared" si="0"/>
        <v>0</v>
      </c>
      <c r="Z8" s="42">
        <f>Y8/'[1]Passage Estimates'!$D8</f>
        <v>0</v>
      </c>
      <c r="AA8" s="43">
        <f>IFERROR(SUMIF(L8:R8, "&lt;&gt;#N/A")/SUMIF('2. Salmon Passage by Bin'!E8:J8, "&lt;&gt;#N/A"), NA())</f>
        <v>0</v>
      </c>
      <c r="AB8" s="42">
        <f>IFERROR(IF(ISNA(S8), NA(), S8/'2. Salmon Passage by Bin'!K8), NA())</f>
        <v>0</v>
      </c>
      <c r="AC8" s="44">
        <f>IFERROR(SUMIF(T8:W8, "&lt;&gt;#N/A")/SUMIF('2. Salmon Passage by Bin'!L8:N8, "&lt;&gt;#N/A"), NA())</f>
        <v>0</v>
      </c>
    </row>
    <row r="9" spans="1:29" x14ac:dyDescent="0.3">
      <c r="A9" s="5">
        <f>'1. Mixture Model Inputs'!A9</f>
        <v>45111</v>
      </c>
      <c r="B9" s="13" t="str">
        <f>IF(ISBLANK('[1]Passage Estimates'!$C9),"",IF('[1]Passage Estimates'!$C9="Imputation",'[1]Passage Estimates'!$B9,'[1]Passage Estimates'!$C9))</f>
        <v>S1+M+A2</v>
      </c>
      <c r="C9" s="17" t="e">
        <f>IFERROR('1. Mixture Model Inputs'!J9/'1. Mixture Model Inputs'!Z9,NA())</f>
        <v>#N/A</v>
      </c>
      <c r="D9" s="17" t="e">
        <f>IFERROR('1. Mixture Model Inputs'!K9/'1. Mixture Model Inputs'!AA9,NA())</f>
        <v>#N/A</v>
      </c>
      <c r="E9" s="17" t="e">
        <f>IFERROR('1. Mixture Model Inputs'!L9/'1. Mixture Model Inputs'!AB9,NA())</f>
        <v>#N/A</v>
      </c>
      <c r="F9" s="17" t="e">
        <f>IFERROR('1. Mixture Model Inputs'!M9/'1. Mixture Model Inputs'!AC9,NA())</f>
        <v>#N/A</v>
      </c>
      <c r="G9" s="17" t="e">
        <f>IFERROR('1. Mixture Model Inputs'!N9/'1. Mixture Model Inputs'!AD9,NA())</f>
        <v>#N/A</v>
      </c>
      <c r="H9" s="24">
        <f>WhonSpComp!AV24</f>
        <v>0</v>
      </c>
      <c r="I9" s="17" t="e">
        <f>IFERROR('1. Mixture Model Inputs'!O9/'1. Mixture Model Inputs'!AE9, NA())</f>
        <v>#N/A</v>
      </c>
      <c r="J9" s="17" t="e">
        <f>IFERROR('1. Mixture Model Inputs'!P9/'1. Mixture Model Inputs'!AF9, NA())</f>
        <v>#N/A</v>
      </c>
      <c r="K9" s="17" t="e">
        <f>IFERROR('1. Mixture Model Inputs'!Q9/'1. Mixture Model Inputs'!AG9, NA())</f>
        <v>#N/A</v>
      </c>
      <c r="L9" s="22" t="e">
        <f>C9*'2. Salmon Passage by Bin'!C9</f>
        <v>#N/A</v>
      </c>
      <c r="M9" s="22" t="e">
        <f>D9*'2. Salmon Passage by Bin'!D9</f>
        <v>#N/A</v>
      </c>
      <c r="N9" s="22" t="e">
        <f>F9*'2. Salmon Passage by Bin'!F9</f>
        <v>#N/A</v>
      </c>
      <c r="O9" s="22" t="e">
        <f>G9*'2. Salmon Passage by Bin'!G9</f>
        <v>#N/A</v>
      </c>
      <c r="P9" s="22" t="e">
        <f>$G9*'2. Salmon Passage by Bin'!H9</f>
        <v>#N/A</v>
      </c>
      <c r="Q9" s="22" t="e">
        <f>$G9*'2. Salmon Passage by Bin'!I9</f>
        <v>#N/A</v>
      </c>
      <c r="R9" s="22" t="e">
        <f>$G9*'2. Salmon Passage by Bin'!J9</f>
        <v>#N/A</v>
      </c>
      <c r="S9" s="25">
        <f>'2. Salmon Passage by Bin'!K9*H9</f>
        <v>0</v>
      </c>
      <c r="T9" s="25" t="e">
        <f>K9*'2. Salmon Passage by Bin'!L9</f>
        <v>#N/A</v>
      </c>
      <c r="U9" s="25" t="e">
        <f>K9*'2. Salmon Passage by Bin'!M9</f>
        <v>#N/A</v>
      </c>
      <c r="V9" s="25" t="e">
        <f>J9*'2. Salmon Passage by Bin'!N9</f>
        <v>#N/A</v>
      </c>
      <c r="W9" s="25" t="e">
        <f>I9*'2. Salmon Passage by Bin'!O9</f>
        <v>#N/A</v>
      </c>
      <c r="X9" s="22" t="e">
        <f>E9*'2. Salmon Passage by Bin'!E9</f>
        <v>#N/A</v>
      </c>
      <c r="Y9" s="41">
        <f t="shared" si="0"/>
        <v>0</v>
      </c>
      <c r="Z9" s="42">
        <f>Y9/'[1]Passage Estimates'!$D9</f>
        <v>0</v>
      </c>
      <c r="AA9" s="43">
        <f>IFERROR(SUMIF(L9:R9, "&lt;&gt;#N/A")/SUMIF('2. Salmon Passage by Bin'!E9:J9, "&lt;&gt;#N/A"), NA())</f>
        <v>0</v>
      </c>
      <c r="AB9" s="42">
        <f>IFERROR(IF(ISNA(S9), NA(), S9/'2. Salmon Passage by Bin'!K9), NA())</f>
        <v>0</v>
      </c>
      <c r="AC9" s="44">
        <f>IFERROR(SUMIF(T9:W9, "&lt;&gt;#N/A")/SUMIF('2. Salmon Passage by Bin'!L9:N9, "&lt;&gt;#N/A"), NA())</f>
        <v>0</v>
      </c>
    </row>
    <row r="10" spans="1:29" x14ac:dyDescent="0.3">
      <c r="A10" s="5">
        <f>'1. Mixture Model Inputs'!A10</f>
        <v>45112</v>
      </c>
      <c r="B10" s="13" t="str">
        <f>IF(ISBLANK('[1]Passage Estimates'!$C10),"",IF('[1]Passage Estimates'!$C10="Imputation",'[1]Passage Estimates'!$B10,'[1]Passage Estimates'!$C10))</f>
        <v>S1+M+A2</v>
      </c>
      <c r="C10" s="17" t="e">
        <f>IFERROR('1. Mixture Model Inputs'!J10/'1. Mixture Model Inputs'!Z10,NA())</f>
        <v>#N/A</v>
      </c>
      <c r="D10" s="17" t="e">
        <f>IFERROR('1. Mixture Model Inputs'!K10/'1. Mixture Model Inputs'!AA10,NA())</f>
        <v>#N/A</v>
      </c>
      <c r="E10" s="17" t="e">
        <f>IFERROR('1. Mixture Model Inputs'!L10/'1. Mixture Model Inputs'!AB10,NA())</f>
        <v>#N/A</v>
      </c>
      <c r="F10" s="17" t="e">
        <f>IFERROR('1. Mixture Model Inputs'!M10/'1. Mixture Model Inputs'!AC10,NA())</f>
        <v>#N/A</v>
      </c>
      <c r="G10" s="17" t="e">
        <f>IFERROR('1. Mixture Model Inputs'!N10/'1. Mixture Model Inputs'!AD10,NA())</f>
        <v>#N/A</v>
      </c>
      <c r="H10" s="24">
        <f>WhonSpComp!AV25</f>
        <v>0</v>
      </c>
      <c r="I10" s="17" t="e">
        <f>IFERROR('1. Mixture Model Inputs'!O10/'1. Mixture Model Inputs'!AE10, NA())</f>
        <v>#N/A</v>
      </c>
      <c r="J10" s="17" t="e">
        <f>IFERROR('1. Mixture Model Inputs'!P10/'1. Mixture Model Inputs'!AF10, NA())</f>
        <v>#N/A</v>
      </c>
      <c r="K10" s="17" t="e">
        <f>IFERROR('1. Mixture Model Inputs'!Q10/'1. Mixture Model Inputs'!AG10, NA())</f>
        <v>#N/A</v>
      </c>
      <c r="L10" s="22" t="e">
        <f>C10*'2. Salmon Passage by Bin'!C10</f>
        <v>#N/A</v>
      </c>
      <c r="M10" s="22" t="e">
        <f>D10*'2. Salmon Passage by Bin'!D10</f>
        <v>#N/A</v>
      </c>
      <c r="N10" s="22" t="e">
        <f>F10*'2. Salmon Passage by Bin'!F10</f>
        <v>#N/A</v>
      </c>
      <c r="O10" s="22" t="e">
        <f>G10*'2. Salmon Passage by Bin'!G10</f>
        <v>#N/A</v>
      </c>
      <c r="P10" s="22" t="e">
        <f>$G10*'2. Salmon Passage by Bin'!H10</f>
        <v>#N/A</v>
      </c>
      <c r="Q10" s="22" t="e">
        <f>$G10*'2. Salmon Passage by Bin'!I10</f>
        <v>#N/A</v>
      </c>
      <c r="R10" s="22" t="e">
        <f>$G10*'2. Salmon Passage by Bin'!J10</f>
        <v>#N/A</v>
      </c>
      <c r="S10" s="25">
        <f>'2. Salmon Passage by Bin'!K10*H10</f>
        <v>0</v>
      </c>
      <c r="T10" s="25" t="e">
        <f>K10*'2. Salmon Passage by Bin'!L10</f>
        <v>#N/A</v>
      </c>
      <c r="U10" s="25" t="e">
        <f>K10*'2. Salmon Passage by Bin'!M10</f>
        <v>#N/A</v>
      </c>
      <c r="V10" s="25" t="e">
        <f>J10*'2. Salmon Passage by Bin'!N10</f>
        <v>#N/A</v>
      </c>
      <c r="W10" s="25" t="e">
        <f>I10*'2. Salmon Passage by Bin'!O10</f>
        <v>#N/A</v>
      </c>
      <c r="X10" s="22" t="e">
        <f>E10*'2. Salmon Passage by Bin'!E10</f>
        <v>#N/A</v>
      </c>
      <c r="Y10" s="41">
        <f t="shared" si="0"/>
        <v>0</v>
      </c>
      <c r="Z10" s="42">
        <f>Y10/'[1]Passage Estimates'!$D10</f>
        <v>0</v>
      </c>
      <c r="AA10" s="43">
        <f>IFERROR(SUMIF(L10:R10, "&lt;&gt;#N/A")/SUMIF('2. Salmon Passage by Bin'!E10:J10, "&lt;&gt;#N/A"), NA())</f>
        <v>0</v>
      </c>
      <c r="AB10" s="42">
        <f>IFERROR(IF(ISNA(S10), NA(), S10/'2. Salmon Passage by Bin'!K10), NA())</f>
        <v>0</v>
      </c>
      <c r="AC10" s="44">
        <f>IFERROR(SUMIF(T10:W10, "&lt;&gt;#N/A")/SUMIF('2. Salmon Passage by Bin'!L10:N10, "&lt;&gt;#N/A"), NA())</f>
        <v>0</v>
      </c>
    </row>
    <row r="11" spans="1:29" x14ac:dyDescent="0.3">
      <c r="A11" s="5">
        <f>'1. Mixture Model Inputs'!A11</f>
        <v>45113</v>
      </c>
      <c r="B11" s="13" t="str">
        <f>IF(ISBLANK('[1]Passage Estimates'!$C11),"",IF('[1]Passage Estimates'!$C11="Imputation",'[1]Passage Estimates'!$B11,'[1]Passage Estimates'!$C11))</f>
        <v>S1+M+A2</v>
      </c>
      <c r="C11" s="17" t="e">
        <f>IFERROR('1. Mixture Model Inputs'!J11/'1. Mixture Model Inputs'!Z11,NA())</f>
        <v>#N/A</v>
      </c>
      <c r="D11" s="17" t="e">
        <f>IFERROR('1. Mixture Model Inputs'!K11/'1. Mixture Model Inputs'!AA11,NA())</f>
        <v>#N/A</v>
      </c>
      <c r="E11" s="17" t="e">
        <f>IFERROR('1. Mixture Model Inputs'!L11/'1. Mixture Model Inputs'!AB11,NA())</f>
        <v>#N/A</v>
      </c>
      <c r="F11" s="17" t="e">
        <f>IFERROR('1. Mixture Model Inputs'!M11/'1. Mixture Model Inputs'!AC11,NA())</f>
        <v>#N/A</v>
      </c>
      <c r="G11" s="17" t="e">
        <f>IFERROR('1. Mixture Model Inputs'!N11/'1. Mixture Model Inputs'!AD11,NA())</f>
        <v>#N/A</v>
      </c>
      <c r="H11" s="24">
        <f>WhonSpComp!AV26</f>
        <v>0</v>
      </c>
      <c r="I11" s="17" t="e">
        <f>IFERROR('1. Mixture Model Inputs'!O11/'1. Mixture Model Inputs'!AE11, NA())</f>
        <v>#N/A</v>
      </c>
      <c r="J11" s="17" t="e">
        <f>IFERROR('1. Mixture Model Inputs'!P11/'1. Mixture Model Inputs'!AF11, NA())</f>
        <v>#N/A</v>
      </c>
      <c r="K11" s="17" t="e">
        <f>IFERROR('1. Mixture Model Inputs'!Q11/'1. Mixture Model Inputs'!AG11, NA())</f>
        <v>#N/A</v>
      </c>
      <c r="L11" s="22" t="e">
        <f>C11*'2. Salmon Passage by Bin'!C11</f>
        <v>#N/A</v>
      </c>
      <c r="M11" s="22" t="e">
        <f>D11*'2. Salmon Passage by Bin'!D11</f>
        <v>#N/A</v>
      </c>
      <c r="N11" s="22" t="e">
        <f>F11*'2. Salmon Passage by Bin'!F11</f>
        <v>#N/A</v>
      </c>
      <c r="O11" s="22" t="e">
        <f>G11*'2. Salmon Passage by Bin'!G11</f>
        <v>#N/A</v>
      </c>
      <c r="P11" s="22" t="e">
        <f>$G11*'2. Salmon Passage by Bin'!H11</f>
        <v>#N/A</v>
      </c>
      <c r="Q11" s="22" t="e">
        <f>$G11*'2. Salmon Passage by Bin'!I11</f>
        <v>#N/A</v>
      </c>
      <c r="R11" s="22" t="e">
        <f>$G11*'2. Salmon Passage by Bin'!J11</f>
        <v>#N/A</v>
      </c>
      <c r="S11" s="25">
        <f>'2. Salmon Passage by Bin'!K11*H11</f>
        <v>0</v>
      </c>
      <c r="T11" s="25" t="e">
        <f>K11*'2. Salmon Passage by Bin'!L11</f>
        <v>#N/A</v>
      </c>
      <c r="U11" s="25" t="e">
        <f>K11*'2. Salmon Passage by Bin'!M11</f>
        <v>#N/A</v>
      </c>
      <c r="V11" s="25" t="e">
        <f>J11*'2. Salmon Passage by Bin'!N11</f>
        <v>#N/A</v>
      </c>
      <c r="W11" s="25" t="e">
        <f>I11*'2. Salmon Passage by Bin'!O11</f>
        <v>#N/A</v>
      </c>
      <c r="X11" s="22" t="e">
        <f>E11*'2. Salmon Passage by Bin'!E11</f>
        <v>#N/A</v>
      </c>
      <c r="Y11" s="41">
        <f t="shared" si="0"/>
        <v>0</v>
      </c>
      <c r="Z11" s="42">
        <f>Y11/'[1]Passage Estimates'!$D11</f>
        <v>0</v>
      </c>
      <c r="AA11" s="43">
        <f>IFERROR(SUMIF(L11:R11, "&lt;&gt;#N/A")/SUMIF('2. Salmon Passage by Bin'!E11:J11, "&lt;&gt;#N/A"), NA())</f>
        <v>0</v>
      </c>
      <c r="AB11" s="42">
        <f>IFERROR(IF(ISNA(S11), NA(), S11/'2. Salmon Passage by Bin'!K11), NA())</f>
        <v>0</v>
      </c>
      <c r="AC11" s="44">
        <f>IFERROR(SUMIF(T11:W11, "&lt;&gt;#N/A")/SUMIF('2. Salmon Passage by Bin'!L11:N11, "&lt;&gt;#N/A"), NA())</f>
        <v>0</v>
      </c>
    </row>
    <row r="12" spans="1:29" x14ac:dyDescent="0.3">
      <c r="A12" s="5">
        <f>'1. Mixture Model Inputs'!A12</f>
        <v>45114</v>
      </c>
      <c r="B12" s="13" t="str">
        <f>IF(ISBLANK('[1]Passage Estimates'!$C12),"",IF('[1]Passage Estimates'!$C12="Imputation",'[1]Passage Estimates'!$B12,'[1]Passage Estimates'!$C12))</f>
        <v>S1+M+A2</v>
      </c>
      <c r="C12" s="17" t="e">
        <f>IFERROR('1. Mixture Model Inputs'!J12/'1. Mixture Model Inputs'!Z12,NA())</f>
        <v>#N/A</v>
      </c>
      <c r="D12" s="17" t="e">
        <f>IFERROR('1. Mixture Model Inputs'!K12/'1. Mixture Model Inputs'!AA12,NA())</f>
        <v>#N/A</v>
      </c>
      <c r="E12" s="17" t="e">
        <f>IFERROR('1. Mixture Model Inputs'!L12/'1. Mixture Model Inputs'!AB12,NA())</f>
        <v>#N/A</v>
      </c>
      <c r="F12" s="17" t="e">
        <f>IFERROR('1. Mixture Model Inputs'!M12/'1. Mixture Model Inputs'!AC12,NA())</f>
        <v>#N/A</v>
      </c>
      <c r="G12" s="17" t="e">
        <f>IFERROR('1. Mixture Model Inputs'!N12/'1. Mixture Model Inputs'!AD12,NA())</f>
        <v>#N/A</v>
      </c>
      <c r="H12" s="24">
        <f>WhonSpComp!AV27</f>
        <v>0</v>
      </c>
      <c r="I12" s="17" t="e">
        <f>IFERROR('1. Mixture Model Inputs'!O12/'1. Mixture Model Inputs'!AE12, NA())</f>
        <v>#N/A</v>
      </c>
      <c r="J12" s="17" t="e">
        <f>IFERROR('1. Mixture Model Inputs'!P12/'1. Mixture Model Inputs'!AF12, NA())</f>
        <v>#N/A</v>
      </c>
      <c r="K12" s="17" t="e">
        <f>IFERROR('1. Mixture Model Inputs'!Q12/'1. Mixture Model Inputs'!AG12, NA())</f>
        <v>#N/A</v>
      </c>
      <c r="L12" s="22" t="e">
        <f>C12*'2. Salmon Passage by Bin'!C12</f>
        <v>#N/A</v>
      </c>
      <c r="M12" s="22" t="e">
        <f>D12*'2. Salmon Passage by Bin'!D12</f>
        <v>#N/A</v>
      </c>
      <c r="N12" s="22" t="e">
        <f>F12*'2. Salmon Passage by Bin'!F12</f>
        <v>#N/A</v>
      </c>
      <c r="O12" s="22" t="e">
        <f>G12*'2. Salmon Passage by Bin'!G12</f>
        <v>#N/A</v>
      </c>
      <c r="P12" s="22" t="e">
        <f>$G12*'2. Salmon Passage by Bin'!H12</f>
        <v>#N/A</v>
      </c>
      <c r="Q12" s="22" t="e">
        <f>$G12*'2. Salmon Passage by Bin'!I12</f>
        <v>#N/A</v>
      </c>
      <c r="R12" s="22" t="e">
        <f>$G12*'2. Salmon Passage by Bin'!J12</f>
        <v>#N/A</v>
      </c>
      <c r="S12" s="25">
        <f>'2. Salmon Passage by Bin'!K12*H12</f>
        <v>0</v>
      </c>
      <c r="T12" s="25" t="e">
        <f>K12*'2. Salmon Passage by Bin'!L12</f>
        <v>#N/A</v>
      </c>
      <c r="U12" s="25" t="e">
        <f>K12*'2. Salmon Passage by Bin'!M12</f>
        <v>#N/A</v>
      </c>
      <c r="V12" s="25" t="e">
        <f>J12*'2. Salmon Passage by Bin'!N12</f>
        <v>#N/A</v>
      </c>
      <c r="W12" s="25" t="e">
        <f>I12*'2. Salmon Passage by Bin'!O12</f>
        <v>#N/A</v>
      </c>
      <c r="X12" s="22" t="e">
        <f>E12*'2. Salmon Passage by Bin'!E12</f>
        <v>#N/A</v>
      </c>
      <c r="Y12" s="41">
        <f t="shared" si="0"/>
        <v>0</v>
      </c>
      <c r="Z12" s="42">
        <f>Y12/'[1]Passage Estimates'!$D12</f>
        <v>0</v>
      </c>
      <c r="AA12" s="43">
        <f>IFERROR(SUMIF(L12:R12, "&lt;&gt;#N/A")/SUMIF('2. Salmon Passage by Bin'!E12:J12, "&lt;&gt;#N/A"), NA())</f>
        <v>0</v>
      </c>
      <c r="AB12" s="42">
        <f>IFERROR(IF(ISNA(S12), NA(), S12/'2. Salmon Passage by Bin'!K12), NA())</f>
        <v>0</v>
      </c>
      <c r="AC12" s="44">
        <f>IFERROR(SUMIF(T12:W12, "&lt;&gt;#N/A")/SUMIF('2. Salmon Passage by Bin'!L12:N12, "&lt;&gt;#N/A"), NA())</f>
        <v>0</v>
      </c>
    </row>
    <row r="13" spans="1:29" x14ac:dyDescent="0.3">
      <c r="A13" s="5">
        <f>'1. Mixture Model Inputs'!A13</f>
        <v>45115</v>
      </c>
      <c r="B13" s="13" t="str">
        <f>IF(ISBLANK('[1]Passage Estimates'!$C13),"",IF('[1]Passage Estimates'!$C13="Imputation",'[1]Passage Estimates'!$B13,'[1]Passage Estimates'!$C13))</f>
        <v>S1+M+A2</v>
      </c>
      <c r="C13" s="17" t="e">
        <f>IFERROR('1. Mixture Model Inputs'!J13/'1. Mixture Model Inputs'!Z13,NA())</f>
        <v>#N/A</v>
      </c>
      <c r="D13" s="17" t="e">
        <f>IFERROR('1. Mixture Model Inputs'!K13/'1. Mixture Model Inputs'!AA13,NA())</f>
        <v>#N/A</v>
      </c>
      <c r="E13" s="17" t="e">
        <f>IFERROR('1. Mixture Model Inputs'!L13/'1. Mixture Model Inputs'!AB13,NA())</f>
        <v>#N/A</v>
      </c>
      <c r="F13" s="17" t="e">
        <f>IFERROR('1. Mixture Model Inputs'!M13/'1. Mixture Model Inputs'!AC13,NA())</f>
        <v>#N/A</v>
      </c>
      <c r="G13" s="17" t="e">
        <f>IFERROR('1. Mixture Model Inputs'!N13/'1. Mixture Model Inputs'!AD13,NA())</f>
        <v>#N/A</v>
      </c>
      <c r="H13" s="24">
        <f>WhonSpComp!AV28</f>
        <v>0</v>
      </c>
      <c r="I13" s="17" t="e">
        <f>IFERROR('1. Mixture Model Inputs'!O13/'1. Mixture Model Inputs'!AE13, NA())</f>
        <v>#N/A</v>
      </c>
      <c r="J13" s="17" t="e">
        <f>IFERROR('1. Mixture Model Inputs'!P13/'1. Mixture Model Inputs'!AF13, NA())</f>
        <v>#N/A</v>
      </c>
      <c r="K13" s="17" t="e">
        <f>IFERROR('1. Mixture Model Inputs'!Q13/'1. Mixture Model Inputs'!AG13, NA())</f>
        <v>#N/A</v>
      </c>
      <c r="L13" s="22" t="e">
        <f>C13*'2. Salmon Passage by Bin'!C13</f>
        <v>#N/A</v>
      </c>
      <c r="M13" s="22" t="e">
        <f>D13*'2. Salmon Passage by Bin'!D13</f>
        <v>#N/A</v>
      </c>
      <c r="N13" s="22" t="e">
        <f>F13*'2. Salmon Passage by Bin'!F13</f>
        <v>#N/A</v>
      </c>
      <c r="O13" s="22" t="e">
        <f>G13*'2. Salmon Passage by Bin'!G13</f>
        <v>#N/A</v>
      </c>
      <c r="P13" s="22" t="e">
        <f>$G13*'2. Salmon Passage by Bin'!H13</f>
        <v>#N/A</v>
      </c>
      <c r="Q13" s="22" t="e">
        <f>$G13*'2. Salmon Passage by Bin'!I13</f>
        <v>#N/A</v>
      </c>
      <c r="R13" s="22" t="e">
        <f>$G13*'2. Salmon Passage by Bin'!J13</f>
        <v>#N/A</v>
      </c>
      <c r="S13" s="25">
        <f>'2. Salmon Passage by Bin'!K13*H13</f>
        <v>0</v>
      </c>
      <c r="T13" s="25" t="e">
        <f>K13*'2. Salmon Passage by Bin'!L13</f>
        <v>#N/A</v>
      </c>
      <c r="U13" s="25" t="e">
        <f>K13*'2. Salmon Passage by Bin'!M13</f>
        <v>#N/A</v>
      </c>
      <c r="V13" s="25" t="e">
        <f>J13*'2. Salmon Passage by Bin'!N13</f>
        <v>#N/A</v>
      </c>
      <c r="W13" s="25" t="e">
        <f>I13*'2. Salmon Passage by Bin'!O13</f>
        <v>#N/A</v>
      </c>
      <c r="X13" s="22" t="e">
        <f>E13*'2. Salmon Passage by Bin'!E13</f>
        <v>#N/A</v>
      </c>
      <c r="Y13" s="41">
        <f t="shared" si="0"/>
        <v>0</v>
      </c>
      <c r="Z13" s="42">
        <f>Y13/'[1]Passage Estimates'!$D13</f>
        <v>0</v>
      </c>
      <c r="AA13" s="43">
        <f>IFERROR(SUMIF(L13:R13, "&lt;&gt;#N/A")/SUMIF('2. Salmon Passage by Bin'!E13:J13, "&lt;&gt;#N/A"), NA())</f>
        <v>0</v>
      </c>
      <c r="AB13" s="42">
        <f>IFERROR(IF(ISNA(S13), NA(), S13/'2. Salmon Passage by Bin'!K13), NA())</f>
        <v>0</v>
      </c>
      <c r="AC13" s="44">
        <f>IFERROR(SUMIF(T13:W13, "&lt;&gt;#N/A")/SUMIF('2. Salmon Passage by Bin'!L13:N13, "&lt;&gt;#N/A"), NA())</f>
        <v>0</v>
      </c>
    </row>
    <row r="14" spans="1:29" x14ac:dyDescent="0.3">
      <c r="A14" s="5">
        <f>'1. Mixture Model Inputs'!A14</f>
        <v>45116</v>
      </c>
      <c r="B14" s="13" t="str">
        <f>IF(ISBLANK('[1]Passage Estimates'!$C14),"",IF('[1]Passage Estimates'!$C14="Imputation",'[1]Passage Estimates'!$B14,'[1]Passage Estimates'!$C14))</f>
        <v>S1+M+A2</v>
      </c>
      <c r="C14" s="17" t="e">
        <f>IFERROR('1. Mixture Model Inputs'!J14/'1. Mixture Model Inputs'!Z14,NA())</f>
        <v>#N/A</v>
      </c>
      <c r="D14" s="17" t="e">
        <f>IFERROR('1. Mixture Model Inputs'!K14/'1. Mixture Model Inputs'!AA14,NA())</f>
        <v>#N/A</v>
      </c>
      <c r="E14" s="17" t="e">
        <f>IFERROR('1. Mixture Model Inputs'!L14/'1. Mixture Model Inputs'!AB14,NA())</f>
        <v>#N/A</v>
      </c>
      <c r="F14" s="17" t="e">
        <f>IFERROR('1. Mixture Model Inputs'!M14/'1. Mixture Model Inputs'!AC14,NA())</f>
        <v>#N/A</v>
      </c>
      <c r="G14" s="17" t="e">
        <f>IFERROR('1. Mixture Model Inputs'!N14/'1. Mixture Model Inputs'!AD14,NA())</f>
        <v>#N/A</v>
      </c>
      <c r="H14" s="24">
        <f>WhonSpComp!AV29</f>
        <v>0</v>
      </c>
      <c r="I14" s="17" t="e">
        <f>IFERROR('1. Mixture Model Inputs'!O14/'1. Mixture Model Inputs'!AE14, NA())</f>
        <v>#N/A</v>
      </c>
      <c r="J14" s="17" t="e">
        <f>IFERROR('1. Mixture Model Inputs'!P14/'1. Mixture Model Inputs'!AF14, NA())</f>
        <v>#N/A</v>
      </c>
      <c r="K14" s="17" t="e">
        <f>IFERROR('1. Mixture Model Inputs'!Q14/'1. Mixture Model Inputs'!AG14, NA())</f>
        <v>#N/A</v>
      </c>
      <c r="L14" s="22" t="e">
        <f>C14*'2. Salmon Passage by Bin'!C14</f>
        <v>#N/A</v>
      </c>
      <c r="M14" s="22" t="e">
        <f>D14*'2. Salmon Passage by Bin'!D14</f>
        <v>#N/A</v>
      </c>
      <c r="N14" s="22" t="e">
        <f>F14*'2. Salmon Passage by Bin'!F14</f>
        <v>#N/A</v>
      </c>
      <c r="O14" s="22" t="e">
        <f>G14*'2. Salmon Passage by Bin'!G14</f>
        <v>#N/A</v>
      </c>
      <c r="P14" s="22" t="e">
        <f>$G14*'2. Salmon Passage by Bin'!H14</f>
        <v>#N/A</v>
      </c>
      <c r="Q14" s="22" t="e">
        <f>$G14*'2. Salmon Passage by Bin'!I14</f>
        <v>#N/A</v>
      </c>
      <c r="R14" s="22" t="e">
        <f>$G14*'2. Salmon Passage by Bin'!J14</f>
        <v>#N/A</v>
      </c>
      <c r="S14" s="25">
        <f>'2. Salmon Passage by Bin'!K14*H14</f>
        <v>0</v>
      </c>
      <c r="T14" s="25" t="e">
        <f>K14*'2. Salmon Passage by Bin'!L14</f>
        <v>#N/A</v>
      </c>
      <c r="U14" s="25" t="e">
        <f>K14*'2. Salmon Passage by Bin'!M14</f>
        <v>#N/A</v>
      </c>
      <c r="V14" s="25" t="e">
        <f>J14*'2. Salmon Passage by Bin'!N14</f>
        <v>#N/A</v>
      </c>
      <c r="W14" s="25" t="e">
        <f>I14*'2. Salmon Passage by Bin'!O14</f>
        <v>#N/A</v>
      </c>
      <c r="X14" s="22" t="e">
        <f>E14*'2. Salmon Passage by Bin'!E14</f>
        <v>#N/A</v>
      </c>
      <c r="Y14" s="41">
        <f t="shared" si="0"/>
        <v>0</v>
      </c>
      <c r="Z14" s="42">
        <f>Y14/'[1]Passage Estimates'!$D14</f>
        <v>0</v>
      </c>
      <c r="AA14" s="43">
        <f>IFERROR(SUMIF(L14:R14, "&lt;&gt;#N/A")/SUMIF('2. Salmon Passage by Bin'!E14:J14, "&lt;&gt;#N/A"), NA())</f>
        <v>0</v>
      </c>
      <c r="AB14" s="42">
        <f>IFERROR(IF(ISNA(S14), NA(), S14/'2. Salmon Passage by Bin'!K14), NA())</f>
        <v>0</v>
      </c>
      <c r="AC14" s="44">
        <f>IFERROR(SUMIF(T14:W14, "&lt;&gt;#N/A")/SUMIF('2. Salmon Passage by Bin'!L14:N14, "&lt;&gt;#N/A"), NA())</f>
        <v>0</v>
      </c>
    </row>
    <row r="15" spans="1:29" x14ac:dyDescent="0.3">
      <c r="A15" s="5">
        <f>'1. Mixture Model Inputs'!A15</f>
        <v>45117</v>
      </c>
      <c r="B15" s="13" t="str">
        <f>IF(ISBLANK('[1]Passage Estimates'!$C15),"",IF('[1]Passage Estimates'!$C15="Imputation",'[1]Passage Estimates'!$B15,'[1]Passage Estimates'!$C15))</f>
        <v>S1+M+A2</v>
      </c>
      <c r="C15" s="17" t="e">
        <f>IFERROR('1. Mixture Model Inputs'!J15/'1. Mixture Model Inputs'!Z15,NA())</f>
        <v>#N/A</v>
      </c>
      <c r="D15" s="17" t="e">
        <f>IFERROR('1. Mixture Model Inputs'!K15/'1. Mixture Model Inputs'!AA15,NA())</f>
        <v>#N/A</v>
      </c>
      <c r="E15" s="17" t="e">
        <f>IFERROR('1. Mixture Model Inputs'!L15/'1. Mixture Model Inputs'!AB15,NA())</f>
        <v>#N/A</v>
      </c>
      <c r="F15" s="17" t="e">
        <f>IFERROR('1. Mixture Model Inputs'!M15/'1. Mixture Model Inputs'!AC15,NA())</f>
        <v>#N/A</v>
      </c>
      <c r="G15" s="17" t="e">
        <f>IFERROR('1. Mixture Model Inputs'!N15/'1. Mixture Model Inputs'!AD15,NA())</f>
        <v>#N/A</v>
      </c>
      <c r="H15" s="24">
        <f>WhonSpComp!AV30</f>
        <v>0</v>
      </c>
      <c r="I15" s="17" t="e">
        <f>IFERROR('1. Mixture Model Inputs'!O15/'1. Mixture Model Inputs'!AE15, NA())</f>
        <v>#N/A</v>
      </c>
      <c r="J15" s="17" t="e">
        <f>IFERROR('1. Mixture Model Inputs'!P15/'1. Mixture Model Inputs'!AF15, NA())</f>
        <v>#N/A</v>
      </c>
      <c r="K15" s="17" t="e">
        <f>IFERROR('1. Mixture Model Inputs'!Q15/'1. Mixture Model Inputs'!AG15, NA())</f>
        <v>#N/A</v>
      </c>
      <c r="L15" s="22" t="e">
        <f>C15*'2. Salmon Passage by Bin'!C15</f>
        <v>#N/A</v>
      </c>
      <c r="M15" s="22" t="e">
        <f>D15*'2. Salmon Passage by Bin'!D15</f>
        <v>#N/A</v>
      </c>
      <c r="N15" s="22" t="e">
        <f>F15*'2. Salmon Passage by Bin'!F15</f>
        <v>#N/A</v>
      </c>
      <c r="O15" s="22" t="e">
        <f>G15*'2. Salmon Passage by Bin'!G15</f>
        <v>#N/A</v>
      </c>
      <c r="P15" s="22" t="e">
        <f>$G15*'2. Salmon Passage by Bin'!H15</f>
        <v>#N/A</v>
      </c>
      <c r="Q15" s="22" t="e">
        <f>$G15*'2. Salmon Passage by Bin'!I15</f>
        <v>#N/A</v>
      </c>
      <c r="R15" s="22" t="e">
        <f>$G15*'2. Salmon Passage by Bin'!J15</f>
        <v>#N/A</v>
      </c>
      <c r="S15" s="25">
        <f>'2. Salmon Passage by Bin'!K15*H15</f>
        <v>0</v>
      </c>
      <c r="T15" s="25" t="e">
        <f>K15*'2. Salmon Passage by Bin'!L15</f>
        <v>#N/A</v>
      </c>
      <c r="U15" s="25" t="e">
        <f>K15*'2. Salmon Passage by Bin'!M15</f>
        <v>#N/A</v>
      </c>
      <c r="V15" s="25" t="e">
        <f>J15*'2. Salmon Passage by Bin'!N15</f>
        <v>#N/A</v>
      </c>
      <c r="W15" s="25" t="e">
        <f>I15*'2. Salmon Passage by Bin'!O15</f>
        <v>#N/A</v>
      </c>
      <c r="X15" s="22" t="e">
        <f>E15*'2. Salmon Passage by Bin'!E15</f>
        <v>#N/A</v>
      </c>
      <c r="Y15" s="41">
        <f t="shared" si="0"/>
        <v>0</v>
      </c>
      <c r="Z15" s="42">
        <f>Y15/'[1]Passage Estimates'!$D15</f>
        <v>0</v>
      </c>
      <c r="AA15" s="43">
        <f>IFERROR(SUMIF(L15:R15, "&lt;&gt;#N/A")/SUMIF('2. Salmon Passage by Bin'!E15:J15, "&lt;&gt;#N/A"), NA())</f>
        <v>0</v>
      </c>
      <c r="AB15" s="42">
        <f>IFERROR(IF(ISNA(S15), NA(), S15/'2. Salmon Passage by Bin'!K15), NA())</f>
        <v>0</v>
      </c>
      <c r="AC15" s="44">
        <f>IFERROR(SUMIF(T15:W15, "&lt;&gt;#N/A")/SUMIF('2. Salmon Passage by Bin'!L15:N15, "&lt;&gt;#N/A"), NA())</f>
        <v>0</v>
      </c>
    </row>
    <row r="16" spans="1:29" x14ac:dyDescent="0.3">
      <c r="A16" s="5">
        <f>'1. Mixture Model Inputs'!A16</f>
        <v>45118</v>
      </c>
      <c r="B16" s="13" t="str">
        <f>IF(ISBLANK('[1]Passage Estimates'!$C16),"",IF('[1]Passage Estimates'!$C16="Imputation",'[1]Passage Estimates'!$B16,'[1]Passage Estimates'!$C16))</f>
        <v>S1+M+A2</v>
      </c>
      <c r="C16" s="17" t="e">
        <f>IFERROR('1. Mixture Model Inputs'!J16/'1. Mixture Model Inputs'!Z16,NA())</f>
        <v>#N/A</v>
      </c>
      <c r="D16" s="17" t="e">
        <f>IFERROR('1. Mixture Model Inputs'!K16/'1. Mixture Model Inputs'!AA16,NA())</f>
        <v>#N/A</v>
      </c>
      <c r="E16" s="17" t="e">
        <f>IFERROR('1. Mixture Model Inputs'!L16/'1. Mixture Model Inputs'!AB16,NA())</f>
        <v>#N/A</v>
      </c>
      <c r="F16" s="17" t="e">
        <f>IFERROR('1. Mixture Model Inputs'!M16/'1. Mixture Model Inputs'!AC16,NA())</f>
        <v>#N/A</v>
      </c>
      <c r="G16" s="17" t="e">
        <f>IFERROR('1. Mixture Model Inputs'!N16/'1. Mixture Model Inputs'!AD16,NA())</f>
        <v>#N/A</v>
      </c>
      <c r="H16" s="24">
        <f>WhonSpComp!AV31</f>
        <v>0</v>
      </c>
      <c r="I16" s="17" t="e">
        <f>IFERROR('1. Mixture Model Inputs'!O16/'1. Mixture Model Inputs'!AE16, NA())</f>
        <v>#N/A</v>
      </c>
      <c r="J16" s="17" t="e">
        <f>IFERROR('1. Mixture Model Inputs'!P16/'1. Mixture Model Inputs'!AF16, NA())</f>
        <v>#N/A</v>
      </c>
      <c r="K16" s="17" t="e">
        <f>IFERROR('1. Mixture Model Inputs'!Q16/'1. Mixture Model Inputs'!AG16, NA())</f>
        <v>#N/A</v>
      </c>
      <c r="L16" s="22" t="e">
        <f>C16*'2. Salmon Passage by Bin'!C16</f>
        <v>#N/A</v>
      </c>
      <c r="M16" s="22" t="e">
        <f>D16*'2. Salmon Passage by Bin'!D16</f>
        <v>#N/A</v>
      </c>
      <c r="N16" s="22" t="e">
        <f>F16*'2. Salmon Passage by Bin'!F16</f>
        <v>#N/A</v>
      </c>
      <c r="O16" s="22" t="e">
        <f>G16*'2. Salmon Passage by Bin'!G16</f>
        <v>#N/A</v>
      </c>
      <c r="P16" s="22" t="e">
        <f>$G16*'2. Salmon Passage by Bin'!H16</f>
        <v>#N/A</v>
      </c>
      <c r="Q16" s="22" t="e">
        <f>$G16*'2. Salmon Passage by Bin'!I16</f>
        <v>#N/A</v>
      </c>
      <c r="R16" s="22" t="e">
        <f>$G16*'2. Salmon Passage by Bin'!J16</f>
        <v>#N/A</v>
      </c>
      <c r="S16" s="25">
        <f>'2. Salmon Passage by Bin'!K16*H16</f>
        <v>0</v>
      </c>
      <c r="T16" s="25" t="e">
        <f>K16*'2. Salmon Passage by Bin'!L16</f>
        <v>#N/A</v>
      </c>
      <c r="U16" s="25" t="e">
        <f>K16*'2. Salmon Passage by Bin'!M16</f>
        <v>#N/A</v>
      </c>
      <c r="V16" s="25" t="e">
        <f>J16*'2. Salmon Passage by Bin'!N16</f>
        <v>#N/A</v>
      </c>
      <c r="W16" s="25" t="e">
        <f>I16*'2. Salmon Passage by Bin'!O16</f>
        <v>#N/A</v>
      </c>
      <c r="X16" s="22" t="e">
        <f>E16*'2. Salmon Passage by Bin'!E16</f>
        <v>#N/A</v>
      </c>
      <c r="Y16" s="41">
        <f t="shared" si="0"/>
        <v>0</v>
      </c>
      <c r="Z16" s="42">
        <f>Y16/'[1]Passage Estimates'!$D16</f>
        <v>0</v>
      </c>
      <c r="AA16" s="43">
        <f>IFERROR(SUMIF(L16:R16, "&lt;&gt;#N/A")/SUMIF('2. Salmon Passage by Bin'!E16:J16, "&lt;&gt;#N/A"), NA())</f>
        <v>0</v>
      </c>
      <c r="AB16" s="42">
        <f>IFERROR(IF(ISNA(S16), NA(), S16/'2. Salmon Passage by Bin'!K16), NA())</f>
        <v>0</v>
      </c>
      <c r="AC16" s="44">
        <f>IFERROR(SUMIF(T16:W16, "&lt;&gt;#N/A")/SUMIF('2. Salmon Passage by Bin'!L16:N16, "&lt;&gt;#N/A"), NA())</f>
        <v>0</v>
      </c>
    </row>
    <row r="17" spans="1:29" x14ac:dyDescent="0.3">
      <c r="A17" s="5">
        <f>'1. Mixture Model Inputs'!A17</f>
        <v>45119</v>
      </c>
      <c r="B17" s="13" t="str">
        <f>IF(ISBLANK('[1]Passage Estimates'!$C17),"",IF('[1]Passage Estimates'!$C17="Imputation",'[1]Passage Estimates'!$B17,'[1]Passage Estimates'!$C17))</f>
        <v>S1+M+A2</v>
      </c>
      <c r="C17" s="17" t="e">
        <f>IFERROR('1. Mixture Model Inputs'!J17/'1. Mixture Model Inputs'!Z17,NA())</f>
        <v>#N/A</v>
      </c>
      <c r="D17" s="17" t="e">
        <f>IFERROR('1. Mixture Model Inputs'!K17/'1. Mixture Model Inputs'!AA17,NA())</f>
        <v>#N/A</v>
      </c>
      <c r="E17" s="17" t="e">
        <f>IFERROR('1. Mixture Model Inputs'!L17/'1. Mixture Model Inputs'!AB17,NA())</f>
        <v>#N/A</v>
      </c>
      <c r="F17" s="17" t="e">
        <f>IFERROR('1. Mixture Model Inputs'!M17/'1. Mixture Model Inputs'!AC17,NA())</f>
        <v>#N/A</v>
      </c>
      <c r="G17" s="17" t="e">
        <f>IFERROR('1. Mixture Model Inputs'!N17/'1. Mixture Model Inputs'!AD17,NA())</f>
        <v>#N/A</v>
      </c>
      <c r="H17" s="24">
        <f>WhonSpComp!AV32</f>
        <v>0</v>
      </c>
      <c r="I17" s="17" t="e">
        <f>IFERROR('1. Mixture Model Inputs'!O17/'1. Mixture Model Inputs'!AE17, NA())</f>
        <v>#N/A</v>
      </c>
      <c r="J17" s="17" t="e">
        <f>IFERROR('1. Mixture Model Inputs'!P17/'1. Mixture Model Inputs'!AF17, NA())</f>
        <v>#N/A</v>
      </c>
      <c r="K17" s="17" t="e">
        <f>IFERROR('1. Mixture Model Inputs'!Q17/'1. Mixture Model Inputs'!AG17, NA())</f>
        <v>#N/A</v>
      </c>
      <c r="L17" s="22" t="e">
        <f>C17*'2. Salmon Passage by Bin'!C17</f>
        <v>#N/A</v>
      </c>
      <c r="M17" s="22" t="e">
        <f>D17*'2. Salmon Passage by Bin'!D17</f>
        <v>#N/A</v>
      </c>
      <c r="N17" s="22" t="e">
        <f>F17*'2. Salmon Passage by Bin'!F17</f>
        <v>#N/A</v>
      </c>
      <c r="O17" s="22" t="e">
        <f>G17*'2. Salmon Passage by Bin'!G17</f>
        <v>#N/A</v>
      </c>
      <c r="P17" s="22" t="e">
        <f>$G17*'2. Salmon Passage by Bin'!H17</f>
        <v>#N/A</v>
      </c>
      <c r="Q17" s="22" t="e">
        <f>$G17*'2. Salmon Passage by Bin'!I17</f>
        <v>#N/A</v>
      </c>
      <c r="R17" s="22" t="e">
        <f>$G17*'2. Salmon Passage by Bin'!J17</f>
        <v>#N/A</v>
      </c>
      <c r="S17" s="25">
        <f>'2. Salmon Passage by Bin'!K17*H17</f>
        <v>0</v>
      </c>
      <c r="T17" s="25" t="e">
        <f>K17*'2. Salmon Passage by Bin'!L17</f>
        <v>#N/A</v>
      </c>
      <c r="U17" s="25" t="e">
        <f>K17*'2. Salmon Passage by Bin'!M17</f>
        <v>#N/A</v>
      </c>
      <c r="V17" s="25" t="e">
        <f>J17*'2. Salmon Passage by Bin'!N17</f>
        <v>#N/A</v>
      </c>
      <c r="W17" s="25" t="e">
        <f>I17*'2. Salmon Passage by Bin'!O17</f>
        <v>#N/A</v>
      </c>
      <c r="X17" s="22" t="e">
        <f>E17*'2. Salmon Passage by Bin'!E17</f>
        <v>#N/A</v>
      </c>
      <c r="Y17" s="41">
        <f t="shared" si="0"/>
        <v>0</v>
      </c>
      <c r="Z17" s="42">
        <f>Y17/'[1]Passage Estimates'!$D17</f>
        <v>0</v>
      </c>
      <c r="AA17" s="43">
        <f>IFERROR(SUMIF(L17:R17, "&lt;&gt;#N/A")/SUMIF('2. Salmon Passage by Bin'!E17:J17, "&lt;&gt;#N/A"), NA())</f>
        <v>0</v>
      </c>
      <c r="AB17" s="42">
        <f>IFERROR(IF(ISNA(S17), NA(), S17/'2. Salmon Passage by Bin'!K17), NA())</f>
        <v>0</v>
      </c>
      <c r="AC17" s="44">
        <f>IFERROR(SUMIF(T17:W17, "&lt;&gt;#N/A")/SUMIF('2. Salmon Passage by Bin'!L17:N17, "&lt;&gt;#N/A"), NA())</f>
        <v>0</v>
      </c>
    </row>
    <row r="18" spans="1:29" x14ac:dyDescent="0.3">
      <c r="A18" s="5">
        <f>'1. Mixture Model Inputs'!A18</f>
        <v>45120</v>
      </c>
      <c r="B18" s="13" t="str">
        <f>IF(ISBLANK('[1]Passage Estimates'!$C18),"",IF('[1]Passage Estimates'!$C18="Imputation",'[1]Passage Estimates'!$B18,'[1]Passage Estimates'!$C18))</f>
        <v>S1+M+A2</v>
      </c>
      <c r="C18" s="17" t="e">
        <f>IFERROR('1. Mixture Model Inputs'!J18/'1. Mixture Model Inputs'!Z18,NA())</f>
        <v>#N/A</v>
      </c>
      <c r="D18" s="17" t="e">
        <f>IFERROR('1. Mixture Model Inputs'!K18/'1. Mixture Model Inputs'!AA18,NA())</f>
        <v>#N/A</v>
      </c>
      <c r="E18" s="17" t="e">
        <f>IFERROR('1. Mixture Model Inputs'!L18/'1. Mixture Model Inputs'!AB18,NA())</f>
        <v>#N/A</v>
      </c>
      <c r="F18" s="17" t="e">
        <f>IFERROR('1. Mixture Model Inputs'!M18/'1. Mixture Model Inputs'!AC18,NA())</f>
        <v>#N/A</v>
      </c>
      <c r="G18" s="17" t="e">
        <f>IFERROR('1. Mixture Model Inputs'!N18/'1. Mixture Model Inputs'!AD18,NA())</f>
        <v>#N/A</v>
      </c>
      <c r="H18" s="24">
        <f>WhonSpComp!AV33</f>
        <v>0</v>
      </c>
      <c r="I18" s="17" t="e">
        <f>IFERROR('1. Mixture Model Inputs'!O18/'1. Mixture Model Inputs'!AE18, NA())</f>
        <v>#N/A</v>
      </c>
      <c r="J18" s="17" t="e">
        <f>IFERROR('1. Mixture Model Inputs'!P18/'1. Mixture Model Inputs'!AF18, NA())</f>
        <v>#N/A</v>
      </c>
      <c r="K18" s="17" t="e">
        <f>IFERROR('1. Mixture Model Inputs'!Q18/'1. Mixture Model Inputs'!AG18, NA())</f>
        <v>#N/A</v>
      </c>
      <c r="L18" s="22" t="e">
        <f>C18*'2. Salmon Passage by Bin'!C18</f>
        <v>#N/A</v>
      </c>
      <c r="M18" s="22" t="e">
        <f>D18*'2. Salmon Passage by Bin'!D18</f>
        <v>#N/A</v>
      </c>
      <c r="N18" s="22" t="e">
        <f>F18*'2. Salmon Passage by Bin'!F18</f>
        <v>#N/A</v>
      </c>
      <c r="O18" s="22" t="e">
        <f>G18*'2. Salmon Passage by Bin'!G18</f>
        <v>#N/A</v>
      </c>
      <c r="P18" s="22" t="e">
        <f>$G18*'2. Salmon Passage by Bin'!H18</f>
        <v>#N/A</v>
      </c>
      <c r="Q18" s="22" t="e">
        <f>$G18*'2. Salmon Passage by Bin'!I18</f>
        <v>#N/A</v>
      </c>
      <c r="R18" s="22" t="e">
        <f>$G18*'2. Salmon Passage by Bin'!J18</f>
        <v>#N/A</v>
      </c>
      <c r="S18" s="25">
        <f>'2. Salmon Passage by Bin'!K18*H18</f>
        <v>0</v>
      </c>
      <c r="T18" s="25" t="e">
        <f>K18*'2. Salmon Passage by Bin'!L18</f>
        <v>#N/A</v>
      </c>
      <c r="U18" s="25" t="e">
        <f>K18*'2. Salmon Passage by Bin'!M18</f>
        <v>#N/A</v>
      </c>
      <c r="V18" s="25" t="e">
        <f>J18*'2. Salmon Passage by Bin'!N18</f>
        <v>#N/A</v>
      </c>
      <c r="W18" s="25" t="e">
        <f>I18*'2. Salmon Passage by Bin'!O18</f>
        <v>#N/A</v>
      </c>
      <c r="X18" s="22" t="e">
        <f>E18*'2. Salmon Passage by Bin'!E18</f>
        <v>#N/A</v>
      </c>
      <c r="Y18" s="41">
        <f t="shared" si="0"/>
        <v>0</v>
      </c>
      <c r="Z18" s="42">
        <f>Y18/'[1]Passage Estimates'!$D18</f>
        <v>0</v>
      </c>
      <c r="AA18" s="43">
        <f>IFERROR(SUMIF(L18:R18, "&lt;&gt;#N/A")/SUMIF('2. Salmon Passage by Bin'!E18:J18, "&lt;&gt;#N/A"), NA())</f>
        <v>0</v>
      </c>
      <c r="AB18" s="42">
        <f>IFERROR(IF(ISNA(S18), NA(), S18/'2. Salmon Passage by Bin'!K18), NA())</f>
        <v>0</v>
      </c>
      <c r="AC18" s="44">
        <f>IFERROR(SUMIF(T18:W18, "&lt;&gt;#N/A")/SUMIF('2. Salmon Passage by Bin'!L18:N18, "&lt;&gt;#N/A"), NA())</f>
        <v>0</v>
      </c>
    </row>
    <row r="19" spans="1:29" x14ac:dyDescent="0.3">
      <c r="A19" s="5">
        <f>'1. Mixture Model Inputs'!A19</f>
        <v>45121</v>
      </c>
      <c r="B19" s="13" t="str">
        <f>IF(ISBLANK('[1]Passage Estimates'!$C19),"",IF('[1]Passage Estimates'!$C19="Imputation",'[1]Passage Estimates'!$B19,'[1]Passage Estimates'!$C19))</f>
        <v>S1+M+A2</v>
      </c>
      <c r="C19" s="17" t="e">
        <f>IFERROR('1. Mixture Model Inputs'!J19/'1. Mixture Model Inputs'!Z19,NA())</f>
        <v>#N/A</v>
      </c>
      <c r="D19" s="17" t="e">
        <f>IFERROR('1. Mixture Model Inputs'!K19/'1. Mixture Model Inputs'!AA19,NA())</f>
        <v>#N/A</v>
      </c>
      <c r="E19" s="17" t="e">
        <f>IFERROR('1. Mixture Model Inputs'!L19/'1. Mixture Model Inputs'!AB19,NA())</f>
        <v>#N/A</v>
      </c>
      <c r="F19" s="17" t="e">
        <f>IFERROR('1. Mixture Model Inputs'!M19/'1. Mixture Model Inputs'!AC19,NA())</f>
        <v>#N/A</v>
      </c>
      <c r="G19" s="17" t="e">
        <f>IFERROR('1. Mixture Model Inputs'!N19/'1. Mixture Model Inputs'!AD19,NA())</f>
        <v>#N/A</v>
      </c>
      <c r="H19" s="24">
        <f>WhonSpComp!AV34</f>
        <v>4.7619047619047616E-2</v>
      </c>
      <c r="I19" s="17" t="e">
        <f>IFERROR('1. Mixture Model Inputs'!O19/'1. Mixture Model Inputs'!AE19, NA())</f>
        <v>#N/A</v>
      </c>
      <c r="J19" s="17" t="e">
        <f>IFERROR('1. Mixture Model Inputs'!P19/'1. Mixture Model Inputs'!AF19, NA())</f>
        <v>#N/A</v>
      </c>
      <c r="K19" s="17" t="e">
        <f>IFERROR('1. Mixture Model Inputs'!Q19/'1. Mixture Model Inputs'!AG19, NA())</f>
        <v>#N/A</v>
      </c>
      <c r="L19" s="22" t="e">
        <f>C19*'2. Salmon Passage by Bin'!C19</f>
        <v>#N/A</v>
      </c>
      <c r="M19" s="22" t="e">
        <f>D19*'2. Salmon Passage by Bin'!D19</f>
        <v>#N/A</v>
      </c>
      <c r="N19" s="22" t="e">
        <f>F19*'2. Salmon Passage by Bin'!F19</f>
        <v>#N/A</v>
      </c>
      <c r="O19" s="22" t="e">
        <f>G19*'2. Salmon Passage by Bin'!G19</f>
        <v>#N/A</v>
      </c>
      <c r="P19" s="22" t="e">
        <f>$G19*'2. Salmon Passage by Bin'!H19</f>
        <v>#N/A</v>
      </c>
      <c r="Q19" s="22" t="e">
        <f>$G19*'2. Salmon Passage by Bin'!I19</f>
        <v>#N/A</v>
      </c>
      <c r="R19" s="22" t="e">
        <f>$G19*'2. Salmon Passage by Bin'!J19</f>
        <v>#N/A</v>
      </c>
      <c r="S19" s="25">
        <f>'2. Salmon Passage by Bin'!K19*H19</f>
        <v>61.222857142857166</v>
      </c>
      <c r="T19" s="25" t="e">
        <f>K19*'2. Salmon Passage by Bin'!L19</f>
        <v>#N/A</v>
      </c>
      <c r="U19" s="25" t="e">
        <f>K19*'2. Salmon Passage by Bin'!M19</f>
        <v>#N/A</v>
      </c>
      <c r="V19" s="25" t="e">
        <f>J19*'2. Salmon Passage by Bin'!N19</f>
        <v>#N/A</v>
      </c>
      <c r="W19" s="25" t="e">
        <f>I19*'2. Salmon Passage by Bin'!O19</f>
        <v>#N/A</v>
      </c>
      <c r="X19" s="22" t="e">
        <f>E19*'2. Salmon Passage by Bin'!E19</f>
        <v>#N/A</v>
      </c>
      <c r="Y19" s="41">
        <f t="shared" si="0"/>
        <v>61.222857142857166</v>
      </c>
      <c r="Z19" s="42">
        <f>Y19/'[1]Passage Estimates'!$D19</f>
        <v>1.3597102398339011E-2</v>
      </c>
      <c r="AA19" s="43">
        <f>IFERROR(SUMIF(L19:R19, "&lt;&gt;#N/A")/SUMIF('2. Salmon Passage by Bin'!E19:J19, "&lt;&gt;#N/A"), NA())</f>
        <v>0</v>
      </c>
      <c r="AB19" s="42">
        <f>IFERROR(IF(ISNA(S19), NA(), S19/'2. Salmon Passage by Bin'!K19), NA())</f>
        <v>4.7619047619047616E-2</v>
      </c>
      <c r="AC19" s="44">
        <f>IFERROR(SUMIF(T19:W19, "&lt;&gt;#N/A")/SUMIF('2. Salmon Passage by Bin'!L19:N19, "&lt;&gt;#N/A"), NA())</f>
        <v>0</v>
      </c>
    </row>
    <row r="20" spans="1:29" x14ac:dyDescent="0.3">
      <c r="A20" s="5">
        <f>'1. Mixture Model Inputs'!A20</f>
        <v>45122</v>
      </c>
      <c r="B20" s="13" t="str">
        <f>IF(ISBLANK('[1]Passage Estimates'!$C20),"",IF('[1]Passage Estimates'!$C20="Imputation",'[1]Passage Estimates'!$B20,'[1]Passage Estimates'!$C20))</f>
        <v>S1+M+A2</v>
      </c>
      <c r="C20" s="17" t="e">
        <f>IFERROR('1. Mixture Model Inputs'!J20/'1. Mixture Model Inputs'!Z20,NA())</f>
        <v>#N/A</v>
      </c>
      <c r="D20" s="17" t="e">
        <f>IFERROR('1. Mixture Model Inputs'!K20/'1. Mixture Model Inputs'!AA20,NA())</f>
        <v>#N/A</v>
      </c>
      <c r="E20" s="17" t="e">
        <f>IFERROR('1. Mixture Model Inputs'!L20/'1. Mixture Model Inputs'!AB20,NA())</f>
        <v>#N/A</v>
      </c>
      <c r="F20" s="17" t="e">
        <f>IFERROR('1. Mixture Model Inputs'!M20/'1. Mixture Model Inputs'!AC20,NA())</f>
        <v>#N/A</v>
      </c>
      <c r="G20" s="17" t="e">
        <f>IFERROR('1. Mixture Model Inputs'!N20/'1. Mixture Model Inputs'!AD20,NA())</f>
        <v>#N/A</v>
      </c>
      <c r="H20" s="24">
        <f>WhonSpComp!AV35</f>
        <v>0</v>
      </c>
      <c r="I20" s="17" t="e">
        <f>IFERROR('1. Mixture Model Inputs'!O20/'1. Mixture Model Inputs'!AE20, NA())</f>
        <v>#N/A</v>
      </c>
      <c r="J20" s="17" t="e">
        <f>IFERROR('1. Mixture Model Inputs'!P20/'1. Mixture Model Inputs'!AF20, NA())</f>
        <v>#N/A</v>
      </c>
      <c r="K20" s="17" t="e">
        <f>IFERROR('1. Mixture Model Inputs'!Q20/'1. Mixture Model Inputs'!AG20, NA())</f>
        <v>#N/A</v>
      </c>
      <c r="L20" s="22" t="e">
        <f>C20*'2. Salmon Passage by Bin'!C20</f>
        <v>#N/A</v>
      </c>
      <c r="M20" s="22" t="e">
        <f>D20*'2. Salmon Passage by Bin'!D20</f>
        <v>#N/A</v>
      </c>
      <c r="N20" s="22" t="e">
        <f>F20*'2. Salmon Passage by Bin'!F20</f>
        <v>#N/A</v>
      </c>
      <c r="O20" s="22" t="e">
        <f>G20*'2. Salmon Passage by Bin'!G20</f>
        <v>#N/A</v>
      </c>
      <c r="P20" s="22" t="e">
        <f>$G20*'2. Salmon Passage by Bin'!H20</f>
        <v>#N/A</v>
      </c>
      <c r="Q20" s="22" t="e">
        <f>$G20*'2. Salmon Passage by Bin'!I20</f>
        <v>#N/A</v>
      </c>
      <c r="R20" s="22" t="e">
        <f>$G20*'2. Salmon Passage by Bin'!J20</f>
        <v>#N/A</v>
      </c>
      <c r="S20" s="25">
        <f>'2. Salmon Passage by Bin'!K20*H20</f>
        <v>0</v>
      </c>
      <c r="T20" s="25" t="e">
        <f>K20*'2. Salmon Passage by Bin'!L20</f>
        <v>#N/A</v>
      </c>
      <c r="U20" s="25" t="e">
        <f>K20*'2. Salmon Passage by Bin'!M20</f>
        <v>#N/A</v>
      </c>
      <c r="V20" s="25" t="e">
        <f>J20*'2. Salmon Passage by Bin'!N20</f>
        <v>#N/A</v>
      </c>
      <c r="W20" s="25" t="e">
        <f>I20*'2. Salmon Passage by Bin'!O20</f>
        <v>#N/A</v>
      </c>
      <c r="X20" s="22" t="e">
        <f>E20*'2. Salmon Passage by Bin'!E20</f>
        <v>#N/A</v>
      </c>
      <c r="Y20" s="41">
        <f t="shared" si="0"/>
        <v>0</v>
      </c>
      <c r="Z20" s="42">
        <f>Y20/'[1]Passage Estimates'!$D20</f>
        <v>0</v>
      </c>
      <c r="AA20" s="43">
        <f>IFERROR(SUMIF(L20:R20, "&lt;&gt;#N/A")/SUMIF('2. Salmon Passage by Bin'!E20:J20, "&lt;&gt;#N/A"), NA())</f>
        <v>0</v>
      </c>
      <c r="AB20" s="42">
        <f>IFERROR(IF(ISNA(S20), NA(), S20/'2. Salmon Passage by Bin'!K20), NA())</f>
        <v>0</v>
      </c>
      <c r="AC20" s="44">
        <f>IFERROR(SUMIF(T20:W20, "&lt;&gt;#N/A")/SUMIF('2. Salmon Passage by Bin'!L20:N20, "&lt;&gt;#N/A"), NA())</f>
        <v>0</v>
      </c>
    </row>
    <row r="21" spans="1:29" x14ac:dyDescent="0.3">
      <c r="A21" s="5">
        <f>'1. Mixture Model Inputs'!A21</f>
        <v>45123</v>
      </c>
      <c r="B21" s="13" t="str">
        <f>IF(ISBLANK('[1]Passage Estimates'!$C21),"",IF('[1]Passage Estimates'!$C21="Imputation",'[1]Passage Estimates'!$B21,'[1]Passage Estimates'!$C21))</f>
        <v>S1+M+A2</v>
      </c>
      <c r="C21" s="17" t="e">
        <f>IFERROR('1. Mixture Model Inputs'!J21/'1. Mixture Model Inputs'!Z21,NA())</f>
        <v>#N/A</v>
      </c>
      <c r="D21" s="17" t="e">
        <f>IFERROR('1. Mixture Model Inputs'!K21/'1. Mixture Model Inputs'!AA21,NA())</f>
        <v>#N/A</v>
      </c>
      <c r="E21" s="17" t="e">
        <f>IFERROR('1. Mixture Model Inputs'!L21/'1. Mixture Model Inputs'!AB21,NA())</f>
        <v>#N/A</v>
      </c>
      <c r="F21" s="17" t="e">
        <f>IFERROR('1. Mixture Model Inputs'!M21/'1. Mixture Model Inputs'!AC21,NA())</f>
        <v>#N/A</v>
      </c>
      <c r="G21" s="17" t="e">
        <f>IFERROR('1. Mixture Model Inputs'!N21/'1. Mixture Model Inputs'!AD21,NA())</f>
        <v>#N/A</v>
      </c>
      <c r="H21" s="24">
        <f>WhonSpComp!AV36</f>
        <v>0</v>
      </c>
      <c r="I21" s="17" t="e">
        <f>IFERROR('1. Mixture Model Inputs'!O21/'1. Mixture Model Inputs'!AE21, NA())</f>
        <v>#N/A</v>
      </c>
      <c r="J21" s="17" t="e">
        <f>IFERROR('1. Mixture Model Inputs'!P21/'1. Mixture Model Inputs'!AF21, NA())</f>
        <v>#N/A</v>
      </c>
      <c r="K21" s="17" t="e">
        <f>IFERROR('1. Mixture Model Inputs'!Q21/'1. Mixture Model Inputs'!AG21, NA())</f>
        <v>#N/A</v>
      </c>
      <c r="L21" s="22" t="e">
        <f>C21*'2. Salmon Passage by Bin'!C21</f>
        <v>#N/A</v>
      </c>
      <c r="M21" s="22" t="e">
        <f>D21*'2. Salmon Passage by Bin'!D21</f>
        <v>#N/A</v>
      </c>
      <c r="N21" s="22" t="e">
        <f>F21*'2. Salmon Passage by Bin'!F21</f>
        <v>#N/A</v>
      </c>
      <c r="O21" s="22" t="e">
        <f>G21*'2. Salmon Passage by Bin'!G21</f>
        <v>#N/A</v>
      </c>
      <c r="P21" s="22" t="e">
        <f>$G21*'2. Salmon Passage by Bin'!H21</f>
        <v>#N/A</v>
      </c>
      <c r="Q21" s="22" t="e">
        <f>$G21*'2. Salmon Passage by Bin'!I21</f>
        <v>#N/A</v>
      </c>
      <c r="R21" s="22" t="e">
        <f>$G21*'2. Salmon Passage by Bin'!J21</f>
        <v>#N/A</v>
      </c>
      <c r="S21" s="25">
        <f>'2. Salmon Passage by Bin'!K21*H21</f>
        <v>0</v>
      </c>
      <c r="T21" s="25" t="e">
        <f>K21*'2. Salmon Passage by Bin'!L21</f>
        <v>#N/A</v>
      </c>
      <c r="U21" s="25" t="e">
        <f>K21*'2. Salmon Passage by Bin'!M21</f>
        <v>#N/A</v>
      </c>
      <c r="V21" s="25" t="e">
        <f>J21*'2. Salmon Passage by Bin'!N21</f>
        <v>#N/A</v>
      </c>
      <c r="W21" s="25" t="e">
        <f>I21*'2. Salmon Passage by Bin'!O21</f>
        <v>#N/A</v>
      </c>
      <c r="X21" s="22" t="e">
        <f>E21*'2. Salmon Passage by Bin'!E21</f>
        <v>#N/A</v>
      </c>
      <c r="Y21" s="41">
        <f t="shared" si="0"/>
        <v>0</v>
      </c>
      <c r="Z21" s="42">
        <f>Y21/'[1]Passage Estimates'!$D21</f>
        <v>0</v>
      </c>
      <c r="AA21" s="43">
        <f>IFERROR(SUMIF(L21:R21, "&lt;&gt;#N/A")/SUMIF('2. Salmon Passage by Bin'!E21:J21, "&lt;&gt;#N/A"), NA())</f>
        <v>0</v>
      </c>
      <c r="AB21" s="42">
        <f>IFERROR(IF(ISNA(S21), NA(), S21/'2. Salmon Passage by Bin'!K21), NA())</f>
        <v>0</v>
      </c>
      <c r="AC21" s="44">
        <f>IFERROR(SUMIF(T21:W21, "&lt;&gt;#N/A")/SUMIF('2. Salmon Passage by Bin'!L21:N21, "&lt;&gt;#N/A"), NA())</f>
        <v>0</v>
      </c>
    </row>
    <row r="22" spans="1:29" x14ac:dyDescent="0.3">
      <c r="A22" s="5">
        <f>'1. Mixture Model Inputs'!A22</f>
        <v>45124</v>
      </c>
      <c r="B22" s="13" t="str">
        <f>IF(ISBLANK('[1]Passage Estimates'!$C22),"",IF('[1]Passage Estimates'!$C22="Imputation",'[1]Passage Estimates'!$B22,'[1]Passage Estimates'!$C22))</f>
        <v>S1+M+A2</v>
      </c>
      <c r="C22" s="17" t="e">
        <f>IFERROR('1. Mixture Model Inputs'!J22/'1. Mixture Model Inputs'!Z22,NA())</f>
        <v>#N/A</v>
      </c>
      <c r="D22" s="17" t="e">
        <f>IFERROR('1. Mixture Model Inputs'!K22/'1. Mixture Model Inputs'!AA22,NA())</f>
        <v>#N/A</v>
      </c>
      <c r="E22" s="17" t="e">
        <f>IFERROR('1. Mixture Model Inputs'!L22/'1. Mixture Model Inputs'!AB22,NA())</f>
        <v>#N/A</v>
      </c>
      <c r="F22" s="17" t="e">
        <f>IFERROR('1. Mixture Model Inputs'!M22/'1. Mixture Model Inputs'!AC22,NA())</f>
        <v>#N/A</v>
      </c>
      <c r="G22" s="17" t="e">
        <f>IFERROR('1. Mixture Model Inputs'!N22/'1. Mixture Model Inputs'!AD22,NA())</f>
        <v>#N/A</v>
      </c>
      <c r="H22" s="24">
        <f>WhonSpComp!AV37</f>
        <v>0</v>
      </c>
      <c r="I22" s="17" t="e">
        <f>IFERROR('1. Mixture Model Inputs'!O22/'1. Mixture Model Inputs'!AE22, NA())</f>
        <v>#N/A</v>
      </c>
      <c r="J22" s="17" t="e">
        <f>IFERROR('1. Mixture Model Inputs'!P22/'1. Mixture Model Inputs'!AF22, NA())</f>
        <v>#N/A</v>
      </c>
      <c r="K22" s="17" t="e">
        <f>IFERROR('1. Mixture Model Inputs'!Q22/'1. Mixture Model Inputs'!AG22, NA())</f>
        <v>#N/A</v>
      </c>
      <c r="L22" s="22" t="e">
        <f>C22*'2. Salmon Passage by Bin'!C22</f>
        <v>#N/A</v>
      </c>
      <c r="M22" s="22" t="e">
        <f>D22*'2. Salmon Passage by Bin'!D22</f>
        <v>#N/A</v>
      </c>
      <c r="N22" s="22" t="e">
        <f>F22*'2. Salmon Passage by Bin'!F22</f>
        <v>#N/A</v>
      </c>
      <c r="O22" s="22" t="e">
        <f>G22*'2. Salmon Passage by Bin'!G22</f>
        <v>#N/A</v>
      </c>
      <c r="P22" s="22" t="e">
        <f>$G22*'2. Salmon Passage by Bin'!H22</f>
        <v>#N/A</v>
      </c>
      <c r="Q22" s="22" t="e">
        <f>$G22*'2. Salmon Passage by Bin'!I22</f>
        <v>#N/A</v>
      </c>
      <c r="R22" s="22" t="e">
        <f>$G22*'2. Salmon Passage by Bin'!J22</f>
        <v>#N/A</v>
      </c>
      <c r="S22" s="25">
        <f>'2. Salmon Passage by Bin'!K22*H22</f>
        <v>0</v>
      </c>
      <c r="T22" s="25" t="e">
        <f>K22*'2. Salmon Passage by Bin'!L22</f>
        <v>#N/A</v>
      </c>
      <c r="U22" s="25" t="e">
        <f>K22*'2. Salmon Passage by Bin'!M22</f>
        <v>#N/A</v>
      </c>
      <c r="V22" s="25" t="e">
        <f>J22*'2. Salmon Passage by Bin'!N22</f>
        <v>#N/A</v>
      </c>
      <c r="W22" s="25" t="e">
        <f>I22*'2. Salmon Passage by Bin'!O22</f>
        <v>#N/A</v>
      </c>
      <c r="X22" s="22" t="e">
        <f>E22*'2. Salmon Passage by Bin'!E22</f>
        <v>#N/A</v>
      </c>
      <c r="Y22" s="41">
        <f t="shared" si="0"/>
        <v>0</v>
      </c>
      <c r="Z22" s="42">
        <f>Y22/'[1]Passage Estimates'!$D22</f>
        <v>0</v>
      </c>
      <c r="AA22" s="43">
        <f>IFERROR(SUMIF(L22:R22, "&lt;&gt;#N/A")/SUMIF('2. Salmon Passage by Bin'!E22:J22, "&lt;&gt;#N/A"), NA())</f>
        <v>0</v>
      </c>
      <c r="AB22" s="42">
        <f>IFERROR(IF(ISNA(S22), NA(), S22/'2. Salmon Passage by Bin'!K22), NA())</f>
        <v>0</v>
      </c>
      <c r="AC22" s="44">
        <f>IFERROR(SUMIF(T22:W22, "&lt;&gt;#N/A")/SUMIF('2. Salmon Passage by Bin'!L22:N22, "&lt;&gt;#N/A"), NA())</f>
        <v>0</v>
      </c>
    </row>
    <row r="23" spans="1:29" x14ac:dyDescent="0.3">
      <c r="A23" s="5">
        <f>'1. Mixture Model Inputs'!A23</f>
        <v>45125</v>
      </c>
      <c r="B23" s="13" t="str">
        <f>IF(ISBLANK('[1]Passage Estimates'!$C23),"",IF('[1]Passage Estimates'!$C23="Imputation",'[1]Passage Estimates'!$B23,'[1]Passage Estimates'!$C23))</f>
        <v>S1+M+A2</v>
      </c>
      <c r="C23" s="17" t="e">
        <f>IFERROR('1. Mixture Model Inputs'!J23/'1. Mixture Model Inputs'!Z23,NA())</f>
        <v>#N/A</v>
      </c>
      <c r="D23" s="17" t="e">
        <f>IFERROR('1. Mixture Model Inputs'!K23/'1. Mixture Model Inputs'!AA23,NA())</f>
        <v>#N/A</v>
      </c>
      <c r="E23" s="17" t="e">
        <f>IFERROR('1. Mixture Model Inputs'!L23/'1. Mixture Model Inputs'!AB23,NA())</f>
        <v>#N/A</v>
      </c>
      <c r="F23" s="17" t="e">
        <f>IFERROR('1. Mixture Model Inputs'!M23/'1. Mixture Model Inputs'!AC23,NA())</f>
        <v>#N/A</v>
      </c>
      <c r="G23" s="17" t="e">
        <f>IFERROR('1. Mixture Model Inputs'!N23/'1. Mixture Model Inputs'!AD23,NA())</f>
        <v>#N/A</v>
      </c>
      <c r="H23" s="24">
        <f>WhonSpComp!AV38</f>
        <v>3.7037037037037035E-2</v>
      </c>
      <c r="I23" s="17" t="e">
        <f>IFERROR('1. Mixture Model Inputs'!O23/'1. Mixture Model Inputs'!AE23, NA())</f>
        <v>#N/A</v>
      </c>
      <c r="J23" s="17" t="e">
        <f>IFERROR('1. Mixture Model Inputs'!P23/'1. Mixture Model Inputs'!AF23, NA())</f>
        <v>#N/A</v>
      </c>
      <c r="K23" s="17" t="e">
        <f>IFERROR('1. Mixture Model Inputs'!Q23/'1. Mixture Model Inputs'!AG23, NA())</f>
        <v>#N/A</v>
      </c>
      <c r="L23" s="22" t="e">
        <f>C23*'2. Salmon Passage by Bin'!C23</f>
        <v>#N/A</v>
      </c>
      <c r="M23" s="22" t="e">
        <f>D23*'2. Salmon Passage by Bin'!D23</f>
        <v>#N/A</v>
      </c>
      <c r="N23" s="22" t="e">
        <f>F23*'2. Salmon Passage by Bin'!F23</f>
        <v>#N/A</v>
      </c>
      <c r="O23" s="22" t="e">
        <f>G23*'2. Salmon Passage by Bin'!G23</f>
        <v>#N/A</v>
      </c>
      <c r="P23" s="22" t="e">
        <f>$G23*'2. Salmon Passage by Bin'!H23</f>
        <v>#N/A</v>
      </c>
      <c r="Q23" s="22" t="e">
        <f>$G23*'2. Salmon Passage by Bin'!I23</f>
        <v>#N/A</v>
      </c>
      <c r="R23" s="22" t="e">
        <f>$G23*'2. Salmon Passage by Bin'!J23</f>
        <v>#N/A</v>
      </c>
      <c r="S23" s="25">
        <f>'2. Salmon Passage by Bin'!K23*H23</f>
        <v>107.12888888888892</v>
      </c>
      <c r="T23" s="25" t="e">
        <f>K23*'2. Salmon Passage by Bin'!L23</f>
        <v>#N/A</v>
      </c>
      <c r="U23" s="25" t="e">
        <f>K23*'2. Salmon Passage by Bin'!M23</f>
        <v>#N/A</v>
      </c>
      <c r="V23" s="25" t="e">
        <f>J23*'2. Salmon Passage by Bin'!N23</f>
        <v>#N/A</v>
      </c>
      <c r="W23" s="25" t="e">
        <f>I23*'2. Salmon Passage by Bin'!O23</f>
        <v>#N/A</v>
      </c>
      <c r="X23" s="22" t="e">
        <f>E23*'2. Salmon Passage by Bin'!E23</f>
        <v>#N/A</v>
      </c>
      <c r="Y23" s="41">
        <f t="shared" si="0"/>
        <v>107.12888888888892</v>
      </c>
      <c r="Z23" s="42">
        <f>Y23/'[1]Passage Estimates'!$D23</f>
        <v>1.2718916380406623E-2</v>
      </c>
      <c r="AA23" s="43">
        <f>IFERROR(SUMIF(L23:R23, "&lt;&gt;#N/A")/SUMIF('2. Salmon Passage by Bin'!E23:J23, "&lt;&gt;#N/A"), NA())</f>
        <v>0</v>
      </c>
      <c r="AB23" s="42">
        <f>IFERROR(IF(ISNA(S23), NA(), S23/'2. Salmon Passage by Bin'!K23), NA())</f>
        <v>3.7037037037037035E-2</v>
      </c>
      <c r="AC23" s="44">
        <f>IFERROR(SUMIF(T23:W23, "&lt;&gt;#N/A")/SUMIF('2. Salmon Passage by Bin'!L23:N23, "&lt;&gt;#N/A"), NA())</f>
        <v>0</v>
      </c>
    </row>
    <row r="24" spans="1:29" x14ac:dyDescent="0.3">
      <c r="A24" s="5">
        <f>'1. Mixture Model Inputs'!A24</f>
        <v>45126</v>
      </c>
      <c r="B24" s="13" t="str">
        <f>IF(ISBLANK('[1]Passage Estimates'!$C24),"",IF('[1]Passage Estimates'!$C24="Imputation",'[1]Passage Estimates'!$B24,'[1]Passage Estimates'!$C24))</f>
        <v>S1+M2+A2</v>
      </c>
      <c r="C24" s="17" t="e">
        <f>IFERROR('1. Mixture Model Inputs'!J24/'1. Mixture Model Inputs'!Z24,NA())</f>
        <v>#N/A</v>
      </c>
      <c r="D24" s="17" t="e">
        <f>IFERROR('1. Mixture Model Inputs'!K24/'1. Mixture Model Inputs'!AA24,NA())</f>
        <v>#N/A</v>
      </c>
      <c r="E24" s="17" t="e">
        <f>IFERROR('1. Mixture Model Inputs'!L24/'1. Mixture Model Inputs'!AB24,NA())</f>
        <v>#N/A</v>
      </c>
      <c r="F24" s="17" t="e">
        <f>IFERROR('1. Mixture Model Inputs'!M24/'1. Mixture Model Inputs'!AC24,NA())</f>
        <v>#N/A</v>
      </c>
      <c r="G24" s="17" t="e">
        <f>IFERROR('1. Mixture Model Inputs'!N24/'1. Mixture Model Inputs'!AD24,NA())</f>
        <v>#N/A</v>
      </c>
      <c r="H24" s="24">
        <f>WhonSpComp!AV39</f>
        <v>0</v>
      </c>
      <c r="I24" s="17" t="e">
        <f>IFERROR('1. Mixture Model Inputs'!O24/'1. Mixture Model Inputs'!AE24, NA())</f>
        <v>#N/A</v>
      </c>
      <c r="J24" s="17" t="e">
        <f>IFERROR('1. Mixture Model Inputs'!P24/'1. Mixture Model Inputs'!AF24, NA())</f>
        <v>#N/A</v>
      </c>
      <c r="K24" s="17" t="e">
        <f>IFERROR('1. Mixture Model Inputs'!Q24/'1. Mixture Model Inputs'!AG24, NA())</f>
        <v>#N/A</v>
      </c>
      <c r="L24" s="22" t="e">
        <f>C24*'2. Salmon Passage by Bin'!C24</f>
        <v>#N/A</v>
      </c>
      <c r="M24" s="22" t="e">
        <f>D24*'2. Salmon Passage by Bin'!D24</f>
        <v>#N/A</v>
      </c>
      <c r="N24" s="22" t="e">
        <f>F24*'2. Salmon Passage by Bin'!F24</f>
        <v>#N/A</v>
      </c>
      <c r="O24" s="22" t="e">
        <f>G24*'2. Salmon Passage by Bin'!G24</f>
        <v>#N/A</v>
      </c>
      <c r="P24" s="22" t="e">
        <f>$G24*'2. Salmon Passage by Bin'!H24</f>
        <v>#N/A</v>
      </c>
      <c r="Q24" s="22" t="e">
        <f>$G24*'2. Salmon Passage by Bin'!I24</f>
        <v>#N/A</v>
      </c>
      <c r="R24" s="22" t="e">
        <f>$G24*'2. Salmon Passage by Bin'!J24</f>
        <v>#N/A</v>
      </c>
      <c r="S24" s="25">
        <f>'2. Salmon Passage by Bin'!K24*H24</f>
        <v>0</v>
      </c>
      <c r="T24" s="25" t="e">
        <f>K24*'2. Salmon Passage by Bin'!L24</f>
        <v>#N/A</v>
      </c>
      <c r="U24" s="25" t="e">
        <f>K24*'2. Salmon Passage by Bin'!M24</f>
        <v>#N/A</v>
      </c>
      <c r="V24" s="25" t="e">
        <f>J24*'2. Salmon Passage by Bin'!N24</f>
        <v>#N/A</v>
      </c>
      <c r="W24" s="25" t="e">
        <f>I24*'2. Salmon Passage by Bin'!O24</f>
        <v>#N/A</v>
      </c>
      <c r="X24" s="22" t="e">
        <f>E24*'2. Salmon Passage by Bin'!E24</f>
        <v>#N/A</v>
      </c>
      <c r="Y24" s="41">
        <f t="shared" si="0"/>
        <v>0</v>
      </c>
      <c r="Z24" s="42">
        <f>Y24/'[1]Passage Estimates'!$D24</f>
        <v>0</v>
      </c>
      <c r="AA24" s="43">
        <f>IFERROR(SUMIF(L24:R24, "&lt;&gt;#N/A")/SUMIF('2. Salmon Passage by Bin'!E24:J24, "&lt;&gt;#N/A"), NA())</f>
        <v>0</v>
      </c>
      <c r="AB24" s="42">
        <f>IFERROR(IF(ISNA(S24), NA(), S24/'2. Salmon Passage by Bin'!K24), NA())</f>
        <v>0</v>
      </c>
      <c r="AC24" s="44">
        <f>IFERROR(SUMIF(T24:W24, "&lt;&gt;#N/A")/SUMIF('2. Salmon Passage by Bin'!L24:N24, "&lt;&gt;#N/A"), NA())</f>
        <v>0</v>
      </c>
    </row>
    <row r="25" spans="1:29" x14ac:dyDescent="0.3">
      <c r="A25" s="5">
        <f>'1. Mixture Model Inputs'!A25</f>
        <v>45127</v>
      </c>
      <c r="B25" s="13" t="str">
        <f>IF(ISBLANK('[1]Passage Estimates'!$C25),"",IF('[1]Passage Estimates'!$C25="Imputation",'[1]Passage Estimates'!$B25,'[1]Passage Estimates'!$C25))</f>
        <v>S1+M2+A2</v>
      </c>
      <c r="C25" s="17" t="e">
        <f>IFERROR('1. Mixture Model Inputs'!J25/'1. Mixture Model Inputs'!Z25,NA())</f>
        <v>#N/A</v>
      </c>
      <c r="D25" s="17" t="e">
        <f>IFERROR('1. Mixture Model Inputs'!K25/'1. Mixture Model Inputs'!AA25,NA())</f>
        <v>#N/A</v>
      </c>
      <c r="E25" s="17" t="e">
        <f>IFERROR('1. Mixture Model Inputs'!L25/'1. Mixture Model Inputs'!AB25,NA())</f>
        <v>#N/A</v>
      </c>
      <c r="F25" s="17" t="e">
        <f>IFERROR('1. Mixture Model Inputs'!M25/'1. Mixture Model Inputs'!AC25,NA())</f>
        <v>#N/A</v>
      </c>
      <c r="G25" s="17" t="e">
        <f>IFERROR('1. Mixture Model Inputs'!N25/'1. Mixture Model Inputs'!AD25,NA())</f>
        <v>#N/A</v>
      </c>
      <c r="H25" s="24">
        <f>WhonSpComp!AV40</f>
        <v>0.15384615384615385</v>
      </c>
      <c r="I25" s="17" t="e">
        <f>IFERROR('1. Mixture Model Inputs'!O25/'1. Mixture Model Inputs'!AE25, NA())</f>
        <v>#N/A</v>
      </c>
      <c r="J25" s="17" t="e">
        <f>IFERROR('1. Mixture Model Inputs'!P25/'1. Mixture Model Inputs'!AF25, NA())</f>
        <v>#N/A</v>
      </c>
      <c r="K25" s="17" t="e">
        <f>IFERROR('1. Mixture Model Inputs'!Q25/'1. Mixture Model Inputs'!AG25, NA())</f>
        <v>#N/A</v>
      </c>
      <c r="L25" s="22" t="e">
        <f>C25*'2. Salmon Passage by Bin'!C25</f>
        <v>#N/A</v>
      </c>
      <c r="M25" s="22" t="e">
        <f>D25*'2. Salmon Passage by Bin'!D25</f>
        <v>#N/A</v>
      </c>
      <c r="N25" s="22" t="e">
        <f>F25*'2. Salmon Passage by Bin'!F25</f>
        <v>#N/A</v>
      </c>
      <c r="O25" s="22" t="e">
        <f>G25*'2. Salmon Passage by Bin'!G25</f>
        <v>#N/A</v>
      </c>
      <c r="P25" s="22" t="e">
        <f>$G25*'2. Salmon Passage by Bin'!H25</f>
        <v>#N/A</v>
      </c>
      <c r="Q25" s="22" t="e">
        <f>$G25*'2. Salmon Passage by Bin'!I25</f>
        <v>#N/A</v>
      </c>
      <c r="R25" s="22" t="e">
        <f>$G25*'2. Salmon Passage by Bin'!J25</f>
        <v>#N/A</v>
      </c>
      <c r="S25" s="25">
        <f>'2. Salmon Passage by Bin'!K25*H25</f>
        <v>1635.0646153846158</v>
      </c>
      <c r="T25" s="25" t="e">
        <f>K25*'2. Salmon Passage by Bin'!L25</f>
        <v>#N/A</v>
      </c>
      <c r="U25" s="25" t="e">
        <f>K25*'2. Salmon Passage by Bin'!M25</f>
        <v>#N/A</v>
      </c>
      <c r="V25" s="25" t="e">
        <f>J25*'2. Salmon Passage by Bin'!N25</f>
        <v>#N/A</v>
      </c>
      <c r="W25" s="25" t="e">
        <f>I25*'2. Salmon Passage by Bin'!O25</f>
        <v>#N/A</v>
      </c>
      <c r="X25" s="22" t="e">
        <f>E25*'2. Salmon Passage by Bin'!E25</f>
        <v>#N/A</v>
      </c>
      <c r="Y25" s="41">
        <f t="shared" si="0"/>
        <v>1635.0646153846158</v>
      </c>
      <c r="Z25" s="42">
        <f>Y25/'[1]Passage Estimates'!$D25</f>
        <v>0.11596202945990179</v>
      </c>
      <c r="AA25" s="43">
        <f>IFERROR(SUMIF(L25:R25, "&lt;&gt;#N/A")/SUMIF('2. Salmon Passage by Bin'!E25:J25, "&lt;&gt;#N/A"), NA())</f>
        <v>0</v>
      </c>
      <c r="AB25" s="42">
        <f>IFERROR(IF(ISNA(S25), NA(), S25/'2. Salmon Passage by Bin'!K25), NA())</f>
        <v>0.15384615384615385</v>
      </c>
      <c r="AC25" s="44">
        <f>IFERROR(SUMIF(T25:W25, "&lt;&gt;#N/A")/SUMIF('2. Salmon Passage by Bin'!L25:N25, "&lt;&gt;#N/A"), NA())</f>
        <v>0</v>
      </c>
    </row>
    <row r="26" spans="1:29" x14ac:dyDescent="0.3">
      <c r="A26" s="5">
        <f>'1. Mixture Model Inputs'!A26</f>
        <v>45128</v>
      </c>
      <c r="B26" s="13" t="str">
        <f>IF(ISBLANK('[1]Passage Estimates'!$C26),"",IF('[1]Passage Estimates'!$C26="Imputation",'[1]Passage Estimates'!$B26,'[1]Passage Estimates'!$C26))</f>
        <v>S1+M2+A2</v>
      </c>
      <c r="C26" s="17" t="e">
        <f>IFERROR('1. Mixture Model Inputs'!J26/'1. Mixture Model Inputs'!Z26,NA())</f>
        <v>#N/A</v>
      </c>
      <c r="D26" s="17" t="e">
        <f>IFERROR('1. Mixture Model Inputs'!K26/'1. Mixture Model Inputs'!AA26,NA())</f>
        <v>#N/A</v>
      </c>
      <c r="E26" s="17" t="e">
        <f>IFERROR('1. Mixture Model Inputs'!L26/'1. Mixture Model Inputs'!AB26,NA())</f>
        <v>#N/A</v>
      </c>
      <c r="F26" s="17" t="e">
        <f>IFERROR('1. Mixture Model Inputs'!M26/'1. Mixture Model Inputs'!AC26,NA())</f>
        <v>#N/A</v>
      </c>
      <c r="G26" s="17" t="e">
        <f>IFERROR('1. Mixture Model Inputs'!N26/'1. Mixture Model Inputs'!AD26,NA())</f>
        <v>#N/A</v>
      </c>
      <c r="H26" s="24">
        <f>WhonSpComp!AV41</f>
        <v>0</v>
      </c>
      <c r="I26" s="17" t="e">
        <f>IFERROR('1. Mixture Model Inputs'!O26/'1. Mixture Model Inputs'!AE26, NA())</f>
        <v>#N/A</v>
      </c>
      <c r="J26" s="17" t="e">
        <f>IFERROR('1. Mixture Model Inputs'!P26/'1. Mixture Model Inputs'!AF26, NA())</f>
        <v>#N/A</v>
      </c>
      <c r="K26" s="17" t="e">
        <f>IFERROR('1. Mixture Model Inputs'!Q26/'1. Mixture Model Inputs'!AG26, NA())</f>
        <v>#N/A</v>
      </c>
      <c r="L26" s="22" t="e">
        <f>C26*'2. Salmon Passage by Bin'!C26</f>
        <v>#N/A</v>
      </c>
      <c r="M26" s="22" t="e">
        <f>D26*'2. Salmon Passage by Bin'!D26</f>
        <v>#N/A</v>
      </c>
      <c r="N26" s="22" t="e">
        <f>F26*'2. Salmon Passage by Bin'!F26</f>
        <v>#N/A</v>
      </c>
      <c r="O26" s="22" t="e">
        <f>G26*'2. Salmon Passage by Bin'!G26</f>
        <v>#N/A</v>
      </c>
      <c r="P26" s="22" t="e">
        <f>$G26*'2. Salmon Passage by Bin'!H26</f>
        <v>#N/A</v>
      </c>
      <c r="Q26" s="22" t="e">
        <f>$G26*'2. Salmon Passage by Bin'!I26</f>
        <v>#N/A</v>
      </c>
      <c r="R26" s="22" t="e">
        <f>$G26*'2. Salmon Passage by Bin'!J26</f>
        <v>#N/A</v>
      </c>
      <c r="S26" s="25">
        <f>'2. Salmon Passage by Bin'!K26*H26</f>
        <v>0</v>
      </c>
      <c r="T26" s="25" t="e">
        <f>K26*'2. Salmon Passage by Bin'!L26</f>
        <v>#N/A</v>
      </c>
      <c r="U26" s="25" t="e">
        <f>K26*'2. Salmon Passage by Bin'!M26</f>
        <v>#N/A</v>
      </c>
      <c r="V26" s="25" t="e">
        <f>J26*'2. Salmon Passage by Bin'!N26</f>
        <v>#N/A</v>
      </c>
      <c r="W26" s="25" t="e">
        <f>I26*'2. Salmon Passage by Bin'!O26</f>
        <v>#N/A</v>
      </c>
      <c r="X26" s="22" t="e">
        <f>E26*'2. Salmon Passage by Bin'!E26</f>
        <v>#N/A</v>
      </c>
      <c r="Y26" s="41">
        <f t="shared" si="0"/>
        <v>0</v>
      </c>
      <c r="Z26" s="42">
        <f>Y26/'[1]Passage Estimates'!$D26</f>
        <v>0</v>
      </c>
      <c r="AA26" s="43">
        <f>IFERROR(SUMIF(L26:R26, "&lt;&gt;#N/A")/SUMIF('2. Salmon Passage by Bin'!E26:J26, "&lt;&gt;#N/A"), NA())</f>
        <v>0</v>
      </c>
      <c r="AB26" s="42">
        <f>IFERROR(IF(ISNA(S26), NA(), S26/'2. Salmon Passage by Bin'!K26), NA())</f>
        <v>0</v>
      </c>
      <c r="AC26" s="44">
        <f>IFERROR(SUMIF(T26:W26, "&lt;&gt;#N/A")/SUMIF('2. Salmon Passage by Bin'!L26:N26, "&lt;&gt;#N/A"), NA())</f>
        <v>0</v>
      </c>
    </row>
    <row r="27" spans="1:29" x14ac:dyDescent="0.3">
      <c r="A27" s="5">
        <f>'1. Mixture Model Inputs'!A27</f>
        <v>45129</v>
      </c>
      <c r="B27" s="13" t="str">
        <f>IF(ISBLANK('[1]Passage Estimates'!$C27),"",IF('[1]Passage Estimates'!$C27="Imputation",'[1]Passage Estimates'!$B27,'[1]Passage Estimates'!$C27))</f>
        <v>S1+M2+A2</v>
      </c>
      <c r="C27" s="17" t="e">
        <f>IFERROR('1. Mixture Model Inputs'!J27/'1. Mixture Model Inputs'!Z27,NA())</f>
        <v>#N/A</v>
      </c>
      <c r="D27" s="17" t="e">
        <f>IFERROR('1. Mixture Model Inputs'!K27/'1. Mixture Model Inputs'!AA27,NA())</f>
        <v>#N/A</v>
      </c>
      <c r="E27" s="17" t="e">
        <f>IFERROR('1. Mixture Model Inputs'!L27/'1. Mixture Model Inputs'!AB27,NA())</f>
        <v>#N/A</v>
      </c>
      <c r="F27" s="17" t="e">
        <f>IFERROR('1. Mixture Model Inputs'!M27/'1. Mixture Model Inputs'!AC27,NA())</f>
        <v>#N/A</v>
      </c>
      <c r="G27" s="17" t="e">
        <f>IFERROR('1. Mixture Model Inputs'!N27/'1. Mixture Model Inputs'!AD27,NA())</f>
        <v>#N/A</v>
      </c>
      <c r="H27" s="24">
        <f>WhonSpComp!AV42</f>
        <v>0</v>
      </c>
      <c r="I27" s="17" t="e">
        <f>IFERROR('1. Mixture Model Inputs'!O27/'1. Mixture Model Inputs'!AE27, NA())</f>
        <v>#N/A</v>
      </c>
      <c r="J27" s="17" t="e">
        <f>IFERROR('1. Mixture Model Inputs'!P27/'1. Mixture Model Inputs'!AF27, NA())</f>
        <v>#N/A</v>
      </c>
      <c r="K27" s="17" t="e">
        <f>IFERROR('1. Mixture Model Inputs'!Q27/'1. Mixture Model Inputs'!AG27, NA())</f>
        <v>#N/A</v>
      </c>
      <c r="L27" s="22" t="e">
        <f>C27*'2. Salmon Passage by Bin'!C27</f>
        <v>#N/A</v>
      </c>
      <c r="M27" s="22" t="e">
        <f>D27*'2. Salmon Passage by Bin'!D27</f>
        <v>#N/A</v>
      </c>
      <c r="N27" s="22" t="e">
        <f>F27*'2. Salmon Passage by Bin'!F27</f>
        <v>#N/A</v>
      </c>
      <c r="O27" s="22" t="e">
        <f>G27*'2. Salmon Passage by Bin'!G27</f>
        <v>#N/A</v>
      </c>
      <c r="P27" s="22" t="e">
        <f>$G27*'2. Salmon Passage by Bin'!H27</f>
        <v>#N/A</v>
      </c>
      <c r="Q27" s="22" t="e">
        <f>$G27*'2. Salmon Passage by Bin'!I27</f>
        <v>#N/A</v>
      </c>
      <c r="R27" s="22" t="e">
        <f>$G27*'2. Salmon Passage by Bin'!J27</f>
        <v>#N/A</v>
      </c>
      <c r="S27" s="25">
        <f ca="1">'2. Salmon Passage by Bin'!K27*H27</f>
        <v>0</v>
      </c>
      <c r="T27" s="25" t="e">
        <f>K27*'2. Salmon Passage by Bin'!L27</f>
        <v>#N/A</v>
      </c>
      <c r="U27" s="25" t="e">
        <f>K27*'2. Salmon Passage by Bin'!M27</f>
        <v>#N/A</v>
      </c>
      <c r="V27" s="25" t="e">
        <f>J27*'2. Salmon Passage by Bin'!N27</f>
        <v>#N/A</v>
      </c>
      <c r="W27" s="25" t="e">
        <f>I27*'2. Salmon Passage by Bin'!O27</f>
        <v>#N/A</v>
      </c>
      <c r="X27" s="22" t="e">
        <f>E27*'2. Salmon Passage by Bin'!E27</f>
        <v>#N/A</v>
      </c>
      <c r="Y27" s="41">
        <f t="shared" ca="1" si="0"/>
        <v>0</v>
      </c>
      <c r="Z27" s="42">
        <f ca="1">Y27/'[1]Passage Estimates'!$D27</f>
        <v>0</v>
      </c>
      <c r="AA27" s="43">
        <f>IFERROR(SUMIF(L27:R27, "&lt;&gt;#N/A")/SUMIF('2. Salmon Passage by Bin'!E27:J27, "&lt;&gt;#N/A"), NA())</f>
        <v>0</v>
      </c>
      <c r="AB27" s="42">
        <f ca="1">IFERROR(IF(ISNA(S27), NA(), S27/'2. Salmon Passage by Bin'!K27), NA())</f>
        <v>0</v>
      </c>
      <c r="AC27" s="44">
        <f>IFERROR(SUMIF(T27:W27, "&lt;&gt;#N/A")/SUMIF('2. Salmon Passage by Bin'!L27:N27, "&lt;&gt;#N/A"), NA())</f>
        <v>0</v>
      </c>
    </row>
    <row r="28" spans="1:29" x14ac:dyDescent="0.3">
      <c r="A28" s="5">
        <f>'1. Mixture Model Inputs'!A28</f>
        <v>45130</v>
      </c>
      <c r="B28" s="13" t="str">
        <f>IF(ISBLANK('[1]Passage Estimates'!$C28),"",IF('[1]Passage Estimates'!$C28="Imputation",'[1]Passage Estimates'!$B28,'[1]Passage Estimates'!$C28))</f>
        <v>S1+M2+A2</v>
      </c>
      <c r="C28" s="17" t="e">
        <f>IFERROR('1. Mixture Model Inputs'!J28/'1. Mixture Model Inputs'!Z28,NA())</f>
        <v>#N/A</v>
      </c>
      <c r="D28" s="17" t="e">
        <f>IFERROR('1. Mixture Model Inputs'!K28/'1. Mixture Model Inputs'!AA28,NA())</f>
        <v>#N/A</v>
      </c>
      <c r="E28" s="17" t="e">
        <f>IFERROR('1. Mixture Model Inputs'!L28/'1. Mixture Model Inputs'!AB28,NA())</f>
        <v>#N/A</v>
      </c>
      <c r="F28" s="17" t="e">
        <f>IFERROR('1. Mixture Model Inputs'!M28/'1. Mixture Model Inputs'!AC28,NA())</f>
        <v>#N/A</v>
      </c>
      <c r="G28" s="17" t="e">
        <f>IFERROR('1. Mixture Model Inputs'!N28/'1. Mixture Model Inputs'!AD28,NA())</f>
        <v>#N/A</v>
      </c>
      <c r="H28" s="24">
        <f>WhonSpComp!AV43</f>
        <v>0</v>
      </c>
      <c r="I28" s="17" t="e">
        <f>IFERROR('1. Mixture Model Inputs'!O28/'1. Mixture Model Inputs'!AE28, NA())</f>
        <v>#N/A</v>
      </c>
      <c r="J28" s="17" t="e">
        <f>IFERROR('1. Mixture Model Inputs'!P28/'1. Mixture Model Inputs'!AF28, NA())</f>
        <v>#N/A</v>
      </c>
      <c r="K28" s="17" t="e">
        <f>IFERROR('1. Mixture Model Inputs'!Q28/'1. Mixture Model Inputs'!AG28, NA())</f>
        <v>#N/A</v>
      </c>
      <c r="L28" s="22" t="e">
        <f>C28*'2. Salmon Passage by Bin'!C28</f>
        <v>#N/A</v>
      </c>
      <c r="M28" s="22" t="e">
        <f>D28*'2. Salmon Passage by Bin'!D28</f>
        <v>#N/A</v>
      </c>
      <c r="N28" s="22" t="e">
        <f>F28*'2. Salmon Passage by Bin'!F28</f>
        <v>#N/A</v>
      </c>
      <c r="O28" s="22" t="e">
        <f>G28*'2. Salmon Passage by Bin'!G28</f>
        <v>#N/A</v>
      </c>
      <c r="P28" s="22" t="e">
        <f>$G28*'2. Salmon Passage by Bin'!H28</f>
        <v>#N/A</v>
      </c>
      <c r="Q28" s="22" t="e">
        <f>$G28*'2. Salmon Passage by Bin'!I28</f>
        <v>#N/A</v>
      </c>
      <c r="R28" s="22" t="e">
        <f>$G28*'2. Salmon Passage by Bin'!J28</f>
        <v>#N/A</v>
      </c>
      <c r="S28" s="25">
        <f>'2. Salmon Passage by Bin'!K28*H28</f>
        <v>0</v>
      </c>
      <c r="T28" s="25" t="e">
        <f>K28*'2. Salmon Passage by Bin'!L28</f>
        <v>#N/A</v>
      </c>
      <c r="U28" s="25" t="e">
        <f>K28*'2. Salmon Passage by Bin'!M28</f>
        <v>#N/A</v>
      </c>
      <c r="V28" s="25" t="e">
        <f>J28*'2. Salmon Passage by Bin'!N28</f>
        <v>#N/A</v>
      </c>
      <c r="W28" s="25" t="e">
        <f>I28*'2. Salmon Passage by Bin'!O28</f>
        <v>#N/A</v>
      </c>
      <c r="X28" s="22" t="e">
        <f>E28*'2. Salmon Passage by Bin'!E28</f>
        <v>#N/A</v>
      </c>
      <c r="Y28" s="41">
        <f t="shared" si="0"/>
        <v>0</v>
      </c>
      <c r="Z28" s="42">
        <f>Y28/'[1]Passage Estimates'!$D28</f>
        <v>0</v>
      </c>
      <c r="AA28" s="43">
        <f>IFERROR(SUMIF(L28:R28, "&lt;&gt;#N/A")/SUMIF('2. Salmon Passage by Bin'!E28:J28, "&lt;&gt;#N/A"), NA())</f>
        <v>0</v>
      </c>
      <c r="AB28" s="42">
        <f>IFERROR(IF(ISNA(S28), NA(), S28/'2. Salmon Passage by Bin'!K28), NA())</f>
        <v>0</v>
      </c>
      <c r="AC28" s="44">
        <f>IFERROR(SUMIF(T28:W28, "&lt;&gt;#N/A")/SUMIF('2. Salmon Passage by Bin'!L28:N28, "&lt;&gt;#N/A"), NA())</f>
        <v>0</v>
      </c>
    </row>
    <row r="29" spans="1:29" x14ac:dyDescent="0.3">
      <c r="A29" s="5">
        <f>'1. Mixture Model Inputs'!A29</f>
        <v>45131</v>
      </c>
      <c r="B29" s="13" t="str">
        <f>IF(ISBLANK('[1]Passage Estimates'!$C29),"",IF('[1]Passage Estimates'!$C29="Imputation",'[1]Passage Estimates'!$B29,'[1]Passage Estimates'!$C29))</f>
        <v>S1+M2+A2</v>
      </c>
      <c r="C29" s="17" t="e">
        <f>IFERROR('1. Mixture Model Inputs'!J29/'1. Mixture Model Inputs'!Z29,NA())</f>
        <v>#N/A</v>
      </c>
      <c r="D29" s="17" t="e">
        <f>IFERROR('1. Mixture Model Inputs'!K29/'1. Mixture Model Inputs'!AA29,NA())</f>
        <v>#N/A</v>
      </c>
      <c r="E29" s="17" t="e">
        <f>IFERROR('1. Mixture Model Inputs'!L29/'1. Mixture Model Inputs'!AB29,NA())</f>
        <v>#N/A</v>
      </c>
      <c r="F29" s="17" t="e">
        <f>IFERROR('1. Mixture Model Inputs'!M29/'1. Mixture Model Inputs'!AC29,NA())</f>
        <v>#N/A</v>
      </c>
      <c r="G29" s="17" t="e">
        <f>IFERROR('1. Mixture Model Inputs'!N29/'1. Mixture Model Inputs'!AD29,NA())</f>
        <v>#N/A</v>
      </c>
      <c r="H29" s="24">
        <f>WhonSpComp!AV44</f>
        <v>0</v>
      </c>
      <c r="I29" s="17" t="e">
        <f>IFERROR('1. Mixture Model Inputs'!O29/'1. Mixture Model Inputs'!AE29, NA())</f>
        <v>#N/A</v>
      </c>
      <c r="J29" s="17" t="e">
        <f>IFERROR('1. Mixture Model Inputs'!P29/'1. Mixture Model Inputs'!AF29, NA())</f>
        <v>#N/A</v>
      </c>
      <c r="K29" s="17" t="e">
        <f>IFERROR('1. Mixture Model Inputs'!Q29/'1. Mixture Model Inputs'!AG29, NA())</f>
        <v>#N/A</v>
      </c>
      <c r="L29" s="22" t="e">
        <f>C29*'2. Salmon Passage by Bin'!C29</f>
        <v>#N/A</v>
      </c>
      <c r="M29" s="22" t="e">
        <f>D29*'2. Salmon Passage by Bin'!D29</f>
        <v>#N/A</v>
      </c>
      <c r="N29" s="22" t="e">
        <f>F29*'2. Salmon Passage by Bin'!F29</f>
        <v>#N/A</v>
      </c>
      <c r="O29" s="22" t="e">
        <f>G29*'2. Salmon Passage by Bin'!G29</f>
        <v>#N/A</v>
      </c>
      <c r="P29" s="22" t="e">
        <f>$G29*'2. Salmon Passage by Bin'!H29</f>
        <v>#N/A</v>
      </c>
      <c r="Q29" s="22" t="e">
        <f>$G29*'2. Salmon Passage by Bin'!I29</f>
        <v>#N/A</v>
      </c>
      <c r="R29" s="22" t="e">
        <f>$G29*'2. Salmon Passage by Bin'!J29</f>
        <v>#N/A</v>
      </c>
      <c r="S29" s="25">
        <f ca="1">'2. Salmon Passage by Bin'!K29*H29</f>
        <v>0</v>
      </c>
      <c r="T29" s="25" t="e">
        <f>K29*'2. Salmon Passage by Bin'!L29</f>
        <v>#N/A</v>
      </c>
      <c r="U29" s="25" t="e">
        <f>K29*'2. Salmon Passage by Bin'!M29</f>
        <v>#N/A</v>
      </c>
      <c r="V29" s="25" t="e">
        <f>J29*'2. Salmon Passage by Bin'!N29</f>
        <v>#N/A</v>
      </c>
      <c r="W29" s="25" t="e">
        <f>I29*'2. Salmon Passage by Bin'!O29</f>
        <v>#N/A</v>
      </c>
      <c r="X29" s="22" t="e">
        <f>E29*'2. Salmon Passage by Bin'!E29</f>
        <v>#N/A</v>
      </c>
      <c r="Y29" s="41">
        <f t="shared" ca="1" si="0"/>
        <v>0</v>
      </c>
      <c r="Z29" s="42">
        <f ca="1">Y29/'[1]Passage Estimates'!$D29</f>
        <v>0</v>
      </c>
      <c r="AA29" s="43">
        <f>IFERROR(SUMIF(L29:R29, "&lt;&gt;#N/A")/SUMIF('2. Salmon Passage by Bin'!E29:J29, "&lt;&gt;#N/A"), NA())</f>
        <v>0</v>
      </c>
      <c r="AB29" s="42">
        <f ca="1">IFERROR(IF(ISNA(S29), NA(), S29/'2. Salmon Passage by Bin'!K29), NA())</f>
        <v>0</v>
      </c>
      <c r="AC29" s="44">
        <f>IFERROR(SUMIF(T29:W29, "&lt;&gt;#N/A")/SUMIF('2. Salmon Passage by Bin'!L29:N29, "&lt;&gt;#N/A"), NA())</f>
        <v>0</v>
      </c>
    </row>
    <row r="30" spans="1:29" x14ac:dyDescent="0.3">
      <c r="A30" s="5">
        <f>'1. Mixture Model Inputs'!A30</f>
        <v>45132</v>
      </c>
      <c r="B30" s="13" t="str">
        <f>IF(ISBLANK('[1]Passage Estimates'!$C30),"",IF('[1]Passage Estimates'!$C30="Imputation",'[1]Passage Estimates'!$B30,'[1]Passage Estimates'!$C30))</f>
        <v>S1+M2+A2</v>
      </c>
      <c r="C30" s="17" t="e">
        <f>IFERROR('1. Mixture Model Inputs'!J30/'1. Mixture Model Inputs'!Z30,NA())</f>
        <v>#N/A</v>
      </c>
      <c r="D30" s="17" t="e">
        <f>IFERROR('1. Mixture Model Inputs'!K30/'1. Mixture Model Inputs'!AA30,NA())</f>
        <v>#N/A</v>
      </c>
      <c r="E30" s="17" t="e">
        <f>IFERROR('1. Mixture Model Inputs'!L30/'1. Mixture Model Inputs'!AB30,NA())</f>
        <v>#N/A</v>
      </c>
      <c r="F30" s="17" t="e">
        <f>IFERROR('1. Mixture Model Inputs'!M30/'1. Mixture Model Inputs'!AC30,NA())</f>
        <v>#N/A</v>
      </c>
      <c r="G30" s="17" t="e">
        <f>IFERROR('1. Mixture Model Inputs'!N30/'1. Mixture Model Inputs'!AD30,NA())</f>
        <v>#N/A</v>
      </c>
      <c r="H30" s="24">
        <f>WhonSpComp!AV45</f>
        <v>0</v>
      </c>
      <c r="I30" s="17" t="e">
        <f>IFERROR('1. Mixture Model Inputs'!O30/'1. Mixture Model Inputs'!AE30, NA())</f>
        <v>#N/A</v>
      </c>
      <c r="J30" s="17" t="e">
        <f>IFERROR('1. Mixture Model Inputs'!P30/'1. Mixture Model Inputs'!AF30, NA())</f>
        <v>#N/A</v>
      </c>
      <c r="K30" s="17" t="e">
        <f>IFERROR('1. Mixture Model Inputs'!Q30/'1. Mixture Model Inputs'!AG30, NA())</f>
        <v>#N/A</v>
      </c>
      <c r="L30" s="22" t="e">
        <f>C30*'2. Salmon Passage by Bin'!C30</f>
        <v>#N/A</v>
      </c>
      <c r="M30" s="22" t="e">
        <f>D30*'2. Salmon Passage by Bin'!D30</f>
        <v>#N/A</v>
      </c>
      <c r="N30" s="22" t="e">
        <f>F30*'2. Salmon Passage by Bin'!F30</f>
        <v>#N/A</v>
      </c>
      <c r="O30" s="22" t="e">
        <f>G30*'2. Salmon Passage by Bin'!G30</f>
        <v>#N/A</v>
      </c>
      <c r="P30" s="22" t="e">
        <f>$G30*'2. Salmon Passage by Bin'!H30</f>
        <v>#N/A</v>
      </c>
      <c r="Q30" s="22" t="e">
        <f>$G30*'2. Salmon Passage by Bin'!I30</f>
        <v>#N/A</v>
      </c>
      <c r="R30" s="22" t="e">
        <f>$G30*'2. Salmon Passage by Bin'!J30</f>
        <v>#N/A</v>
      </c>
      <c r="S30" s="25">
        <f>'2. Salmon Passage by Bin'!K30*H30</f>
        <v>0</v>
      </c>
      <c r="T30" s="25" t="e">
        <f>K30*'2. Salmon Passage by Bin'!L30</f>
        <v>#N/A</v>
      </c>
      <c r="U30" s="25" t="e">
        <f>K30*'2. Salmon Passage by Bin'!M30</f>
        <v>#N/A</v>
      </c>
      <c r="V30" s="25" t="e">
        <f>J30*'2. Salmon Passage by Bin'!N30</f>
        <v>#N/A</v>
      </c>
      <c r="W30" s="25" t="e">
        <f>I30*'2. Salmon Passage by Bin'!O30</f>
        <v>#N/A</v>
      </c>
      <c r="X30" s="22" t="e">
        <f>E30*'2. Salmon Passage by Bin'!E30</f>
        <v>#N/A</v>
      </c>
      <c r="Y30" s="41">
        <f t="shared" si="0"/>
        <v>0</v>
      </c>
      <c r="Z30" s="42">
        <f>Y30/'[1]Passage Estimates'!$D30</f>
        <v>0</v>
      </c>
      <c r="AA30" s="43">
        <f>IFERROR(SUMIF(L30:R30, "&lt;&gt;#N/A")/SUMIF('2. Salmon Passage by Bin'!E30:J30, "&lt;&gt;#N/A"), NA())</f>
        <v>0</v>
      </c>
      <c r="AB30" s="42">
        <f>IFERROR(IF(ISNA(S30), NA(), S30/'2. Salmon Passage by Bin'!K30), NA())</f>
        <v>0</v>
      </c>
      <c r="AC30" s="44">
        <f>IFERROR(SUMIF(T30:W30, "&lt;&gt;#N/A")/SUMIF('2. Salmon Passage by Bin'!L30:N30, "&lt;&gt;#N/A"), NA())</f>
        <v>0</v>
      </c>
    </row>
    <row r="31" spans="1:29" x14ac:dyDescent="0.3">
      <c r="A31" s="5">
        <f>'1. Mixture Model Inputs'!A31</f>
        <v>45133</v>
      </c>
      <c r="B31" s="13" t="str">
        <f>IF(ISBLANK('[1]Passage Estimates'!$C31),"",IF('[1]Passage Estimates'!$C31="Imputation",'[1]Passage Estimates'!$B31,'[1]Passage Estimates'!$C31))</f>
        <v>S1+M2+A2</v>
      </c>
      <c r="C31" s="17" t="e">
        <f>IFERROR('1. Mixture Model Inputs'!J31/'1. Mixture Model Inputs'!Z31,NA())</f>
        <v>#N/A</v>
      </c>
      <c r="D31" s="17" t="e">
        <f>IFERROR('1. Mixture Model Inputs'!K31/'1. Mixture Model Inputs'!AA31,NA())</f>
        <v>#N/A</v>
      </c>
      <c r="E31" s="17" t="e">
        <f>IFERROR('1. Mixture Model Inputs'!L31/'1. Mixture Model Inputs'!AB31,NA())</f>
        <v>#N/A</v>
      </c>
      <c r="F31" s="17" t="e">
        <f>IFERROR('1. Mixture Model Inputs'!M31/'1. Mixture Model Inputs'!AC31,NA())</f>
        <v>#N/A</v>
      </c>
      <c r="G31" s="17" t="e">
        <f>IFERROR('1. Mixture Model Inputs'!N31/'1. Mixture Model Inputs'!AD31,NA())</f>
        <v>#N/A</v>
      </c>
      <c r="H31" s="24">
        <f>WhonSpComp!AV46</f>
        <v>0</v>
      </c>
      <c r="I31" s="17" t="e">
        <f>IFERROR('1. Mixture Model Inputs'!O31/'1. Mixture Model Inputs'!AE31, NA())</f>
        <v>#N/A</v>
      </c>
      <c r="J31" s="17" t="e">
        <f>IFERROR('1. Mixture Model Inputs'!P31/'1. Mixture Model Inputs'!AF31, NA())</f>
        <v>#N/A</v>
      </c>
      <c r="K31" s="17" t="e">
        <f>IFERROR('1. Mixture Model Inputs'!Q31/'1. Mixture Model Inputs'!AG31, NA())</f>
        <v>#N/A</v>
      </c>
      <c r="L31" s="22" t="e">
        <f>C31*'2. Salmon Passage by Bin'!C31</f>
        <v>#N/A</v>
      </c>
      <c r="M31" s="22" t="e">
        <f>D31*'2. Salmon Passage by Bin'!D31</f>
        <v>#N/A</v>
      </c>
      <c r="N31" s="22" t="e">
        <f>F31*'2. Salmon Passage by Bin'!F31</f>
        <v>#N/A</v>
      </c>
      <c r="O31" s="22" t="e">
        <f>G31*'2. Salmon Passage by Bin'!G31</f>
        <v>#N/A</v>
      </c>
      <c r="P31" s="22" t="e">
        <f>$G31*'2. Salmon Passage by Bin'!H31</f>
        <v>#N/A</v>
      </c>
      <c r="Q31" s="22" t="e">
        <f>$G31*'2. Salmon Passage by Bin'!I31</f>
        <v>#N/A</v>
      </c>
      <c r="R31" s="22" t="e">
        <f>$G31*'2. Salmon Passage by Bin'!J31</f>
        <v>#N/A</v>
      </c>
      <c r="S31" s="25">
        <f>'2. Salmon Passage by Bin'!K31*H31</f>
        <v>0</v>
      </c>
      <c r="T31" s="25" t="e">
        <f>K31*'2. Salmon Passage by Bin'!L31</f>
        <v>#N/A</v>
      </c>
      <c r="U31" s="25" t="e">
        <f>K31*'2. Salmon Passage by Bin'!M31</f>
        <v>#N/A</v>
      </c>
      <c r="V31" s="25" t="e">
        <f>J31*'2. Salmon Passage by Bin'!N31</f>
        <v>#N/A</v>
      </c>
      <c r="W31" s="25" t="e">
        <f>I31*'2. Salmon Passage by Bin'!O31</f>
        <v>#N/A</v>
      </c>
      <c r="X31" s="22" t="e">
        <f>E31*'2. Salmon Passage by Bin'!E31</f>
        <v>#N/A</v>
      </c>
      <c r="Y31" s="41">
        <f t="shared" si="0"/>
        <v>0</v>
      </c>
      <c r="Z31" s="42">
        <f>Y31/'[1]Passage Estimates'!$D31</f>
        <v>0</v>
      </c>
      <c r="AA31" s="43">
        <f>IFERROR(SUMIF(L31:R31, "&lt;&gt;#N/A")/SUMIF('2. Salmon Passage by Bin'!E31:J31, "&lt;&gt;#N/A"), NA())</f>
        <v>0</v>
      </c>
      <c r="AB31" s="42">
        <f>IFERROR(IF(ISNA(S31), NA(), S31/'2. Salmon Passage by Bin'!K31), NA())</f>
        <v>0</v>
      </c>
      <c r="AC31" s="44">
        <f>IFERROR(SUMIF(T31:W31, "&lt;&gt;#N/A")/SUMIF('2. Salmon Passage by Bin'!L31:N31, "&lt;&gt;#N/A"), NA())</f>
        <v>0</v>
      </c>
    </row>
    <row r="32" spans="1:29" x14ac:dyDescent="0.3">
      <c r="A32" s="5">
        <f>'1. Mixture Model Inputs'!A32</f>
        <v>45134</v>
      </c>
      <c r="B32" s="13" t="str">
        <f>IF(ISBLANK('[1]Passage Estimates'!$C32),"",IF('[1]Passage Estimates'!$C32="Imputation",'[1]Passage Estimates'!$B32,'[1]Passage Estimates'!$C32))</f>
        <v>S1+M2+A2</v>
      </c>
      <c r="C32" s="17" t="e">
        <f>IFERROR('1. Mixture Model Inputs'!J32/'1. Mixture Model Inputs'!Z32,NA())</f>
        <v>#N/A</v>
      </c>
      <c r="D32" s="17" t="e">
        <f>IFERROR('1. Mixture Model Inputs'!K32/'1. Mixture Model Inputs'!AA32,NA())</f>
        <v>#N/A</v>
      </c>
      <c r="E32" s="17" t="e">
        <f>IFERROR('1. Mixture Model Inputs'!L32/'1. Mixture Model Inputs'!AB32,NA())</f>
        <v>#N/A</v>
      </c>
      <c r="F32" s="17" t="e">
        <f>IFERROR('1. Mixture Model Inputs'!M32/'1. Mixture Model Inputs'!AC32,NA())</f>
        <v>#N/A</v>
      </c>
      <c r="G32" s="17" t="e">
        <f>IFERROR('1. Mixture Model Inputs'!N32/'1. Mixture Model Inputs'!AD32,NA())</f>
        <v>#N/A</v>
      </c>
      <c r="H32" s="24">
        <f>WhonSpComp!AV47</f>
        <v>0</v>
      </c>
      <c r="I32" s="17" t="e">
        <f>IFERROR('1. Mixture Model Inputs'!O32/'1. Mixture Model Inputs'!AE32, NA())</f>
        <v>#N/A</v>
      </c>
      <c r="J32" s="17" t="e">
        <f>IFERROR('1. Mixture Model Inputs'!P32/'1. Mixture Model Inputs'!AF32, NA())</f>
        <v>#N/A</v>
      </c>
      <c r="K32" s="17" t="e">
        <f>IFERROR('1. Mixture Model Inputs'!Q32/'1. Mixture Model Inputs'!AG32, NA())</f>
        <v>#N/A</v>
      </c>
      <c r="L32" s="22" t="e">
        <f>C32*'2. Salmon Passage by Bin'!C32</f>
        <v>#N/A</v>
      </c>
      <c r="M32" s="22" t="e">
        <f>D32*'2. Salmon Passage by Bin'!D32</f>
        <v>#N/A</v>
      </c>
      <c r="N32" s="22" t="e">
        <f>F32*'2. Salmon Passage by Bin'!F32</f>
        <v>#N/A</v>
      </c>
      <c r="O32" s="22" t="e">
        <f>G32*'2. Salmon Passage by Bin'!G32</f>
        <v>#N/A</v>
      </c>
      <c r="P32" s="22" t="e">
        <f>$G32*'2. Salmon Passage by Bin'!H32</f>
        <v>#N/A</v>
      </c>
      <c r="Q32" s="22" t="e">
        <f>$G32*'2. Salmon Passage by Bin'!I32</f>
        <v>#N/A</v>
      </c>
      <c r="R32" s="22" t="e">
        <f>$G32*'2. Salmon Passage by Bin'!J32</f>
        <v>#N/A</v>
      </c>
      <c r="S32" s="25">
        <f>'2. Salmon Passage by Bin'!K32*H32</f>
        <v>0</v>
      </c>
      <c r="T32" s="25" t="e">
        <f>K32*'2. Salmon Passage by Bin'!L32</f>
        <v>#N/A</v>
      </c>
      <c r="U32" s="25" t="e">
        <f>K32*'2. Salmon Passage by Bin'!M32</f>
        <v>#N/A</v>
      </c>
      <c r="V32" s="25" t="e">
        <f>J32*'2. Salmon Passage by Bin'!N32</f>
        <v>#N/A</v>
      </c>
      <c r="W32" s="25" t="e">
        <f>I32*'2. Salmon Passage by Bin'!O32</f>
        <v>#N/A</v>
      </c>
      <c r="X32" s="22" t="e">
        <f>E32*'2. Salmon Passage by Bin'!E32</f>
        <v>#N/A</v>
      </c>
      <c r="Y32" s="41">
        <f t="shared" si="0"/>
        <v>0</v>
      </c>
      <c r="Z32" s="42">
        <f>Y32/'[1]Passage Estimates'!$D32</f>
        <v>0</v>
      </c>
      <c r="AA32" s="43">
        <f>IFERROR(SUMIF(L32:R32, "&lt;&gt;#N/A")/SUMIF('2. Salmon Passage by Bin'!E32:J32, "&lt;&gt;#N/A"), NA())</f>
        <v>0</v>
      </c>
      <c r="AB32" s="42">
        <f>IFERROR(IF(ISNA(S32), NA(), S32/'2. Salmon Passage by Bin'!K32), NA())</f>
        <v>0</v>
      </c>
      <c r="AC32" s="44">
        <f>IFERROR(SUMIF(T32:W32, "&lt;&gt;#N/A")/SUMIF('2. Salmon Passage by Bin'!L32:N32, "&lt;&gt;#N/A"), NA())</f>
        <v>0</v>
      </c>
    </row>
    <row r="33" spans="1:29" x14ac:dyDescent="0.3">
      <c r="A33" s="5">
        <f>'1. Mixture Model Inputs'!A33</f>
        <v>45135</v>
      </c>
      <c r="B33" s="13" t="str">
        <f>IF(ISBLANK('[1]Passage Estimates'!$C33),"",IF('[1]Passage Estimates'!$C33="Imputation",'[1]Passage Estimates'!$B33,'[1]Passage Estimates'!$C33))</f>
        <v>S1+M2+A2</v>
      </c>
      <c r="C33" s="17" t="e">
        <f>IFERROR('1. Mixture Model Inputs'!J33/'1. Mixture Model Inputs'!Z33,NA())</f>
        <v>#N/A</v>
      </c>
      <c r="D33" s="17" t="e">
        <f>IFERROR('1. Mixture Model Inputs'!K33/'1. Mixture Model Inputs'!AA33,NA())</f>
        <v>#N/A</v>
      </c>
      <c r="E33" s="17" t="e">
        <f>IFERROR('1. Mixture Model Inputs'!L33/'1. Mixture Model Inputs'!AB33,NA())</f>
        <v>#N/A</v>
      </c>
      <c r="F33" s="17" t="e">
        <f>IFERROR('1. Mixture Model Inputs'!M33/'1. Mixture Model Inputs'!AC33,NA())</f>
        <v>#N/A</v>
      </c>
      <c r="G33" s="17" t="e">
        <f>IFERROR('1. Mixture Model Inputs'!N33/'1. Mixture Model Inputs'!AD33,NA())</f>
        <v>#N/A</v>
      </c>
      <c r="H33" s="24">
        <f>WhonSpComp!AV48</f>
        <v>0</v>
      </c>
      <c r="I33" s="17" t="e">
        <f>IFERROR('1. Mixture Model Inputs'!O33/'1. Mixture Model Inputs'!AE33, NA())</f>
        <v>#N/A</v>
      </c>
      <c r="J33" s="17" t="e">
        <f>IFERROR('1. Mixture Model Inputs'!P33/'1. Mixture Model Inputs'!AF33, NA())</f>
        <v>#N/A</v>
      </c>
      <c r="K33" s="17" t="e">
        <f>IFERROR('1. Mixture Model Inputs'!Q33/'1. Mixture Model Inputs'!AG33, NA())</f>
        <v>#N/A</v>
      </c>
      <c r="L33" s="22" t="e">
        <f>C33*'2. Salmon Passage by Bin'!C33</f>
        <v>#N/A</v>
      </c>
      <c r="M33" s="22" t="e">
        <f>D33*'2. Salmon Passage by Bin'!D33</f>
        <v>#N/A</v>
      </c>
      <c r="N33" s="22" t="e">
        <f>F33*'2. Salmon Passage by Bin'!F33</f>
        <v>#N/A</v>
      </c>
      <c r="O33" s="22" t="e">
        <f>G33*'2. Salmon Passage by Bin'!G33</f>
        <v>#N/A</v>
      </c>
      <c r="P33" s="22" t="e">
        <f>$G33*'2. Salmon Passage by Bin'!H33</f>
        <v>#N/A</v>
      </c>
      <c r="Q33" s="22" t="e">
        <f>$G33*'2. Salmon Passage by Bin'!I33</f>
        <v>#N/A</v>
      </c>
      <c r="R33" s="22" t="e">
        <f>$G33*'2. Salmon Passage by Bin'!J33</f>
        <v>#N/A</v>
      </c>
      <c r="S33" s="25">
        <f>'2. Salmon Passage by Bin'!K33*H33</f>
        <v>0</v>
      </c>
      <c r="T33" s="25" t="e">
        <f>K33*'2. Salmon Passage by Bin'!L33</f>
        <v>#N/A</v>
      </c>
      <c r="U33" s="25" t="e">
        <f>K33*'2. Salmon Passage by Bin'!M33</f>
        <v>#N/A</v>
      </c>
      <c r="V33" s="25" t="e">
        <f>J33*'2. Salmon Passage by Bin'!N33</f>
        <v>#N/A</v>
      </c>
      <c r="W33" s="25" t="e">
        <f>I33*'2. Salmon Passage by Bin'!O33</f>
        <v>#N/A</v>
      </c>
      <c r="X33" s="22" t="e">
        <f>E33*'2. Salmon Passage by Bin'!E33</f>
        <v>#N/A</v>
      </c>
      <c r="Y33" s="41">
        <f t="shared" si="0"/>
        <v>0</v>
      </c>
      <c r="Z33" s="42">
        <f>Y33/'[1]Passage Estimates'!$D33</f>
        <v>0</v>
      </c>
      <c r="AA33" s="43">
        <f>IFERROR(SUMIF(L33:R33, "&lt;&gt;#N/A")/SUMIF('2. Salmon Passage by Bin'!E33:J33, "&lt;&gt;#N/A"), NA())</f>
        <v>0</v>
      </c>
      <c r="AB33" s="42">
        <f>IFERROR(IF(ISNA(S33), NA(), S33/'2. Salmon Passage by Bin'!K33), NA())</f>
        <v>0</v>
      </c>
      <c r="AC33" s="44">
        <f>IFERROR(SUMIF(T33:W33, "&lt;&gt;#N/A")/SUMIF('2. Salmon Passage by Bin'!L33:N33, "&lt;&gt;#N/A"), NA())</f>
        <v>0</v>
      </c>
    </row>
    <row r="34" spans="1:29" x14ac:dyDescent="0.3">
      <c r="A34" s="5">
        <f>'1. Mixture Model Inputs'!A34</f>
        <v>45136</v>
      </c>
      <c r="B34" s="13" t="str">
        <f>IF(ISBLANK('[1]Passage Estimates'!$C34),"",IF('[1]Passage Estimates'!$C34="Imputation",'[1]Passage Estimates'!$B34,'[1]Passage Estimates'!$C34))</f>
        <v>S1+M2+A2</v>
      </c>
      <c r="C34" s="17" t="e">
        <f>IFERROR('1. Mixture Model Inputs'!J34/'1. Mixture Model Inputs'!Z34,NA())</f>
        <v>#N/A</v>
      </c>
      <c r="D34" s="17" t="e">
        <f>IFERROR('1. Mixture Model Inputs'!K34/'1. Mixture Model Inputs'!AA34,NA())</f>
        <v>#N/A</v>
      </c>
      <c r="E34" s="17" t="e">
        <f>IFERROR('1. Mixture Model Inputs'!L34/'1. Mixture Model Inputs'!AB34,NA())</f>
        <v>#N/A</v>
      </c>
      <c r="F34" s="17" t="e">
        <f>IFERROR('1. Mixture Model Inputs'!M34/'1. Mixture Model Inputs'!AC34,NA())</f>
        <v>#N/A</v>
      </c>
      <c r="G34" s="17" t="e">
        <f>IFERROR('1. Mixture Model Inputs'!N34/'1. Mixture Model Inputs'!AD34,NA())</f>
        <v>#N/A</v>
      </c>
      <c r="H34" s="24">
        <f>WhonSpComp!AV49</f>
        <v>0</v>
      </c>
      <c r="I34" s="17" t="e">
        <f>IFERROR('1. Mixture Model Inputs'!O34/'1. Mixture Model Inputs'!AE34, NA())</f>
        <v>#N/A</v>
      </c>
      <c r="J34" s="17" t="e">
        <f>IFERROR('1. Mixture Model Inputs'!P34/'1. Mixture Model Inputs'!AF34, NA())</f>
        <v>#N/A</v>
      </c>
      <c r="K34" s="17" t="e">
        <f>IFERROR('1. Mixture Model Inputs'!Q34/'1. Mixture Model Inputs'!AG34, NA())</f>
        <v>#N/A</v>
      </c>
      <c r="L34" s="22" t="e">
        <f>C34*'2. Salmon Passage by Bin'!C34</f>
        <v>#N/A</v>
      </c>
      <c r="M34" s="22" t="e">
        <f>D34*'2. Salmon Passage by Bin'!D34</f>
        <v>#N/A</v>
      </c>
      <c r="N34" s="22" t="e">
        <f>F34*'2. Salmon Passage by Bin'!F34</f>
        <v>#N/A</v>
      </c>
      <c r="O34" s="22" t="e">
        <f>G34*'2. Salmon Passage by Bin'!G34</f>
        <v>#N/A</v>
      </c>
      <c r="P34" s="22" t="e">
        <f>$G34*'2. Salmon Passage by Bin'!H34</f>
        <v>#N/A</v>
      </c>
      <c r="Q34" s="22" t="e">
        <f>$G34*'2. Salmon Passage by Bin'!I34</f>
        <v>#N/A</v>
      </c>
      <c r="R34" s="22" t="e">
        <f>$G34*'2. Salmon Passage by Bin'!J34</f>
        <v>#N/A</v>
      </c>
      <c r="S34" s="25">
        <f>'2. Salmon Passage by Bin'!K34*H34</f>
        <v>0</v>
      </c>
      <c r="T34" s="25" t="e">
        <f>K34*'2. Salmon Passage by Bin'!L34</f>
        <v>#N/A</v>
      </c>
      <c r="U34" s="25" t="e">
        <f>K34*'2. Salmon Passage by Bin'!M34</f>
        <v>#N/A</v>
      </c>
      <c r="V34" s="25" t="e">
        <f>J34*'2. Salmon Passage by Bin'!N34</f>
        <v>#N/A</v>
      </c>
      <c r="W34" s="25" t="e">
        <f>I34*'2. Salmon Passage by Bin'!O34</f>
        <v>#N/A</v>
      </c>
      <c r="X34" s="22" t="e">
        <f>E34*'2. Salmon Passage by Bin'!E34</f>
        <v>#N/A</v>
      </c>
      <c r="Y34" s="41">
        <f t="shared" si="0"/>
        <v>0</v>
      </c>
      <c r="Z34" s="42">
        <f>Y34/'[1]Passage Estimates'!$D34</f>
        <v>0</v>
      </c>
      <c r="AA34" s="43">
        <f>IFERROR(SUMIF(L34:R34, "&lt;&gt;#N/A")/SUMIF('2. Salmon Passage by Bin'!E34:J34, "&lt;&gt;#N/A"), NA())</f>
        <v>0</v>
      </c>
      <c r="AB34" s="42">
        <f>IFERROR(IF(ISNA(S34), NA(), S34/'2. Salmon Passage by Bin'!K34), NA())</f>
        <v>0</v>
      </c>
      <c r="AC34" s="44">
        <f>IFERROR(SUMIF(T34:W34, "&lt;&gt;#N/A")/SUMIF('2. Salmon Passage by Bin'!L34:N34, "&lt;&gt;#N/A"), NA())</f>
        <v>0</v>
      </c>
    </row>
    <row r="35" spans="1:29" x14ac:dyDescent="0.3">
      <c r="A35" s="5">
        <f>'1. Mixture Model Inputs'!A35</f>
        <v>45137</v>
      </c>
      <c r="B35" s="13" t="str">
        <f>IF(ISBLANK('[1]Passage Estimates'!$C35),"",IF('[1]Passage Estimates'!$C35="Imputation",'[1]Passage Estimates'!$B35,'[1]Passage Estimates'!$C35))</f>
        <v>S1+M2+A2</v>
      </c>
      <c r="C35" s="17" t="e">
        <f>IFERROR('1. Mixture Model Inputs'!J35/'1. Mixture Model Inputs'!Z35,NA())</f>
        <v>#N/A</v>
      </c>
      <c r="D35" s="17" t="e">
        <f>IFERROR('1. Mixture Model Inputs'!K35/'1. Mixture Model Inputs'!AA35,NA())</f>
        <v>#N/A</v>
      </c>
      <c r="E35" s="17" t="e">
        <f>IFERROR('1. Mixture Model Inputs'!L35/'1. Mixture Model Inputs'!AB35,NA())</f>
        <v>#N/A</v>
      </c>
      <c r="F35" s="17" t="e">
        <f>IFERROR('1. Mixture Model Inputs'!M35/'1. Mixture Model Inputs'!AC35,NA())</f>
        <v>#N/A</v>
      </c>
      <c r="G35" s="17" t="e">
        <f>IFERROR('1. Mixture Model Inputs'!N35/'1. Mixture Model Inputs'!AD35,NA())</f>
        <v>#N/A</v>
      </c>
      <c r="H35" s="24">
        <f>WhonSpComp!AV50</f>
        <v>0</v>
      </c>
      <c r="I35" s="17" t="e">
        <f>IFERROR('1. Mixture Model Inputs'!O35/'1. Mixture Model Inputs'!AE35, NA())</f>
        <v>#N/A</v>
      </c>
      <c r="J35" s="17" t="e">
        <f>IFERROR('1. Mixture Model Inputs'!P35/'1. Mixture Model Inputs'!AF35, NA())</f>
        <v>#N/A</v>
      </c>
      <c r="K35" s="17" t="e">
        <f>IFERROR('1. Mixture Model Inputs'!Q35/'1. Mixture Model Inputs'!AG35, NA())</f>
        <v>#N/A</v>
      </c>
      <c r="L35" s="22" t="e">
        <f>C35*'2. Salmon Passage by Bin'!C35</f>
        <v>#N/A</v>
      </c>
      <c r="M35" s="22" t="e">
        <f>D35*'2. Salmon Passage by Bin'!D35</f>
        <v>#N/A</v>
      </c>
      <c r="N35" s="22" t="e">
        <f>F35*'2. Salmon Passage by Bin'!F35</f>
        <v>#N/A</v>
      </c>
      <c r="O35" s="22" t="e">
        <f>G35*'2. Salmon Passage by Bin'!G35</f>
        <v>#N/A</v>
      </c>
      <c r="P35" s="22" t="e">
        <f>$G35*'2. Salmon Passage by Bin'!H35</f>
        <v>#N/A</v>
      </c>
      <c r="Q35" s="22" t="e">
        <f>$G35*'2. Salmon Passage by Bin'!I35</f>
        <v>#N/A</v>
      </c>
      <c r="R35" s="22" t="e">
        <f>$G35*'2. Salmon Passage by Bin'!J35</f>
        <v>#N/A</v>
      </c>
      <c r="S35" s="25">
        <f>'2. Salmon Passage by Bin'!K35*H35</f>
        <v>0</v>
      </c>
      <c r="T35" s="25" t="e">
        <f>K35*'2. Salmon Passage by Bin'!L35</f>
        <v>#N/A</v>
      </c>
      <c r="U35" s="25" t="e">
        <f>K35*'2. Salmon Passage by Bin'!M35</f>
        <v>#N/A</v>
      </c>
      <c r="V35" s="25" t="e">
        <f>J35*'2. Salmon Passage by Bin'!N35</f>
        <v>#N/A</v>
      </c>
      <c r="W35" s="25" t="e">
        <f>I35*'2. Salmon Passage by Bin'!O35</f>
        <v>#N/A</v>
      </c>
      <c r="X35" s="22" t="e">
        <f>E35*'2. Salmon Passage by Bin'!E35</f>
        <v>#N/A</v>
      </c>
      <c r="Y35" s="41">
        <f t="shared" si="0"/>
        <v>0</v>
      </c>
      <c r="Z35" s="42">
        <f>Y35/'[1]Passage Estimates'!$D35</f>
        <v>0</v>
      </c>
      <c r="AA35" s="43">
        <f>IFERROR(SUMIF(L35:R35, "&lt;&gt;#N/A")/SUMIF('2. Salmon Passage by Bin'!E35:J35, "&lt;&gt;#N/A"), NA())</f>
        <v>0</v>
      </c>
      <c r="AB35" s="42">
        <f>IFERROR(IF(ISNA(S35), NA(), S35/'2. Salmon Passage by Bin'!K35), NA())</f>
        <v>0</v>
      </c>
      <c r="AC35" s="44">
        <f>IFERROR(SUMIF(T35:W35, "&lt;&gt;#N/A")/SUMIF('2. Salmon Passage by Bin'!L35:N35, "&lt;&gt;#N/A"), NA())</f>
        <v>0</v>
      </c>
    </row>
    <row r="36" spans="1:29" x14ac:dyDescent="0.3">
      <c r="A36" s="5">
        <f>'1. Mixture Model Inputs'!A36</f>
        <v>45138</v>
      </c>
      <c r="B36" s="13" t="str">
        <f>IF(ISBLANK('[1]Passage Estimates'!$C36),"",IF('[1]Passage Estimates'!$C36="Imputation",'[1]Passage Estimates'!$B36,'[1]Passage Estimates'!$C36))</f>
        <v>S1+M2+A2</v>
      </c>
      <c r="C36" s="17" t="e">
        <f>IFERROR('1. Mixture Model Inputs'!J36/'1. Mixture Model Inputs'!Z36,NA())</f>
        <v>#N/A</v>
      </c>
      <c r="D36" s="17" t="e">
        <f>IFERROR('1. Mixture Model Inputs'!K36/'1. Mixture Model Inputs'!AA36,NA())</f>
        <v>#N/A</v>
      </c>
      <c r="E36" s="17" t="e">
        <f>IFERROR('1. Mixture Model Inputs'!L36/'1. Mixture Model Inputs'!AB36,NA())</f>
        <v>#N/A</v>
      </c>
      <c r="F36" s="17" t="e">
        <f>IFERROR('1. Mixture Model Inputs'!M36/'1. Mixture Model Inputs'!AC36,NA())</f>
        <v>#N/A</v>
      </c>
      <c r="G36" s="17" t="e">
        <f>IFERROR('1. Mixture Model Inputs'!N36/'1. Mixture Model Inputs'!AD36,NA())</f>
        <v>#N/A</v>
      </c>
      <c r="H36" s="24">
        <f>WhonSpComp!AV51</f>
        <v>0</v>
      </c>
      <c r="I36" s="17" t="e">
        <f>IFERROR('1. Mixture Model Inputs'!O36/'1. Mixture Model Inputs'!AE36, NA())</f>
        <v>#N/A</v>
      </c>
      <c r="J36" s="17" t="e">
        <f>IFERROR('1. Mixture Model Inputs'!P36/'1. Mixture Model Inputs'!AF36, NA())</f>
        <v>#N/A</v>
      </c>
      <c r="K36" s="17" t="e">
        <f>IFERROR('1. Mixture Model Inputs'!Q36/'1. Mixture Model Inputs'!AG36, NA())</f>
        <v>#N/A</v>
      </c>
      <c r="L36" s="22" t="e">
        <f>C36*'2. Salmon Passage by Bin'!C36</f>
        <v>#N/A</v>
      </c>
      <c r="M36" s="22" t="e">
        <f>D36*'2. Salmon Passage by Bin'!D36</f>
        <v>#N/A</v>
      </c>
      <c r="N36" s="22" t="e">
        <f>F36*'2. Salmon Passage by Bin'!F36</f>
        <v>#N/A</v>
      </c>
      <c r="O36" s="22" t="e">
        <f>G36*'2. Salmon Passage by Bin'!G36</f>
        <v>#N/A</v>
      </c>
      <c r="P36" s="22" t="e">
        <f>$G36*'2. Salmon Passage by Bin'!H36</f>
        <v>#N/A</v>
      </c>
      <c r="Q36" s="22" t="e">
        <f>$G36*'2. Salmon Passage by Bin'!I36</f>
        <v>#N/A</v>
      </c>
      <c r="R36" s="22" t="e">
        <f>$G36*'2. Salmon Passage by Bin'!J36</f>
        <v>#N/A</v>
      </c>
      <c r="S36" s="25">
        <f>'2. Salmon Passage by Bin'!K36*H36</f>
        <v>0</v>
      </c>
      <c r="T36" s="25" t="e">
        <f>K36*'2. Salmon Passage by Bin'!L36</f>
        <v>#N/A</v>
      </c>
      <c r="U36" s="25" t="e">
        <f>K36*'2. Salmon Passage by Bin'!M36</f>
        <v>#N/A</v>
      </c>
      <c r="V36" s="25" t="e">
        <f>J36*'2. Salmon Passage by Bin'!N36</f>
        <v>#N/A</v>
      </c>
      <c r="W36" s="25" t="e">
        <f>I36*'2. Salmon Passage by Bin'!O36</f>
        <v>#N/A</v>
      </c>
      <c r="X36" s="22" t="e">
        <f>E36*'2. Salmon Passage by Bin'!E36</f>
        <v>#N/A</v>
      </c>
      <c r="Y36" s="41">
        <f t="shared" si="0"/>
        <v>0</v>
      </c>
      <c r="Z36" s="42">
        <f>Y36/'[1]Passage Estimates'!$D36</f>
        <v>0</v>
      </c>
      <c r="AA36" s="43">
        <f>IFERROR(SUMIF(L36:R36, "&lt;&gt;#N/A")/SUMIF('2. Salmon Passage by Bin'!E36:J36, "&lt;&gt;#N/A"), NA())</f>
        <v>0</v>
      </c>
      <c r="AB36" s="42">
        <f>IFERROR(IF(ISNA(S36), NA(), S36/'2. Salmon Passage by Bin'!K36), NA())</f>
        <v>0</v>
      </c>
      <c r="AC36" s="44">
        <f>IFERROR(SUMIF(T36:W36, "&lt;&gt;#N/A")/SUMIF('2. Salmon Passage by Bin'!L36:N36, "&lt;&gt;#N/A"), NA())</f>
        <v>0</v>
      </c>
    </row>
    <row r="37" spans="1:29" x14ac:dyDescent="0.3">
      <c r="A37" s="5">
        <f>'1. Mixture Model Inputs'!A37</f>
        <v>45139</v>
      </c>
      <c r="B37" s="13" t="str">
        <f>IF(ISBLANK('[1]Passage Estimates'!$C37),"",IF('[1]Passage Estimates'!$C37="Imputation",'[1]Passage Estimates'!$B37,'[1]Passage Estimates'!$C37))</f>
        <v>S1+M2+A2</v>
      </c>
      <c r="C37" s="17" t="e">
        <f>IFERROR('1. Mixture Model Inputs'!J37/'1. Mixture Model Inputs'!Z37,NA())</f>
        <v>#N/A</v>
      </c>
      <c r="D37" s="17" t="e">
        <f>IFERROR('1. Mixture Model Inputs'!K37/'1. Mixture Model Inputs'!AA37,NA())</f>
        <v>#N/A</v>
      </c>
      <c r="E37" s="17" t="e">
        <f>IFERROR('1. Mixture Model Inputs'!L37/'1. Mixture Model Inputs'!AB37,NA())</f>
        <v>#N/A</v>
      </c>
      <c r="F37" s="17" t="e">
        <f>IFERROR('1. Mixture Model Inputs'!M37/'1. Mixture Model Inputs'!AC37,NA())</f>
        <v>#N/A</v>
      </c>
      <c r="G37" s="17" t="e">
        <f>IFERROR('1. Mixture Model Inputs'!N37/'1. Mixture Model Inputs'!AD37,NA())</f>
        <v>#N/A</v>
      </c>
      <c r="H37" s="24">
        <f>WhonSpComp!AV52</f>
        <v>0</v>
      </c>
      <c r="I37" s="17" t="e">
        <f>IFERROR('1. Mixture Model Inputs'!O37/'1. Mixture Model Inputs'!AE37, NA())</f>
        <v>#N/A</v>
      </c>
      <c r="J37" s="17" t="e">
        <f>IFERROR('1. Mixture Model Inputs'!P37/'1. Mixture Model Inputs'!AF37, NA())</f>
        <v>#N/A</v>
      </c>
      <c r="K37" s="17" t="e">
        <f>IFERROR('1. Mixture Model Inputs'!Q37/'1. Mixture Model Inputs'!AG37, NA())</f>
        <v>#N/A</v>
      </c>
      <c r="L37" s="22" t="e">
        <f>C37*'2. Salmon Passage by Bin'!C37</f>
        <v>#N/A</v>
      </c>
      <c r="M37" s="22" t="e">
        <f>D37*'2. Salmon Passage by Bin'!D37</f>
        <v>#N/A</v>
      </c>
      <c r="N37" s="22" t="e">
        <f>F37*'2. Salmon Passage by Bin'!F37</f>
        <v>#N/A</v>
      </c>
      <c r="O37" s="22" t="e">
        <f>G37*'2. Salmon Passage by Bin'!G37</f>
        <v>#N/A</v>
      </c>
      <c r="P37" s="22" t="e">
        <f>$G37*'2. Salmon Passage by Bin'!H37</f>
        <v>#N/A</v>
      </c>
      <c r="Q37" s="22" t="e">
        <f>$G37*'2. Salmon Passage by Bin'!I37</f>
        <v>#N/A</v>
      </c>
      <c r="R37" s="22" t="e">
        <f>$G37*'2. Salmon Passage by Bin'!J37</f>
        <v>#N/A</v>
      </c>
      <c r="S37" s="25">
        <f>'2. Salmon Passage by Bin'!K37*H37</f>
        <v>0</v>
      </c>
      <c r="T37" s="25" t="e">
        <f>K37*'2. Salmon Passage by Bin'!L37</f>
        <v>#N/A</v>
      </c>
      <c r="U37" s="25" t="e">
        <f>K37*'2. Salmon Passage by Bin'!M37</f>
        <v>#N/A</v>
      </c>
      <c r="V37" s="25" t="e">
        <f>J37*'2. Salmon Passage by Bin'!N37</f>
        <v>#N/A</v>
      </c>
      <c r="W37" s="25" t="e">
        <f>I37*'2. Salmon Passage by Bin'!O37</f>
        <v>#N/A</v>
      </c>
      <c r="X37" s="22" t="e">
        <f>E37*'2. Salmon Passage by Bin'!E37</f>
        <v>#N/A</v>
      </c>
      <c r="Y37" s="41">
        <f t="shared" si="0"/>
        <v>0</v>
      </c>
      <c r="Z37" s="42">
        <f>Y37/'[1]Passage Estimates'!$D37</f>
        <v>0</v>
      </c>
      <c r="AA37" s="43">
        <f>IFERROR(SUMIF(L37:R37, "&lt;&gt;#N/A")/SUMIF('2. Salmon Passage by Bin'!E37:J37, "&lt;&gt;#N/A"), NA())</f>
        <v>0</v>
      </c>
      <c r="AB37" s="42">
        <f>IFERROR(IF(ISNA(S37), NA(), S37/'2. Salmon Passage by Bin'!K37), NA())</f>
        <v>0</v>
      </c>
      <c r="AC37" s="44">
        <f>IFERROR(SUMIF(T37:W37, "&lt;&gt;#N/A")/SUMIF('2. Salmon Passage by Bin'!L37:N37, "&lt;&gt;#N/A"), NA())</f>
        <v>0</v>
      </c>
    </row>
    <row r="38" spans="1:29" x14ac:dyDescent="0.3">
      <c r="A38" s="5">
        <f>'1. Mixture Model Inputs'!A38</f>
        <v>45140</v>
      </c>
      <c r="B38" s="13" t="str">
        <f>IF(ISBLANK('[1]Passage Estimates'!$C38),"",IF('[1]Passage Estimates'!$C38="Imputation",'[1]Passage Estimates'!$B38,'[1]Passage Estimates'!$C38))</f>
        <v>S1+M2+A2</v>
      </c>
      <c r="C38" s="17" t="e">
        <f>IFERROR('1. Mixture Model Inputs'!J38/'1. Mixture Model Inputs'!Z38,NA())</f>
        <v>#N/A</v>
      </c>
      <c r="D38" s="17" t="e">
        <f>IFERROR('1. Mixture Model Inputs'!K38/'1. Mixture Model Inputs'!AA38,NA())</f>
        <v>#N/A</v>
      </c>
      <c r="E38" s="17" t="e">
        <f>IFERROR('1. Mixture Model Inputs'!L38/'1. Mixture Model Inputs'!AB38,NA())</f>
        <v>#N/A</v>
      </c>
      <c r="F38" s="17" t="e">
        <f>IFERROR('1. Mixture Model Inputs'!M38/'1. Mixture Model Inputs'!AC38,NA())</f>
        <v>#N/A</v>
      </c>
      <c r="G38" s="17" t="e">
        <f>IFERROR('1. Mixture Model Inputs'!N38/'1. Mixture Model Inputs'!AD38,NA())</f>
        <v>#N/A</v>
      </c>
      <c r="H38" s="24">
        <f>WhonSpComp!AV53</f>
        <v>0.125</v>
      </c>
      <c r="I38" s="17" t="e">
        <f>IFERROR('1. Mixture Model Inputs'!O38/'1. Mixture Model Inputs'!AE38, NA())</f>
        <v>#N/A</v>
      </c>
      <c r="J38" s="17" t="e">
        <f>IFERROR('1. Mixture Model Inputs'!P38/'1. Mixture Model Inputs'!AF38, NA())</f>
        <v>#N/A</v>
      </c>
      <c r="K38" s="17" t="e">
        <f>IFERROR('1. Mixture Model Inputs'!Q38/'1. Mixture Model Inputs'!AG38, NA())</f>
        <v>#N/A</v>
      </c>
      <c r="L38" s="22" t="e">
        <f>C38*'2. Salmon Passage by Bin'!C38</f>
        <v>#N/A</v>
      </c>
      <c r="M38" s="22" t="e">
        <f>D38*'2. Salmon Passage by Bin'!D38</f>
        <v>#N/A</v>
      </c>
      <c r="N38" s="22" t="e">
        <f>F38*'2. Salmon Passage by Bin'!F38</f>
        <v>#N/A</v>
      </c>
      <c r="O38" s="22" t="e">
        <f>G38*'2. Salmon Passage by Bin'!G38</f>
        <v>#N/A</v>
      </c>
      <c r="P38" s="22" t="e">
        <f>$G38*'2. Salmon Passage by Bin'!H38</f>
        <v>#N/A</v>
      </c>
      <c r="Q38" s="22" t="e">
        <f>$G38*'2. Salmon Passage by Bin'!I38</f>
        <v>#N/A</v>
      </c>
      <c r="R38" s="22" t="e">
        <f>$G38*'2. Salmon Passage by Bin'!J38</f>
        <v>#N/A</v>
      </c>
      <c r="S38" s="25">
        <f>'2. Salmon Passage by Bin'!K38*H38</f>
        <v>756.68999999999994</v>
      </c>
      <c r="T38" s="25" t="e">
        <f>K38*'2. Salmon Passage by Bin'!L38</f>
        <v>#N/A</v>
      </c>
      <c r="U38" s="25" t="e">
        <f>K38*'2. Salmon Passage by Bin'!M38</f>
        <v>#N/A</v>
      </c>
      <c r="V38" s="25" t="e">
        <f>J38*'2. Salmon Passage by Bin'!N38</f>
        <v>#N/A</v>
      </c>
      <c r="W38" s="25" t="e">
        <f>I38*'2. Salmon Passage by Bin'!O38</f>
        <v>#N/A</v>
      </c>
      <c r="X38" s="22" t="e">
        <f>E38*'2. Salmon Passage by Bin'!E38</f>
        <v>#N/A</v>
      </c>
      <c r="Y38" s="41">
        <f t="shared" si="0"/>
        <v>756.68999999999994</v>
      </c>
      <c r="Z38" s="42">
        <f>Y38/'[1]Passage Estimates'!$D38</f>
        <v>6.3261201067437142E-2</v>
      </c>
      <c r="AA38" s="43">
        <f>IFERROR(SUMIF(L38:R38, "&lt;&gt;#N/A")/SUMIF('2. Salmon Passage by Bin'!E38:J38, "&lt;&gt;#N/A"), NA())</f>
        <v>0</v>
      </c>
      <c r="AB38" s="42">
        <f>IFERROR(IF(ISNA(S38), NA(), S38/'2. Salmon Passage by Bin'!K38), NA())</f>
        <v>0.125</v>
      </c>
      <c r="AC38" s="44">
        <f>IFERROR(SUMIF(T38:W38, "&lt;&gt;#N/A")/SUMIF('2. Salmon Passage by Bin'!L38:N38, "&lt;&gt;#N/A"), NA())</f>
        <v>0</v>
      </c>
    </row>
    <row r="39" spans="1:29" x14ac:dyDescent="0.3">
      <c r="A39" s="5">
        <f>'1. Mixture Model Inputs'!A39</f>
        <v>45141</v>
      </c>
      <c r="B39" s="13" t="str">
        <f>IF(ISBLANK('[1]Passage Estimates'!$C39),"",IF('[1]Passage Estimates'!$C39="Imputation",'[1]Passage Estimates'!$B39,'[1]Passage Estimates'!$C39))</f>
        <v>S1+M2+A2</v>
      </c>
      <c r="C39" s="17" t="e">
        <f>IFERROR('1. Mixture Model Inputs'!J39/'1. Mixture Model Inputs'!Z39,NA())</f>
        <v>#N/A</v>
      </c>
      <c r="D39" s="17" t="e">
        <f>IFERROR('1. Mixture Model Inputs'!K39/'1. Mixture Model Inputs'!AA39,NA())</f>
        <v>#N/A</v>
      </c>
      <c r="E39" s="17" t="e">
        <f>IFERROR('1. Mixture Model Inputs'!L39/'1. Mixture Model Inputs'!AB39,NA())</f>
        <v>#N/A</v>
      </c>
      <c r="F39" s="17" t="e">
        <f>IFERROR('1. Mixture Model Inputs'!M39/'1. Mixture Model Inputs'!AC39,NA())</f>
        <v>#N/A</v>
      </c>
      <c r="G39" s="17" t="e">
        <f>IFERROR('1. Mixture Model Inputs'!N39/'1. Mixture Model Inputs'!AD39,NA())</f>
        <v>#N/A</v>
      </c>
      <c r="H39" s="24">
        <f>WhonSpComp!AV54</f>
        <v>0</v>
      </c>
      <c r="I39" s="17" t="e">
        <f>IFERROR('1. Mixture Model Inputs'!O39/'1. Mixture Model Inputs'!AE39, NA())</f>
        <v>#N/A</v>
      </c>
      <c r="J39" s="17" t="e">
        <f>IFERROR('1. Mixture Model Inputs'!P39/'1. Mixture Model Inputs'!AF39, NA())</f>
        <v>#N/A</v>
      </c>
      <c r="K39" s="17" t="e">
        <f>IFERROR('1. Mixture Model Inputs'!Q39/'1. Mixture Model Inputs'!AG39, NA())</f>
        <v>#N/A</v>
      </c>
      <c r="L39" s="22" t="e">
        <f>C39*'2. Salmon Passage by Bin'!C39</f>
        <v>#N/A</v>
      </c>
      <c r="M39" s="22" t="e">
        <f>D39*'2. Salmon Passage by Bin'!D39</f>
        <v>#N/A</v>
      </c>
      <c r="N39" s="22" t="e">
        <f>F39*'2. Salmon Passage by Bin'!F39</f>
        <v>#N/A</v>
      </c>
      <c r="O39" s="22" t="e">
        <f>G39*'2. Salmon Passage by Bin'!G39</f>
        <v>#N/A</v>
      </c>
      <c r="P39" s="22" t="e">
        <f>$G39*'2. Salmon Passage by Bin'!H39</f>
        <v>#N/A</v>
      </c>
      <c r="Q39" s="22" t="e">
        <f>$G39*'2. Salmon Passage by Bin'!I39</f>
        <v>#N/A</v>
      </c>
      <c r="R39" s="22" t="e">
        <f>$G39*'2. Salmon Passage by Bin'!J39</f>
        <v>#N/A</v>
      </c>
      <c r="S39" s="25">
        <f>'2. Salmon Passage by Bin'!K39*H39</f>
        <v>0</v>
      </c>
      <c r="T39" s="25" t="e">
        <f>K39*'2. Salmon Passage by Bin'!L39</f>
        <v>#N/A</v>
      </c>
      <c r="U39" s="25" t="e">
        <f>K39*'2. Salmon Passage by Bin'!M39</f>
        <v>#N/A</v>
      </c>
      <c r="V39" s="25" t="e">
        <f>J39*'2. Salmon Passage by Bin'!N39</f>
        <v>#N/A</v>
      </c>
      <c r="W39" s="25" t="e">
        <f>I39*'2. Salmon Passage by Bin'!O39</f>
        <v>#N/A</v>
      </c>
      <c r="X39" s="22" t="e">
        <f>E39*'2. Salmon Passage by Bin'!E39</f>
        <v>#N/A</v>
      </c>
      <c r="Y39" s="41">
        <f t="shared" si="0"/>
        <v>0</v>
      </c>
      <c r="Z39" s="42">
        <f>Y39/'[1]Passage Estimates'!$D39</f>
        <v>0</v>
      </c>
      <c r="AA39" s="43">
        <f>IFERROR(SUMIF(L39:R39, "&lt;&gt;#N/A")/SUMIF('2. Salmon Passage by Bin'!E39:J39, "&lt;&gt;#N/A"), NA())</f>
        <v>0</v>
      </c>
      <c r="AB39" s="42">
        <f>IFERROR(IF(ISNA(S39), NA(), S39/'2. Salmon Passage by Bin'!K39), NA())</f>
        <v>0</v>
      </c>
      <c r="AC39" s="44">
        <f>IFERROR(SUMIF(T39:W39, "&lt;&gt;#N/A")/SUMIF('2. Salmon Passage by Bin'!L39:N39, "&lt;&gt;#N/A"), NA())</f>
        <v>0</v>
      </c>
    </row>
    <row r="40" spans="1:29" x14ac:dyDescent="0.3">
      <c r="A40" s="5">
        <f>'1. Mixture Model Inputs'!A40</f>
        <v>45142</v>
      </c>
      <c r="B40" s="13" t="str">
        <f>IF(ISBLANK('[1]Passage Estimates'!$C40),"",IF('[1]Passage Estimates'!$C40="Imputation",'[1]Passage Estimates'!$B40,'[1]Passage Estimates'!$C40))</f>
        <v>A1+S1+M2+A2</v>
      </c>
      <c r="C40" s="17" t="e">
        <f>IFERROR('1. Mixture Model Inputs'!J40/'1. Mixture Model Inputs'!Z40,NA())</f>
        <v>#N/A</v>
      </c>
      <c r="D40" s="17" t="e">
        <f>IFERROR('1. Mixture Model Inputs'!K40/'1. Mixture Model Inputs'!AA40,NA())</f>
        <v>#N/A</v>
      </c>
      <c r="E40" s="17" t="e">
        <f>IFERROR('1. Mixture Model Inputs'!M40/'1. Mixture Model Inputs'!AC40,NA())</f>
        <v>#N/A</v>
      </c>
      <c r="F40" s="17" t="e">
        <f>IFERROR('1. Mixture Model Inputs'!N40/'1. Mixture Model Inputs'!AD40,NA())</f>
        <v>#N/A</v>
      </c>
      <c r="G40" s="17" t="e">
        <f>IFERROR('1. Mixture Model Inputs'!N40/'1. Mixture Model Inputs'!AD40,NA())</f>
        <v>#N/A</v>
      </c>
      <c r="H40" s="24">
        <f>WhonSpComp!AV55</f>
        <v>0</v>
      </c>
      <c r="I40" s="17" t="e">
        <f>IFERROR('1. Mixture Model Inputs'!O40/'1. Mixture Model Inputs'!AE40, NA())</f>
        <v>#N/A</v>
      </c>
      <c r="J40" s="17" t="e">
        <f>IFERROR('1. Mixture Model Inputs'!P40/'1. Mixture Model Inputs'!AF40, NA())</f>
        <v>#N/A</v>
      </c>
      <c r="K40" s="17" t="e">
        <f>IFERROR('1. Mixture Model Inputs'!Q40/'1. Mixture Model Inputs'!AG40, NA())</f>
        <v>#N/A</v>
      </c>
      <c r="L40" s="22" t="e">
        <f>C40*'2. Salmon Passage by Bin'!C40</f>
        <v>#N/A</v>
      </c>
      <c r="M40" s="22" t="e">
        <f>D40*'2. Salmon Passage by Bin'!D40</f>
        <v>#N/A</v>
      </c>
      <c r="N40" s="22" t="e">
        <f>F40*'2. Salmon Passage by Bin'!F40</f>
        <v>#N/A</v>
      </c>
      <c r="O40" s="22" t="e">
        <f>G40*'2. Salmon Passage by Bin'!G40</f>
        <v>#N/A</v>
      </c>
      <c r="P40" s="22" t="e">
        <f>$G40*'2. Salmon Passage by Bin'!H40</f>
        <v>#N/A</v>
      </c>
      <c r="Q40" s="22" t="e">
        <f>$G40*'2. Salmon Passage by Bin'!I40</f>
        <v>#N/A</v>
      </c>
      <c r="R40" s="22" t="e">
        <f>$G40*'2. Salmon Passage by Bin'!J40</f>
        <v>#N/A</v>
      </c>
      <c r="S40" s="25">
        <f>'2. Salmon Passage by Bin'!K40*H40</f>
        <v>0</v>
      </c>
      <c r="T40" s="25" t="e">
        <f>K40*'2. Salmon Passage by Bin'!L40</f>
        <v>#N/A</v>
      </c>
      <c r="U40" s="25" t="e">
        <f>K40*'2. Salmon Passage by Bin'!M40</f>
        <v>#N/A</v>
      </c>
      <c r="V40" s="25" t="e">
        <f>J40*'2. Salmon Passage by Bin'!N40</f>
        <v>#N/A</v>
      </c>
      <c r="W40" s="25" t="e">
        <f>I40*'2. Salmon Passage by Bin'!O40</f>
        <v>#N/A</v>
      </c>
      <c r="X40" s="22" t="e">
        <f>E40*'2. Salmon Passage by Bin'!E40</f>
        <v>#N/A</v>
      </c>
      <c r="Y40" s="41">
        <f t="shared" si="0"/>
        <v>0</v>
      </c>
      <c r="Z40" s="42">
        <f>Y40/'[1]Passage Estimates'!$D40</f>
        <v>0</v>
      </c>
      <c r="AA40" s="43">
        <f>IFERROR(SUMIF(L40:R40, "&lt;&gt;#N/A")/SUMIF('2. Salmon Passage by Bin'!E40:J40, "&lt;&gt;#N/A"), NA())</f>
        <v>0</v>
      </c>
      <c r="AB40" s="42">
        <f>IFERROR(IF(ISNA(S40), NA(), S40/'2. Salmon Passage by Bin'!K40), NA())</f>
        <v>0</v>
      </c>
      <c r="AC40" s="44">
        <f>IFERROR(SUMIF(T40:W40, "&lt;&gt;#N/A")/SUMIF('2. Salmon Passage by Bin'!L40:N40, "&lt;&gt;#N/A"), NA())</f>
        <v>0</v>
      </c>
    </row>
    <row r="41" spans="1:29" x14ac:dyDescent="0.3">
      <c r="A41" s="5">
        <f>'1. Mixture Model Inputs'!A41</f>
        <v>45143</v>
      </c>
      <c r="B41" s="13" t="str">
        <f>IF(ISBLANK('[1]Passage Estimates'!$C41),"",IF('[1]Passage Estimates'!$C41="Imputation",'[1]Passage Estimates'!$B41,'[1]Passage Estimates'!$C41))</f>
        <v>A1+S1+M2+A2</v>
      </c>
      <c r="C41" s="17" t="e">
        <f>IFERROR('1. Mixture Model Inputs'!J41/'1. Mixture Model Inputs'!Z41,NA())</f>
        <v>#N/A</v>
      </c>
      <c r="D41" s="17" t="e">
        <f>IFERROR('1. Mixture Model Inputs'!K41/'1. Mixture Model Inputs'!AA41,NA())</f>
        <v>#N/A</v>
      </c>
      <c r="E41" s="17" t="e">
        <f>IFERROR('1. Mixture Model Inputs'!L41/'1. Mixture Model Inputs'!AB41,NA())</f>
        <v>#N/A</v>
      </c>
      <c r="F41" s="17" t="e">
        <f>IFERROR('1. Mixture Model Inputs'!M41/'1. Mixture Model Inputs'!AC41,NA())</f>
        <v>#N/A</v>
      </c>
      <c r="G41" s="17" t="e">
        <f>IFERROR('1. Mixture Model Inputs'!N41/'1. Mixture Model Inputs'!AD41,NA())</f>
        <v>#N/A</v>
      </c>
      <c r="H41" s="24">
        <f>WhonSpComp!AV56</f>
        <v>0</v>
      </c>
      <c r="I41" s="17" t="e">
        <f>IFERROR('1. Mixture Model Inputs'!O41/'1. Mixture Model Inputs'!AE41, NA())</f>
        <v>#N/A</v>
      </c>
      <c r="J41" s="17" t="e">
        <f>IFERROR('1. Mixture Model Inputs'!P41/'1. Mixture Model Inputs'!AF41, NA())</f>
        <v>#N/A</v>
      </c>
      <c r="K41" s="17" t="e">
        <f>IFERROR('1. Mixture Model Inputs'!Q41/'1. Mixture Model Inputs'!AG41, NA())</f>
        <v>#N/A</v>
      </c>
      <c r="L41" s="22" t="e">
        <f>C41*'2. Salmon Passage by Bin'!C41</f>
        <v>#N/A</v>
      </c>
      <c r="M41" s="22" t="e">
        <f>D41*'2. Salmon Passage by Bin'!D41</f>
        <v>#N/A</v>
      </c>
      <c r="N41" s="22" t="e">
        <f>F41*'2. Salmon Passage by Bin'!F41</f>
        <v>#N/A</v>
      </c>
      <c r="O41" s="22" t="e">
        <f>G41*'2. Salmon Passage by Bin'!G41</f>
        <v>#N/A</v>
      </c>
      <c r="P41" s="22" t="e">
        <f>$G41*'2. Salmon Passage by Bin'!H41</f>
        <v>#N/A</v>
      </c>
      <c r="Q41" s="22" t="e">
        <f>$G41*'2. Salmon Passage by Bin'!I41</f>
        <v>#N/A</v>
      </c>
      <c r="R41" s="22" t="e">
        <f>$G41*'2. Salmon Passage by Bin'!J41</f>
        <v>#N/A</v>
      </c>
      <c r="S41" s="25">
        <f>'2. Salmon Passage by Bin'!K41*H41</f>
        <v>0</v>
      </c>
      <c r="T41" s="25" t="e">
        <f>K41*'2. Salmon Passage by Bin'!L41</f>
        <v>#N/A</v>
      </c>
      <c r="U41" s="25" t="e">
        <f>K41*'2. Salmon Passage by Bin'!M41</f>
        <v>#N/A</v>
      </c>
      <c r="V41" s="25" t="e">
        <f>J41*'2. Salmon Passage by Bin'!N41</f>
        <v>#N/A</v>
      </c>
      <c r="W41" s="25" t="e">
        <f>I41*'2. Salmon Passage by Bin'!O41</f>
        <v>#N/A</v>
      </c>
      <c r="X41" s="22" t="e">
        <f>E41*'2. Salmon Passage by Bin'!E41</f>
        <v>#N/A</v>
      </c>
      <c r="Y41" s="41">
        <f t="shared" si="0"/>
        <v>0</v>
      </c>
      <c r="Z41" s="42">
        <f>Y41/'[1]Passage Estimates'!$D41</f>
        <v>0</v>
      </c>
      <c r="AA41" s="43">
        <f>IFERROR(SUMIF(L41:R41, "&lt;&gt;#N/A")/SUMIF('2. Salmon Passage by Bin'!E41:J41, "&lt;&gt;#N/A"), NA())</f>
        <v>0</v>
      </c>
      <c r="AB41" s="42">
        <f>IFERROR(IF(ISNA(S41), NA(), S41/'2. Salmon Passage by Bin'!K41), NA())</f>
        <v>0</v>
      </c>
      <c r="AC41" s="44">
        <f>IFERROR(SUMIF(T41:W41, "&lt;&gt;#N/A")/SUMIF('2. Salmon Passage by Bin'!L41:N41, "&lt;&gt;#N/A"), NA())</f>
        <v>0</v>
      </c>
    </row>
    <row r="42" spans="1:29" x14ac:dyDescent="0.3">
      <c r="A42" s="5">
        <f>'1. Mixture Model Inputs'!A42</f>
        <v>45144</v>
      </c>
      <c r="B42" s="13" t="str">
        <f>IF(ISBLANK('[1]Passage Estimates'!$C42),"",IF('[1]Passage Estimates'!$C42="Imputation",'[1]Passage Estimates'!$B42,'[1]Passage Estimates'!$C42))</f>
        <v>A1+S1+M2+A2</v>
      </c>
      <c r="C42" s="17" t="e">
        <f>IFERROR('1. Mixture Model Inputs'!J42/'1. Mixture Model Inputs'!Z42,NA())</f>
        <v>#N/A</v>
      </c>
      <c r="D42" s="17" t="e">
        <f>IFERROR('1. Mixture Model Inputs'!K42/'1. Mixture Model Inputs'!AA42,NA())</f>
        <v>#N/A</v>
      </c>
      <c r="E42" s="17" t="e">
        <f>IFERROR('1. Mixture Model Inputs'!L42/'1. Mixture Model Inputs'!AB42,NA())</f>
        <v>#N/A</v>
      </c>
      <c r="F42" s="17" t="e">
        <f>IFERROR('1. Mixture Model Inputs'!M42/'1. Mixture Model Inputs'!AC42,NA())</f>
        <v>#N/A</v>
      </c>
      <c r="G42" s="17" t="e">
        <f>IFERROR('1. Mixture Model Inputs'!N42/'1. Mixture Model Inputs'!AD42,NA())</f>
        <v>#N/A</v>
      </c>
      <c r="H42" s="24">
        <f>WhonSpComp!AV57</f>
        <v>0</v>
      </c>
      <c r="I42" s="17" t="e">
        <f>IFERROR('1. Mixture Model Inputs'!O42/'1. Mixture Model Inputs'!AE42, NA())</f>
        <v>#N/A</v>
      </c>
      <c r="J42" s="17" t="e">
        <f>IFERROR('1. Mixture Model Inputs'!P42/'1. Mixture Model Inputs'!AF42, NA())</f>
        <v>#N/A</v>
      </c>
      <c r="K42" s="17" t="e">
        <f>IFERROR('1. Mixture Model Inputs'!Q42/'1. Mixture Model Inputs'!AG42, NA())</f>
        <v>#N/A</v>
      </c>
      <c r="L42" s="22" t="e">
        <f>C42*'2. Salmon Passage by Bin'!C42</f>
        <v>#N/A</v>
      </c>
      <c r="M42" s="22" t="e">
        <f>D42*'2. Salmon Passage by Bin'!D42</f>
        <v>#N/A</v>
      </c>
      <c r="N42" s="22" t="e">
        <f>F42*'2. Salmon Passage by Bin'!F42</f>
        <v>#N/A</v>
      </c>
      <c r="O42" s="22" t="e">
        <f>G42*'2. Salmon Passage by Bin'!G42</f>
        <v>#N/A</v>
      </c>
      <c r="P42" s="22" t="e">
        <f>$G42*'2. Salmon Passage by Bin'!H42</f>
        <v>#N/A</v>
      </c>
      <c r="Q42" s="22" t="e">
        <f>$G42*'2. Salmon Passage by Bin'!I42</f>
        <v>#N/A</v>
      </c>
      <c r="R42" s="22" t="e">
        <f>$G42*'2. Salmon Passage by Bin'!J42</f>
        <v>#N/A</v>
      </c>
      <c r="S42" s="25">
        <f>'2. Salmon Passage by Bin'!K42*H42</f>
        <v>0</v>
      </c>
      <c r="T42" s="25" t="e">
        <f>K42*'2. Salmon Passage by Bin'!L42</f>
        <v>#N/A</v>
      </c>
      <c r="U42" s="25" t="e">
        <f>K42*'2. Salmon Passage by Bin'!M42</f>
        <v>#N/A</v>
      </c>
      <c r="V42" s="25" t="e">
        <f>J42*'2. Salmon Passage by Bin'!N42</f>
        <v>#N/A</v>
      </c>
      <c r="W42" s="25" t="e">
        <f>I42*'2. Salmon Passage by Bin'!O42</f>
        <v>#N/A</v>
      </c>
      <c r="X42" s="22" t="e">
        <f>E42*'2. Salmon Passage by Bin'!E42</f>
        <v>#N/A</v>
      </c>
      <c r="Y42" s="41">
        <f t="shared" si="0"/>
        <v>0</v>
      </c>
      <c r="Z42" s="42">
        <f>Y42/'[1]Passage Estimates'!$D42</f>
        <v>0</v>
      </c>
      <c r="AA42" s="43">
        <f>IFERROR(SUMIF(L42:R42, "&lt;&gt;#N/A")/SUMIF('2. Salmon Passage by Bin'!E42:J42, "&lt;&gt;#N/A"), NA())</f>
        <v>0</v>
      </c>
      <c r="AB42" s="42">
        <f>IFERROR(IF(ISNA(S42), NA(), S42/'2. Salmon Passage by Bin'!K42), NA())</f>
        <v>0</v>
      </c>
      <c r="AC42" s="44">
        <f>IFERROR(SUMIF(T42:W42, "&lt;&gt;#N/A")/SUMIF('2. Salmon Passage by Bin'!L42:N42, "&lt;&gt;#N/A"), NA())</f>
        <v>0</v>
      </c>
    </row>
    <row r="43" spans="1:29" x14ac:dyDescent="0.3">
      <c r="A43" s="5">
        <f>'1. Mixture Model Inputs'!A43</f>
        <v>45145</v>
      </c>
      <c r="B43" s="13" t="str">
        <f>IF(ISBLANK('[1]Passage Estimates'!$C43),"",IF('[1]Passage Estimates'!$C43="Imputation",'[1]Passage Estimates'!$B43,'[1]Passage Estimates'!$C43))</f>
        <v>A1+S1+M2+A2</v>
      </c>
      <c r="C43" s="17" t="e">
        <f>IFERROR('1. Mixture Model Inputs'!J43/'1. Mixture Model Inputs'!Z43,NA())</f>
        <v>#N/A</v>
      </c>
      <c r="D43" s="17" t="e">
        <f>IFERROR('1. Mixture Model Inputs'!K43/'1. Mixture Model Inputs'!AA43,NA())</f>
        <v>#N/A</v>
      </c>
      <c r="E43" s="17" t="e">
        <f>IFERROR('1. Mixture Model Inputs'!L43/'1. Mixture Model Inputs'!AB43,NA())</f>
        <v>#N/A</v>
      </c>
      <c r="F43" s="17" t="e">
        <f>IFERROR('1. Mixture Model Inputs'!M43/'1. Mixture Model Inputs'!AC43,NA())</f>
        <v>#N/A</v>
      </c>
      <c r="G43" s="17" t="e">
        <f>IFERROR('1. Mixture Model Inputs'!N43/'1. Mixture Model Inputs'!AD43,NA())</f>
        <v>#N/A</v>
      </c>
      <c r="H43" s="24">
        <f>WhonSpComp!AV58</f>
        <v>9.0909090909090912E-2</v>
      </c>
      <c r="I43" s="17" t="e">
        <f>IFERROR('1. Mixture Model Inputs'!O43/'1. Mixture Model Inputs'!AE43, NA())</f>
        <v>#N/A</v>
      </c>
      <c r="J43" s="17" t="e">
        <f>IFERROR('1. Mixture Model Inputs'!P43/'1. Mixture Model Inputs'!AF43, NA())</f>
        <v>#N/A</v>
      </c>
      <c r="K43" s="17" t="e">
        <f>IFERROR('1. Mixture Model Inputs'!Q43/'1. Mixture Model Inputs'!AG43, NA())</f>
        <v>#N/A</v>
      </c>
      <c r="L43" s="22" t="e">
        <f>C43*'2. Salmon Passage by Bin'!C43</f>
        <v>#N/A</v>
      </c>
      <c r="M43" s="22" t="e">
        <f>D43*'2. Salmon Passage by Bin'!D43</f>
        <v>#N/A</v>
      </c>
      <c r="N43" s="22" t="e">
        <f>F43*'2. Salmon Passage by Bin'!F43</f>
        <v>#N/A</v>
      </c>
      <c r="O43" s="22" t="e">
        <f>G43*'2. Salmon Passage by Bin'!G43</f>
        <v>#N/A</v>
      </c>
      <c r="P43" s="22" t="e">
        <f>$G43*'2. Salmon Passage by Bin'!H43</f>
        <v>#N/A</v>
      </c>
      <c r="Q43" s="22" t="e">
        <f>$G43*'2. Salmon Passage by Bin'!I43</f>
        <v>#N/A</v>
      </c>
      <c r="R43" s="22" t="e">
        <f>$G43*'2. Salmon Passage by Bin'!J43</f>
        <v>#N/A</v>
      </c>
      <c r="S43" s="25">
        <f>'2. Salmon Passage by Bin'!K43*H43</f>
        <v>1187.6945454545453</v>
      </c>
      <c r="T43" s="25" t="e">
        <f>K43*'2. Salmon Passage by Bin'!L43</f>
        <v>#N/A</v>
      </c>
      <c r="U43" s="25" t="e">
        <f>K43*'2. Salmon Passage by Bin'!M43</f>
        <v>#N/A</v>
      </c>
      <c r="V43" s="25" t="e">
        <f>J43*'2. Salmon Passage by Bin'!N43</f>
        <v>#N/A</v>
      </c>
      <c r="W43" s="25" t="e">
        <f>I43*'2. Salmon Passage by Bin'!O43</f>
        <v>#N/A</v>
      </c>
      <c r="X43" s="22" t="e">
        <f>E43*'2. Salmon Passage by Bin'!E43</f>
        <v>#N/A</v>
      </c>
      <c r="Y43" s="41">
        <f t="shared" si="0"/>
        <v>1187.6945454545453</v>
      </c>
      <c r="Z43" s="42">
        <f>Y43/'[1]Passage Estimates'!$D43</f>
        <v>3.7529878225762522E-2</v>
      </c>
      <c r="AA43" s="43">
        <f>IFERROR(SUMIF(L43:R43, "&lt;&gt;#N/A")/SUMIF('2. Salmon Passage by Bin'!E43:J43, "&lt;&gt;#N/A"), NA())</f>
        <v>0</v>
      </c>
      <c r="AB43" s="42">
        <f>IFERROR(IF(ISNA(S43), NA(), S43/'2. Salmon Passage by Bin'!K43), NA())</f>
        <v>9.0909090909090912E-2</v>
      </c>
      <c r="AC43" s="44">
        <f>IFERROR(SUMIF(T43:W43, "&lt;&gt;#N/A")/SUMIF('2. Salmon Passage by Bin'!L43:N43, "&lt;&gt;#N/A"), NA())</f>
        <v>0</v>
      </c>
    </row>
    <row r="44" spans="1:29" x14ac:dyDescent="0.3">
      <c r="A44" s="5">
        <f>'1. Mixture Model Inputs'!A44</f>
        <v>45146</v>
      </c>
      <c r="B44" s="13" t="str">
        <f>IF(ISBLANK('[1]Passage Estimates'!$C44),"",IF('[1]Passage Estimates'!$C44="Imputation",'[1]Passage Estimates'!$B44,'[1]Passage Estimates'!$C44))</f>
        <v>A1+S1+M2+A2</v>
      </c>
      <c r="C44" s="17" t="e">
        <f>IFERROR('1. Mixture Model Inputs'!J44/'1. Mixture Model Inputs'!Z44,NA())</f>
        <v>#N/A</v>
      </c>
      <c r="D44" s="17" t="e">
        <f>IFERROR('1. Mixture Model Inputs'!K44/'1. Mixture Model Inputs'!AA44,NA())</f>
        <v>#N/A</v>
      </c>
      <c r="E44" s="17" t="e">
        <f>IFERROR('1. Mixture Model Inputs'!L44/'1. Mixture Model Inputs'!AB44,NA())</f>
        <v>#N/A</v>
      </c>
      <c r="F44" s="17" t="e">
        <f>IFERROR('1. Mixture Model Inputs'!M44/'1. Mixture Model Inputs'!AC44,NA())</f>
        <v>#N/A</v>
      </c>
      <c r="G44" s="17" t="e">
        <f>IFERROR('1. Mixture Model Inputs'!N44/'1. Mixture Model Inputs'!AD44,NA())</f>
        <v>#N/A</v>
      </c>
      <c r="H44" s="24">
        <f>WhonSpComp!AV59</f>
        <v>0</v>
      </c>
      <c r="I44" s="17" t="e">
        <f>IFERROR('1. Mixture Model Inputs'!O44/'1. Mixture Model Inputs'!AE44, NA())</f>
        <v>#N/A</v>
      </c>
      <c r="J44" s="17" t="e">
        <f>IFERROR('1. Mixture Model Inputs'!P44/'1. Mixture Model Inputs'!AF44, NA())</f>
        <v>#N/A</v>
      </c>
      <c r="K44" s="17" t="e">
        <f>IFERROR('1. Mixture Model Inputs'!Q44/'1. Mixture Model Inputs'!AG44, NA())</f>
        <v>#N/A</v>
      </c>
      <c r="L44" s="22" t="e">
        <f>C44*'2. Salmon Passage by Bin'!C44</f>
        <v>#N/A</v>
      </c>
      <c r="M44" s="22" t="e">
        <f>D44*'2. Salmon Passage by Bin'!D44</f>
        <v>#N/A</v>
      </c>
      <c r="N44" s="22" t="e">
        <f>F44*'2. Salmon Passage by Bin'!F44</f>
        <v>#N/A</v>
      </c>
      <c r="O44" s="22" t="e">
        <f>G44*'2. Salmon Passage by Bin'!G44</f>
        <v>#N/A</v>
      </c>
      <c r="P44" s="22" t="e">
        <f>$G44*'2. Salmon Passage by Bin'!H44</f>
        <v>#N/A</v>
      </c>
      <c r="Q44" s="22" t="e">
        <f>$G44*'2. Salmon Passage by Bin'!I44</f>
        <v>#N/A</v>
      </c>
      <c r="R44" s="22" t="e">
        <f>$G44*'2. Salmon Passage by Bin'!J44</f>
        <v>#N/A</v>
      </c>
      <c r="S44" s="25">
        <f>'2. Salmon Passage by Bin'!K44*H44</f>
        <v>0</v>
      </c>
      <c r="T44" s="25" t="e">
        <f>K44*'2. Salmon Passage by Bin'!L44</f>
        <v>#N/A</v>
      </c>
      <c r="U44" s="25" t="e">
        <f>K44*'2. Salmon Passage by Bin'!M44</f>
        <v>#N/A</v>
      </c>
      <c r="V44" s="25" t="e">
        <f>J44*'2. Salmon Passage by Bin'!N44</f>
        <v>#N/A</v>
      </c>
      <c r="W44" s="25" t="e">
        <f>I44*'2. Salmon Passage by Bin'!O44</f>
        <v>#N/A</v>
      </c>
      <c r="X44" s="22" t="e">
        <f>E44*'2. Salmon Passage by Bin'!E44</f>
        <v>#N/A</v>
      </c>
      <c r="Y44" s="41">
        <f t="shared" si="0"/>
        <v>0</v>
      </c>
      <c r="Z44" s="42">
        <f>Y44/'[1]Passage Estimates'!$D44</f>
        <v>0</v>
      </c>
      <c r="AA44" s="43">
        <f>IFERROR(SUMIF(L44:R44, "&lt;&gt;#N/A")/SUMIF('2. Salmon Passage by Bin'!E44:J44, "&lt;&gt;#N/A"), NA())</f>
        <v>0</v>
      </c>
      <c r="AB44" s="42">
        <f>IFERROR(IF(ISNA(S44), NA(), S44/'2. Salmon Passage by Bin'!K44), NA())</f>
        <v>0</v>
      </c>
      <c r="AC44" s="44">
        <f>IFERROR(SUMIF(T44:W44, "&lt;&gt;#N/A")/SUMIF('2. Salmon Passage by Bin'!L44:N44, "&lt;&gt;#N/A"), NA())</f>
        <v>0</v>
      </c>
    </row>
    <row r="45" spans="1:29" x14ac:dyDescent="0.3">
      <c r="A45" s="5">
        <f>'1. Mixture Model Inputs'!A45</f>
        <v>45147</v>
      </c>
      <c r="B45" s="13" t="str">
        <f>IF(ISBLANK('[1]Passage Estimates'!$C45),"",IF('[1]Passage Estimates'!$C45="Imputation",'[1]Passage Estimates'!$B45,'[1]Passage Estimates'!$C45))</f>
        <v>A1+S1+M2+A2</v>
      </c>
      <c r="C45" s="17" t="e">
        <f>IFERROR('1. Mixture Model Inputs'!J45/'1. Mixture Model Inputs'!Z45,NA())</f>
        <v>#N/A</v>
      </c>
      <c r="D45" s="17" t="e">
        <f>IFERROR('1. Mixture Model Inputs'!K45/'1. Mixture Model Inputs'!AA45,NA())</f>
        <v>#N/A</v>
      </c>
      <c r="E45" s="17" t="e">
        <f>IFERROR('1. Mixture Model Inputs'!L45/'1. Mixture Model Inputs'!AB45,NA())</f>
        <v>#N/A</v>
      </c>
      <c r="F45" s="17" t="e">
        <f>IFERROR('1. Mixture Model Inputs'!M45/'1. Mixture Model Inputs'!AC45,NA())</f>
        <v>#N/A</v>
      </c>
      <c r="G45" s="17" t="e">
        <f>IFERROR('1. Mixture Model Inputs'!N45/'1. Mixture Model Inputs'!AD45,NA())</f>
        <v>#N/A</v>
      </c>
      <c r="H45" s="24">
        <f>WhonSpComp!AV60</f>
        <v>0</v>
      </c>
      <c r="I45" s="17" t="e">
        <f>IFERROR('1. Mixture Model Inputs'!O45/'1. Mixture Model Inputs'!AE45, NA())</f>
        <v>#N/A</v>
      </c>
      <c r="J45" s="17" t="e">
        <f>IFERROR('1. Mixture Model Inputs'!P45/'1. Mixture Model Inputs'!AF45, NA())</f>
        <v>#N/A</v>
      </c>
      <c r="K45" s="17" t="e">
        <f>IFERROR('1. Mixture Model Inputs'!Q45/'1. Mixture Model Inputs'!AG45, NA())</f>
        <v>#N/A</v>
      </c>
      <c r="L45" s="22" t="e">
        <f>C45*'2. Salmon Passage by Bin'!C45</f>
        <v>#N/A</v>
      </c>
      <c r="M45" s="22" t="e">
        <f>D45*'2. Salmon Passage by Bin'!D45</f>
        <v>#N/A</v>
      </c>
      <c r="N45" s="22" t="e">
        <f>F45*'2. Salmon Passage by Bin'!F45</f>
        <v>#N/A</v>
      </c>
      <c r="O45" s="22" t="e">
        <f>G45*'2. Salmon Passage by Bin'!G45</f>
        <v>#N/A</v>
      </c>
      <c r="P45" s="22" t="e">
        <f>$G45*'2. Salmon Passage by Bin'!H45</f>
        <v>#N/A</v>
      </c>
      <c r="Q45" s="22" t="e">
        <f>$G45*'2. Salmon Passage by Bin'!I45</f>
        <v>#N/A</v>
      </c>
      <c r="R45" s="22" t="e">
        <f>$G45*'2. Salmon Passage by Bin'!J45</f>
        <v>#N/A</v>
      </c>
      <c r="S45" s="25">
        <f>'2. Salmon Passage by Bin'!K45*H45</f>
        <v>0</v>
      </c>
      <c r="T45" s="25" t="e">
        <f>K45*'2. Salmon Passage by Bin'!L45</f>
        <v>#N/A</v>
      </c>
      <c r="U45" s="25" t="e">
        <f>K45*'2. Salmon Passage by Bin'!M45</f>
        <v>#N/A</v>
      </c>
      <c r="V45" s="25" t="e">
        <f>J45*'2. Salmon Passage by Bin'!N45</f>
        <v>#N/A</v>
      </c>
      <c r="W45" s="25" t="e">
        <f>I45*'2. Salmon Passage by Bin'!O45</f>
        <v>#N/A</v>
      </c>
      <c r="X45" s="22" t="e">
        <f>E45*'2. Salmon Passage by Bin'!E45</f>
        <v>#N/A</v>
      </c>
      <c r="Y45" s="41">
        <f t="shared" si="0"/>
        <v>0</v>
      </c>
      <c r="Z45" s="42">
        <f>Y45/'[1]Passage Estimates'!$D45</f>
        <v>0</v>
      </c>
      <c r="AA45" s="43">
        <f>IFERROR(SUMIF(L45:R45, "&lt;&gt;#N/A")/SUMIF('2. Salmon Passage by Bin'!E45:J45, "&lt;&gt;#N/A"), NA())</f>
        <v>0</v>
      </c>
      <c r="AB45" s="42">
        <f>IFERROR(IF(ISNA(S45), NA(), S45/'2. Salmon Passage by Bin'!K45), NA())</f>
        <v>0</v>
      </c>
      <c r="AC45" s="44">
        <f>IFERROR(SUMIF(T45:W45, "&lt;&gt;#N/A")/SUMIF('2. Salmon Passage by Bin'!L45:N45, "&lt;&gt;#N/A"), NA())</f>
        <v>0</v>
      </c>
    </row>
    <row r="46" spans="1:29" x14ac:dyDescent="0.3">
      <c r="A46" s="5">
        <f>'1. Mixture Model Inputs'!A46</f>
        <v>45148</v>
      </c>
      <c r="B46" s="13" t="str">
        <f>IF(ISBLANK('[1]Passage Estimates'!$C46),"",IF('[1]Passage Estimates'!$C46="Imputation",'[1]Passage Estimates'!$B46,'[1]Passage Estimates'!$C46))</f>
        <v>A1+S1+M2+A2</v>
      </c>
      <c r="C46" s="17" t="e">
        <f>IFERROR('1. Mixture Model Inputs'!J46/'1. Mixture Model Inputs'!Z46,NA())</f>
        <v>#N/A</v>
      </c>
      <c r="D46" s="17" t="e">
        <f>IFERROR('1. Mixture Model Inputs'!K46/'1. Mixture Model Inputs'!AA46,NA())</f>
        <v>#N/A</v>
      </c>
      <c r="E46" s="17" t="e">
        <f>IFERROR('1. Mixture Model Inputs'!L46/'1. Mixture Model Inputs'!AB46,NA())</f>
        <v>#N/A</v>
      </c>
      <c r="F46" s="17" t="e">
        <f>IFERROR('1. Mixture Model Inputs'!M46/'1. Mixture Model Inputs'!AC46,NA())</f>
        <v>#N/A</v>
      </c>
      <c r="G46" s="17" t="e">
        <f>IFERROR('1. Mixture Model Inputs'!N46/'1. Mixture Model Inputs'!AD46,NA())</f>
        <v>#N/A</v>
      </c>
      <c r="H46" s="24">
        <f>WhonSpComp!AV61</f>
        <v>0</v>
      </c>
      <c r="I46" s="17" t="e">
        <f>IFERROR('1. Mixture Model Inputs'!O46/'1. Mixture Model Inputs'!AE46, NA())</f>
        <v>#N/A</v>
      </c>
      <c r="J46" s="17" t="e">
        <f>IFERROR('1. Mixture Model Inputs'!P46/'1. Mixture Model Inputs'!AF46, NA())</f>
        <v>#N/A</v>
      </c>
      <c r="K46" s="17" t="e">
        <f>IFERROR('1. Mixture Model Inputs'!Q46/'1. Mixture Model Inputs'!AG46, NA())</f>
        <v>#N/A</v>
      </c>
      <c r="L46" s="22" t="e">
        <f>C46*'2. Salmon Passage by Bin'!C46</f>
        <v>#N/A</v>
      </c>
      <c r="M46" s="22" t="e">
        <f>D46*'2. Salmon Passage by Bin'!D46</f>
        <v>#N/A</v>
      </c>
      <c r="N46" s="22" t="e">
        <f>F46*'2. Salmon Passage by Bin'!F46</f>
        <v>#N/A</v>
      </c>
      <c r="O46" s="22" t="e">
        <f>G46*'2. Salmon Passage by Bin'!G46</f>
        <v>#N/A</v>
      </c>
      <c r="P46" s="22" t="e">
        <f>$G46*'2. Salmon Passage by Bin'!H46</f>
        <v>#N/A</v>
      </c>
      <c r="Q46" s="22" t="e">
        <f>$G46*'2. Salmon Passage by Bin'!I46</f>
        <v>#N/A</v>
      </c>
      <c r="R46" s="22" t="e">
        <f>$G46*'2. Salmon Passage by Bin'!J46</f>
        <v>#N/A</v>
      </c>
      <c r="S46" s="25">
        <f>'2. Salmon Passage by Bin'!K46*H46</f>
        <v>0</v>
      </c>
      <c r="T46" s="25" t="e">
        <f>K46*'2. Salmon Passage by Bin'!L46</f>
        <v>#N/A</v>
      </c>
      <c r="U46" s="25" t="e">
        <f>K46*'2. Salmon Passage by Bin'!M46</f>
        <v>#N/A</v>
      </c>
      <c r="V46" s="25" t="e">
        <f>J46*'2. Salmon Passage by Bin'!N46</f>
        <v>#N/A</v>
      </c>
      <c r="W46" s="25" t="e">
        <f>I46*'2. Salmon Passage by Bin'!O46</f>
        <v>#N/A</v>
      </c>
      <c r="X46" s="22" t="e">
        <f>E46*'2. Salmon Passage by Bin'!E46</f>
        <v>#N/A</v>
      </c>
      <c r="Y46" s="41">
        <f t="shared" si="0"/>
        <v>0</v>
      </c>
      <c r="Z46" s="42">
        <f>Y46/'[1]Passage Estimates'!$D46</f>
        <v>0</v>
      </c>
      <c r="AA46" s="43">
        <f>IFERROR(SUMIF(L46:R46, "&lt;&gt;#N/A")/SUMIF('2. Salmon Passage by Bin'!E46:J46, "&lt;&gt;#N/A"), NA())</f>
        <v>0</v>
      </c>
      <c r="AB46" s="42">
        <f>IFERROR(IF(ISNA(S46), NA(), S46/'2. Salmon Passage by Bin'!K46), NA())</f>
        <v>0</v>
      </c>
      <c r="AC46" s="44">
        <f>IFERROR(SUMIF(T46:W46, "&lt;&gt;#N/A")/SUMIF('2. Salmon Passage by Bin'!L46:N46, "&lt;&gt;#N/A"), NA())</f>
        <v>0</v>
      </c>
    </row>
    <row r="47" spans="1:29" x14ac:dyDescent="0.3">
      <c r="A47" s="5">
        <f>'1. Mixture Model Inputs'!A47</f>
        <v>45149</v>
      </c>
      <c r="B47" s="13" t="str">
        <f>IF(ISBLANK('[1]Passage Estimates'!$C47),"",IF('[1]Passage Estimates'!$C47="Imputation",'[1]Passage Estimates'!$B47,'[1]Passage Estimates'!$C47))</f>
        <v>A1+S1+M2+A2</v>
      </c>
      <c r="C47" s="17" t="e">
        <f>IFERROR('1. Mixture Model Inputs'!J47/'1. Mixture Model Inputs'!Z47,NA())</f>
        <v>#N/A</v>
      </c>
      <c r="D47" s="17" t="e">
        <f>IFERROR('1. Mixture Model Inputs'!K47/'1. Mixture Model Inputs'!AA47,NA())</f>
        <v>#N/A</v>
      </c>
      <c r="E47" s="17" t="e">
        <f>IFERROR('1. Mixture Model Inputs'!L47/'1. Mixture Model Inputs'!AB47,NA())</f>
        <v>#N/A</v>
      </c>
      <c r="F47" s="17" t="e">
        <f>IFERROR('1. Mixture Model Inputs'!M47/'1. Mixture Model Inputs'!AC47,NA())</f>
        <v>#N/A</v>
      </c>
      <c r="G47" s="17" t="e">
        <f>IFERROR('1. Mixture Model Inputs'!N47/'1. Mixture Model Inputs'!AD47,NA())</f>
        <v>#N/A</v>
      </c>
      <c r="H47" s="24">
        <f>WhonSpComp!AV62</f>
        <v>0</v>
      </c>
      <c r="I47" s="17" t="e">
        <f>IFERROR('1. Mixture Model Inputs'!O47/'1. Mixture Model Inputs'!AE47, NA())</f>
        <v>#N/A</v>
      </c>
      <c r="J47" s="17" t="e">
        <f>IFERROR('1. Mixture Model Inputs'!P47/'1. Mixture Model Inputs'!AF47, NA())</f>
        <v>#N/A</v>
      </c>
      <c r="K47" s="17" t="e">
        <f>IFERROR('1. Mixture Model Inputs'!Q47/'1. Mixture Model Inputs'!AG47, NA())</f>
        <v>#N/A</v>
      </c>
      <c r="L47" s="22" t="e">
        <f>C47*'2. Salmon Passage by Bin'!C47</f>
        <v>#N/A</v>
      </c>
      <c r="M47" s="22" t="e">
        <f>D47*'2. Salmon Passage by Bin'!D47</f>
        <v>#N/A</v>
      </c>
      <c r="N47" s="22" t="e">
        <f>F47*'2. Salmon Passage by Bin'!F47</f>
        <v>#N/A</v>
      </c>
      <c r="O47" s="22" t="e">
        <f>G47*'2. Salmon Passage by Bin'!G47</f>
        <v>#N/A</v>
      </c>
      <c r="P47" s="22" t="e">
        <f>$G47*'2. Salmon Passage by Bin'!H47</f>
        <v>#N/A</v>
      </c>
      <c r="Q47" s="22" t="e">
        <f>$G47*'2. Salmon Passage by Bin'!I47</f>
        <v>#N/A</v>
      </c>
      <c r="R47" s="22" t="e">
        <f>$G47*'2. Salmon Passage by Bin'!J47</f>
        <v>#N/A</v>
      </c>
      <c r="S47" s="25">
        <f>'2. Salmon Passage by Bin'!K47*H47</f>
        <v>0</v>
      </c>
      <c r="T47" s="25" t="e">
        <f>K47*'2. Salmon Passage by Bin'!L47</f>
        <v>#N/A</v>
      </c>
      <c r="U47" s="25" t="e">
        <f>K47*'2. Salmon Passage by Bin'!M47</f>
        <v>#N/A</v>
      </c>
      <c r="V47" s="25" t="e">
        <f>J47*'2. Salmon Passage by Bin'!N47</f>
        <v>#N/A</v>
      </c>
      <c r="W47" s="25" t="e">
        <f>I47*'2. Salmon Passage by Bin'!O47</f>
        <v>#N/A</v>
      </c>
      <c r="X47" s="22" t="e">
        <f>E47*'2. Salmon Passage by Bin'!E47</f>
        <v>#N/A</v>
      </c>
      <c r="Y47" s="41">
        <f t="shared" si="0"/>
        <v>0</v>
      </c>
      <c r="Z47" s="42">
        <f>Y47/'[1]Passage Estimates'!$D47</f>
        <v>0</v>
      </c>
      <c r="AA47" s="43">
        <f>IFERROR(SUMIF(L47:R47, "&lt;&gt;#N/A")/SUMIF('2. Salmon Passage by Bin'!E47:J47, "&lt;&gt;#N/A"), NA())</f>
        <v>0</v>
      </c>
      <c r="AB47" s="42">
        <f>IFERROR(IF(ISNA(S47), NA(), S47/'2. Salmon Passage by Bin'!K47), NA())</f>
        <v>0</v>
      </c>
      <c r="AC47" s="44">
        <f>IFERROR(SUMIF(T47:W47, "&lt;&gt;#N/A")/SUMIF('2. Salmon Passage by Bin'!L47:N47, "&lt;&gt;#N/A"), NA())</f>
        <v>0</v>
      </c>
    </row>
    <row r="48" spans="1:29" x14ac:dyDescent="0.3">
      <c r="A48" s="5">
        <f>'1. Mixture Model Inputs'!A48</f>
        <v>45150</v>
      </c>
      <c r="B48" s="13" t="str">
        <f>IF(ISBLANK('[1]Passage Estimates'!$C48),"",IF('[1]Passage Estimates'!$C48="Imputation",'[1]Passage Estimates'!$B48,'[1]Passage Estimates'!$C48))</f>
        <v>A1+S1+M2+A2</v>
      </c>
      <c r="C48" s="17" t="e">
        <f>IFERROR('1. Mixture Model Inputs'!J48/'1. Mixture Model Inputs'!Z48,NA())</f>
        <v>#N/A</v>
      </c>
      <c r="D48" s="17" t="e">
        <f>IFERROR('1. Mixture Model Inputs'!K48/'1. Mixture Model Inputs'!AA48,NA())</f>
        <v>#N/A</v>
      </c>
      <c r="E48" s="17" t="e">
        <f>IFERROR('1. Mixture Model Inputs'!L48/'1. Mixture Model Inputs'!AB48,NA())</f>
        <v>#N/A</v>
      </c>
      <c r="F48" s="17" t="e">
        <f>IFERROR('1. Mixture Model Inputs'!M48/'1. Mixture Model Inputs'!AC48,NA())</f>
        <v>#N/A</v>
      </c>
      <c r="G48" s="17" t="e">
        <f>IFERROR('1. Mixture Model Inputs'!N48/'1. Mixture Model Inputs'!AD48,NA())</f>
        <v>#N/A</v>
      </c>
      <c r="H48" s="24">
        <f>WhonSpComp!AV63</f>
        <v>0</v>
      </c>
      <c r="I48" s="17" t="e">
        <f>IFERROR('1. Mixture Model Inputs'!O48/'1. Mixture Model Inputs'!AE48, NA())</f>
        <v>#N/A</v>
      </c>
      <c r="J48" s="17" t="e">
        <f>IFERROR('1. Mixture Model Inputs'!P48/'1. Mixture Model Inputs'!AF48, NA())</f>
        <v>#N/A</v>
      </c>
      <c r="K48" s="17" t="e">
        <f>IFERROR('1. Mixture Model Inputs'!Q48/'1. Mixture Model Inputs'!AG48, NA())</f>
        <v>#N/A</v>
      </c>
      <c r="L48" s="22" t="e">
        <f>C48*'2. Salmon Passage by Bin'!C48</f>
        <v>#N/A</v>
      </c>
      <c r="M48" s="22" t="e">
        <f>D48*'2. Salmon Passage by Bin'!D48</f>
        <v>#N/A</v>
      </c>
      <c r="N48" s="22" t="e">
        <f>F48*'2. Salmon Passage by Bin'!F48</f>
        <v>#N/A</v>
      </c>
      <c r="O48" s="22" t="e">
        <f>G48*'2. Salmon Passage by Bin'!G48</f>
        <v>#N/A</v>
      </c>
      <c r="P48" s="22" t="e">
        <f>$G48*'2. Salmon Passage by Bin'!H48</f>
        <v>#N/A</v>
      </c>
      <c r="Q48" s="22" t="e">
        <f>$G48*'2. Salmon Passage by Bin'!I48</f>
        <v>#N/A</v>
      </c>
      <c r="R48" s="22" t="e">
        <f>$G48*'2. Salmon Passage by Bin'!J48</f>
        <v>#N/A</v>
      </c>
      <c r="S48" s="25">
        <f>'2. Salmon Passage by Bin'!K48*H48</f>
        <v>0</v>
      </c>
      <c r="T48" s="25" t="e">
        <f>K48*'2. Salmon Passage by Bin'!L48</f>
        <v>#N/A</v>
      </c>
      <c r="U48" s="25" t="e">
        <f>K48*'2. Salmon Passage by Bin'!M48</f>
        <v>#N/A</v>
      </c>
      <c r="V48" s="25" t="e">
        <f>J48*'2. Salmon Passage by Bin'!N48</f>
        <v>#N/A</v>
      </c>
      <c r="W48" s="25" t="e">
        <f>I48*'2. Salmon Passage by Bin'!O48</f>
        <v>#N/A</v>
      </c>
      <c r="X48" s="22" t="e">
        <f>E48*'2. Salmon Passage by Bin'!E48</f>
        <v>#N/A</v>
      </c>
      <c r="Y48" s="41">
        <f t="shared" si="0"/>
        <v>0</v>
      </c>
      <c r="Z48" s="42">
        <f>Y48/'[1]Passage Estimates'!$D48</f>
        <v>0</v>
      </c>
      <c r="AA48" s="43">
        <f>IFERROR(SUMIF(L48:R48, "&lt;&gt;#N/A")/SUMIF('2. Salmon Passage by Bin'!E48:J48, "&lt;&gt;#N/A"), NA())</f>
        <v>0</v>
      </c>
      <c r="AB48" s="42">
        <f>IFERROR(IF(ISNA(S48), NA(), S48/'2. Salmon Passage by Bin'!K48), NA())</f>
        <v>0</v>
      </c>
      <c r="AC48" s="44">
        <f>IFERROR(SUMIF(T48:W48, "&lt;&gt;#N/A")/SUMIF('2. Salmon Passage by Bin'!L48:N48, "&lt;&gt;#N/A"), NA())</f>
        <v>0</v>
      </c>
    </row>
    <row r="49" spans="1:29" x14ac:dyDescent="0.3">
      <c r="A49" s="5">
        <f>'1. Mixture Model Inputs'!A49</f>
        <v>45151</v>
      </c>
      <c r="B49" s="13" t="str">
        <f>IF(ISBLANK('[1]Passage Estimates'!$C49),"",IF('[1]Passage Estimates'!$C49="Imputation",'[1]Passage Estimates'!$B49,'[1]Passage Estimates'!$C49))</f>
        <v>A1+S1+M2+A2</v>
      </c>
      <c r="C49" s="17" t="e">
        <f>IFERROR('1. Mixture Model Inputs'!J49/'1. Mixture Model Inputs'!Z49,NA())</f>
        <v>#N/A</v>
      </c>
      <c r="D49" s="17" t="e">
        <f>IFERROR('1. Mixture Model Inputs'!K49/'1. Mixture Model Inputs'!AA49,NA())</f>
        <v>#N/A</v>
      </c>
      <c r="E49" s="17" t="e">
        <f>IFERROR('1. Mixture Model Inputs'!L49/'1. Mixture Model Inputs'!AB49,NA())</f>
        <v>#N/A</v>
      </c>
      <c r="F49" s="17" t="e">
        <f>IFERROR('1. Mixture Model Inputs'!M49/'1. Mixture Model Inputs'!AC49,NA())</f>
        <v>#N/A</v>
      </c>
      <c r="G49" s="17" t="e">
        <f>IFERROR('1. Mixture Model Inputs'!N49/'1. Mixture Model Inputs'!AD49,NA())</f>
        <v>#N/A</v>
      </c>
      <c r="H49" s="24">
        <f>WhonSpComp!AV64</f>
        <v>0</v>
      </c>
      <c r="I49" s="17" t="e">
        <f>IFERROR('1. Mixture Model Inputs'!O49/'1. Mixture Model Inputs'!AE49, NA())</f>
        <v>#N/A</v>
      </c>
      <c r="J49" s="17" t="e">
        <f>IFERROR('1. Mixture Model Inputs'!P49/'1. Mixture Model Inputs'!AF49, NA())</f>
        <v>#N/A</v>
      </c>
      <c r="K49" s="17" t="e">
        <f>IFERROR('1. Mixture Model Inputs'!Q49/'1. Mixture Model Inputs'!AG49, NA())</f>
        <v>#N/A</v>
      </c>
      <c r="L49" s="22" t="e">
        <f>C49*'2. Salmon Passage by Bin'!C49</f>
        <v>#N/A</v>
      </c>
      <c r="M49" s="22" t="e">
        <f>D49*'2. Salmon Passage by Bin'!D49</f>
        <v>#N/A</v>
      </c>
      <c r="N49" s="22" t="e">
        <f>F49*'2. Salmon Passage by Bin'!F49</f>
        <v>#N/A</v>
      </c>
      <c r="O49" s="22" t="e">
        <f>G49*'2. Salmon Passage by Bin'!G49</f>
        <v>#N/A</v>
      </c>
      <c r="P49" s="22" t="e">
        <f>$G49*'2. Salmon Passage by Bin'!H49</f>
        <v>#N/A</v>
      </c>
      <c r="Q49" s="22" t="e">
        <f>$G49*'2. Salmon Passage by Bin'!I49</f>
        <v>#N/A</v>
      </c>
      <c r="R49" s="22" t="e">
        <f>$G49*'2. Salmon Passage by Bin'!J49</f>
        <v>#N/A</v>
      </c>
      <c r="S49" s="25">
        <f>'2. Salmon Passage by Bin'!K49*H49</f>
        <v>0</v>
      </c>
      <c r="T49" s="25" t="e">
        <f>K49*'2. Salmon Passage by Bin'!L49</f>
        <v>#N/A</v>
      </c>
      <c r="U49" s="25" t="e">
        <f>K49*'2. Salmon Passage by Bin'!M49</f>
        <v>#N/A</v>
      </c>
      <c r="V49" s="25" t="e">
        <f>J49*'2. Salmon Passage by Bin'!N49</f>
        <v>#N/A</v>
      </c>
      <c r="W49" s="25" t="e">
        <f>I49*'2. Salmon Passage by Bin'!O49</f>
        <v>#N/A</v>
      </c>
      <c r="X49" s="22" t="e">
        <f>E49*'2. Salmon Passage by Bin'!E49</f>
        <v>#N/A</v>
      </c>
      <c r="Y49" s="41">
        <f t="shared" si="0"/>
        <v>0</v>
      </c>
      <c r="Z49" s="42">
        <f>Y49/'[1]Passage Estimates'!$D49</f>
        <v>0</v>
      </c>
      <c r="AA49" s="43">
        <f>IFERROR(SUMIF(L49:R49, "&lt;&gt;#N/A")/SUMIF('2. Salmon Passage by Bin'!E49:J49, "&lt;&gt;#N/A"), NA())</f>
        <v>0</v>
      </c>
      <c r="AB49" s="42">
        <f>IFERROR(IF(ISNA(S49), NA(), S49/'2. Salmon Passage by Bin'!K49), NA())</f>
        <v>0</v>
      </c>
      <c r="AC49" s="44">
        <f>IFERROR(SUMIF(T49:W49, "&lt;&gt;#N/A")/SUMIF('2. Salmon Passage by Bin'!L49:N49, "&lt;&gt;#N/A"), NA())</f>
        <v>0</v>
      </c>
    </row>
    <row r="50" spans="1:29" x14ac:dyDescent="0.3">
      <c r="A50" s="5">
        <f>'1. Mixture Model Inputs'!A50</f>
        <v>45152</v>
      </c>
      <c r="B50" s="13" t="str">
        <f>IF(ISBLANK('[1]Passage Estimates'!$C50),"",IF('[1]Passage Estimates'!$C50="Imputation",'[1]Passage Estimates'!$B50,'[1]Passage Estimates'!$C50))</f>
        <v>A1+S1+M2+A2</v>
      </c>
      <c r="C50" s="17" t="e">
        <f>IFERROR('1. Mixture Model Inputs'!J50/'1. Mixture Model Inputs'!Z50,NA())</f>
        <v>#N/A</v>
      </c>
      <c r="D50" s="17" t="e">
        <f>IFERROR('1. Mixture Model Inputs'!K50/'1. Mixture Model Inputs'!AA50,NA())</f>
        <v>#N/A</v>
      </c>
      <c r="E50" s="17" t="e">
        <f>IFERROR('1. Mixture Model Inputs'!L50/'1. Mixture Model Inputs'!AB50,NA())</f>
        <v>#N/A</v>
      </c>
      <c r="F50" s="17" t="e">
        <f>IFERROR('1. Mixture Model Inputs'!M50/'1. Mixture Model Inputs'!AC50,NA())</f>
        <v>#N/A</v>
      </c>
      <c r="G50" s="17" t="e">
        <f>IFERROR('1. Mixture Model Inputs'!N50/'1. Mixture Model Inputs'!AD50,NA())</f>
        <v>#N/A</v>
      </c>
      <c r="H50" s="24">
        <f>WhonSpComp!AV65</f>
        <v>0</v>
      </c>
      <c r="I50" s="17" t="e">
        <f>IFERROR('1. Mixture Model Inputs'!O50/'1. Mixture Model Inputs'!AE50, NA())</f>
        <v>#N/A</v>
      </c>
      <c r="J50" s="17" t="e">
        <f>IFERROR('1. Mixture Model Inputs'!P50/'1. Mixture Model Inputs'!AF50, NA())</f>
        <v>#N/A</v>
      </c>
      <c r="K50" s="17" t="e">
        <f>IFERROR('1. Mixture Model Inputs'!Q50/'1. Mixture Model Inputs'!AG50, NA())</f>
        <v>#N/A</v>
      </c>
      <c r="L50" s="22" t="e">
        <f>C50*'2. Salmon Passage by Bin'!C50</f>
        <v>#N/A</v>
      </c>
      <c r="M50" s="22" t="e">
        <f>D50*'2. Salmon Passage by Bin'!D50</f>
        <v>#N/A</v>
      </c>
      <c r="N50" s="22" t="e">
        <f>F50*'2. Salmon Passage by Bin'!F50</f>
        <v>#N/A</v>
      </c>
      <c r="O50" s="22" t="e">
        <f>G50*'2. Salmon Passage by Bin'!G50</f>
        <v>#N/A</v>
      </c>
      <c r="P50" s="22" t="e">
        <f>$G50*'2. Salmon Passage by Bin'!H50</f>
        <v>#N/A</v>
      </c>
      <c r="Q50" s="22" t="e">
        <f>$G50*'2. Salmon Passage by Bin'!I50</f>
        <v>#N/A</v>
      </c>
      <c r="R50" s="22" t="e">
        <f>$G50*'2. Salmon Passage by Bin'!J50</f>
        <v>#N/A</v>
      </c>
      <c r="S50" s="25">
        <f>'2. Salmon Passage by Bin'!K50*H50</f>
        <v>0</v>
      </c>
      <c r="T50" s="25" t="e">
        <f>K50*'2. Salmon Passage by Bin'!L50</f>
        <v>#N/A</v>
      </c>
      <c r="U50" s="25" t="e">
        <f>K50*'2. Salmon Passage by Bin'!M50</f>
        <v>#N/A</v>
      </c>
      <c r="V50" s="25" t="e">
        <f>J50*'2. Salmon Passage by Bin'!N50</f>
        <v>#N/A</v>
      </c>
      <c r="W50" s="25" t="e">
        <f>I50*'2. Salmon Passage by Bin'!O50</f>
        <v>#N/A</v>
      </c>
      <c r="X50" s="22" t="e">
        <f>E50*'2. Salmon Passage by Bin'!E50</f>
        <v>#N/A</v>
      </c>
      <c r="Y50" s="41">
        <f t="shared" si="0"/>
        <v>0</v>
      </c>
      <c r="Z50" s="42">
        <f>Y50/'[1]Passage Estimates'!$D50</f>
        <v>0</v>
      </c>
      <c r="AA50" s="43">
        <f>IFERROR(SUMIF(L50:R50, "&lt;&gt;#N/A")/SUMIF('2. Salmon Passage by Bin'!E50:J50, "&lt;&gt;#N/A"), NA())</f>
        <v>0</v>
      </c>
      <c r="AB50" s="42">
        <f>IFERROR(IF(ISNA(S50), NA(), S50/'2. Salmon Passage by Bin'!K50), NA())</f>
        <v>0</v>
      </c>
      <c r="AC50" s="44">
        <f>IFERROR(SUMIF(T50:W50, "&lt;&gt;#N/A")/SUMIF('2. Salmon Passage by Bin'!L50:N50, "&lt;&gt;#N/A"), NA())</f>
        <v>0</v>
      </c>
    </row>
    <row r="51" spans="1:29" x14ac:dyDescent="0.3">
      <c r="A51" s="5">
        <f>'1. Mixture Model Inputs'!A51</f>
        <v>45153</v>
      </c>
      <c r="B51" s="13" t="str">
        <f>IF(ISBLANK('[1]Passage Estimates'!$C51),"",IF('[1]Passage Estimates'!$C51="Imputation",'[1]Passage Estimates'!$B51,'[1]Passage Estimates'!$C51))</f>
        <v>A1+S1+M2+A2</v>
      </c>
      <c r="C51" s="17" t="e">
        <f>IFERROR('1. Mixture Model Inputs'!J51/'1. Mixture Model Inputs'!Z51,NA())</f>
        <v>#N/A</v>
      </c>
      <c r="D51" s="17" t="e">
        <f>IFERROR('1. Mixture Model Inputs'!K51/'1. Mixture Model Inputs'!AA51,NA())</f>
        <v>#N/A</v>
      </c>
      <c r="E51" s="17" t="e">
        <f>IFERROR('1. Mixture Model Inputs'!L51/'1. Mixture Model Inputs'!AB51,NA())</f>
        <v>#N/A</v>
      </c>
      <c r="F51" s="17" t="e">
        <f>IFERROR('1. Mixture Model Inputs'!M51/'1. Mixture Model Inputs'!AC51,NA())</f>
        <v>#N/A</v>
      </c>
      <c r="G51" s="17" t="e">
        <f>IFERROR('1. Mixture Model Inputs'!N51/'1. Mixture Model Inputs'!AD51,NA())</f>
        <v>#N/A</v>
      </c>
      <c r="H51" s="24">
        <f>WhonSpComp!AV66</f>
        <v>1.6949152542372881E-2</v>
      </c>
      <c r="I51" s="17" t="e">
        <f>IFERROR('1. Mixture Model Inputs'!O51/'1. Mixture Model Inputs'!AE51, NA())</f>
        <v>#N/A</v>
      </c>
      <c r="J51" s="17" t="e">
        <f>IFERROR('1. Mixture Model Inputs'!P51/'1. Mixture Model Inputs'!AF51, NA())</f>
        <v>#N/A</v>
      </c>
      <c r="K51" s="17" t="e">
        <f>IFERROR('1. Mixture Model Inputs'!Q51/'1. Mixture Model Inputs'!AG51, NA())</f>
        <v>#N/A</v>
      </c>
      <c r="L51" s="22" t="e">
        <f>C51*'2. Salmon Passage by Bin'!C51</f>
        <v>#N/A</v>
      </c>
      <c r="M51" s="22" t="e">
        <f>D51*'2. Salmon Passage by Bin'!D51</f>
        <v>#N/A</v>
      </c>
      <c r="N51" s="22" t="e">
        <f>F51*'2. Salmon Passage by Bin'!F51</f>
        <v>#N/A</v>
      </c>
      <c r="O51" s="22" t="e">
        <f>G51*'2. Salmon Passage by Bin'!G51</f>
        <v>#N/A</v>
      </c>
      <c r="P51" s="22" t="e">
        <f>$G51*'2. Salmon Passage by Bin'!H51</f>
        <v>#N/A</v>
      </c>
      <c r="Q51" s="22" t="e">
        <f>$G51*'2. Salmon Passage by Bin'!I51</f>
        <v>#N/A</v>
      </c>
      <c r="R51" s="22" t="e">
        <f>$G51*'2. Salmon Passage by Bin'!J51</f>
        <v>#N/A</v>
      </c>
      <c r="S51" s="25">
        <f>'2. Salmon Passage by Bin'!K51*H51</f>
        <v>213.09559322033886</v>
      </c>
      <c r="T51" s="25" t="e">
        <f>K51*'2. Salmon Passage by Bin'!L51</f>
        <v>#N/A</v>
      </c>
      <c r="U51" s="25" t="e">
        <f>K51*'2. Salmon Passage by Bin'!M51</f>
        <v>#N/A</v>
      </c>
      <c r="V51" s="25" t="e">
        <f>J51*'2. Salmon Passage by Bin'!N51</f>
        <v>#N/A</v>
      </c>
      <c r="W51" s="25" t="e">
        <f>I51*'2. Salmon Passage by Bin'!O51</f>
        <v>#N/A</v>
      </c>
      <c r="X51" s="22" t="e">
        <f>E51*'2. Salmon Passage by Bin'!E51</f>
        <v>#N/A</v>
      </c>
      <c r="Y51" s="41">
        <f t="shared" si="0"/>
        <v>213.09559322033886</v>
      </c>
      <c r="Z51" s="42">
        <f>Y51/'[1]Passage Estimates'!$D51</f>
        <v>5.4137499700303961E-3</v>
      </c>
      <c r="AA51" s="43">
        <f>IFERROR(SUMIF(L51:R51, "&lt;&gt;#N/A")/SUMIF('2. Salmon Passage by Bin'!E51:J51, "&lt;&gt;#N/A"), NA())</f>
        <v>0</v>
      </c>
      <c r="AB51" s="42">
        <f>IFERROR(IF(ISNA(S51), NA(), S51/'2. Salmon Passage by Bin'!K51), NA())</f>
        <v>1.6949152542372881E-2</v>
      </c>
      <c r="AC51" s="44">
        <f>IFERROR(SUMIF(T51:W51, "&lt;&gt;#N/A")/SUMIF('2. Salmon Passage by Bin'!L51:N51, "&lt;&gt;#N/A"), NA())</f>
        <v>0</v>
      </c>
    </row>
    <row r="52" spans="1:29" x14ac:dyDescent="0.3">
      <c r="A52" s="5">
        <f>'1. Mixture Model Inputs'!A52</f>
        <v>45154</v>
      </c>
      <c r="B52" s="13" t="str">
        <f>IF(ISBLANK('[1]Passage Estimates'!$C52),"",IF('[1]Passage Estimates'!$C52="Imputation",'[1]Passage Estimates'!$B52,'[1]Passage Estimates'!$C52))</f>
        <v>A1+S1+M2+A2</v>
      </c>
      <c r="C52" s="17" t="e">
        <f>IFERROR('1. Mixture Model Inputs'!J52/'1. Mixture Model Inputs'!Z52,NA())</f>
        <v>#N/A</v>
      </c>
      <c r="D52" s="17" t="e">
        <f>IFERROR('1. Mixture Model Inputs'!K52/'1. Mixture Model Inputs'!AA52,NA())</f>
        <v>#N/A</v>
      </c>
      <c r="E52" s="17" t="e">
        <f>IFERROR('1. Mixture Model Inputs'!L52/'1. Mixture Model Inputs'!AB52,NA())</f>
        <v>#N/A</v>
      </c>
      <c r="F52" s="17" t="e">
        <f>IFERROR('1. Mixture Model Inputs'!M52/'1. Mixture Model Inputs'!AC52,NA())</f>
        <v>#N/A</v>
      </c>
      <c r="G52" s="17" t="e">
        <f>IFERROR('1. Mixture Model Inputs'!N52/'1. Mixture Model Inputs'!AD52,NA())</f>
        <v>#N/A</v>
      </c>
      <c r="H52" s="24">
        <f>WhonSpComp!AV67</f>
        <v>1.0752688172043012E-2</v>
      </c>
      <c r="I52" s="17" t="e">
        <f>IFERROR('1. Mixture Model Inputs'!O52/'1. Mixture Model Inputs'!AE52, NA())</f>
        <v>#N/A</v>
      </c>
      <c r="J52" s="17" t="e">
        <f>IFERROR('1. Mixture Model Inputs'!P52/'1. Mixture Model Inputs'!AF52, NA())</f>
        <v>#N/A</v>
      </c>
      <c r="K52" s="17" t="e">
        <f>IFERROR('1. Mixture Model Inputs'!Q52/'1. Mixture Model Inputs'!AG52, NA())</f>
        <v>#N/A</v>
      </c>
      <c r="L52" s="22" t="e">
        <f>C52*'2. Salmon Passage by Bin'!C52</f>
        <v>#N/A</v>
      </c>
      <c r="M52" s="22" t="e">
        <f>D52*'2. Salmon Passage by Bin'!D52</f>
        <v>#N/A</v>
      </c>
      <c r="N52" s="22" t="e">
        <f>F52*'2. Salmon Passage by Bin'!F52</f>
        <v>#N/A</v>
      </c>
      <c r="O52" s="22" t="e">
        <f>G52*'2. Salmon Passage by Bin'!G52</f>
        <v>#N/A</v>
      </c>
      <c r="P52" s="22" t="e">
        <f>$G52*'2. Salmon Passage by Bin'!H52</f>
        <v>#N/A</v>
      </c>
      <c r="Q52" s="22" t="e">
        <f>$G52*'2. Salmon Passage by Bin'!I52</f>
        <v>#N/A</v>
      </c>
      <c r="R52" s="22" t="e">
        <f>$G52*'2. Salmon Passage by Bin'!J52</f>
        <v>#N/A</v>
      </c>
      <c r="S52" s="25">
        <f>'2. Salmon Passage by Bin'!K52*H52</f>
        <v>142.71225806451596</v>
      </c>
      <c r="T52" s="25" t="e">
        <f>K52*'2. Salmon Passage by Bin'!L52</f>
        <v>#N/A</v>
      </c>
      <c r="U52" s="25" t="e">
        <f>K52*'2. Salmon Passage by Bin'!M52</f>
        <v>#N/A</v>
      </c>
      <c r="V52" s="25" t="e">
        <f>J52*'2. Salmon Passage by Bin'!N52</f>
        <v>#N/A</v>
      </c>
      <c r="W52" s="25" t="e">
        <f>I52*'2. Salmon Passage by Bin'!O52</f>
        <v>#N/A</v>
      </c>
      <c r="X52" s="22" t="e">
        <f>E52*'2. Salmon Passage by Bin'!E52</f>
        <v>#N/A</v>
      </c>
      <c r="Y52" s="41">
        <f t="shared" si="0"/>
        <v>142.71225806451596</v>
      </c>
      <c r="Z52" s="42">
        <f>Y52/'[1]Passage Estimates'!$D52</f>
        <v>3.0338645023808794E-3</v>
      </c>
      <c r="AA52" s="43">
        <f>IFERROR(SUMIF(L52:R52, "&lt;&gt;#N/A")/SUMIF('2. Salmon Passage by Bin'!E52:J52, "&lt;&gt;#N/A"), NA())</f>
        <v>0</v>
      </c>
      <c r="AB52" s="42">
        <f>IFERROR(IF(ISNA(S52), NA(), S52/'2. Salmon Passage by Bin'!K52), NA())</f>
        <v>1.0752688172043012E-2</v>
      </c>
      <c r="AC52" s="44">
        <f>IFERROR(SUMIF(T52:W52, "&lt;&gt;#N/A")/SUMIF('2. Salmon Passage by Bin'!L52:N52, "&lt;&gt;#N/A"), NA())</f>
        <v>0</v>
      </c>
    </row>
    <row r="53" spans="1:29" x14ac:dyDescent="0.3">
      <c r="A53" s="5">
        <f>'1. Mixture Model Inputs'!A53</f>
        <v>45155</v>
      </c>
      <c r="B53" s="13" t="str">
        <f>IF(ISBLANK('[1]Passage Estimates'!$C53),"",IF('[1]Passage Estimates'!$C53="Imputation",'[1]Passage Estimates'!$B53,'[1]Passage Estimates'!$C53))</f>
        <v>A1+S1+M2+A2</v>
      </c>
      <c r="C53" s="17" t="e">
        <f>IFERROR('1. Mixture Model Inputs'!J53/'1. Mixture Model Inputs'!Z53,NA())</f>
        <v>#N/A</v>
      </c>
      <c r="D53" s="17" t="e">
        <f>IFERROR('1. Mixture Model Inputs'!K53/'1. Mixture Model Inputs'!AA53,NA())</f>
        <v>#N/A</v>
      </c>
      <c r="E53" s="17" t="e">
        <f>IFERROR('1. Mixture Model Inputs'!L53/'1. Mixture Model Inputs'!AB53,NA())</f>
        <v>#N/A</v>
      </c>
      <c r="F53" s="17" t="e">
        <f>IFERROR('1. Mixture Model Inputs'!M53/'1. Mixture Model Inputs'!AC53,NA())</f>
        <v>#N/A</v>
      </c>
      <c r="G53" s="17" t="e">
        <f>IFERROR('1. Mixture Model Inputs'!N53/'1. Mixture Model Inputs'!AD53,NA())</f>
        <v>#N/A</v>
      </c>
      <c r="H53" s="24">
        <f>WhonSpComp!AV68</f>
        <v>1.7857142857142856E-2</v>
      </c>
      <c r="I53" s="17" t="e">
        <f>IFERROR('1. Mixture Model Inputs'!O53/'1. Mixture Model Inputs'!AE53, NA())</f>
        <v>#N/A</v>
      </c>
      <c r="J53" s="17" t="e">
        <f>IFERROR('1. Mixture Model Inputs'!P53/'1. Mixture Model Inputs'!AF53, NA())</f>
        <v>#N/A</v>
      </c>
      <c r="K53" s="17" t="e">
        <f>IFERROR('1. Mixture Model Inputs'!Q53/'1. Mixture Model Inputs'!AG53, NA())</f>
        <v>#N/A</v>
      </c>
      <c r="L53" s="22" t="e">
        <f>C53*'2. Salmon Passage by Bin'!#REF!</f>
        <v>#N/A</v>
      </c>
      <c r="M53" s="22" t="e">
        <f>D53*'2. Salmon Passage by Bin'!#REF!</f>
        <v>#N/A</v>
      </c>
      <c r="N53" s="22" t="e">
        <f>F53*'2. Salmon Passage by Bin'!F53</f>
        <v>#N/A</v>
      </c>
      <c r="O53" s="22" t="e">
        <f>G53*'2. Salmon Passage by Bin'!G53</f>
        <v>#N/A</v>
      </c>
      <c r="P53" s="22" t="e">
        <f>$G53*'2. Salmon Passage by Bin'!H53</f>
        <v>#N/A</v>
      </c>
      <c r="Q53" s="22" t="e">
        <f>$G53*'2. Salmon Passage by Bin'!I53</f>
        <v>#N/A</v>
      </c>
      <c r="R53" s="22" t="e">
        <f>$G53*'2. Salmon Passage by Bin'!J53</f>
        <v>#N/A</v>
      </c>
      <c r="S53" s="25">
        <f>'2. Salmon Passage by Bin'!K53*H53</f>
        <v>452.42571428571421</v>
      </c>
      <c r="T53" s="25" t="e">
        <f>K53*'2. Salmon Passage by Bin'!L53</f>
        <v>#N/A</v>
      </c>
      <c r="U53" s="25" t="e">
        <f>K53*'2. Salmon Passage by Bin'!M53</f>
        <v>#N/A</v>
      </c>
      <c r="V53" s="25" t="e">
        <f>J53*'2. Salmon Passage by Bin'!N53</f>
        <v>#N/A</v>
      </c>
      <c r="W53" s="25" t="e">
        <f>I53*'2. Salmon Passage by Bin'!O53</f>
        <v>#N/A</v>
      </c>
      <c r="X53" s="22" t="e">
        <f>E53*'2. Salmon Passage by Bin'!E53</f>
        <v>#N/A</v>
      </c>
      <c r="Y53" s="41">
        <f t="shared" si="0"/>
        <v>452.42571428571421</v>
      </c>
      <c r="Z53" s="42">
        <f>Y53/'[1]Passage Estimates'!$D53</f>
        <v>6.9617151171685815E-3</v>
      </c>
      <c r="AA53" s="43">
        <f>IFERROR(SUMIF(L53:R53, "&lt;&gt;#N/A")/SUMIF('2. Salmon Passage by Bin'!E53:J53, "&lt;&gt;#N/A"), NA())</f>
        <v>0</v>
      </c>
      <c r="AB53" s="42">
        <f>IFERROR(IF(ISNA(S53), NA(), S53/'2. Salmon Passage by Bin'!K53), NA())</f>
        <v>1.7857142857142856E-2</v>
      </c>
      <c r="AC53" s="44">
        <f>IFERROR(SUMIF(T53:W53, "&lt;&gt;#N/A")/SUMIF('2. Salmon Passage by Bin'!L53:N53, "&lt;&gt;#N/A"), NA())</f>
        <v>0</v>
      </c>
    </row>
    <row r="54" spans="1:29" x14ac:dyDescent="0.3">
      <c r="A54" s="5">
        <f>'1. Mixture Model Inputs'!A54</f>
        <v>45156</v>
      </c>
      <c r="B54" s="13" t="str">
        <f>IF(ISBLANK('[1]Passage Estimates'!$C54),"",IF('[1]Passage Estimates'!$C54="Imputation",'[1]Passage Estimates'!$B54,'[1]Passage Estimates'!$C54))</f>
        <v>A1+S1+M2+A2</v>
      </c>
      <c r="C54" s="17" t="e">
        <f>IFERROR('1. Mixture Model Inputs'!J54/'1. Mixture Model Inputs'!Z54,NA())</f>
        <v>#N/A</v>
      </c>
      <c r="D54" s="17" t="e">
        <f>IFERROR('1. Mixture Model Inputs'!K54/'1. Mixture Model Inputs'!AA54,NA())</f>
        <v>#N/A</v>
      </c>
      <c r="E54" s="17" t="e">
        <f>IFERROR('1. Mixture Model Inputs'!L54/'1. Mixture Model Inputs'!AB54,NA())</f>
        <v>#N/A</v>
      </c>
      <c r="F54" s="17" t="e">
        <f>IFERROR('1. Mixture Model Inputs'!M54/'1. Mixture Model Inputs'!AC54,NA())</f>
        <v>#N/A</v>
      </c>
      <c r="G54" s="17" t="e">
        <f>IFERROR('1. Mixture Model Inputs'!N54/'1. Mixture Model Inputs'!AD54,NA())</f>
        <v>#N/A</v>
      </c>
      <c r="H54" s="24">
        <f>WhonSpComp!AV69</f>
        <v>2.0833333333333332E-2</v>
      </c>
      <c r="I54" s="17" t="e">
        <f>IFERROR('1. Mixture Model Inputs'!O54/'1. Mixture Model Inputs'!AE54, NA())</f>
        <v>#N/A</v>
      </c>
      <c r="J54" s="17" t="e">
        <f>IFERROR('1. Mixture Model Inputs'!P54/'1. Mixture Model Inputs'!AF54, NA())</f>
        <v>#N/A</v>
      </c>
      <c r="K54" s="17" t="e">
        <f>IFERROR('1. Mixture Model Inputs'!Q54/'1. Mixture Model Inputs'!AG54, NA())</f>
        <v>#N/A</v>
      </c>
      <c r="L54" s="22" t="e">
        <f>C54*'2. Salmon Passage by Bin'!C53</f>
        <v>#N/A</v>
      </c>
      <c r="M54" s="22" t="e">
        <f>D54*'2. Salmon Passage by Bin'!D53</f>
        <v>#N/A</v>
      </c>
      <c r="N54" s="22" t="e">
        <f>F54*'2. Salmon Passage by Bin'!F54</f>
        <v>#N/A</v>
      </c>
      <c r="O54" s="22" t="e">
        <f>G54*'2. Salmon Passage by Bin'!G54</f>
        <v>#N/A</v>
      </c>
      <c r="P54" s="22" t="e">
        <f>$G54*'2. Salmon Passage by Bin'!H54</f>
        <v>#N/A</v>
      </c>
      <c r="Q54" s="22" t="e">
        <f>$G54*'2. Salmon Passage by Bin'!I54</f>
        <v>#N/A</v>
      </c>
      <c r="R54" s="22" t="e">
        <f>$G54*'2. Salmon Passage by Bin'!J54</f>
        <v>#N/A</v>
      </c>
      <c r="S54" s="25">
        <f>'2. Salmon Passage by Bin'!K54*H54</f>
        <v>484.31000000000063</v>
      </c>
      <c r="T54" s="25" t="e">
        <f>K54*'2. Salmon Passage by Bin'!L54</f>
        <v>#N/A</v>
      </c>
      <c r="U54" s="25" t="e">
        <f>K54*'2. Salmon Passage by Bin'!M54</f>
        <v>#N/A</v>
      </c>
      <c r="V54" s="25" t="e">
        <f>J54*'2. Salmon Passage by Bin'!N54</f>
        <v>#N/A</v>
      </c>
      <c r="W54" s="25" t="e">
        <f>I54*'2. Salmon Passage by Bin'!O54</f>
        <v>#N/A</v>
      </c>
      <c r="X54" s="22" t="e">
        <f>E54*'2. Salmon Passage by Bin'!E54</f>
        <v>#N/A</v>
      </c>
      <c r="Y54" s="41">
        <f t="shared" si="0"/>
        <v>484.31000000000063</v>
      </c>
      <c r="Z54" s="42">
        <f>Y54/'[1]Passage Estimates'!$D54</f>
        <v>5.6970515690741817E-3</v>
      </c>
      <c r="AA54" s="43">
        <f>IFERROR(SUMIF(L54:R54, "&lt;&gt;#N/A")/SUMIF('2. Salmon Passage by Bin'!E54:J54, "&lt;&gt;#N/A"), NA())</f>
        <v>0</v>
      </c>
      <c r="AB54" s="42">
        <f>IFERROR(IF(ISNA(S54), NA(), S54/'2. Salmon Passage by Bin'!K54), NA())</f>
        <v>2.0833333333333332E-2</v>
      </c>
      <c r="AC54" s="44">
        <f>IFERROR(SUMIF(T54:W54, "&lt;&gt;#N/A")/SUMIF('2. Salmon Passage by Bin'!L54:N54, "&lt;&gt;#N/A"), NA())</f>
        <v>0</v>
      </c>
    </row>
    <row r="55" spans="1:29" x14ac:dyDescent="0.3">
      <c r="A55" s="5">
        <f>'1. Mixture Model Inputs'!A55</f>
        <v>45157</v>
      </c>
      <c r="B55" s="13" t="str">
        <f>IF(ISBLANK('[1]Passage Estimates'!$C55),"",IF('[1]Passage Estimates'!$C55="Imputation",'[1]Passage Estimates'!$B55,'[1]Passage Estimates'!$C55))</f>
        <v>A1+S1+M2+A2</v>
      </c>
      <c r="C55" s="17" t="e">
        <f>IFERROR('1. Mixture Model Inputs'!J55/'1. Mixture Model Inputs'!Z55,NA())</f>
        <v>#N/A</v>
      </c>
      <c r="D55" s="17" t="e">
        <f>IFERROR('1. Mixture Model Inputs'!K55/'1. Mixture Model Inputs'!AA55,NA())</f>
        <v>#N/A</v>
      </c>
      <c r="E55" s="17" t="e">
        <f>IFERROR('1. Mixture Model Inputs'!L55/'1. Mixture Model Inputs'!AB55,NA())</f>
        <v>#N/A</v>
      </c>
      <c r="F55" s="17" t="e">
        <f>IFERROR('1. Mixture Model Inputs'!M55/'1. Mixture Model Inputs'!AC55,NA())</f>
        <v>#N/A</v>
      </c>
      <c r="G55" s="17" t="e">
        <f>IFERROR('1. Mixture Model Inputs'!N55/'1. Mixture Model Inputs'!AD55,NA())</f>
        <v>#N/A</v>
      </c>
      <c r="H55" s="24">
        <f>WhonSpComp!AV70</f>
        <v>1.6666666666666666E-2</v>
      </c>
      <c r="I55" s="17" t="e">
        <f>IFERROR('1. Mixture Model Inputs'!O55/'1. Mixture Model Inputs'!AE55, NA())</f>
        <v>#N/A</v>
      </c>
      <c r="J55" s="17" t="e">
        <f>IFERROR('1. Mixture Model Inputs'!P55/'1. Mixture Model Inputs'!AF55, NA())</f>
        <v>#N/A</v>
      </c>
      <c r="K55" s="17" t="e">
        <f>IFERROR('1. Mixture Model Inputs'!Q55/'1. Mixture Model Inputs'!AG55, NA())</f>
        <v>#N/A</v>
      </c>
      <c r="L55" s="22" t="e">
        <f>C55*'2. Salmon Passage by Bin'!C55</f>
        <v>#N/A</v>
      </c>
      <c r="M55" s="22" t="e">
        <f>D55*'2. Salmon Passage by Bin'!D55</f>
        <v>#N/A</v>
      </c>
      <c r="N55" s="22" t="e">
        <f>F55*'2. Salmon Passage by Bin'!F55</f>
        <v>#N/A</v>
      </c>
      <c r="O55" s="22" t="e">
        <f>G55*'2. Salmon Passage by Bin'!G55</f>
        <v>#N/A</v>
      </c>
      <c r="P55" s="22" t="e">
        <f>$G55*'2. Salmon Passage by Bin'!H55</f>
        <v>#N/A</v>
      </c>
      <c r="Q55" s="22" t="e">
        <f>$G55*'2. Salmon Passage by Bin'!I55</f>
        <v>#N/A</v>
      </c>
      <c r="R55" s="22" t="e">
        <f>$G55*'2. Salmon Passage by Bin'!J55</f>
        <v>#N/A</v>
      </c>
      <c r="S55" s="25">
        <f>'2. Salmon Passage by Bin'!K55*H55</f>
        <v>441.11671999999913</v>
      </c>
      <c r="T55" s="25" t="e">
        <f>K55*'2. Salmon Passage by Bin'!L55</f>
        <v>#N/A</v>
      </c>
      <c r="U55" s="25" t="e">
        <f>K55*'2. Salmon Passage by Bin'!M55</f>
        <v>#N/A</v>
      </c>
      <c r="V55" s="25" t="e">
        <f>J55*'2. Salmon Passage by Bin'!N55</f>
        <v>#N/A</v>
      </c>
      <c r="W55" s="25" t="e">
        <f>I55*'2. Salmon Passage by Bin'!O55</f>
        <v>#N/A</v>
      </c>
      <c r="X55" s="22" t="e">
        <f>E55*'2. Salmon Passage by Bin'!E55</f>
        <v>#N/A</v>
      </c>
      <c r="Y55" s="41">
        <f t="shared" si="0"/>
        <v>441.11671999999913</v>
      </c>
      <c r="Z55" s="42">
        <f>Y55/'[1]Passage Estimates'!$D55</f>
        <v>5.0812099311502851E-3</v>
      </c>
      <c r="AA55" s="43">
        <f>IFERROR(SUMIF(L55:R55, "&lt;&gt;#N/A")/SUMIF('2. Salmon Passage by Bin'!E55:J55, "&lt;&gt;#N/A"), NA())</f>
        <v>0</v>
      </c>
      <c r="AB55" s="42">
        <f>IFERROR(IF(ISNA(S55), NA(), S55/'2. Salmon Passage by Bin'!K55), NA())</f>
        <v>1.6666666666666666E-2</v>
      </c>
      <c r="AC55" s="44">
        <f>IFERROR(SUMIF(T55:W55, "&lt;&gt;#N/A")/SUMIF('2. Salmon Passage by Bin'!L55:N55, "&lt;&gt;#N/A"), NA())</f>
        <v>0</v>
      </c>
    </row>
    <row r="56" spans="1:29" x14ac:dyDescent="0.3">
      <c r="A56" s="5">
        <f>'1. Mixture Model Inputs'!A56</f>
        <v>45158</v>
      </c>
      <c r="B56" s="13" t="str">
        <f>IF(ISBLANK('[1]Passage Estimates'!$C56),"",IF('[1]Passage Estimates'!$C56="Imputation",'[1]Passage Estimates'!$B56,'[1]Passage Estimates'!$C56))</f>
        <v>A1+S1+M2+A2</v>
      </c>
      <c r="C56" s="17" t="e">
        <f>IFERROR('1. Mixture Model Inputs'!J56/'1. Mixture Model Inputs'!Z56,NA())</f>
        <v>#N/A</v>
      </c>
      <c r="D56" s="17" t="e">
        <f>IFERROR('1. Mixture Model Inputs'!K56/'1. Mixture Model Inputs'!AA56,NA())</f>
        <v>#N/A</v>
      </c>
      <c r="E56" s="17" t="e">
        <f>IFERROR('1. Mixture Model Inputs'!L56/'1. Mixture Model Inputs'!AB56,NA())</f>
        <v>#N/A</v>
      </c>
      <c r="F56" s="17" t="e">
        <f>IFERROR('1. Mixture Model Inputs'!M56/'1. Mixture Model Inputs'!AC56,NA())</f>
        <v>#N/A</v>
      </c>
      <c r="G56" s="17" t="e">
        <f>IFERROR('1. Mixture Model Inputs'!N56/'1. Mixture Model Inputs'!AD56,NA())</f>
        <v>#N/A</v>
      </c>
      <c r="H56" s="24">
        <f>WhonSpComp!AV71</f>
        <v>1.6574585635359115E-2</v>
      </c>
      <c r="I56" s="17" t="e">
        <f>IFERROR('1. Mixture Model Inputs'!O56/'1. Mixture Model Inputs'!AE56, NA())</f>
        <v>#N/A</v>
      </c>
      <c r="J56" s="17" t="e">
        <f>IFERROR('1. Mixture Model Inputs'!P56/'1. Mixture Model Inputs'!AF56, NA())</f>
        <v>#N/A</v>
      </c>
      <c r="K56" s="17" t="e">
        <f>IFERROR('1. Mixture Model Inputs'!Q56/'1. Mixture Model Inputs'!AG56, NA())</f>
        <v>#N/A</v>
      </c>
      <c r="L56" s="22" t="e">
        <f>C56*'2. Salmon Passage by Bin'!C56</f>
        <v>#N/A</v>
      </c>
      <c r="M56" s="22" t="e">
        <f>D56*'2. Salmon Passage by Bin'!D56</f>
        <v>#N/A</v>
      </c>
      <c r="N56" s="22" t="e">
        <f>F56*'2. Salmon Passage by Bin'!F56</f>
        <v>#N/A</v>
      </c>
      <c r="O56" s="22" t="e">
        <f>G56*'2. Salmon Passage by Bin'!G56</f>
        <v>#N/A</v>
      </c>
      <c r="P56" s="22" t="e">
        <f>$G56*'2. Salmon Passage by Bin'!H56</f>
        <v>#N/A</v>
      </c>
      <c r="Q56" s="22" t="e">
        <f>$G56*'2. Salmon Passage by Bin'!I56</f>
        <v>#N/A</v>
      </c>
      <c r="R56" s="22" t="e">
        <f>$G56*'2. Salmon Passage by Bin'!J56</f>
        <v>#N/A</v>
      </c>
      <c r="S56" s="25">
        <f>'2. Salmon Passage by Bin'!K56*H56</f>
        <v>422.89856353591244</v>
      </c>
      <c r="T56" s="25" t="e">
        <f>K56*'2. Salmon Passage by Bin'!L56</f>
        <v>#N/A</v>
      </c>
      <c r="U56" s="25" t="e">
        <f>K56*'2. Salmon Passage by Bin'!M56</f>
        <v>#N/A</v>
      </c>
      <c r="V56" s="25" t="e">
        <f>J56*'2. Salmon Passage by Bin'!N56</f>
        <v>#N/A</v>
      </c>
      <c r="W56" s="25" t="e">
        <f>I56*'2. Salmon Passage by Bin'!O56</f>
        <v>#N/A</v>
      </c>
      <c r="X56" s="22" t="e">
        <f>E56*'2. Salmon Passage by Bin'!E56</f>
        <v>#N/A</v>
      </c>
      <c r="Y56" s="41">
        <f t="shared" si="0"/>
        <v>422.89856353591244</v>
      </c>
      <c r="Z56" s="42">
        <f>Y56/'[1]Passage Estimates'!$D56</f>
        <v>3.8346626712765495E-3</v>
      </c>
      <c r="AA56" s="43">
        <f>IFERROR(SUMIF(L56:R56, "&lt;&gt;#N/A")/SUMIF('2. Salmon Passage by Bin'!E56:J56, "&lt;&gt;#N/A"), NA())</f>
        <v>0</v>
      </c>
      <c r="AB56" s="42">
        <f>IFERROR(IF(ISNA(S56), NA(), S56/'2. Salmon Passage by Bin'!K56), NA())</f>
        <v>1.6574585635359115E-2</v>
      </c>
      <c r="AC56" s="44">
        <f>IFERROR(SUMIF(T56:W56, "&lt;&gt;#N/A")/SUMIF('2. Salmon Passage by Bin'!L56:N56, "&lt;&gt;#N/A"), NA())</f>
        <v>0</v>
      </c>
    </row>
    <row r="57" spans="1:29" x14ac:dyDescent="0.3">
      <c r="A57" s="5">
        <f>'1. Mixture Model Inputs'!A57</f>
        <v>45159</v>
      </c>
      <c r="B57" s="13" t="str">
        <f>IF(ISBLANK('[1]Passage Estimates'!$C57),"",IF('[1]Passage Estimates'!$C57="Imputation",'[1]Passage Estimates'!$B57,'[1]Passage Estimates'!$C57))</f>
        <v>A1+S1+M2+A2</v>
      </c>
      <c r="C57" s="17" t="e">
        <f>IFERROR('1. Mixture Model Inputs'!J57/'1. Mixture Model Inputs'!Z57,NA())</f>
        <v>#N/A</v>
      </c>
      <c r="D57" s="17" t="e">
        <f>IFERROR('1. Mixture Model Inputs'!K57/'1. Mixture Model Inputs'!AA57,NA())</f>
        <v>#N/A</v>
      </c>
      <c r="E57" s="17" t="e">
        <f>IFERROR('1. Mixture Model Inputs'!L57/'1. Mixture Model Inputs'!AB57,NA())</f>
        <v>#N/A</v>
      </c>
      <c r="F57" s="17" t="e">
        <f>IFERROR('1. Mixture Model Inputs'!M57/'1. Mixture Model Inputs'!AC57,NA())</f>
        <v>#N/A</v>
      </c>
      <c r="G57" s="17" t="e">
        <f>IFERROR('1. Mixture Model Inputs'!N57/'1. Mixture Model Inputs'!AD57,NA())</f>
        <v>#N/A</v>
      </c>
      <c r="H57" s="24">
        <f>WhonSpComp!AV72</f>
        <v>1.3888888888888888E-2</v>
      </c>
      <c r="I57" s="17" t="e">
        <f>IFERROR('1. Mixture Model Inputs'!O57/'1. Mixture Model Inputs'!AE57, NA())</f>
        <v>#N/A</v>
      </c>
      <c r="J57" s="17" t="e">
        <f>IFERROR('1. Mixture Model Inputs'!P57/'1. Mixture Model Inputs'!AF57, NA())</f>
        <v>#N/A</v>
      </c>
      <c r="K57" s="17" t="e">
        <f>IFERROR('1. Mixture Model Inputs'!Q57/'1. Mixture Model Inputs'!AG57, NA())</f>
        <v>#N/A</v>
      </c>
      <c r="L57" s="22" t="e">
        <f>C57*'2. Salmon Passage by Bin'!C57</f>
        <v>#N/A</v>
      </c>
      <c r="M57" s="22" t="e">
        <f>D57*'2. Salmon Passage by Bin'!D57</f>
        <v>#N/A</v>
      </c>
      <c r="N57" s="22" t="e">
        <f>F57*'2. Salmon Passage by Bin'!F57</f>
        <v>#N/A</v>
      </c>
      <c r="O57" s="22" t="e">
        <f>G57*'2. Salmon Passage by Bin'!G57</f>
        <v>#N/A</v>
      </c>
      <c r="P57" s="22" t="e">
        <f>$G57*'2. Salmon Passage by Bin'!H57</f>
        <v>#N/A</v>
      </c>
      <c r="Q57" s="22" t="e">
        <f>$G57*'2. Salmon Passage by Bin'!I57</f>
        <v>#N/A</v>
      </c>
      <c r="R57" s="22" t="e">
        <f>$G57*'2. Salmon Passage by Bin'!J57</f>
        <v>#N/A</v>
      </c>
      <c r="S57" s="25">
        <f>'2. Salmon Passage by Bin'!K57*H57</f>
        <v>506.80000000000047</v>
      </c>
      <c r="T57" s="25" t="e">
        <f>K57*'2. Salmon Passage by Bin'!L57</f>
        <v>#N/A</v>
      </c>
      <c r="U57" s="25" t="e">
        <f>K57*'2. Salmon Passage by Bin'!M57</f>
        <v>#N/A</v>
      </c>
      <c r="V57" s="25" t="e">
        <f>J57*'2. Salmon Passage by Bin'!N57</f>
        <v>#N/A</v>
      </c>
      <c r="W57" s="25" t="e">
        <f>I57*'2. Salmon Passage by Bin'!O57</f>
        <v>#N/A</v>
      </c>
      <c r="X57" s="22" t="e">
        <f>E57*'2. Salmon Passage by Bin'!E57</f>
        <v>#N/A</v>
      </c>
      <c r="Y57" s="41">
        <f t="shared" si="0"/>
        <v>506.80000000000047</v>
      </c>
      <c r="Z57" s="42">
        <f>Y57/'[1]Passage Estimates'!$D57</f>
        <v>3.5549524949481542E-3</v>
      </c>
      <c r="AA57" s="43">
        <f>IFERROR(SUMIF(L57:R57, "&lt;&gt;#N/A")/SUMIF('2. Salmon Passage by Bin'!E57:J57, "&lt;&gt;#N/A"), NA())</f>
        <v>0</v>
      </c>
      <c r="AB57" s="42">
        <f>IFERROR(IF(ISNA(S57), NA(), S57/'2. Salmon Passage by Bin'!K57), NA())</f>
        <v>1.3888888888888888E-2</v>
      </c>
      <c r="AC57" s="44">
        <f>IFERROR(SUMIF(T57:W57, "&lt;&gt;#N/A")/SUMIF('2. Salmon Passage by Bin'!L57:N57, "&lt;&gt;#N/A"), NA())</f>
        <v>0</v>
      </c>
    </row>
    <row r="58" spans="1:29" x14ac:dyDescent="0.3">
      <c r="A58" s="5">
        <f>'1. Mixture Model Inputs'!A58</f>
        <v>45160</v>
      </c>
      <c r="B58" s="13" t="str">
        <f>IF(ISBLANK('[1]Passage Estimates'!$C58),"",IF('[1]Passage Estimates'!$C58="Imputation",'[1]Passage Estimates'!$B58,'[1]Passage Estimates'!$C58))</f>
        <v>A1+S1+M2+A2</v>
      </c>
      <c r="C58" s="17" t="e">
        <f>IFERROR('1. Mixture Model Inputs'!J58/'1. Mixture Model Inputs'!Z58,NA())</f>
        <v>#N/A</v>
      </c>
      <c r="D58" s="17" t="e">
        <f>IFERROR('1. Mixture Model Inputs'!K58/'1. Mixture Model Inputs'!AA58,NA())</f>
        <v>#N/A</v>
      </c>
      <c r="E58" s="17" t="e">
        <f>IFERROR('1. Mixture Model Inputs'!L58/'1. Mixture Model Inputs'!AB58,NA())</f>
        <v>#N/A</v>
      </c>
      <c r="F58" s="17" t="e">
        <f>IFERROR('1. Mixture Model Inputs'!M58/'1. Mixture Model Inputs'!AC58,NA())</f>
        <v>#N/A</v>
      </c>
      <c r="G58" s="17" t="e">
        <f>IFERROR('1. Mixture Model Inputs'!N58/'1. Mixture Model Inputs'!AD58,NA())</f>
        <v>#N/A</v>
      </c>
      <c r="H58" s="24">
        <f>WhonSpComp!AV73</f>
        <v>4.0816326530612242E-2</v>
      </c>
      <c r="I58" s="17" t="e">
        <f>IFERROR('1. Mixture Model Inputs'!O58/'1. Mixture Model Inputs'!AE58, NA())</f>
        <v>#N/A</v>
      </c>
      <c r="J58" s="17" t="e">
        <f>IFERROR('1. Mixture Model Inputs'!P58/'1. Mixture Model Inputs'!AF58, NA())</f>
        <v>#N/A</v>
      </c>
      <c r="K58" s="17" t="e">
        <f>IFERROR('1. Mixture Model Inputs'!Q58/'1. Mixture Model Inputs'!AG58, NA())</f>
        <v>#N/A</v>
      </c>
      <c r="L58" s="22" t="e">
        <f>C58*'2. Salmon Passage by Bin'!C58</f>
        <v>#N/A</v>
      </c>
      <c r="M58" s="22" t="e">
        <f>D58*'2. Salmon Passage by Bin'!D58</f>
        <v>#N/A</v>
      </c>
      <c r="N58" s="22" t="e">
        <f>F58*'2. Salmon Passage by Bin'!F58</f>
        <v>#N/A</v>
      </c>
      <c r="O58" s="22" t="e">
        <f>G58*'2. Salmon Passage by Bin'!G58</f>
        <v>#N/A</v>
      </c>
      <c r="P58" s="22" t="e">
        <f>$G58*'2. Salmon Passage by Bin'!H58</f>
        <v>#N/A</v>
      </c>
      <c r="Q58" s="22" t="e">
        <f>$G58*'2. Salmon Passage by Bin'!I58</f>
        <v>#N/A</v>
      </c>
      <c r="R58" s="22" t="e">
        <f>$G58*'2. Salmon Passage by Bin'!J58</f>
        <v>#N/A</v>
      </c>
      <c r="S58" s="25">
        <f>'2. Salmon Passage by Bin'!K58*H58</f>
        <v>1753.2146938775534</v>
      </c>
      <c r="T58" s="25" t="e">
        <f>K58*'2. Salmon Passage by Bin'!L58</f>
        <v>#N/A</v>
      </c>
      <c r="U58" s="25" t="e">
        <f>K58*'2. Salmon Passage by Bin'!M58</f>
        <v>#N/A</v>
      </c>
      <c r="V58" s="25" t="e">
        <f>J58*'2. Salmon Passage by Bin'!N58</f>
        <v>#N/A</v>
      </c>
      <c r="W58" s="25" t="e">
        <f>I58*'2. Salmon Passage by Bin'!O58</f>
        <v>#N/A</v>
      </c>
      <c r="X58" s="22" t="e">
        <f>E58*'2. Salmon Passage by Bin'!E58</f>
        <v>#N/A</v>
      </c>
      <c r="Y58" s="41">
        <f t="shared" si="0"/>
        <v>1753.2146938775534</v>
      </c>
      <c r="Z58" s="42">
        <f>Y58/'[1]Passage Estimates'!$D58</f>
        <v>8.3610635509783707E-3</v>
      </c>
      <c r="AA58" s="43">
        <f>IFERROR(SUMIF(L58:R58, "&lt;&gt;#N/A")/SUMIF('2. Salmon Passage by Bin'!E58:J58, "&lt;&gt;#N/A"), NA())</f>
        <v>0</v>
      </c>
      <c r="AB58" s="42">
        <f>IFERROR(IF(ISNA(S58), NA(), S58/'2. Salmon Passage by Bin'!K58), NA())</f>
        <v>4.0816326530612242E-2</v>
      </c>
      <c r="AC58" s="44">
        <f>IFERROR(SUMIF(T58:W58, "&lt;&gt;#N/A")/SUMIF('2. Salmon Passage by Bin'!L58:N58, "&lt;&gt;#N/A"), NA())</f>
        <v>0</v>
      </c>
    </row>
    <row r="59" spans="1:29" x14ac:dyDescent="0.3">
      <c r="A59" s="5">
        <f>'1. Mixture Model Inputs'!A59</f>
        <v>45161</v>
      </c>
      <c r="B59" s="13" t="str">
        <f>IF(ISBLANK('[1]Passage Estimates'!$C59),"",IF('[1]Passage Estimates'!$C59="Imputation",'[1]Passage Estimates'!$B59,'[1]Passage Estimates'!$C59))</f>
        <v>A1+S1+M2+A2</v>
      </c>
      <c r="C59" s="17" t="e">
        <f>IFERROR('1. Mixture Model Inputs'!J59/'1. Mixture Model Inputs'!Z59,NA())</f>
        <v>#N/A</v>
      </c>
      <c r="D59" s="17" t="e">
        <f>IFERROR('1. Mixture Model Inputs'!K59/'1. Mixture Model Inputs'!AA59,NA())</f>
        <v>#N/A</v>
      </c>
      <c r="E59" s="17" t="e">
        <f>IFERROR('1. Mixture Model Inputs'!L59/'1. Mixture Model Inputs'!AB59,NA())</f>
        <v>#N/A</v>
      </c>
      <c r="F59" s="17" t="e">
        <f>IFERROR('1. Mixture Model Inputs'!M59/'1. Mixture Model Inputs'!AC59,NA())</f>
        <v>#N/A</v>
      </c>
      <c r="G59" s="17" t="e">
        <f>IFERROR('1. Mixture Model Inputs'!N59/'1. Mixture Model Inputs'!AD59,NA())</f>
        <v>#N/A</v>
      </c>
      <c r="H59" s="24">
        <f>WhonSpComp!AV74</f>
        <v>4.1095890410958902E-2</v>
      </c>
      <c r="I59" s="17" t="e">
        <f>IFERROR('1. Mixture Model Inputs'!O59/'1. Mixture Model Inputs'!AE59, NA())</f>
        <v>#N/A</v>
      </c>
      <c r="J59" s="17" t="e">
        <f>IFERROR('1. Mixture Model Inputs'!P59/'1. Mixture Model Inputs'!AF59, NA())</f>
        <v>#N/A</v>
      </c>
      <c r="K59" s="17" t="e">
        <f>IFERROR('1. Mixture Model Inputs'!Q59/'1. Mixture Model Inputs'!AG59, NA())</f>
        <v>#N/A</v>
      </c>
      <c r="L59" s="22" t="e">
        <f>C59*'2. Salmon Passage by Bin'!C59</f>
        <v>#N/A</v>
      </c>
      <c r="M59" s="22" t="e">
        <f>D59*'2. Salmon Passage by Bin'!D59</f>
        <v>#N/A</v>
      </c>
      <c r="N59" s="22" t="e">
        <f>F59*'2. Salmon Passage by Bin'!F59</f>
        <v>#N/A</v>
      </c>
      <c r="O59" s="22" t="e">
        <f>G59*'2. Salmon Passage by Bin'!G59</f>
        <v>#N/A</v>
      </c>
      <c r="P59" s="22" t="e">
        <f>$G59*'2. Salmon Passage by Bin'!H59</f>
        <v>#N/A</v>
      </c>
      <c r="Q59" s="22" t="e">
        <f>$G59*'2. Salmon Passage by Bin'!I59</f>
        <v>#N/A</v>
      </c>
      <c r="R59" s="22" t="e">
        <f>$G59*'2. Salmon Passage by Bin'!J59</f>
        <v>#N/A</v>
      </c>
      <c r="S59" s="25">
        <f>'2. Salmon Passage by Bin'!K59*H59</f>
        <v>2351.7961643835615</v>
      </c>
      <c r="T59" s="25" t="e">
        <f>K59*'2. Salmon Passage by Bin'!L59</f>
        <v>#N/A</v>
      </c>
      <c r="U59" s="25" t="e">
        <f>K59*'2. Salmon Passage by Bin'!M59</f>
        <v>#N/A</v>
      </c>
      <c r="V59" s="25" t="e">
        <f>J59*'2. Salmon Passage by Bin'!N59</f>
        <v>#N/A</v>
      </c>
      <c r="W59" s="25" t="e">
        <f>I59*'2. Salmon Passage by Bin'!O59</f>
        <v>#N/A</v>
      </c>
      <c r="X59" s="22" t="e">
        <f>E59*'2. Salmon Passage by Bin'!E59</f>
        <v>#N/A</v>
      </c>
      <c r="Y59" s="41">
        <f t="shared" si="0"/>
        <v>2351.7961643835615</v>
      </c>
      <c r="Z59" s="42">
        <f>Y59/'[1]Passage Estimates'!$D59</f>
        <v>1.0334781753660208E-2</v>
      </c>
      <c r="AA59" s="43">
        <f>IFERROR(SUMIF(L59:R59, "&lt;&gt;#N/A")/SUMIF('2. Salmon Passage by Bin'!E59:J59, "&lt;&gt;#N/A"), NA())</f>
        <v>0</v>
      </c>
      <c r="AB59" s="42">
        <f>IFERROR(IF(ISNA(S59), NA(), S59/'2. Salmon Passage by Bin'!K59), NA())</f>
        <v>4.1095890410958902E-2</v>
      </c>
      <c r="AC59" s="44">
        <f>IFERROR(SUMIF(T59:W59, "&lt;&gt;#N/A")/SUMIF('2. Salmon Passage by Bin'!L59:N59, "&lt;&gt;#N/A"), NA())</f>
        <v>0</v>
      </c>
    </row>
    <row r="60" spans="1:29" x14ac:dyDescent="0.3">
      <c r="A60" s="5">
        <f>'1. Mixture Model Inputs'!A60</f>
        <v>45162</v>
      </c>
      <c r="B60" s="13" t="str">
        <f>IF(ISBLANK('[1]Passage Estimates'!$C60),"",IF('[1]Passage Estimates'!$C60="Imputation",'[1]Passage Estimates'!$B60,'[1]Passage Estimates'!$C60))</f>
        <v>A1+S1+M2+A2</v>
      </c>
      <c r="C60" s="17" t="e">
        <f>IFERROR('1. Mixture Model Inputs'!J60/'1. Mixture Model Inputs'!Z60,NA())</f>
        <v>#N/A</v>
      </c>
      <c r="D60" s="17" t="e">
        <f>IFERROR('1. Mixture Model Inputs'!K60/'1. Mixture Model Inputs'!AA60,NA())</f>
        <v>#N/A</v>
      </c>
      <c r="E60" s="17" t="e">
        <f>IFERROR('1. Mixture Model Inputs'!L60/'1. Mixture Model Inputs'!AB60,NA())</f>
        <v>#N/A</v>
      </c>
      <c r="F60" s="17" t="e">
        <f>IFERROR('1. Mixture Model Inputs'!M60/'1. Mixture Model Inputs'!AC60,NA())</f>
        <v>#N/A</v>
      </c>
      <c r="G60" s="17" t="e">
        <f>IFERROR('1. Mixture Model Inputs'!N60/'1. Mixture Model Inputs'!AD60,NA())</f>
        <v>#N/A</v>
      </c>
      <c r="H60" s="24">
        <f>WhonSpComp!AV75</f>
        <v>0</v>
      </c>
      <c r="I60" s="17" t="e">
        <f>IFERROR('1. Mixture Model Inputs'!O60/'1. Mixture Model Inputs'!AE60, NA())</f>
        <v>#N/A</v>
      </c>
      <c r="J60" s="17" t="e">
        <f>IFERROR('1. Mixture Model Inputs'!P60/'1. Mixture Model Inputs'!AF60, NA())</f>
        <v>#N/A</v>
      </c>
      <c r="K60" s="17" t="e">
        <f>IFERROR('1. Mixture Model Inputs'!Q60/'1. Mixture Model Inputs'!AG60, NA())</f>
        <v>#N/A</v>
      </c>
      <c r="L60" s="22" t="e">
        <f>C60*'2. Salmon Passage by Bin'!C60</f>
        <v>#N/A</v>
      </c>
      <c r="M60" s="22" t="e">
        <f>D60*'2. Salmon Passage by Bin'!D60</f>
        <v>#N/A</v>
      </c>
      <c r="N60" s="22" t="e">
        <f>F60*'2. Salmon Passage by Bin'!F60</f>
        <v>#N/A</v>
      </c>
      <c r="O60" s="22" t="e">
        <f>G60*'2. Salmon Passage by Bin'!G60</f>
        <v>#N/A</v>
      </c>
      <c r="P60" s="22" t="e">
        <f>$G60*'2. Salmon Passage by Bin'!H60</f>
        <v>#N/A</v>
      </c>
      <c r="Q60" s="22" t="e">
        <f>$G60*'2. Salmon Passage by Bin'!I60</f>
        <v>#N/A</v>
      </c>
      <c r="R60" s="22" t="e">
        <f>$G60*'2. Salmon Passage by Bin'!J60</f>
        <v>#N/A</v>
      </c>
      <c r="S60" s="25">
        <f>'2. Salmon Passage by Bin'!K60*H60</f>
        <v>0</v>
      </c>
      <c r="T60" s="25" t="e">
        <f>K60*'2. Salmon Passage by Bin'!L60</f>
        <v>#N/A</v>
      </c>
      <c r="U60" s="25" t="e">
        <f>K60*'2. Salmon Passage by Bin'!M60</f>
        <v>#N/A</v>
      </c>
      <c r="V60" s="25" t="e">
        <f>J60*'2. Salmon Passage by Bin'!N60</f>
        <v>#N/A</v>
      </c>
      <c r="W60" s="25" t="e">
        <f>I60*'2. Salmon Passage by Bin'!O60</f>
        <v>#N/A</v>
      </c>
      <c r="X60" s="22" t="e">
        <f>E60*'2. Salmon Passage by Bin'!E60</f>
        <v>#N/A</v>
      </c>
      <c r="Y60" s="41">
        <f t="shared" si="0"/>
        <v>0</v>
      </c>
      <c r="Z60" s="42">
        <f>Y60/'[1]Passage Estimates'!$D60</f>
        <v>0</v>
      </c>
      <c r="AA60" s="43">
        <f>IFERROR(SUMIF(L60:R60, "&lt;&gt;#N/A")/SUMIF('2. Salmon Passage by Bin'!E60:J60, "&lt;&gt;#N/A"), NA())</f>
        <v>0</v>
      </c>
      <c r="AB60" s="42">
        <f>IFERROR(IF(ISNA(S60), NA(), S60/'2. Salmon Passage by Bin'!K60), NA())</f>
        <v>0</v>
      </c>
      <c r="AC60" s="44">
        <f>IFERROR(SUMIF(T60:W60, "&lt;&gt;#N/A")/SUMIF('2. Salmon Passage by Bin'!L60:N60, "&lt;&gt;#N/A"), NA())</f>
        <v>0</v>
      </c>
    </row>
    <row r="61" spans="1:29" x14ac:dyDescent="0.3">
      <c r="A61" s="5">
        <f>'1. Mixture Model Inputs'!A61</f>
        <v>45163</v>
      </c>
      <c r="B61" s="13" t="str">
        <f>IF(ISBLANK('[1]Passage Estimates'!$C61),"",IF('[1]Passage Estimates'!$C61="Imputation",'[1]Passage Estimates'!$B61,'[1]Passage Estimates'!$C61))</f>
        <v>A1+S1+M2+A2</v>
      </c>
      <c r="C61" s="17" t="e">
        <f>IFERROR('1. Mixture Model Inputs'!J61/'1. Mixture Model Inputs'!Z61,NA())</f>
        <v>#N/A</v>
      </c>
      <c r="D61" s="17" t="e">
        <f>IFERROR('1. Mixture Model Inputs'!K61/'1. Mixture Model Inputs'!AA61,NA())</f>
        <v>#N/A</v>
      </c>
      <c r="E61" s="17" t="e">
        <f>IFERROR('1. Mixture Model Inputs'!L61/'1. Mixture Model Inputs'!AB61,NA())</f>
        <v>#N/A</v>
      </c>
      <c r="F61" s="17" t="e">
        <f>IFERROR('1. Mixture Model Inputs'!M61/'1. Mixture Model Inputs'!AC61,NA())</f>
        <v>#N/A</v>
      </c>
      <c r="G61" s="17" t="e">
        <f>IFERROR('1. Mixture Model Inputs'!N61/'1. Mixture Model Inputs'!AD61,NA())</f>
        <v>#N/A</v>
      </c>
      <c r="H61" s="24">
        <f>WhonSpComp!AV76</f>
        <v>0</v>
      </c>
      <c r="I61" s="17" t="e">
        <f>IFERROR('1. Mixture Model Inputs'!O61/'1. Mixture Model Inputs'!AE61, NA())</f>
        <v>#N/A</v>
      </c>
      <c r="J61" s="17" t="e">
        <f>IFERROR('1. Mixture Model Inputs'!P61/'1. Mixture Model Inputs'!AF61, NA())</f>
        <v>#N/A</v>
      </c>
      <c r="K61" s="17" t="e">
        <f>IFERROR('1. Mixture Model Inputs'!Q61/'1. Mixture Model Inputs'!AG61, NA())</f>
        <v>#N/A</v>
      </c>
      <c r="L61" s="22" t="e">
        <f>C61*'2. Salmon Passage by Bin'!C61</f>
        <v>#N/A</v>
      </c>
      <c r="M61" s="22" t="e">
        <f>D61*'2. Salmon Passage by Bin'!D61</f>
        <v>#N/A</v>
      </c>
      <c r="N61" s="22" t="e">
        <f>F61*'2. Salmon Passage by Bin'!F61</f>
        <v>#N/A</v>
      </c>
      <c r="O61" s="22" t="e">
        <f>G61*'2. Salmon Passage by Bin'!G61</f>
        <v>#N/A</v>
      </c>
      <c r="P61" s="22" t="e">
        <f>$G61*'2. Salmon Passage by Bin'!H61</f>
        <v>#N/A</v>
      </c>
      <c r="Q61" s="22" t="e">
        <f>$G61*'2. Salmon Passage by Bin'!I61</f>
        <v>#N/A</v>
      </c>
      <c r="R61" s="22" t="e">
        <f>$G61*'2. Salmon Passage by Bin'!J61</f>
        <v>#N/A</v>
      </c>
      <c r="S61" s="25">
        <f>'2. Salmon Passage by Bin'!K61*H61</f>
        <v>0</v>
      </c>
      <c r="T61" s="25" t="e">
        <f>K61*'2. Salmon Passage by Bin'!L61</f>
        <v>#N/A</v>
      </c>
      <c r="U61" s="25" t="e">
        <f>K61*'2. Salmon Passage by Bin'!M61</f>
        <v>#N/A</v>
      </c>
      <c r="V61" s="25" t="e">
        <f>J61*'2. Salmon Passage by Bin'!N61</f>
        <v>#N/A</v>
      </c>
      <c r="W61" s="25" t="e">
        <f>I61*'2. Salmon Passage by Bin'!O61</f>
        <v>#N/A</v>
      </c>
      <c r="X61" s="22" t="e">
        <f>E61*'2. Salmon Passage by Bin'!E61</f>
        <v>#N/A</v>
      </c>
      <c r="Y61" s="41">
        <f t="shared" si="0"/>
        <v>0</v>
      </c>
      <c r="Z61" s="42">
        <f>Y61/'[1]Passage Estimates'!$D61</f>
        <v>0</v>
      </c>
      <c r="AA61" s="43">
        <f>IFERROR(SUMIF(L61:R61, "&lt;&gt;#N/A")/SUMIF('2. Salmon Passage by Bin'!E61:J61, "&lt;&gt;#N/A"), NA())</f>
        <v>0</v>
      </c>
      <c r="AB61" s="42">
        <f>IFERROR(IF(ISNA(S61), NA(), S61/'2. Salmon Passage by Bin'!K61), NA())</f>
        <v>0</v>
      </c>
      <c r="AC61" s="44">
        <f>IFERROR(SUMIF(T61:W61, "&lt;&gt;#N/A")/SUMIF('2. Salmon Passage by Bin'!L61:N61, "&lt;&gt;#N/A"), NA())</f>
        <v>0</v>
      </c>
    </row>
    <row r="62" spans="1:29" x14ac:dyDescent="0.3">
      <c r="A62" s="5">
        <f>'1. Mixture Model Inputs'!A62</f>
        <v>45164</v>
      </c>
      <c r="B62" s="13" t="str">
        <f>IF(ISBLANK('[1]Passage Estimates'!$C62),"",IF('[1]Passage Estimates'!$C62="Imputation",'[1]Passage Estimates'!$B62,'[1]Passage Estimates'!$C62))</f>
        <v>A1+S1+M2+A2</v>
      </c>
      <c r="C62" s="17" t="e">
        <f>IFERROR('1. Mixture Model Inputs'!J62/'1. Mixture Model Inputs'!Z62,NA())</f>
        <v>#N/A</v>
      </c>
      <c r="D62" s="17" t="e">
        <f>IFERROR('1. Mixture Model Inputs'!K62/'1. Mixture Model Inputs'!AA62,NA())</f>
        <v>#N/A</v>
      </c>
      <c r="E62" s="17" t="e">
        <f>IFERROR('1. Mixture Model Inputs'!L62/'1. Mixture Model Inputs'!AB62,NA())</f>
        <v>#N/A</v>
      </c>
      <c r="F62" s="17" t="e">
        <f>IFERROR('1. Mixture Model Inputs'!M62/'1. Mixture Model Inputs'!AC62,NA())</f>
        <v>#N/A</v>
      </c>
      <c r="G62" s="17" t="e">
        <f>IFERROR('1. Mixture Model Inputs'!N62/'1. Mixture Model Inputs'!AD62,NA())</f>
        <v>#N/A</v>
      </c>
      <c r="H62" s="24">
        <f>WhonSpComp!AV77</f>
        <v>2.0618556701030927E-2</v>
      </c>
      <c r="I62" s="17" t="e">
        <f>IFERROR('1. Mixture Model Inputs'!O62/'1. Mixture Model Inputs'!AE62, NA())</f>
        <v>#N/A</v>
      </c>
      <c r="J62" s="17" t="e">
        <f>IFERROR('1. Mixture Model Inputs'!P62/'1. Mixture Model Inputs'!AF62, NA())</f>
        <v>#N/A</v>
      </c>
      <c r="K62" s="17" t="e">
        <f>IFERROR('1. Mixture Model Inputs'!Q62/'1. Mixture Model Inputs'!AG62, NA())</f>
        <v>#N/A</v>
      </c>
      <c r="L62" s="22" t="e">
        <f>C62*'2. Salmon Passage by Bin'!C62</f>
        <v>#N/A</v>
      </c>
      <c r="M62" s="22" t="e">
        <f>D62*'2. Salmon Passage by Bin'!D62</f>
        <v>#N/A</v>
      </c>
      <c r="N62" s="22" t="e">
        <f>F62*'2. Salmon Passage by Bin'!F62</f>
        <v>#N/A</v>
      </c>
      <c r="O62" s="22" t="e">
        <f>G62*'2. Salmon Passage by Bin'!G62</f>
        <v>#N/A</v>
      </c>
      <c r="P62" s="22" t="e">
        <f>$G62*'2. Salmon Passage by Bin'!H62</f>
        <v>#N/A</v>
      </c>
      <c r="Q62" s="22" t="e">
        <f>$G62*'2. Salmon Passage by Bin'!I62</f>
        <v>#N/A</v>
      </c>
      <c r="R62" s="22" t="e">
        <f>$G62*'2. Salmon Passage by Bin'!J62</f>
        <v>#N/A</v>
      </c>
      <c r="S62" s="25">
        <f>'2. Salmon Passage by Bin'!K62*H62</f>
        <v>1141.5934020618558</v>
      </c>
      <c r="T62" s="25" t="e">
        <f>K62*'2. Salmon Passage by Bin'!L62</f>
        <v>#N/A</v>
      </c>
      <c r="U62" s="25" t="e">
        <f>K62*'2. Salmon Passage by Bin'!M62</f>
        <v>#N/A</v>
      </c>
      <c r="V62" s="25" t="e">
        <f>J62*'2. Salmon Passage by Bin'!N62</f>
        <v>#N/A</v>
      </c>
      <c r="W62" s="25" t="e">
        <f>I62*'2. Salmon Passage by Bin'!O62</f>
        <v>#N/A</v>
      </c>
      <c r="X62" s="22" t="e">
        <f>E62*'2. Salmon Passage by Bin'!E62</f>
        <v>#N/A</v>
      </c>
      <c r="Y62" s="41">
        <f t="shared" si="0"/>
        <v>1141.5934020618558</v>
      </c>
      <c r="Z62" s="42">
        <f>Y62/'[1]Passage Estimates'!$D62</f>
        <v>9.947735762193502E-3</v>
      </c>
      <c r="AA62" s="43">
        <f>IFERROR(SUMIF(L62:R62, "&lt;&gt;#N/A")/SUMIF('2. Salmon Passage by Bin'!E62:J62, "&lt;&gt;#N/A"), NA())</f>
        <v>0</v>
      </c>
      <c r="AB62" s="42">
        <f>IFERROR(IF(ISNA(S62), NA(), S62/'2. Salmon Passage by Bin'!K62), NA())</f>
        <v>2.0618556701030927E-2</v>
      </c>
      <c r="AC62" s="44">
        <f>IFERROR(SUMIF(T62:W62, "&lt;&gt;#N/A")/SUMIF('2. Salmon Passage by Bin'!L62:N62, "&lt;&gt;#N/A"), NA())</f>
        <v>0</v>
      </c>
    </row>
    <row r="63" spans="1:29" x14ac:dyDescent="0.3">
      <c r="A63" s="5">
        <f>'1. Mixture Model Inputs'!A63</f>
        <v>45165</v>
      </c>
      <c r="B63" s="13" t="str">
        <f>IF(ISBLANK('[1]Passage Estimates'!$C63),"",IF('[1]Passage Estimates'!$C63="Imputation",'[1]Passage Estimates'!$B63,'[1]Passage Estimates'!$C63))</f>
        <v>A1+S1+M2+A2</v>
      </c>
      <c r="C63" s="17" t="e">
        <f>IFERROR('1. Mixture Model Inputs'!J63/'1. Mixture Model Inputs'!Z63,NA())</f>
        <v>#N/A</v>
      </c>
      <c r="D63" s="17" t="e">
        <f>IFERROR('1. Mixture Model Inputs'!K63/'1. Mixture Model Inputs'!AA63,NA())</f>
        <v>#N/A</v>
      </c>
      <c r="E63" s="17" t="e">
        <f>IFERROR('1. Mixture Model Inputs'!L63/'1. Mixture Model Inputs'!AB63,NA())</f>
        <v>#N/A</v>
      </c>
      <c r="F63" s="17" t="e">
        <f>IFERROR('1. Mixture Model Inputs'!M63/'1. Mixture Model Inputs'!AC63,NA())</f>
        <v>#N/A</v>
      </c>
      <c r="G63" s="17" t="e">
        <f>IFERROR('1. Mixture Model Inputs'!N63/'1. Mixture Model Inputs'!AD63,NA())</f>
        <v>#N/A</v>
      </c>
      <c r="H63" s="24">
        <f>WhonSpComp!AV78</f>
        <v>2.2727272727272728E-2</v>
      </c>
      <c r="I63" s="17" t="e">
        <f>IFERROR('1. Mixture Model Inputs'!O63/'1. Mixture Model Inputs'!AE63, NA())</f>
        <v>#N/A</v>
      </c>
      <c r="J63" s="17" t="e">
        <f>IFERROR('1. Mixture Model Inputs'!P63/'1. Mixture Model Inputs'!AF63, NA())</f>
        <v>#N/A</v>
      </c>
      <c r="K63" s="17" t="e">
        <f>IFERROR('1. Mixture Model Inputs'!Q63/'1. Mixture Model Inputs'!AG63, NA())</f>
        <v>#N/A</v>
      </c>
      <c r="L63" s="22" t="e">
        <f>C63*'2. Salmon Passage by Bin'!C63</f>
        <v>#N/A</v>
      </c>
      <c r="M63" s="22" t="e">
        <f>D63*'2. Salmon Passage by Bin'!D63</f>
        <v>#N/A</v>
      </c>
      <c r="N63" s="22" t="e">
        <f>F63*'2. Salmon Passage by Bin'!F63</f>
        <v>#N/A</v>
      </c>
      <c r="O63" s="22" t="e">
        <f>G63*'2. Salmon Passage by Bin'!G63</f>
        <v>#N/A</v>
      </c>
      <c r="P63" s="22" t="e">
        <f>$G63*'2. Salmon Passage by Bin'!H63</f>
        <v>#N/A</v>
      </c>
      <c r="Q63" s="22" t="e">
        <f>$G63*'2. Salmon Passage by Bin'!I63</f>
        <v>#N/A</v>
      </c>
      <c r="R63" s="22" t="e">
        <f>$G63*'2. Salmon Passage by Bin'!J63</f>
        <v>#N/A</v>
      </c>
      <c r="S63" s="25">
        <f>'2. Salmon Passage by Bin'!K63*H63</f>
        <v>484.13781818181724</v>
      </c>
      <c r="T63" s="25" t="e">
        <f>K63*'2. Salmon Passage by Bin'!L63</f>
        <v>#N/A</v>
      </c>
      <c r="U63" s="25" t="e">
        <f>K63*'2. Salmon Passage by Bin'!M63</f>
        <v>#N/A</v>
      </c>
      <c r="V63" s="25" t="e">
        <f>J63*'2. Salmon Passage by Bin'!N63</f>
        <v>#N/A</v>
      </c>
      <c r="W63" s="25" t="e">
        <f>I63*'2. Salmon Passage by Bin'!O63</f>
        <v>#N/A</v>
      </c>
      <c r="X63" s="22" t="e">
        <f>E63*'2. Salmon Passage by Bin'!E63</f>
        <v>#N/A</v>
      </c>
      <c r="Y63" s="41">
        <f t="shared" si="0"/>
        <v>484.13781818181724</v>
      </c>
      <c r="Z63" s="42">
        <f>Y63/'[1]Passage Estimates'!$D63</f>
        <v>4.5403965722510351E-3</v>
      </c>
      <c r="AA63" s="43">
        <f>IFERROR(SUMIF(L63:R63, "&lt;&gt;#N/A")/SUMIF('2. Salmon Passage by Bin'!E63:J63, "&lt;&gt;#N/A"), NA())</f>
        <v>0</v>
      </c>
      <c r="AB63" s="42">
        <f>IFERROR(IF(ISNA(S63), NA(), S63/'2. Salmon Passage by Bin'!K63), NA())</f>
        <v>2.2727272727272728E-2</v>
      </c>
      <c r="AC63" s="44">
        <f>IFERROR(SUMIF(T63:W63, "&lt;&gt;#N/A")/SUMIF('2. Salmon Passage by Bin'!L63:N63, "&lt;&gt;#N/A"), NA())</f>
        <v>0</v>
      </c>
    </row>
    <row r="64" spans="1:29" x14ac:dyDescent="0.3">
      <c r="A64" s="5">
        <f>'1. Mixture Model Inputs'!A64</f>
        <v>45166</v>
      </c>
      <c r="B64" s="13" t="str">
        <f>IF(ISBLANK('[1]Passage Estimates'!$C64),"",IF('[1]Passage Estimates'!$C64="Imputation",'[1]Passage Estimates'!$B64,'[1]Passage Estimates'!$C64))</f>
        <v>A1+S1+M2+A2</v>
      </c>
      <c r="C64" s="17" t="e">
        <f>IFERROR('1. Mixture Model Inputs'!J64/'1. Mixture Model Inputs'!Z64,NA())</f>
        <v>#N/A</v>
      </c>
      <c r="D64" s="17" t="e">
        <f>IFERROR('1. Mixture Model Inputs'!K64/'1. Mixture Model Inputs'!AA64,NA())</f>
        <v>#N/A</v>
      </c>
      <c r="E64" s="17" t="e">
        <f>IFERROR('1. Mixture Model Inputs'!L64/'1. Mixture Model Inputs'!AB64,NA())</f>
        <v>#N/A</v>
      </c>
      <c r="F64" s="17" t="e">
        <f>IFERROR('1. Mixture Model Inputs'!M64/'1. Mixture Model Inputs'!AC64,NA())</f>
        <v>#N/A</v>
      </c>
      <c r="G64" s="17" t="e">
        <f>IFERROR('1. Mixture Model Inputs'!N64/'1. Mixture Model Inputs'!AD64,NA())</f>
        <v>#N/A</v>
      </c>
      <c r="H64" s="24">
        <f>WhonSpComp!AV79</f>
        <v>0</v>
      </c>
      <c r="I64" s="17" t="e">
        <f>IFERROR('1. Mixture Model Inputs'!O64/'1. Mixture Model Inputs'!AE64, NA())</f>
        <v>#N/A</v>
      </c>
      <c r="J64" s="17" t="e">
        <f>IFERROR('1. Mixture Model Inputs'!P64/'1. Mixture Model Inputs'!AF64, NA())</f>
        <v>#N/A</v>
      </c>
      <c r="K64" s="17" t="e">
        <f>IFERROR('1. Mixture Model Inputs'!Q64/'1. Mixture Model Inputs'!AG64, NA())</f>
        <v>#N/A</v>
      </c>
      <c r="L64" s="22" t="e">
        <f>C64*'2. Salmon Passage by Bin'!C64</f>
        <v>#N/A</v>
      </c>
      <c r="M64" s="22" t="e">
        <f>D64*'2. Salmon Passage by Bin'!D64</f>
        <v>#N/A</v>
      </c>
      <c r="N64" s="22" t="e">
        <f>F64*'2. Salmon Passage by Bin'!F64</f>
        <v>#N/A</v>
      </c>
      <c r="O64" s="22" t="e">
        <f>G64*'2. Salmon Passage by Bin'!G64</f>
        <v>#N/A</v>
      </c>
      <c r="P64" s="22" t="e">
        <f>$G64*'2. Salmon Passage by Bin'!H64</f>
        <v>#N/A</v>
      </c>
      <c r="Q64" s="22" t="e">
        <f>$G64*'2. Salmon Passage by Bin'!I64</f>
        <v>#N/A</v>
      </c>
      <c r="R64" s="22" t="e">
        <f>$G64*'2. Salmon Passage by Bin'!J64</f>
        <v>#N/A</v>
      </c>
      <c r="S64" s="25">
        <f>'2. Salmon Passage by Bin'!K64*H64</f>
        <v>0</v>
      </c>
      <c r="T64" s="25" t="e">
        <f>K64*'2. Salmon Passage by Bin'!L64</f>
        <v>#N/A</v>
      </c>
      <c r="U64" s="25" t="e">
        <f>K64*'2. Salmon Passage by Bin'!M64</f>
        <v>#N/A</v>
      </c>
      <c r="V64" s="25" t="e">
        <f>J64*'2. Salmon Passage by Bin'!N64</f>
        <v>#N/A</v>
      </c>
      <c r="W64" s="25" t="e">
        <f>I64*'2. Salmon Passage by Bin'!O64</f>
        <v>#N/A</v>
      </c>
      <c r="X64" s="22" t="e">
        <f>E64*'2. Salmon Passage by Bin'!E64</f>
        <v>#N/A</v>
      </c>
      <c r="Y64" s="41">
        <f t="shared" si="0"/>
        <v>0</v>
      </c>
      <c r="Z64" s="42">
        <f>Y64/'[1]Passage Estimates'!$D64</f>
        <v>0</v>
      </c>
      <c r="AA64" s="43">
        <f>IFERROR(SUMIF(L64:R64, "&lt;&gt;#N/A")/SUMIF('2. Salmon Passage by Bin'!E64:J64, "&lt;&gt;#N/A"), NA())</f>
        <v>0</v>
      </c>
      <c r="AB64" s="42">
        <f>IFERROR(IF(ISNA(S64), NA(), S64/'2. Salmon Passage by Bin'!K64), NA())</f>
        <v>0</v>
      </c>
      <c r="AC64" s="44">
        <f>IFERROR(SUMIF(T64:W64, "&lt;&gt;#N/A")/SUMIF('2. Salmon Passage by Bin'!L64:N64, "&lt;&gt;#N/A"), NA())</f>
        <v>0</v>
      </c>
    </row>
    <row r="65" spans="1:29" x14ac:dyDescent="0.3">
      <c r="A65" s="5">
        <f>'1. Mixture Model Inputs'!A65</f>
        <v>45167</v>
      </c>
      <c r="B65" s="13" t="str">
        <f>IF(ISBLANK('[1]Passage Estimates'!$C65),"",IF('[1]Passage Estimates'!$C65="Imputation",'[1]Passage Estimates'!$B65,'[1]Passage Estimates'!$C65))</f>
        <v>A1+S1+M2+A2</v>
      </c>
      <c r="C65" s="17" t="e">
        <f>IFERROR('1. Mixture Model Inputs'!J65/'1. Mixture Model Inputs'!Z65,NA())</f>
        <v>#N/A</v>
      </c>
      <c r="D65" s="17" t="e">
        <f>IFERROR('1. Mixture Model Inputs'!K65/'1. Mixture Model Inputs'!AA65,NA())</f>
        <v>#N/A</v>
      </c>
      <c r="E65" s="17" t="e">
        <f>IFERROR('1. Mixture Model Inputs'!L65/'1. Mixture Model Inputs'!AB65,NA())</f>
        <v>#N/A</v>
      </c>
      <c r="F65" s="17" t="e">
        <f>IFERROR('1. Mixture Model Inputs'!M65/'1. Mixture Model Inputs'!AC65,NA())</f>
        <v>#N/A</v>
      </c>
      <c r="G65" s="17" t="e">
        <f>IFERROR('1. Mixture Model Inputs'!N65/'1. Mixture Model Inputs'!AD65,NA())</f>
        <v>#N/A</v>
      </c>
      <c r="H65" s="24">
        <f>WhonSpComp!AV80</f>
        <v>0</v>
      </c>
      <c r="I65" s="17" t="e">
        <f>IFERROR('1. Mixture Model Inputs'!O65/'1. Mixture Model Inputs'!AE65, NA())</f>
        <v>#N/A</v>
      </c>
      <c r="J65" s="17" t="e">
        <f>IFERROR('1. Mixture Model Inputs'!P65/'1. Mixture Model Inputs'!AF65, NA())</f>
        <v>#N/A</v>
      </c>
      <c r="K65" s="17" t="e">
        <f>IFERROR('1. Mixture Model Inputs'!Q65/'1. Mixture Model Inputs'!AG65, NA())</f>
        <v>#N/A</v>
      </c>
      <c r="L65" s="22" t="e">
        <f>C65*'2. Salmon Passage by Bin'!C65</f>
        <v>#N/A</v>
      </c>
      <c r="M65" s="22" t="e">
        <f>D65*'2. Salmon Passage by Bin'!D65</f>
        <v>#N/A</v>
      </c>
      <c r="N65" s="22" t="e">
        <f>F65*'2. Salmon Passage by Bin'!F65</f>
        <v>#N/A</v>
      </c>
      <c r="O65" s="22" t="e">
        <f>G65*'2. Salmon Passage by Bin'!G65</f>
        <v>#N/A</v>
      </c>
      <c r="P65" s="22" t="e">
        <f>$G65*'2. Salmon Passage by Bin'!H65</f>
        <v>#N/A</v>
      </c>
      <c r="Q65" s="22" t="e">
        <f>$G65*'2. Salmon Passage by Bin'!I65</f>
        <v>#N/A</v>
      </c>
      <c r="R65" s="22" t="e">
        <f>$G65*'2. Salmon Passage by Bin'!J65</f>
        <v>#N/A</v>
      </c>
      <c r="S65" s="25">
        <f>'2. Salmon Passage by Bin'!K65*H65</f>
        <v>0</v>
      </c>
      <c r="T65" s="25" t="e">
        <f>K65*'2. Salmon Passage by Bin'!L65</f>
        <v>#N/A</v>
      </c>
      <c r="U65" s="25" t="e">
        <f>K65*'2. Salmon Passage by Bin'!M65</f>
        <v>#N/A</v>
      </c>
      <c r="V65" s="25" t="e">
        <f>J65*'2. Salmon Passage by Bin'!N65</f>
        <v>#N/A</v>
      </c>
      <c r="W65" s="25" t="e">
        <f>I65*'2. Salmon Passage by Bin'!O65</f>
        <v>#N/A</v>
      </c>
      <c r="X65" s="22" t="e">
        <f>E65*'2. Salmon Passage by Bin'!E65</f>
        <v>#N/A</v>
      </c>
      <c r="Y65" s="41">
        <f t="shared" si="0"/>
        <v>0</v>
      </c>
      <c r="Z65" s="42">
        <f>Y65/'[1]Passage Estimates'!$D65</f>
        <v>0</v>
      </c>
      <c r="AA65" s="43">
        <f>IFERROR(SUMIF(L65:R65, "&lt;&gt;#N/A")/SUMIF('2. Salmon Passage by Bin'!E65:J65, "&lt;&gt;#N/A"), NA())</f>
        <v>0</v>
      </c>
      <c r="AB65" s="42">
        <f>IFERROR(IF(ISNA(S65), NA(), S65/'2. Salmon Passage by Bin'!K65), NA())</f>
        <v>0</v>
      </c>
      <c r="AC65" s="44">
        <f>IFERROR(SUMIF(T65:W65, "&lt;&gt;#N/A")/SUMIF('2. Salmon Passage by Bin'!L65:N65, "&lt;&gt;#N/A"), NA())</f>
        <v>0</v>
      </c>
    </row>
    <row r="66" spans="1:29" x14ac:dyDescent="0.3">
      <c r="A66" s="5">
        <f>'1. Mixture Model Inputs'!A66</f>
        <v>45168</v>
      </c>
      <c r="B66" s="13" t="str">
        <f>IF(ISBLANK('[1]Passage Estimates'!$C66),"",IF('[1]Passage Estimates'!$C66="Imputation",'[1]Passage Estimates'!$B66,'[1]Passage Estimates'!$C66))</f>
        <v>A1+S1+M2+A2</v>
      </c>
      <c r="C66" s="17" t="e">
        <f>IFERROR('1. Mixture Model Inputs'!J66/'1. Mixture Model Inputs'!Z66,NA())</f>
        <v>#N/A</v>
      </c>
      <c r="D66" s="17" t="e">
        <f>IFERROR('1. Mixture Model Inputs'!K66/'1. Mixture Model Inputs'!AA66,NA())</f>
        <v>#N/A</v>
      </c>
      <c r="E66" s="17" t="e">
        <f>IFERROR('1. Mixture Model Inputs'!L66/'1. Mixture Model Inputs'!AB66,NA())</f>
        <v>#N/A</v>
      </c>
      <c r="F66" s="17" t="e">
        <f>IFERROR('1. Mixture Model Inputs'!M66/'1. Mixture Model Inputs'!AC66,NA())</f>
        <v>#N/A</v>
      </c>
      <c r="G66" s="17" t="e">
        <f>IFERROR('1. Mixture Model Inputs'!N66/'1. Mixture Model Inputs'!AD66,NA())</f>
        <v>#N/A</v>
      </c>
      <c r="H66" s="24">
        <f>WhonSpComp!AV81</f>
        <v>0</v>
      </c>
      <c r="I66" s="17" t="e">
        <f>IFERROR('1. Mixture Model Inputs'!O66/'1. Mixture Model Inputs'!AE66, NA())</f>
        <v>#N/A</v>
      </c>
      <c r="J66" s="17" t="e">
        <f>IFERROR('1. Mixture Model Inputs'!P66/'1. Mixture Model Inputs'!AF66, NA())</f>
        <v>#N/A</v>
      </c>
      <c r="K66" s="17" t="e">
        <f>IFERROR('1. Mixture Model Inputs'!Q66/'1. Mixture Model Inputs'!AG66, NA())</f>
        <v>#N/A</v>
      </c>
      <c r="L66" s="22" t="e">
        <f>C66*'2. Salmon Passage by Bin'!C66</f>
        <v>#N/A</v>
      </c>
      <c r="M66" s="22" t="e">
        <f>D66*'2. Salmon Passage by Bin'!D66</f>
        <v>#N/A</v>
      </c>
      <c r="N66" s="22" t="e">
        <f>F66*'2. Salmon Passage by Bin'!F66</f>
        <v>#N/A</v>
      </c>
      <c r="O66" s="22" t="e">
        <f>G66*'2. Salmon Passage by Bin'!G66</f>
        <v>#N/A</v>
      </c>
      <c r="P66" s="22" t="e">
        <f>$G66*'2. Salmon Passage by Bin'!H66</f>
        <v>#N/A</v>
      </c>
      <c r="Q66" s="22" t="e">
        <f>$G66*'2. Salmon Passage by Bin'!I66</f>
        <v>#N/A</v>
      </c>
      <c r="R66" s="22" t="e">
        <f>$G66*'2. Salmon Passage by Bin'!J66</f>
        <v>#N/A</v>
      </c>
      <c r="S66" s="25">
        <f>'2. Salmon Passage by Bin'!K66*H66</f>
        <v>0</v>
      </c>
      <c r="T66" s="25" t="e">
        <f>K66*'2. Salmon Passage by Bin'!L66</f>
        <v>#N/A</v>
      </c>
      <c r="U66" s="25" t="e">
        <f>K66*'2. Salmon Passage by Bin'!M66</f>
        <v>#N/A</v>
      </c>
      <c r="V66" s="25" t="e">
        <f>J66*'2. Salmon Passage by Bin'!N66</f>
        <v>#N/A</v>
      </c>
      <c r="W66" s="25" t="e">
        <f>I66*'2. Salmon Passage by Bin'!O66</f>
        <v>#N/A</v>
      </c>
      <c r="X66" s="22" t="e">
        <f>E66*'2. Salmon Passage by Bin'!E66</f>
        <v>#N/A</v>
      </c>
      <c r="Y66" s="41">
        <f t="shared" si="0"/>
        <v>0</v>
      </c>
      <c r="Z66" s="42">
        <f>Y66/'[1]Passage Estimates'!$D66</f>
        <v>0</v>
      </c>
      <c r="AA66" s="43">
        <f>IFERROR(SUMIF(L66:R66, "&lt;&gt;#N/A")/SUMIF('2. Salmon Passage by Bin'!E66:J66, "&lt;&gt;#N/A"), NA())</f>
        <v>0</v>
      </c>
      <c r="AB66" s="42">
        <f>IFERROR(IF(ISNA(S66), NA(), S66/'2. Salmon Passage by Bin'!K66), NA())</f>
        <v>0</v>
      </c>
      <c r="AC66" s="44">
        <f>IFERROR(SUMIF(T66:W66, "&lt;&gt;#N/A")/SUMIF('2. Salmon Passage by Bin'!L66:N66, "&lt;&gt;#N/A"), NA())</f>
        <v>0</v>
      </c>
    </row>
    <row r="67" spans="1:29" x14ac:dyDescent="0.3">
      <c r="A67" s="5">
        <f>'1. Mixture Model Inputs'!A67</f>
        <v>45169</v>
      </c>
      <c r="B67" s="13" t="str">
        <f>IF(ISBLANK('[1]Passage Estimates'!$C67),"",IF('[1]Passage Estimates'!$C67="Imputation",'[1]Passage Estimates'!$B67,'[1]Passage Estimates'!$C67))</f>
        <v>A1+S1+M2+A2</v>
      </c>
      <c r="C67" s="17" t="e">
        <f>IFERROR('1. Mixture Model Inputs'!J67/'1. Mixture Model Inputs'!Z67,NA())</f>
        <v>#N/A</v>
      </c>
      <c r="D67" s="17" t="e">
        <f>IFERROR('1. Mixture Model Inputs'!K67/'1. Mixture Model Inputs'!AA67,NA())</f>
        <v>#N/A</v>
      </c>
      <c r="E67" s="17" t="e">
        <f>IFERROR('1. Mixture Model Inputs'!L67/'1. Mixture Model Inputs'!AB67,NA())</f>
        <v>#N/A</v>
      </c>
      <c r="F67" s="17" t="e">
        <f>IFERROR('1. Mixture Model Inputs'!M67/'1. Mixture Model Inputs'!AC67,NA())</f>
        <v>#N/A</v>
      </c>
      <c r="G67" s="17" t="e">
        <f>IFERROR('1. Mixture Model Inputs'!N67/'1. Mixture Model Inputs'!AD67,NA())</f>
        <v>#N/A</v>
      </c>
      <c r="H67" s="24">
        <f>WhonSpComp!AV82</f>
        <v>1.3157894736842105E-2</v>
      </c>
      <c r="I67" s="17" t="e">
        <f>IFERROR('1. Mixture Model Inputs'!O67/'1. Mixture Model Inputs'!AE67, NA())</f>
        <v>#N/A</v>
      </c>
      <c r="J67" s="17" t="e">
        <f>IFERROR('1. Mixture Model Inputs'!P67/'1. Mixture Model Inputs'!AF67, NA())</f>
        <v>#N/A</v>
      </c>
      <c r="K67" s="17" t="e">
        <f>IFERROR('1. Mixture Model Inputs'!Q67/'1. Mixture Model Inputs'!AG67, NA())</f>
        <v>#N/A</v>
      </c>
      <c r="L67" s="22" t="e">
        <f>C67*'2. Salmon Passage by Bin'!C67</f>
        <v>#N/A</v>
      </c>
      <c r="M67" s="22" t="e">
        <f>D67*'2. Salmon Passage by Bin'!D67</f>
        <v>#N/A</v>
      </c>
      <c r="N67" s="22" t="e">
        <f>F67*'2. Salmon Passage by Bin'!F67</f>
        <v>#N/A</v>
      </c>
      <c r="O67" s="22" t="e">
        <f>G67*'2. Salmon Passage by Bin'!G67</f>
        <v>#N/A</v>
      </c>
      <c r="P67" s="22" t="e">
        <f>$G67*'2. Salmon Passage by Bin'!H67</f>
        <v>#N/A</v>
      </c>
      <c r="Q67" s="22" t="e">
        <f>$G67*'2. Salmon Passage by Bin'!I67</f>
        <v>#N/A</v>
      </c>
      <c r="R67" s="22" t="e">
        <f>$G67*'2. Salmon Passage by Bin'!J67</f>
        <v>#N/A</v>
      </c>
      <c r="S67" s="25">
        <f>'2. Salmon Passage by Bin'!K67*H67</f>
        <v>185.23578947368304</v>
      </c>
      <c r="T67" s="25" t="e">
        <f>K67*'2. Salmon Passage by Bin'!L67</f>
        <v>#N/A</v>
      </c>
      <c r="U67" s="25" t="e">
        <f>K67*'2. Salmon Passage by Bin'!M67</f>
        <v>#N/A</v>
      </c>
      <c r="V67" s="25" t="e">
        <f>J67*'2. Salmon Passage by Bin'!N67</f>
        <v>#N/A</v>
      </c>
      <c r="W67" s="25" t="e">
        <f>I67*'2. Salmon Passage by Bin'!O67</f>
        <v>#N/A</v>
      </c>
      <c r="X67" s="22" t="e">
        <f>E67*'2. Salmon Passage by Bin'!E67</f>
        <v>#N/A</v>
      </c>
      <c r="Y67" s="41">
        <f t="shared" si="0"/>
        <v>185.23578947368304</v>
      </c>
      <c r="Z67" s="42">
        <f>Y67/'[1]Passage Estimates'!$D67</f>
        <v>7.0036141600569835E-4</v>
      </c>
      <c r="AA67" s="43">
        <f>IFERROR(SUMIF(L67:R67, "&lt;&gt;#N/A")/SUMIF('2. Salmon Passage by Bin'!E67:J67, "&lt;&gt;#N/A"), NA())</f>
        <v>0</v>
      </c>
      <c r="AB67" s="42">
        <f>IFERROR(IF(ISNA(S67), NA(), S67/'2. Salmon Passage by Bin'!K67), NA())</f>
        <v>1.3157894736842106E-2</v>
      </c>
      <c r="AC67" s="44">
        <f>IFERROR(SUMIF(T67:W67, "&lt;&gt;#N/A")/SUMIF('2. Salmon Passage by Bin'!L67:N67, "&lt;&gt;#N/A"), NA())</f>
        <v>0</v>
      </c>
    </row>
    <row r="68" spans="1:29" x14ac:dyDescent="0.3">
      <c r="A68" s="5">
        <f>'1. Mixture Model Inputs'!A68</f>
        <v>45170</v>
      </c>
      <c r="B68" s="13" t="str">
        <f>IF(ISBLANK('[1]Passage Estimates'!$C68),"",IF('[1]Passage Estimates'!$C68="Imputation",'[1]Passage Estimates'!$B68,'[1]Passage Estimates'!$C68))</f>
        <v>A1+S1+M2+A2</v>
      </c>
      <c r="C68" s="17" t="e">
        <f>IFERROR('1. Mixture Model Inputs'!J68/'1. Mixture Model Inputs'!Z68,NA())</f>
        <v>#N/A</v>
      </c>
      <c r="D68" s="17" t="e">
        <f>IFERROR('1. Mixture Model Inputs'!K68/'1. Mixture Model Inputs'!AA68,NA())</f>
        <v>#N/A</v>
      </c>
      <c r="E68" s="17" t="e">
        <f>IFERROR('1. Mixture Model Inputs'!L68/'1. Mixture Model Inputs'!AB68,NA())</f>
        <v>#N/A</v>
      </c>
      <c r="F68" s="17" t="e">
        <f>IFERROR('1. Mixture Model Inputs'!M68/'1. Mixture Model Inputs'!AC68,NA())</f>
        <v>#N/A</v>
      </c>
      <c r="G68" s="17" t="e">
        <f>IFERROR('1. Mixture Model Inputs'!N68/'1. Mixture Model Inputs'!AD68,NA())</f>
        <v>#N/A</v>
      </c>
      <c r="H68" s="24">
        <f>WhonSpComp!AV83</f>
        <v>7.4074074074074077E-3</v>
      </c>
      <c r="I68" s="17" t="e">
        <f>IFERROR('1. Mixture Model Inputs'!O68/'1. Mixture Model Inputs'!AE68, NA())</f>
        <v>#N/A</v>
      </c>
      <c r="J68" s="17" t="e">
        <f>IFERROR('1. Mixture Model Inputs'!P68/'1. Mixture Model Inputs'!AF68, NA())</f>
        <v>#N/A</v>
      </c>
      <c r="K68" s="17" t="e">
        <f>IFERROR('1. Mixture Model Inputs'!Q68/'1. Mixture Model Inputs'!AG68, NA())</f>
        <v>#N/A</v>
      </c>
      <c r="L68" s="22" t="e">
        <f>C68*'2. Salmon Passage by Bin'!C68</f>
        <v>#N/A</v>
      </c>
      <c r="M68" s="22" t="e">
        <f>D68*'2. Salmon Passage by Bin'!D68</f>
        <v>#N/A</v>
      </c>
      <c r="N68" s="22" t="e">
        <f>F68*'2. Salmon Passage by Bin'!F68</f>
        <v>#N/A</v>
      </c>
      <c r="O68" s="22" t="e">
        <f>G68*'2. Salmon Passage by Bin'!G68</f>
        <v>#N/A</v>
      </c>
      <c r="P68" s="22" t="e">
        <f>$G68*'2. Salmon Passage by Bin'!H68</f>
        <v>#N/A</v>
      </c>
      <c r="Q68" s="22" t="e">
        <f>$G68*'2. Salmon Passage by Bin'!I68</f>
        <v>#N/A</v>
      </c>
      <c r="R68" s="22" t="e">
        <f>$G68*'2. Salmon Passage by Bin'!J68</f>
        <v>#N/A</v>
      </c>
      <c r="S68" s="25">
        <f>'2. Salmon Passage by Bin'!K68*H68</f>
        <v>208.99377777777653</v>
      </c>
      <c r="T68" s="25" t="e">
        <f>K68*'2. Salmon Passage by Bin'!L68</f>
        <v>#N/A</v>
      </c>
      <c r="U68" s="25" t="e">
        <f>K68*'2. Salmon Passage by Bin'!M68</f>
        <v>#N/A</v>
      </c>
      <c r="V68" s="25" t="e">
        <f>J68*'2. Salmon Passage by Bin'!N68</f>
        <v>#N/A</v>
      </c>
      <c r="W68" s="25" t="e">
        <f>I68*'2. Salmon Passage by Bin'!O68</f>
        <v>#N/A</v>
      </c>
      <c r="X68" s="22" t="e">
        <f>E68*'2. Salmon Passage by Bin'!E68</f>
        <v>#N/A</v>
      </c>
      <c r="Y68" s="41">
        <f t="shared" si="0"/>
        <v>208.99377777777653</v>
      </c>
      <c r="Z68" s="42">
        <f>Y68/'[1]Passage Estimates'!$D68</f>
        <v>8.7285862517656775E-4</v>
      </c>
      <c r="AA68" s="43">
        <f>IFERROR(SUMIF(L68:R68, "&lt;&gt;#N/A")/SUMIF('2. Salmon Passage by Bin'!E68:J68, "&lt;&gt;#N/A"), NA())</f>
        <v>0</v>
      </c>
      <c r="AB68" s="42">
        <f>IFERROR(IF(ISNA(S68), NA(), S68/'2. Salmon Passage by Bin'!K68), NA())</f>
        <v>7.4074074074074077E-3</v>
      </c>
      <c r="AC68" s="44">
        <f>IFERROR(SUMIF(T68:W68, "&lt;&gt;#N/A")/SUMIF('2. Salmon Passage by Bin'!L68:N68, "&lt;&gt;#N/A"), NA())</f>
        <v>0</v>
      </c>
    </row>
    <row r="69" spans="1:29" x14ac:dyDescent="0.3">
      <c r="A69" s="5">
        <f>'1. Mixture Model Inputs'!A69</f>
        <v>45171</v>
      </c>
      <c r="B69" s="13" t="str">
        <f>IF(ISBLANK('[1]Passage Estimates'!$C69),"",IF('[1]Passage Estimates'!$C69="Imputation",'[1]Passage Estimates'!$B69,'[1]Passage Estimates'!$C69))</f>
        <v>A1+S1+M2+A2</v>
      </c>
      <c r="C69" s="17" t="e">
        <f>IFERROR('1. Mixture Model Inputs'!J69/'1. Mixture Model Inputs'!Z69,NA())</f>
        <v>#N/A</v>
      </c>
      <c r="D69" s="17" t="e">
        <f>IFERROR('1. Mixture Model Inputs'!K69/'1. Mixture Model Inputs'!AA69,NA())</f>
        <v>#N/A</v>
      </c>
      <c r="E69" s="17" t="e">
        <f>IFERROR('1. Mixture Model Inputs'!L69/'1. Mixture Model Inputs'!AB69,NA())</f>
        <v>#N/A</v>
      </c>
      <c r="F69" s="17" t="e">
        <f>IFERROR('1. Mixture Model Inputs'!M69/'1. Mixture Model Inputs'!AC69,NA())</f>
        <v>#N/A</v>
      </c>
      <c r="G69" s="17" t="e">
        <f>IFERROR('1. Mixture Model Inputs'!N69/'1. Mixture Model Inputs'!AD69,NA())</f>
        <v>#N/A</v>
      </c>
      <c r="H69" s="24">
        <f>WhonSpComp!AV84</f>
        <v>1.6891891891891893E-2</v>
      </c>
      <c r="I69" s="17" t="e">
        <f>IFERROR('1. Mixture Model Inputs'!O69/'1. Mixture Model Inputs'!AE69, NA())</f>
        <v>#N/A</v>
      </c>
      <c r="J69" s="17" t="e">
        <f>IFERROR('1. Mixture Model Inputs'!P69/'1. Mixture Model Inputs'!AF69, NA())</f>
        <v>#N/A</v>
      </c>
      <c r="K69" s="17" t="e">
        <f>IFERROR('1. Mixture Model Inputs'!Q69/'1. Mixture Model Inputs'!AG69, NA())</f>
        <v>#N/A</v>
      </c>
      <c r="L69" s="22" t="e">
        <f>C69*'2. Salmon Passage by Bin'!C69</f>
        <v>#N/A</v>
      </c>
      <c r="M69" s="22" t="e">
        <f>D69*'2. Salmon Passage by Bin'!D69</f>
        <v>#N/A</v>
      </c>
      <c r="N69" s="22" t="e">
        <f>F69*'2. Salmon Passage by Bin'!F69</f>
        <v>#N/A</v>
      </c>
      <c r="O69" s="22" t="e">
        <f>G69*'2. Salmon Passage by Bin'!G69</f>
        <v>#N/A</v>
      </c>
      <c r="P69" s="22" t="e">
        <f>$G69*'2. Salmon Passage by Bin'!H69</f>
        <v>#N/A</v>
      </c>
      <c r="Q69" s="22" t="e">
        <f>$G69*'2. Salmon Passage by Bin'!I69</f>
        <v>#N/A</v>
      </c>
      <c r="R69" s="22" t="e">
        <f>$G69*'2. Salmon Passage by Bin'!J69</f>
        <v>#N/A</v>
      </c>
      <c r="S69" s="25">
        <f>'2. Salmon Passage by Bin'!K69*H69</f>
        <v>634.52335135134717</v>
      </c>
      <c r="T69" s="25" t="e">
        <f>K69*'2. Salmon Passage by Bin'!L69</f>
        <v>#N/A</v>
      </c>
      <c r="U69" s="25" t="e">
        <f>K69*'2. Salmon Passage by Bin'!M69</f>
        <v>#N/A</v>
      </c>
      <c r="V69" s="25" t="e">
        <f>J69*'2. Salmon Passage by Bin'!N69</f>
        <v>#N/A</v>
      </c>
      <c r="W69" s="25" t="e">
        <f>I69*'2. Salmon Passage by Bin'!O69</f>
        <v>#N/A</v>
      </c>
      <c r="X69" s="22" t="e">
        <f>E69*'2. Salmon Passage by Bin'!E69</f>
        <v>#N/A</v>
      </c>
      <c r="Y69" s="41">
        <f t="shared" si="0"/>
        <v>634.52335135134717</v>
      </c>
      <c r="Z69" s="42">
        <f>Y69/'[1]Passage Estimates'!$D69</f>
        <v>1.069617138328159E-3</v>
      </c>
      <c r="AA69" s="43">
        <f>IFERROR(SUMIF(L69:R69, "&lt;&gt;#N/A")/SUMIF('2. Salmon Passage by Bin'!E69:J69, "&lt;&gt;#N/A"), NA())</f>
        <v>0</v>
      </c>
      <c r="AB69" s="42">
        <f>IFERROR(IF(ISNA(S69), NA(), S69/'2. Salmon Passage by Bin'!K69), NA())</f>
        <v>1.6891891891891893E-2</v>
      </c>
      <c r="AC69" s="44">
        <f>IFERROR(SUMIF(T69:W69, "&lt;&gt;#N/A")/SUMIF('2. Salmon Passage by Bin'!L69:N69, "&lt;&gt;#N/A"), NA())</f>
        <v>0</v>
      </c>
    </row>
    <row r="70" spans="1:29" x14ac:dyDescent="0.3">
      <c r="A70" s="5">
        <f>'1. Mixture Model Inputs'!A70</f>
        <v>45172</v>
      </c>
      <c r="B70" s="13" t="str">
        <f>IF(ISBLANK('[1]Passage Estimates'!$C70),"",IF('[1]Passage Estimates'!$C70="Imputation",'[1]Passage Estimates'!$B70,'[1]Passage Estimates'!$C70))</f>
        <v>A1+S1+M2+A2</v>
      </c>
      <c r="C70" s="17" t="e">
        <f>IFERROR('1. Mixture Model Inputs'!J70/'1. Mixture Model Inputs'!Z70,NA())</f>
        <v>#N/A</v>
      </c>
      <c r="D70" s="17" t="e">
        <f>IFERROR('1. Mixture Model Inputs'!K70/'1. Mixture Model Inputs'!AA70,NA())</f>
        <v>#N/A</v>
      </c>
      <c r="E70" s="17" t="e">
        <f>IFERROR('1. Mixture Model Inputs'!L70/'1. Mixture Model Inputs'!AB70,NA())</f>
        <v>#N/A</v>
      </c>
      <c r="F70" s="17" t="e">
        <f>IFERROR('1. Mixture Model Inputs'!M70/'1. Mixture Model Inputs'!AC70,NA())</f>
        <v>#N/A</v>
      </c>
      <c r="G70" s="17" t="e">
        <f>IFERROR('1. Mixture Model Inputs'!N70/'1. Mixture Model Inputs'!AD70,NA())</f>
        <v>#N/A</v>
      </c>
      <c r="H70" s="24">
        <f>WhonSpComp!AV85</f>
        <v>0</v>
      </c>
      <c r="I70" s="17" t="e">
        <f>IFERROR('1. Mixture Model Inputs'!O70/'1. Mixture Model Inputs'!AE70, NA())</f>
        <v>#N/A</v>
      </c>
      <c r="J70" s="17" t="e">
        <f>IFERROR('1. Mixture Model Inputs'!P70/'1. Mixture Model Inputs'!AF70, NA())</f>
        <v>#N/A</v>
      </c>
      <c r="K70" s="17" t="e">
        <f>IFERROR('1. Mixture Model Inputs'!Q70/'1. Mixture Model Inputs'!AG70, NA())</f>
        <v>#N/A</v>
      </c>
      <c r="L70" s="22" t="e">
        <f>C70*'2. Salmon Passage by Bin'!C70</f>
        <v>#N/A</v>
      </c>
      <c r="M70" s="22" t="e">
        <f>D70*'2. Salmon Passage by Bin'!D70</f>
        <v>#N/A</v>
      </c>
      <c r="N70" s="22" t="e">
        <f>F70*'2. Salmon Passage by Bin'!F70</f>
        <v>#N/A</v>
      </c>
      <c r="O70" s="22" t="e">
        <f>G70*'2. Salmon Passage by Bin'!G70</f>
        <v>#N/A</v>
      </c>
      <c r="P70" s="22" t="e">
        <f>$G70*'2. Salmon Passage by Bin'!H70</f>
        <v>#N/A</v>
      </c>
      <c r="Q70" s="22" t="e">
        <f>$G70*'2. Salmon Passage by Bin'!I70</f>
        <v>#N/A</v>
      </c>
      <c r="R70" s="22" t="e">
        <f>$G70*'2. Salmon Passage by Bin'!J70</f>
        <v>#N/A</v>
      </c>
      <c r="S70" s="25">
        <f>'2. Salmon Passage by Bin'!K70*H70</f>
        <v>0</v>
      </c>
      <c r="T70" s="25" t="e">
        <f>K70*'2. Salmon Passage by Bin'!L70</f>
        <v>#N/A</v>
      </c>
      <c r="U70" s="25" t="e">
        <f>K70*'2. Salmon Passage by Bin'!M70</f>
        <v>#N/A</v>
      </c>
      <c r="V70" s="25" t="e">
        <f>J70*'2. Salmon Passage by Bin'!N70</f>
        <v>#N/A</v>
      </c>
      <c r="W70" s="25" t="e">
        <f>I70*'2. Salmon Passage by Bin'!O70</f>
        <v>#N/A</v>
      </c>
      <c r="X70" s="22" t="e">
        <f>E70*'2. Salmon Passage by Bin'!E70</f>
        <v>#N/A</v>
      </c>
      <c r="Y70" s="41">
        <f t="shared" si="0"/>
        <v>0</v>
      </c>
      <c r="Z70" s="42">
        <f>Y70/'[1]Passage Estimates'!$D70</f>
        <v>0</v>
      </c>
      <c r="AA70" s="43">
        <f>IFERROR(SUMIF(L70:R70, "&lt;&gt;#N/A")/SUMIF('2. Salmon Passage by Bin'!E70:J70, "&lt;&gt;#N/A"), NA())</f>
        <v>0</v>
      </c>
      <c r="AB70" s="42">
        <f>IFERROR(IF(ISNA(S70), NA(), S70/'2. Salmon Passage by Bin'!K70), NA())</f>
        <v>0</v>
      </c>
      <c r="AC70" s="44">
        <f>IFERROR(SUMIF(T70:W70, "&lt;&gt;#N/A")/SUMIF('2. Salmon Passage by Bin'!L70:N70, "&lt;&gt;#N/A"), NA())</f>
        <v>0</v>
      </c>
    </row>
    <row r="71" spans="1:29" x14ac:dyDescent="0.3">
      <c r="A71" s="5">
        <f>'1. Mixture Model Inputs'!A71</f>
        <v>45173</v>
      </c>
      <c r="B71" s="13" t="str">
        <f>IF(ISBLANK('[1]Passage Estimates'!$C71),"",IF('[1]Passage Estimates'!$C71="Imputation",'[1]Passage Estimates'!$B71,'[1]Passage Estimates'!$C71))</f>
        <v>A1+S1+M2+A2</v>
      </c>
      <c r="C71" s="17" t="e">
        <f>IFERROR('1. Mixture Model Inputs'!J71/'1. Mixture Model Inputs'!Z71,NA())</f>
        <v>#N/A</v>
      </c>
      <c r="D71" s="17" t="e">
        <f>IFERROR('1. Mixture Model Inputs'!K71/'1. Mixture Model Inputs'!AA71,NA())</f>
        <v>#N/A</v>
      </c>
      <c r="E71" s="17" t="e">
        <f>IFERROR('1. Mixture Model Inputs'!L71/'1. Mixture Model Inputs'!AB71,NA())</f>
        <v>#N/A</v>
      </c>
      <c r="F71" s="17" t="e">
        <f>IFERROR('1. Mixture Model Inputs'!M71/'1. Mixture Model Inputs'!AC71,NA())</f>
        <v>#N/A</v>
      </c>
      <c r="G71" s="17" t="e">
        <f>IFERROR('1. Mixture Model Inputs'!N71/'1. Mixture Model Inputs'!AD71,NA())</f>
        <v>#N/A</v>
      </c>
      <c r="H71" s="24">
        <f>WhonSpComp!AV86</f>
        <v>0</v>
      </c>
      <c r="I71" s="17" t="e">
        <f>IFERROR('1. Mixture Model Inputs'!O71/'1. Mixture Model Inputs'!AE71, NA())</f>
        <v>#N/A</v>
      </c>
      <c r="J71" s="17" t="e">
        <f>IFERROR('1. Mixture Model Inputs'!P71/'1. Mixture Model Inputs'!AF71, NA())</f>
        <v>#N/A</v>
      </c>
      <c r="K71" s="17" t="e">
        <f>IFERROR('1. Mixture Model Inputs'!Q71/'1. Mixture Model Inputs'!AG71, NA())</f>
        <v>#N/A</v>
      </c>
      <c r="L71" s="22" t="e">
        <f>C71*'2. Salmon Passage by Bin'!C71</f>
        <v>#N/A</v>
      </c>
      <c r="M71" s="22" t="e">
        <f>D71*'2. Salmon Passage by Bin'!D71</f>
        <v>#N/A</v>
      </c>
      <c r="N71" s="22" t="e">
        <f>F71*'2. Salmon Passage by Bin'!F71</f>
        <v>#N/A</v>
      </c>
      <c r="O71" s="22" t="e">
        <f>G71*'2. Salmon Passage by Bin'!G71</f>
        <v>#N/A</v>
      </c>
      <c r="P71" s="22" t="e">
        <f>$G71*'2. Salmon Passage by Bin'!H71</f>
        <v>#N/A</v>
      </c>
      <c r="Q71" s="22" t="e">
        <f>$G71*'2. Salmon Passage by Bin'!I71</f>
        <v>#N/A</v>
      </c>
      <c r="R71" s="22" t="e">
        <f>$G71*'2. Salmon Passage by Bin'!J71</f>
        <v>#N/A</v>
      </c>
      <c r="S71" s="25">
        <f>'2. Salmon Passage by Bin'!K71*H71</f>
        <v>0</v>
      </c>
      <c r="T71" s="25" t="e">
        <f>K71*'2. Salmon Passage by Bin'!L71</f>
        <v>#N/A</v>
      </c>
      <c r="U71" s="25" t="e">
        <f>K71*'2. Salmon Passage by Bin'!M71</f>
        <v>#N/A</v>
      </c>
      <c r="V71" s="25" t="e">
        <f>J71*'2. Salmon Passage by Bin'!N71</f>
        <v>#N/A</v>
      </c>
      <c r="W71" s="25" t="e">
        <f>I71*'2. Salmon Passage by Bin'!O71</f>
        <v>#N/A</v>
      </c>
      <c r="X71" s="22" t="e">
        <f>E71*'2. Salmon Passage by Bin'!E71</f>
        <v>#N/A</v>
      </c>
      <c r="Y71" s="41">
        <f t="shared" ref="Y71:Y128" si="1">IF(B71="M",S71,IF(AND(ISNUMBER(SEARCH("A1*",B71)),SUMIF(L71:W71,"&lt;&gt;#N/A")&gt;0),SUMIF(L71:W71,"&lt;&gt;#N/A"),IF(SUMIF(N71:X71,"&lt;&gt;#N/A")&gt;0,SUMIF(N71:X71,"&lt;&gt;#N/A"),0)))</f>
        <v>0</v>
      </c>
      <c r="Z71" s="42">
        <f>Y71/'[1]Passage Estimates'!$D71</f>
        <v>0</v>
      </c>
      <c r="AA71" s="43">
        <f>IFERROR(SUMIF(L71:R71, "&lt;&gt;#N/A")/SUMIF('2. Salmon Passage by Bin'!E71:J71, "&lt;&gt;#N/A"), NA())</f>
        <v>0</v>
      </c>
      <c r="AB71" s="42">
        <f>IFERROR(IF(ISNA(S71), NA(), S71/'2. Salmon Passage by Bin'!K71), NA())</f>
        <v>0</v>
      </c>
      <c r="AC71" s="44">
        <f>IFERROR(SUMIF(T71:W71, "&lt;&gt;#N/A")/SUMIF('2. Salmon Passage by Bin'!L71:N71, "&lt;&gt;#N/A"), NA())</f>
        <v>0</v>
      </c>
    </row>
    <row r="72" spans="1:29" x14ac:dyDescent="0.3">
      <c r="A72" s="5">
        <f>'1. Mixture Model Inputs'!A72</f>
        <v>45174</v>
      </c>
      <c r="B72" s="13" t="str">
        <f>IF(ISBLANK('[1]Passage Estimates'!$C72),"",IF('[1]Passage Estimates'!$C72="Imputation",'[1]Passage Estimates'!$B72,'[1]Passage Estimates'!$C72))</f>
        <v>A1+S1+M2+A2</v>
      </c>
      <c r="C72" s="17" t="e">
        <f>IFERROR('1. Mixture Model Inputs'!J72/'1. Mixture Model Inputs'!Z72,NA())</f>
        <v>#N/A</v>
      </c>
      <c r="D72" s="17" t="e">
        <f>IFERROR('1. Mixture Model Inputs'!K72/'1. Mixture Model Inputs'!AA72,NA())</f>
        <v>#N/A</v>
      </c>
      <c r="E72" s="17" t="e">
        <f>IFERROR('1. Mixture Model Inputs'!L72/'1. Mixture Model Inputs'!AB72,NA())</f>
        <v>#N/A</v>
      </c>
      <c r="F72" s="17" t="e">
        <f>IFERROR('1. Mixture Model Inputs'!M72/'1. Mixture Model Inputs'!AC72,NA())</f>
        <v>#N/A</v>
      </c>
      <c r="G72" s="17" t="e">
        <f>IFERROR('1. Mixture Model Inputs'!N72/'1. Mixture Model Inputs'!AD72,NA())</f>
        <v>#N/A</v>
      </c>
      <c r="H72" s="24">
        <f>WhonSpComp!AV87</f>
        <v>0</v>
      </c>
      <c r="I72" s="17" t="e">
        <f>IFERROR('1. Mixture Model Inputs'!O72/'1. Mixture Model Inputs'!AE72, NA())</f>
        <v>#N/A</v>
      </c>
      <c r="J72" s="17" t="e">
        <f>IFERROR('1. Mixture Model Inputs'!P72/'1. Mixture Model Inputs'!AF72, NA())</f>
        <v>#N/A</v>
      </c>
      <c r="K72" s="17" t="e">
        <f>IFERROR('1. Mixture Model Inputs'!Q72/'1. Mixture Model Inputs'!AG72, NA())</f>
        <v>#N/A</v>
      </c>
      <c r="L72" s="22" t="e">
        <f>C72*'2. Salmon Passage by Bin'!C72</f>
        <v>#N/A</v>
      </c>
      <c r="M72" s="22" t="e">
        <f>D72*'2. Salmon Passage by Bin'!D72</f>
        <v>#N/A</v>
      </c>
      <c r="N72" s="22" t="e">
        <f>F72*'2. Salmon Passage by Bin'!F72</f>
        <v>#N/A</v>
      </c>
      <c r="O72" s="22" t="e">
        <f>G72*'2. Salmon Passage by Bin'!G72</f>
        <v>#N/A</v>
      </c>
      <c r="P72" s="22" t="e">
        <f>$G72*'2. Salmon Passage by Bin'!H72</f>
        <v>#N/A</v>
      </c>
      <c r="Q72" s="22" t="e">
        <f>$G72*'2. Salmon Passage by Bin'!I72</f>
        <v>#N/A</v>
      </c>
      <c r="R72" s="22" t="e">
        <f>$G72*'2. Salmon Passage by Bin'!J72</f>
        <v>#N/A</v>
      </c>
      <c r="S72" s="25">
        <f>'2. Salmon Passage by Bin'!K72*H72</f>
        <v>0</v>
      </c>
      <c r="T72" s="25" t="e">
        <f>K72*'2. Salmon Passage by Bin'!L72</f>
        <v>#N/A</v>
      </c>
      <c r="U72" s="25" t="e">
        <f>K72*'2. Salmon Passage by Bin'!M72</f>
        <v>#N/A</v>
      </c>
      <c r="V72" s="25" t="e">
        <f>J72*'2. Salmon Passage by Bin'!N72</f>
        <v>#N/A</v>
      </c>
      <c r="W72" s="25" t="e">
        <f>I72*'2. Salmon Passage by Bin'!O72</f>
        <v>#N/A</v>
      </c>
      <c r="X72" s="22" t="e">
        <f>E72*'2. Salmon Passage by Bin'!E72</f>
        <v>#N/A</v>
      </c>
      <c r="Y72" s="41">
        <f t="shared" si="1"/>
        <v>0</v>
      </c>
      <c r="Z72" s="42">
        <f>Y72/'[1]Passage Estimates'!$D72</f>
        <v>0</v>
      </c>
      <c r="AA72" s="43">
        <f>IFERROR(SUMIF(L72:R72, "&lt;&gt;#N/A")/SUMIF('2. Salmon Passage by Bin'!E72:J72, "&lt;&gt;#N/A"), NA())</f>
        <v>0</v>
      </c>
      <c r="AB72" s="42">
        <f>IFERROR(IF(ISNA(S72), NA(), S72/'2. Salmon Passage by Bin'!K72), NA())</f>
        <v>0</v>
      </c>
      <c r="AC72" s="44">
        <f>IFERROR(SUMIF(T72:W72, "&lt;&gt;#N/A")/SUMIF('2. Salmon Passage by Bin'!L72:N72, "&lt;&gt;#N/A"), NA())</f>
        <v>0</v>
      </c>
    </row>
    <row r="73" spans="1:29" x14ac:dyDescent="0.3">
      <c r="A73" s="5">
        <f>'1. Mixture Model Inputs'!A73</f>
        <v>45175</v>
      </c>
      <c r="B73" s="13" t="str">
        <f>IF(ISBLANK('[1]Passage Estimates'!$C73),"",IF('[1]Passage Estimates'!$C73="Imputation",'[1]Passage Estimates'!$B73,'[1]Passage Estimates'!$C73))</f>
        <v>A1+S1+M2+A2</v>
      </c>
      <c r="C73" s="17" t="e">
        <f>IFERROR('1. Mixture Model Inputs'!J73/'1. Mixture Model Inputs'!Z73,NA())</f>
        <v>#N/A</v>
      </c>
      <c r="D73" s="17" t="e">
        <f>IFERROR('1. Mixture Model Inputs'!K73/'1. Mixture Model Inputs'!AA73,NA())</f>
        <v>#N/A</v>
      </c>
      <c r="E73" s="17" t="e">
        <f>IFERROR('1. Mixture Model Inputs'!L73/'1. Mixture Model Inputs'!AB73,NA())</f>
        <v>#N/A</v>
      </c>
      <c r="F73" s="17" t="e">
        <f>IFERROR('1. Mixture Model Inputs'!M73/'1. Mixture Model Inputs'!AC73,NA())</f>
        <v>#N/A</v>
      </c>
      <c r="G73" s="17" t="e">
        <f>IFERROR('1. Mixture Model Inputs'!N73/'1. Mixture Model Inputs'!AD73,NA())</f>
        <v>#N/A</v>
      </c>
      <c r="H73" s="24">
        <f>WhonSpComp!AV88</f>
        <v>0</v>
      </c>
      <c r="I73" s="17" t="e">
        <f>IFERROR('1. Mixture Model Inputs'!O73/'1. Mixture Model Inputs'!AE73, NA())</f>
        <v>#N/A</v>
      </c>
      <c r="J73" s="17" t="e">
        <f>IFERROR('1. Mixture Model Inputs'!P73/'1. Mixture Model Inputs'!AF73, NA())</f>
        <v>#N/A</v>
      </c>
      <c r="K73" s="17" t="e">
        <f>IFERROR('1. Mixture Model Inputs'!Q73/'1. Mixture Model Inputs'!AG73, NA())</f>
        <v>#N/A</v>
      </c>
      <c r="L73" s="22" t="e">
        <f>C73*'2. Salmon Passage by Bin'!C73</f>
        <v>#N/A</v>
      </c>
      <c r="M73" s="22" t="e">
        <f>D73*'2. Salmon Passage by Bin'!D73</f>
        <v>#N/A</v>
      </c>
      <c r="N73" s="22" t="e">
        <f>F73*'2. Salmon Passage by Bin'!F73</f>
        <v>#N/A</v>
      </c>
      <c r="O73" s="22" t="e">
        <f>G73*'2. Salmon Passage by Bin'!G73</f>
        <v>#N/A</v>
      </c>
      <c r="P73" s="22" t="e">
        <f>$G73*'2. Salmon Passage by Bin'!H73</f>
        <v>#N/A</v>
      </c>
      <c r="Q73" s="22" t="e">
        <f>$G73*'2. Salmon Passage by Bin'!I73</f>
        <v>#N/A</v>
      </c>
      <c r="R73" s="22" t="e">
        <f>$G73*'2. Salmon Passage by Bin'!J73</f>
        <v>#N/A</v>
      </c>
      <c r="S73" s="25">
        <f>'2. Salmon Passage by Bin'!K73*H73</f>
        <v>0</v>
      </c>
      <c r="T73" s="25" t="e">
        <f>K73*'2. Salmon Passage by Bin'!L73</f>
        <v>#N/A</v>
      </c>
      <c r="U73" s="25" t="e">
        <f>K73*'2. Salmon Passage by Bin'!M73</f>
        <v>#N/A</v>
      </c>
      <c r="V73" s="25" t="e">
        <f>J73*'2. Salmon Passage by Bin'!N73</f>
        <v>#N/A</v>
      </c>
      <c r="W73" s="25" t="e">
        <f>I73*'2. Salmon Passage by Bin'!O73</f>
        <v>#N/A</v>
      </c>
      <c r="X73" s="22" t="e">
        <f>E73*'2. Salmon Passage by Bin'!E73</f>
        <v>#N/A</v>
      </c>
      <c r="Y73" s="41">
        <f t="shared" si="1"/>
        <v>0</v>
      </c>
      <c r="Z73" s="42">
        <f>Y73/'[1]Passage Estimates'!$D73</f>
        <v>0</v>
      </c>
      <c r="AA73" s="43">
        <f>IFERROR(SUMIF(L73:R73, "&lt;&gt;#N/A")/SUMIF('2. Salmon Passage by Bin'!E73:J73, "&lt;&gt;#N/A"), NA())</f>
        <v>0</v>
      </c>
      <c r="AB73" s="42">
        <f>IFERROR(IF(ISNA(S73), NA(), S73/'2. Salmon Passage by Bin'!K73), NA())</f>
        <v>0</v>
      </c>
      <c r="AC73" s="44">
        <f>IFERROR(SUMIF(T73:W73, "&lt;&gt;#N/A")/SUMIF('2. Salmon Passage by Bin'!L73:N73, "&lt;&gt;#N/A"), NA())</f>
        <v>0</v>
      </c>
    </row>
    <row r="74" spans="1:29" x14ac:dyDescent="0.3">
      <c r="A74" s="5">
        <f>'1. Mixture Model Inputs'!A74</f>
        <v>45176</v>
      </c>
      <c r="B74" s="13" t="str">
        <f>IF(ISBLANK('[1]Passage Estimates'!$C74),"",IF('[1]Passage Estimates'!$C74="Imputation",'[1]Passage Estimates'!$B74,'[1]Passage Estimates'!$C74))</f>
        <v>A1+S1+M2+A2</v>
      </c>
      <c r="C74" s="17" t="e">
        <f>IFERROR('1. Mixture Model Inputs'!J74/'1. Mixture Model Inputs'!Z74,NA())</f>
        <v>#N/A</v>
      </c>
      <c r="D74" s="17" t="e">
        <f>IFERROR('1. Mixture Model Inputs'!K74/'1. Mixture Model Inputs'!AA74,NA())</f>
        <v>#N/A</v>
      </c>
      <c r="E74" s="17" t="e">
        <f>IFERROR('1. Mixture Model Inputs'!L74/'1. Mixture Model Inputs'!AB74,NA())</f>
        <v>#N/A</v>
      </c>
      <c r="F74" s="17" t="e">
        <f>IFERROR('1. Mixture Model Inputs'!M74/'1. Mixture Model Inputs'!AC74,NA())</f>
        <v>#N/A</v>
      </c>
      <c r="G74" s="17" t="e">
        <f>IFERROR('1. Mixture Model Inputs'!N74/'1. Mixture Model Inputs'!AD74,NA())</f>
        <v>#N/A</v>
      </c>
      <c r="H74" s="24">
        <f>WhonSpComp!AV89</f>
        <v>0.04</v>
      </c>
      <c r="I74" s="17" t="e">
        <f>IFERROR('1. Mixture Model Inputs'!O74/'1. Mixture Model Inputs'!AE74, NA())</f>
        <v>#N/A</v>
      </c>
      <c r="J74" s="17" t="e">
        <f>IFERROR('1. Mixture Model Inputs'!P74/'1. Mixture Model Inputs'!AF74, NA())</f>
        <v>#N/A</v>
      </c>
      <c r="K74" s="17" t="e">
        <f>IFERROR('1. Mixture Model Inputs'!Q74/'1. Mixture Model Inputs'!AG74, NA())</f>
        <v>#N/A</v>
      </c>
      <c r="L74" s="22" t="e">
        <f>C74*'2. Salmon Passage by Bin'!C74</f>
        <v>#N/A</v>
      </c>
      <c r="M74" s="22" t="e">
        <f>D74*'2. Salmon Passage by Bin'!D74</f>
        <v>#N/A</v>
      </c>
      <c r="N74" s="22" t="e">
        <f>F74*'2. Salmon Passage by Bin'!F74</f>
        <v>#N/A</v>
      </c>
      <c r="O74" s="22" t="e">
        <f>G74*'2. Salmon Passage by Bin'!G74</f>
        <v>#N/A</v>
      </c>
      <c r="P74" s="22" t="e">
        <f>$G74*'2. Salmon Passage by Bin'!H74</f>
        <v>#N/A</v>
      </c>
      <c r="Q74" s="22" t="e">
        <f>$G74*'2. Salmon Passage by Bin'!I74</f>
        <v>#N/A</v>
      </c>
      <c r="R74" s="22" t="e">
        <f>$G74*'2. Salmon Passage by Bin'!J74</f>
        <v>#N/A</v>
      </c>
      <c r="S74" s="25">
        <f>'2. Salmon Passage by Bin'!K74*H74</f>
        <v>932.30400000000316</v>
      </c>
      <c r="T74" s="25" t="e">
        <f>K74*'2. Salmon Passage by Bin'!L74</f>
        <v>#N/A</v>
      </c>
      <c r="U74" s="25" t="e">
        <f>K74*'2. Salmon Passage by Bin'!M74</f>
        <v>#N/A</v>
      </c>
      <c r="V74" s="25" t="e">
        <f>J74*'2. Salmon Passage by Bin'!N74</f>
        <v>#N/A</v>
      </c>
      <c r="W74" s="25" t="e">
        <f>I74*'2. Salmon Passage by Bin'!O74</f>
        <v>#N/A</v>
      </c>
      <c r="X74" s="22" t="e">
        <f>E74*'2. Salmon Passage by Bin'!E74</f>
        <v>#N/A</v>
      </c>
      <c r="Y74" s="41">
        <f t="shared" si="1"/>
        <v>932.30400000000316</v>
      </c>
      <c r="Z74" s="42">
        <f>Y74/'[1]Passage Estimates'!$D74</f>
        <v>2.9563593385292576E-3</v>
      </c>
      <c r="AA74" s="43">
        <f>IFERROR(SUMIF(L74:R74, "&lt;&gt;#N/A")/SUMIF('2. Salmon Passage by Bin'!E74:J74, "&lt;&gt;#N/A"), NA())</f>
        <v>0</v>
      </c>
      <c r="AB74" s="42">
        <f>IFERROR(IF(ISNA(S74), NA(), S74/'2. Salmon Passage by Bin'!K74), NA())</f>
        <v>0.04</v>
      </c>
      <c r="AC74" s="44">
        <f>IFERROR(SUMIF(T74:W74, "&lt;&gt;#N/A")/SUMIF('2. Salmon Passage by Bin'!L74:N74, "&lt;&gt;#N/A"), NA())</f>
        <v>0</v>
      </c>
    </row>
    <row r="75" spans="1:29" x14ac:dyDescent="0.3">
      <c r="A75" s="5">
        <f>'1. Mixture Model Inputs'!A75</f>
        <v>45177</v>
      </c>
      <c r="B75" s="13" t="str">
        <f>IF(ISBLANK('[1]Passage Estimates'!$C75),"",IF('[1]Passage Estimates'!$C75="Imputation",'[1]Passage Estimates'!$B75,'[1]Passage Estimates'!$C75))</f>
        <v>A1+S1+M2+A2</v>
      </c>
      <c r="C75" s="17" t="e">
        <f>IFERROR('1. Mixture Model Inputs'!J75/'1. Mixture Model Inputs'!Z75,NA())</f>
        <v>#N/A</v>
      </c>
      <c r="D75" s="17" t="e">
        <f>IFERROR('1. Mixture Model Inputs'!K75/'1. Mixture Model Inputs'!AA75,NA())</f>
        <v>#N/A</v>
      </c>
      <c r="E75" s="17" t="e">
        <f>IFERROR('1. Mixture Model Inputs'!L75/'1. Mixture Model Inputs'!AB75,NA())</f>
        <v>#N/A</v>
      </c>
      <c r="F75" s="17" t="e">
        <f>IFERROR('1. Mixture Model Inputs'!M75/'1. Mixture Model Inputs'!AC75,NA())</f>
        <v>#N/A</v>
      </c>
      <c r="G75" s="17" t="e">
        <f>IFERROR('1. Mixture Model Inputs'!N75/'1. Mixture Model Inputs'!AD75,NA())</f>
        <v>#N/A</v>
      </c>
      <c r="H75" s="24">
        <f>WhonSpComp!AV90</f>
        <v>0</v>
      </c>
      <c r="I75" s="17" t="e">
        <f>IFERROR('1. Mixture Model Inputs'!O75/'1. Mixture Model Inputs'!AE75, NA())</f>
        <v>#N/A</v>
      </c>
      <c r="J75" s="17" t="e">
        <f>IFERROR('1. Mixture Model Inputs'!P75/'1. Mixture Model Inputs'!AF75, NA())</f>
        <v>#N/A</v>
      </c>
      <c r="K75" s="17" t="e">
        <f>IFERROR('1. Mixture Model Inputs'!Q75/'1. Mixture Model Inputs'!AG75, NA())</f>
        <v>#N/A</v>
      </c>
      <c r="L75" s="22" t="e">
        <f>C75*'2. Salmon Passage by Bin'!C75</f>
        <v>#N/A</v>
      </c>
      <c r="M75" s="22" t="e">
        <f>D75*'2. Salmon Passage by Bin'!D75</f>
        <v>#N/A</v>
      </c>
      <c r="N75" s="22" t="e">
        <f>F75*'2. Salmon Passage by Bin'!F75</f>
        <v>#N/A</v>
      </c>
      <c r="O75" s="22" t="e">
        <f>G75*'2. Salmon Passage by Bin'!G75</f>
        <v>#N/A</v>
      </c>
      <c r="P75" s="22" t="e">
        <f>$G75*'2. Salmon Passage by Bin'!H75</f>
        <v>#N/A</v>
      </c>
      <c r="Q75" s="22" t="e">
        <f>$G75*'2. Salmon Passage by Bin'!I75</f>
        <v>#N/A</v>
      </c>
      <c r="R75" s="22" t="e">
        <f>$G75*'2. Salmon Passage by Bin'!J75</f>
        <v>#N/A</v>
      </c>
      <c r="S75" s="25">
        <f>'2. Salmon Passage by Bin'!K75*H75</f>
        <v>0</v>
      </c>
      <c r="T75" s="25" t="e">
        <f>K75*'2. Salmon Passage by Bin'!L75</f>
        <v>#N/A</v>
      </c>
      <c r="U75" s="25" t="e">
        <f>K75*'2. Salmon Passage by Bin'!M75</f>
        <v>#N/A</v>
      </c>
      <c r="V75" s="25" t="e">
        <f>J75*'2. Salmon Passage by Bin'!N75</f>
        <v>#N/A</v>
      </c>
      <c r="W75" s="25" t="e">
        <f>I75*'2. Salmon Passage by Bin'!O75</f>
        <v>#N/A</v>
      </c>
      <c r="X75" s="22" t="e">
        <f>E75*'2. Salmon Passage by Bin'!E75</f>
        <v>#N/A</v>
      </c>
      <c r="Y75" s="41">
        <f t="shared" si="1"/>
        <v>0</v>
      </c>
      <c r="Z75" s="42">
        <f>Y75/'[1]Passage Estimates'!$D75</f>
        <v>0</v>
      </c>
      <c r="AA75" s="43">
        <f>IFERROR(SUMIF(L75:R75, "&lt;&gt;#N/A")/SUMIF('2. Salmon Passage by Bin'!E75:J75, "&lt;&gt;#N/A"), NA())</f>
        <v>0</v>
      </c>
      <c r="AB75" s="42">
        <f>IFERROR(IF(ISNA(S75), NA(), S75/'2. Salmon Passage by Bin'!K75), NA())</f>
        <v>0</v>
      </c>
      <c r="AC75" s="44">
        <f>IFERROR(SUMIF(T75:W75, "&lt;&gt;#N/A")/SUMIF('2. Salmon Passage by Bin'!L75:N75, "&lt;&gt;#N/A"), NA())</f>
        <v>0</v>
      </c>
    </row>
    <row r="76" spans="1:29" x14ac:dyDescent="0.3">
      <c r="A76" s="5">
        <f>'1. Mixture Model Inputs'!A76</f>
        <v>45178</v>
      </c>
      <c r="B76" s="13" t="str">
        <f>IF(ISBLANK('[1]Passage Estimates'!$C76),"",IF('[1]Passage Estimates'!$C76="Imputation",'[1]Passage Estimates'!$B76,'[1]Passage Estimates'!$C76))</f>
        <v>A1+S1+M2+A2</v>
      </c>
      <c r="C76" s="17" t="e">
        <f>IFERROR('1. Mixture Model Inputs'!J76/'1. Mixture Model Inputs'!Z76,NA())</f>
        <v>#N/A</v>
      </c>
      <c r="D76" s="17" t="e">
        <f>IFERROR('1. Mixture Model Inputs'!K76/'1. Mixture Model Inputs'!AA76,NA())</f>
        <v>#N/A</v>
      </c>
      <c r="E76" s="17" t="e">
        <f>IFERROR('1. Mixture Model Inputs'!L76/'1. Mixture Model Inputs'!AB76,NA())</f>
        <v>#N/A</v>
      </c>
      <c r="F76" s="17" t="e">
        <f>IFERROR('1. Mixture Model Inputs'!M76/'1. Mixture Model Inputs'!AC76,NA())</f>
        <v>#N/A</v>
      </c>
      <c r="G76" s="17" t="e">
        <f>IFERROR('1. Mixture Model Inputs'!N76/'1. Mixture Model Inputs'!AD76,NA())</f>
        <v>#N/A</v>
      </c>
      <c r="H76" s="24">
        <f>WhonSpComp!AV91</f>
        <v>4.2553191489361703E-3</v>
      </c>
      <c r="I76" s="17" t="e">
        <f>IFERROR('1. Mixture Model Inputs'!O76/'1. Mixture Model Inputs'!AE76, NA())</f>
        <v>#N/A</v>
      </c>
      <c r="J76" s="17" t="e">
        <f>IFERROR('1. Mixture Model Inputs'!P76/'1. Mixture Model Inputs'!AF76, NA())</f>
        <v>#N/A</v>
      </c>
      <c r="K76" s="17" t="e">
        <f>IFERROR('1. Mixture Model Inputs'!Q76/'1. Mixture Model Inputs'!AG76, NA())</f>
        <v>#N/A</v>
      </c>
      <c r="L76" s="22" t="e">
        <f>C76*'2. Salmon Passage by Bin'!C76</f>
        <v>#N/A</v>
      </c>
      <c r="M76" s="22" t="e">
        <f>D76*'2. Salmon Passage by Bin'!D76</f>
        <v>#N/A</v>
      </c>
      <c r="N76" s="22" t="e">
        <f>F76*'2. Salmon Passage by Bin'!F76</f>
        <v>#N/A</v>
      </c>
      <c r="O76" s="22" t="e">
        <f>G76*'2. Salmon Passage by Bin'!G76</f>
        <v>#N/A</v>
      </c>
      <c r="P76" s="22" t="e">
        <f>$G76*'2. Salmon Passage by Bin'!H76</f>
        <v>#N/A</v>
      </c>
      <c r="Q76" s="22" t="e">
        <f>$G76*'2. Salmon Passage by Bin'!I76</f>
        <v>#N/A</v>
      </c>
      <c r="R76" s="22" t="e">
        <f>$G76*'2. Salmon Passage by Bin'!J76</f>
        <v>#N/A</v>
      </c>
      <c r="S76" s="25">
        <f>'2. Salmon Passage by Bin'!K76*H76</f>
        <v>158.55931914893594</v>
      </c>
      <c r="T76" s="25" t="e">
        <f>K76*'2. Salmon Passage by Bin'!L76</f>
        <v>#N/A</v>
      </c>
      <c r="U76" s="25" t="e">
        <f>K76*'2. Salmon Passage by Bin'!M76</f>
        <v>#N/A</v>
      </c>
      <c r="V76" s="25" t="e">
        <f>J76*'2. Salmon Passage by Bin'!N76</f>
        <v>#N/A</v>
      </c>
      <c r="W76" s="25" t="e">
        <f>I76*'2. Salmon Passage by Bin'!O76</f>
        <v>#N/A</v>
      </c>
      <c r="X76" s="22" t="e">
        <f>E76*'2. Salmon Passage by Bin'!E76</f>
        <v>#N/A</v>
      </c>
      <c r="Y76" s="41">
        <f t="shared" si="1"/>
        <v>158.55931914893594</v>
      </c>
      <c r="Z76" s="42">
        <f>Y76/'[1]Passage Estimates'!$D76</f>
        <v>6.0913805960164887E-4</v>
      </c>
      <c r="AA76" s="43">
        <f>IFERROR(SUMIF(L76:R76, "&lt;&gt;#N/A")/SUMIF('2. Salmon Passage by Bin'!E76:J76, "&lt;&gt;#N/A"), NA())</f>
        <v>0</v>
      </c>
      <c r="AB76" s="42">
        <f>IFERROR(IF(ISNA(S76), NA(), S76/'2. Salmon Passage by Bin'!K76), NA())</f>
        <v>4.2553191489361703E-3</v>
      </c>
      <c r="AC76" s="44">
        <f>IFERROR(SUMIF(T76:W76, "&lt;&gt;#N/A")/SUMIF('2. Salmon Passage by Bin'!L76:N76, "&lt;&gt;#N/A"), NA())</f>
        <v>0</v>
      </c>
    </row>
    <row r="77" spans="1:29" x14ac:dyDescent="0.3">
      <c r="A77" s="5">
        <f>'1. Mixture Model Inputs'!A77</f>
        <v>45179</v>
      </c>
      <c r="B77" s="13" t="str">
        <f>IF(ISBLANK('[1]Passage Estimates'!$C77),"",IF('[1]Passage Estimates'!$C77="Imputation",'[1]Passage Estimates'!$B77,'[1]Passage Estimates'!$C77))</f>
        <v>A1+S1+M2+A2</v>
      </c>
      <c r="C77" s="17" t="e">
        <f>IFERROR('1. Mixture Model Inputs'!J77/'1. Mixture Model Inputs'!Z77,NA())</f>
        <v>#N/A</v>
      </c>
      <c r="D77" s="17" t="e">
        <f>IFERROR('1. Mixture Model Inputs'!K77/'1. Mixture Model Inputs'!AA77,NA())</f>
        <v>#N/A</v>
      </c>
      <c r="E77" s="17" t="e">
        <f>IFERROR('1. Mixture Model Inputs'!L77/'1. Mixture Model Inputs'!AB77,NA())</f>
        <v>#N/A</v>
      </c>
      <c r="F77" s="17" t="e">
        <f>IFERROR('1. Mixture Model Inputs'!M77/'1. Mixture Model Inputs'!AC77,NA())</f>
        <v>#N/A</v>
      </c>
      <c r="G77" s="17" t="e">
        <f>IFERROR('1. Mixture Model Inputs'!N77/'1. Mixture Model Inputs'!AD77,NA())</f>
        <v>#N/A</v>
      </c>
      <c r="H77" s="24">
        <f>WhonSpComp!AV92</f>
        <v>0</v>
      </c>
      <c r="I77" s="17" t="e">
        <f>IFERROR('1. Mixture Model Inputs'!O77/'1. Mixture Model Inputs'!AE77, NA())</f>
        <v>#N/A</v>
      </c>
      <c r="J77" s="17" t="e">
        <f>IFERROR('1. Mixture Model Inputs'!P77/'1. Mixture Model Inputs'!AF77, NA())</f>
        <v>#N/A</v>
      </c>
      <c r="K77" s="17" t="e">
        <f>IFERROR('1. Mixture Model Inputs'!Q77/'1. Mixture Model Inputs'!AG77, NA())</f>
        <v>#N/A</v>
      </c>
      <c r="L77" s="22" t="e">
        <f>C77*'2. Salmon Passage by Bin'!C77</f>
        <v>#N/A</v>
      </c>
      <c r="M77" s="22" t="e">
        <f>D77*'2. Salmon Passage by Bin'!D77</f>
        <v>#N/A</v>
      </c>
      <c r="N77" s="22" t="e">
        <f>F77*'2. Salmon Passage by Bin'!F77</f>
        <v>#N/A</v>
      </c>
      <c r="O77" s="22" t="e">
        <f>G77*'2. Salmon Passage by Bin'!G77</f>
        <v>#N/A</v>
      </c>
      <c r="P77" s="22" t="e">
        <f>$G77*'2. Salmon Passage by Bin'!H77</f>
        <v>#N/A</v>
      </c>
      <c r="Q77" s="22" t="e">
        <f>$G77*'2. Salmon Passage by Bin'!I77</f>
        <v>#N/A</v>
      </c>
      <c r="R77" s="22" t="e">
        <f>$G77*'2. Salmon Passage by Bin'!J77</f>
        <v>#N/A</v>
      </c>
      <c r="S77" s="25">
        <f>'2. Salmon Passage by Bin'!K77*H77</f>
        <v>0</v>
      </c>
      <c r="T77" s="25" t="e">
        <f>K77*'2. Salmon Passage by Bin'!L77</f>
        <v>#N/A</v>
      </c>
      <c r="U77" s="25" t="e">
        <f>K77*'2. Salmon Passage by Bin'!M77</f>
        <v>#N/A</v>
      </c>
      <c r="V77" s="25" t="e">
        <f>J77*'2. Salmon Passage by Bin'!N77</f>
        <v>#N/A</v>
      </c>
      <c r="W77" s="25" t="e">
        <f>I77*'2. Salmon Passage by Bin'!O77</f>
        <v>#N/A</v>
      </c>
      <c r="X77" s="22" t="e">
        <f>E77*'2. Salmon Passage by Bin'!E77</f>
        <v>#N/A</v>
      </c>
      <c r="Y77" s="41">
        <f t="shared" si="1"/>
        <v>0</v>
      </c>
      <c r="Z77" s="42">
        <f>Y77/'[1]Passage Estimates'!$D77</f>
        <v>0</v>
      </c>
      <c r="AA77" s="43">
        <f>IFERROR(SUMIF(L77:R77, "&lt;&gt;#N/A")/SUMIF('2. Salmon Passage by Bin'!E77:J77, "&lt;&gt;#N/A"), NA())</f>
        <v>0</v>
      </c>
      <c r="AB77" s="42">
        <f>IFERROR(IF(ISNA(S77), NA(), S77/'2. Salmon Passage by Bin'!K77), NA())</f>
        <v>0</v>
      </c>
      <c r="AC77" s="44">
        <f>IFERROR(SUMIF(T77:W77, "&lt;&gt;#N/A")/SUMIF('2. Salmon Passage by Bin'!L77:N77, "&lt;&gt;#N/A"), NA())</f>
        <v>0</v>
      </c>
    </row>
    <row r="78" spans="1:29" x14ac:dyDescent="0.3">
      <c r="A78" s="5">
        <f>'1. Mixture Model Inputs'!A78</f>
        <v>45180</v>
      </c>
      <c r="B78" s="13" t="str">
        <f>IF(ISBLANK('[1]Passage Estimates'!$C78),"",IF('[1]Passage Estimates'!$C78="Imputation",'[1]Passage Estimates'!$B78,'[1]Passage Estimates'!$C78))</f>
        <v>A1+S1+M2+A2</v>
      </c>
      <c r="C78" s="17" t="e">
        <f>IFERROR('1. Mixture Model Inputs'!J78/'1. Mixture Model Inputs'!Z78,NA())</f>
        <v>#N/A</v>
      </c>
      <c r="D78" s="17" t="e">
        <f>IFERROR('1. Mixture Model Inputs'!K78/'1. Mixture Model Inputs'!AA78,NA())</f>
        <v>#N/A</v>
      </c>
      <c r="E78" s="17" t="e">
        <f>IFERROR('1. Mixture Model Inputs'!L78/'1. Mixture Model Inputs'!AB78,NA())</f>
        <v>#N/A</v>
      </c>
      <c r="F78" s="17" t="e">
        <f>IFERROR('1. Mixture Model Inputs'!M78/'1. Mixture Model Inputs'!AC78,NA())</f>
        <v>#N/A</v>
      </c>
      <c r="G78" s="17" t="e">
        <f>IFERROR('1. Mixture Model Inputs'!N78/'1. Mixture Model Inputs'!AD78,NA())</f>
        <v>#N/A</v>
      </c>
      <c r="H78" s="24">
        <f>WhonSpComp!AV93</f>
        <v>0</v>
      </c>
      <c r="I78" s="17" t="e">
        <f>IFERROR('1. Mixture Model Inputs'!O78/'1. Mixture Model Inputs'!AE78, NA())</f>
        <v>#N/A</v>
      </c>
      <c r="J78" s="17" t="e">
        <f>IFERROR('1. Mixture Model Inputs'!P78/'1. Mixture Model Inputs'!AF78, NA())</f>
        <v>#N/A</v>
      </c>
      <c r="K78" s="17" t="e">
        <f>IFERROR('1. Mixture Model Inputs'!Q78/'1. Mixture Model Inputs'!AG78, NA())</f>
        <v>#N/A</v>
      </c>
      <c r="L78" s="22" t="e">
        <f>C78*'2. Salmon Passage by Bin'!C78</f>
        <v>#N/A</v>
      </c>
      <c r="M78" s="22" t="e">
        <f>D78*'2. Salmon Passage by Bin'!D78</f>
        <v>#N/A</v>
      </c>
      <c r="N78" s="22" t="e">
        <f>F78*'2. Salmon Passage by Bin'!F78</f>
        <v>#N/A</v>
      </c>
      <c r="O78" s="22" t="e">
        <f>G78*'2. Salmon Passage by Bin'!G78</f>
        <v>#N/A</v>
      </c>
      <c r="P78" s="22" t="e">
        <f>$G78*'2. Salmon Passage by Bin'!H78</f>
        <v>#N/A</v>
      </c>
      <c r="Q78" s="22" t="e">
        <f>$G78*'2. Salmon Passage by Bin'!I78</f>
        <v>#N/A</v>
      </c>
      <c r="R78" s="22" t="e">
        <f>$G78*'2. Salmon Passage by Bin'!J78</f>
        <v>#N/A</v>
      </c>
      <c r="S78" s="25">
        <f>'2. Salmon Passage by Bin'!K78*H78</f>
        <v>0</v>
      </c>
      <c r="T78" s="25" t="e">
        <f>K78*'2. Salmon Passage by Bin'!L78</f>
        <v>#N/A</v>
      </c>
      <c r="U78" s="25" t="e">
        <f>K78*'2. Salmon Passage by Bin'!M78</f>
        <v>#N/A</v>
      </c>
      <c r="V78" s="25" t="e">
        <f>J78*'2. Salmon Passage by Bin'!N78</f>
        <v>#N/A</v>
      </c>
      <c r="W78" s="25" t="e">
        <f>I78*'2. Salmon Passage by Bin'!O78</f>
        <v>#N/A</v>
      </c>
      <c r="X78" s="22" t="e">
        <f>E78*'2. Salmon Passage by Bin'!E78</f>
        <v>#N/A</v>
      </c>
      <c r="Y78" s="41">
        <f t="shared" si="1"/>
        <v>0</v>
      </c>
      <c r="Z78" s="42">
        <f>Y78/'[1]Passage Estimates'!$D78</f>
        <v>0</v>
      </c>
      <c r="AA78" s="43">
        <f>IFERROR(SUMIF(L78:R78, "&lt;&gt;#N/A")/SUMIF('2. Salmon Passage by Bin'!E78:J78, "&lt;&gt;#N/A"), NA())</f>
        <v>0</v>
      </c>
      <c r="AB78" s="42">
        <f>IFERROR(IF(ISNA(S78), NA(), S78/'2. Salmon Passage by Bin'!K78), NA())</f>
        <v>0</v>
      </c>
      <c r="AC78" s="44">
        <f>IFERROR(SUMIF(T78:W78, "&lt;&gt;#N/A")/SUMIF('2. Salmon Passage by Bin'!L78:N78, "&lt;&gt;#N/A"), NA())</f>
        <v>0</v>
      </c>
    </row>
    <row r="79" spans="1:29" x14ac:dyDescent="0.3">
      <c r="A79" s="5">
        <f>'1. Mixture Model Inputs'!A79</f>
        <v>45181</v>
      </c>
      <c r="B79" s="13" t="str">
        <f>IF(ISBLANK('[1]Passage Estimates'!$C79),"",IF('[1]Passage Estimates'!$C79="Imputation",'[1]Passage Estimates'!$B79,'[1]Passage Estimates'!$C79))</f>
        <v>A1+S1+M2+A2</v>
      </c>
      <c r="C79" s="17" t="e">
        <f>IFERROR('1. Mixture Model Inputs'!J79/'1. Mixture Model Inputs'!Z79,NA())</f>
        <v>#N/A</v>
      </c>
      <c r="D79" s="17" t="e">
        <f>IFERROR('1. Mixture Model Inputs'!K79/'1. Mixture Model Inputs'!AA79,NA())</f>
        <v>#N/A</v>
      </c>
      <c r="E79" s="17" t="e">
        <f>IFERROR('1. Mixture Model Inputs'!L79/'1. Mixture Model Inputs'!AB79,NA())</f>
        <v>#N/A</v>
      </c>
      <c r="F79" s="17" t="e">
        <f>IFERROR('1. Mixture Model Inputs'!M79/'1. Mixture Model Inputs'!AC79,NA())</f>
        <v>#N/A</v>
      </c>
      <c r="G79" s="17" t="e">
        <f>IFERROR('1. Mixture Model Inputs'!N79/'1. Mixture Model Inputs'!AD79,NA())</f>
        <v>#N/A</v>
      </c>
      <c r="H79" s="24">
        <f>WhonSpComp!AV94</f>
        <v>0</v>
      </c>
      <c r="I79" s="17" t="e">
        <f>IFERROR('1. Mixture Model Inputs'!O79/'1. Mixture Model Inputs'!AE79, NA())</f>
        <v>#N/A</v>
      </c>
      <c r="J79" s="17" t="e">
        <f>IFERROR('1. Mixture Model Inputs'!P79/'1. Mixture Model Inputs'!AF79, NA())</f>
        <v>#N/A</v>
      </c>
      <c r="K79" s="17" t="e">
        <f>IFERROR('1. Mixture Model Inputs'!Q79/'1. Mixture Model Inputs'!AG79, NA())</f>
        <v>#N/A</v>
      </c>
      <c r="L79" s="22" t="e">
        <f>C79*'2. Salmon Passage by Bin'!C79</f>
        <v>#N/A</v>
      </c>
      <c r="M79" s="22" t="e">
        <f>D79*'2. Salmon Passage by Bin'!D79</f>
        <v>#N/A</v>
      </c>
      <c r="N79" s="22" t="e">
        <f>F79*'2. Salmon Passage by Bin'!F79</f>
        <v>#N/A</v>
      </c>
      <c r="O79" s="22" t="e">
        <f>G79*'2. Salmon Passage by Bin'!G79</f>
        <v>#N/A</v>
      </c>
      <c r="P79" s="22" t="e">
        <f>$G79*'2. Salmon Passage by Bin'!H79</f>
        <v>#N/A</v>
      </c>
      <c r="Q79" s="22" t="e">
        <f>$G79*'2. Salmon Passage by Bin'!I79</f>
        <v>#N/A</v>
      </c>
      <c r="R79" s="22" t="e">
        <f>$G79*'2. Salmon Passage by Bin'!J79</f>
        <v>#N/A</v>
      </c>
      <c r="S79" s="25">
        <f>'2. Salmon Passage by Bin'!K79*H79</f>
        <v>0</v>
      </c>
      <c r="T79" s="25" t="e">
        <f>K79*'2. Salmon Passage by Bin'!L79</f>
        <v>#N/A</v>
      </c>
      <c r="U79" s="25" t="e">
        <f>K79*'2. Salmon Passage by Bin'!M79</f>
        <v>#N/A</v>
      </c>
      <c r="V79" s="25" t="e">
        <f>J79*'2. Salmon Passage by Bin'!N79</f>
        <v>#N/A</v>
      </c>
      <c r="W79" s="25" t="e">
        <f>I79*'2. Salmon Passage by Bin'!O79</f>
        <v>#N/A</v>
      </c>
      <c r="X79" s="22" t="e">
        <f>E79*'2. Salmon Passage by Bin'!E79</f>
        <v>#N/A</v>
      </c>
      <c r="Y79" s="41">
        <f t="shared" si="1"/>
        <v>0</v>
      </c>
      <c r="Z79" s="42">
        <f>Y79/'[1]Passage Estimates'!$D79</f>
        <v>0</v>
      </c>
      <c r="AA79" s="43">
        <f>IFERROR(SUMIF(L79:R79, "&lt;&gt;#N/A")/SUMIF('2. Salmon Passage by Bin'!E79:J79, "&lt;&gt;#N/A"), NA())</f>
        <v>0</v>
      </c>
      <c r="AB79" s="42">
        <f>IFERROR(IF(ISNA(S79), NA(), S79/'2. Salmon Passage by Bin'!K79), NA())</f>
        <v>0</v>
      </c>
      <c r="AC79" s="44">
        <f>IFERROR(SUMIF(T79:W79, "&lt;&gt;#N/A")/SUMIF('2. Salmon Passage by Bin'!L79:N79, "&lt;&gt;#N/A"), NA())</f>
        <v>0</v>
      </c>
    </row>
    <row r="80" spans="1:29" x14ac:dyDescent="0.3">
      <c r="A80" s="5">
        <f>'1. Mixture Model Inputs'!A80</f>
        <v>45182</v>
      </c>
      <c r="B80" s="13" t="str">
        <f>IF(ISBLANK('[1]Passage Estimates'!$C80),"",IF('[1]Passage Estimates'!$C80="Imputation",'[1]Passage Estimates'!$B80,'[1]Passage Estimates'!$C80))</f>
        <v>A1+S1+M2+A2</v>
      </c>
      <c r="C80" s="17" t="e">
        <f>IFERROR('1. Mixture Model Inputs'!J80/'1. Mixture Model Inputs'!Z80,NA())</f>
        <v>#N/A</v>
      </c>
      <c r="D80" s="17" t="e">
        <f>IFERROR('1. Mixture Model Inputs'!K80/'1. Mixture Model Inputs'!AA80,NA())</f>
        <v>#N/A</v>
      </c>
      <c r="E80" s="17" t="e">
        <f>IFERROR('1. Mixture Model Inputs'!L80/'1. Mixture Model Inputs'!AB80,NA())</f>
        <v>#N/A</v>
      </c>
      <c r="F80" s="17" t="e">
        <f>IFERROR('1. Mixture Model Inputs'!M80/'1. Mixture Model Inputs'!AC80,NA())</f>
        <v>#N/A</v>
      </c>
      <c r="G80" s="17" t="e">
        <f>IFERROR('1. Mixture Model Inputs'!N80/'1. Mixture Model Inputs'!AD80,NA())</f>
        <v>#N/A</v>
      </c>
      <c r="H80" s="24">
        <f>WhonSpComp!AV95</f>
        <v>0</v>
      </c>
      <c r="I80" s="17" t="e">
        <f>IFERROR('1. Mixture Model Inputs'!O80/'1. Mixture Model Inputs'!AE80, NA())</f>
        <v>#N/A</v>
      </c>
      <c r="J80" s="17" t="e">
        <f>IFERROR('1. Mixture Model Inputs'!P80/'1. Mixture Model Inputs'!AF80, NA())</f>
        <v>#N/A</v>
      </c>
      <c r="K80" s="17" t="e">
        <f>IFERROR('1. Mixture Model Inputs'!Q80/'1. Mixture Model Inputs'!AG80, NA())</f>
        <v>#N/A</v>
      </c>
      <c r="L80" s="22" t="e">
        <f>C80*'2. Salmon Passage by Bin'!C80</f>
        <v>#N/A</v>
      </c>
      <c r="M80" s="22" t="e">
        <f>D80*'2. Salmon Passage by Bin'!D80</f>
        <v>#N/A</v>
      </c>
      <c r="N80" s="22" t="e">
        <f>F80*'2. Salmon Passage by Bin'!F80</f>
        <v>#N/A</v>
      </c>
      <c r="O80" s="22" t="e">
        <f>G80*'2. Salmon Passage by Bin'!G80</f>
        <v>#N/A</v>
      </c>
      <c r="P80" s="22" t="e">
        <f>$G80*'2. Salmon Passage by Bin'!H80</f>
        <v>#N/A</v>
      </c>
      <c r="Q80" s="22" t="e">
        <f>$G80*'2. Salmon Passage by Bin'!I80</f>
        <v>#N/A</v>
      </c>
      <c r="R80" s="22" t="e">
        <f>$G80*'2. Salmon Passage by Bin'!J80</f>
        <v>#N/A</v>
      </c>
      <c r="S80" s="25">
        <f>'2. Salmon Passage by Bin'!K80*H80</f>
        <v>0</v>
      </c>
      <c r="T80" s="25" t="e">
        <f>K80*'2. Salmon Passage by Bin'!L80</f>
        <v>#N/A</v>
      </c>
      <c r="U80" s="25" t="e">
        <f>K80*'2. Salmon Passage by Bin'!M80</f>
        <v>#N/A</v>
      </c>
      <c r="V80" s="25" t="e">
        <f>J80*'2. Salmon Passage by Bin'!N80</f>
        <v>#N/A</v>
      </c>
      <c r="W80" s="25" t="e">
        <f>I80*'2. Salmon Passage by Bin'!O80</f>
        <v>#N/A</v>
      </c>
      <c r="X80" s="22" t="e">
        <f>E80*'2. Salmon Passage by Bin'!E80</f>
        <v>#N/A</v>
      </c>
      <c r="Y80" s="41">
        <f t="shared" si="1"/>
        <v>0</v>
      </c>
      <c r="Z80" s="42">
        <f>Y80/'[1]Passage Estimates'!$D80</f>
        <v>0</v>
      </c>
      <c r="AA80" s="43">
        <f>IFERROR(SUMIF(L80:R80, "&lt;&gt;#N/A")/SUMIF('2. Salmon Passage by Bin'!E80:J80, "&lt;&gt;#N/A"), NA())</f>
        <v>0</v>
      </c>
      <c r="AB80" s="42">
        <f>IFERROR(IF(ISNA(S80), NA(), S80/'2. Salmon Passage by Bin'!K80), NA())</f>
        <v>0</v>
      </c>
      <c r="AC80" s="44">
        <f>IFERROR(SUMIF(T80:W80, "&lt;&gt;#N/A")/SUMIF('2. Salmon Passage by Bin'!L80:N80, "&lt;&gt;#N/A"), NA())</f>
        <v>0</v>
      </c>
    </row>
    <row r="81" spans="1:29" x14ac:dyDescent="0.3">
      <c r="A81" s="5">
        <f>'1. Mixture Model Inputs'!A81</f>
        <v>45183</v>
      </c>
      <c r="B81" s="13" t="str">
        <f>IF(ISBLANK('[1]Passage Estimates'!$C81),"",IF('[1]Passage Estimates'!$C81="Imputation",'[1]Passage Estimates'!$B81,'[1]Passage Estimates'!$C81))</f>
        <v>A1+S1+M2+A2</v>
      </c>
      <c r="C81" s="17" t="e">
        <f>IFERROR('1. Mixture Model Inputs'!J81/'1. Mixture Model Inputs'!Z81,NA())</f>
        <v>#N/A</v>
      </c>
      <c r="D81" s="17" t="e">
        <f>IFERROR('1. Mixture Model Inputs'!K81/'1. Mixture Model Inputs'!AA81,NA())</f>
        <v>#N/A</v>
      </c>
      <c r="E81" s="17" t="e">
        <f>IFERROR('1. Mixture Model Inputs'!L81/'1. Mixture Model Inputs'!AB81,NA())</f>
        <v>#N/A</v>
      </c>
      <c r="F81" s="17" t="e">
        <f>IFERROR('1. Mixture Model Inputs'!M81/'1. Mixture Model Inputs'!AC81,NA())</f>
        <v>#N/A</v>
      </c>
      <c r="G81" s="17" t="e">
        <f>IFERROR('1. Mixture Model Inputs'!N81/'1. Mixture Model Inputs'!AD81,NA())</f>
        <v>#N/A</v>
      </c>
      <c r="H81" s="24">
        <f>WhonSpComp!AV96</f>
        <v>1.6393442622950821E-2</v>
      </c>
      <c r="I81" s="17" t="e">
        <f>IFERROR('1. Mixture Model Inputs'!O81/'1. Mixture Model Inputs'!AE81, NA())</f>
        <v>#N/A</v>
      </c>
      <c r="J81" s="17" t="e">
        <f>IFERROR('1. Mixture Model Inputs'!P81/'1. Mixture Model Inputs'!AF81, NA())</f>
        <v>#N/A</v>
      </c>
      <c r="K81" s="17" t="e">
        <f>IFERROR('1. Mixture Model Inputs'!Q81/'1. Mixture Model Inputs'!AG81, NA())</f>
        <v>#N/A</v>
      </c>
      <c r="L81" s="22" t="e">
        <f>C81*'2. Salmon Passage by Bin'!C81</f>
        <v>#N/A</v>
      </c>
      <c r="M81" s="22" t="e">
        <f>D81*'2. Salmon Passage by Bin'!D81</f>
        <v>#N/A</v>
      </c>
      <c r="N81" s="22" t="e">
        <f>F81*'2. Salmon Passage by Bin'!F81</f>
        <v>#N/A</v>
      </c>
      <c r="O81" s="22" t="e">
        <f>G81*'2. Salmon Passage by Bin'!G81</f>
        <v>#N/A</v>
      </c>
      <c r="P81" s="22" t="e">
        <f>$G81*'2. Salmon Passage by Bin'!H81</f>
        <v>#N/A</v>
      </c>
      <c r="Q81" s="22" t="e">
        <f>$G81*'2. Salmon Passage by Bin'!I81</f>
        <v>#N/A</v>
      </c>
      <c r="R81" s="22" t="e">
        <f>$G81*'2. Salmon Passage by Bin'!J81</f>
        <v>#N/A</v>
      </c>
      <c r="S81" s="25">
        <f>'2. Salmon Passage by Bin'!K81*H81</f>
        <v>1101.1239344262269</v>
      </c>
      <c r="T81" s="25" t="e">
        <f>K81*'2. Salmon Passage by Bin'!L81</f>
        <v>#N/A</v>
      </c>
      <c r="U81" s="25" t="e">
        <f>K81*'2. Salmon Passage by Bin'!M81</f>
        <v>#N/A</v>
      </c>
      <c r="V81" s="25" t="e">
        <f>J81*'2. Salmon Passage by Bin'!N81</f>
        <v>#N/A</v>
      </c>
      <c r="W81" s="25" t="e">
        <f>I81*'2. Salmon Passage by Bin'!O81</f>
        <v>#N/A</v>
      </c>
      <c r="X81" s="22" t="e">
        <f>E81*'2. Salmon Passage by Bin'!E81</f>
        <v>#N/A</v>
      </c>
      <c r="Y81" s="41">
        <f t="shared" si="1"/>
        <v>1101.1239344262269</v>
      </c>
      <c r="Z81" s="42">
        <f>Y81/'[1]Passage Estimates'!$D81</f>
        <v>4.1716483438875435E-3</v>
      </c>
      <c r="AA81" s="43">
        <f>IFERROR(SUMIF(L81:R81, "&lt;&gt;#N/A")/SUMIF('2. Salmon Passage by Bin'!E81:J81, "&lt;&gt;#N/A"), NA())</f>
        <v>0</v>
      </c>
      <c r="AB81" s="42">
        <f>IFERROR(IF(ISNA(S81), NA(), S81/'2. Salmon Passage by Bin'!K81), NA())</f>
        <v>1.6393442622950821E-2</v>
      </c>
      <c r="AC81" s="44">
        <f>IFERROR(SUMIF(T81:W81, "&lt;&gt;#N/A")/SUMIF('2. Salmon Passage by Bin'!L81:N81, "&lt;&gt;#N/A"), NA())</f>
        <v>0</v>
      </c>
    </row>
    <row r="82" spans="1:29" x14ac:dyDescent="0.3">
      <c r="A82" s="5">
        <f>'1. Mixture Model Inputs'!A82</f>
        <v>45184</v>
      </c>
      <c r="B82" s="13" t="str">
        <f>IF(ISBLANK('[1]Passage Estimates'!$C82),"",IF('[1]Passage Estimates'!$C82="Imputation",'[1]Passage Estimates'!$B82,'[1]Passage Estimates'!$C82))</f>
        <v>A1+S1+M2+A2</v>
      </c>
      <c r="C82" s="17" t="e">
        <f>IFERROR('1. Mixture Model Inputs'!J82/'1. Mixture Model Inputs'!Z82,NA())</f>
        <v>#N/A</v>
      </c>
      <c r="D82" s="17" t="e">
        <f>IFERROR('1. Mixture Model Inputs'!K82/'1. Mixture Model Inputs'!AA82,NA())</f>
        <v>#N/A</v>
      </c>
      <c r="E82" s="17" t="e">
        <f>IFERROR('1. Mixture Model Inputs'!L82/'1. Mixture Model Inputs'!AB82,NA())</f>
        <v>#N/A</v>
      </c>
      <c r="F82" s="17" t="e">
        <f>IFERROR('1. Mixture Model Inputs'!M82/'1. Mixture Model Inputs'!AC82,NA())</f>
        <v>#N/A</v>
      </c>
      <c r="G82" s="17" t="e">
        <f>IFERROR('1. Mixture Model Inputs'!N82/'1. Mixture Model Inputs'!AD82,NA())</f>
        <v>#N/A</v>
      </c>
      <c r="H82" s="24">
        <f>WhonSpComp!AV97</f>
        <v>0</v>
      </c>
      <c r="I82" s="17" t="e">
        <f>IFERROR('1. Mixture Model Inputs'!O82/'1. Mixture Model Inputs'!AE82, NA())</f>
        <v>#N/A</v>
      </c>
      <c r="J82" s="17" t="e">
        <f>IFERROR('1. Mixture Model Inputs'!P82/'1. Mixture Model Inputs'!AF82, NA())</f>
        <v>#N/A</v>
      </c>
      <c r="K82" s="17" t="e">
        <f>IFERROR('1. Mixture Model Inputs'!Q82/'1. Mixture Model Inputs'!AG82, NA())</f>
        <v>#N/A</v>
      </c>
      <c r="L82" s="22" t="e">
        <f>C82*'2. Salmon Passage by Bin'!C82</f>
        <v>#N/A</v>
      </c>
      <c r="M82" s="22" t="e">
        <f>D82*'2. Salmon Passage by Bin'!D82</f>
        <v>#N/A</v>
      </c>
      <c r="N82" s="22" t="e">
        <f>F82*'2. Salmon Passage by Bin'!F82</f>
        <v>#N/A</v>
      </c>
      <c r="O82" s="22" t="e">
        <f>G82*'2. Salmon Passage by Bin'!G82</f>
        <v>#N/A</v>
      </c>
      <c r="P82" s="22" t="e">
        <f>$G82*'2. Salmon Passage by Bin'!H82</f>
        <v>#N/A</v>
      </c>
      <c r="Q82" s="22" t="e">
        <f>$G82*'2. Salmon Passage by Bin'!I82</f>
        <v>#N/A</v>
      </c>
      <c r="R82" s="22" t="e">
        <f>$G82*'2. Salmon Passage by Bin'!J82</f>
        <v>#N/A</v>
      </c>
      <c r="S82" s="25">
        <f>'2. Salmon Passage by Bin'!K82*H82</f>
        <v>0</v>
      </c>
      <c r="T82" s="25" t="e">
        <f>K82*'2. Salmon Passage by Bin'!L82</f>
        <v>#N/A</v>
      </c>
      <c r="U82" s="25" t="e">
        <f>K82*'2. Salmon Passage by Bin'!M82</f>
        <v>#N/A</v>
      </c>
      <c r="V82" s="25" t="e">
        <f>J82*'2. Salmon Passage by Bin'!N82</f>
        <v>#N/A</v>
      </c>
      <c r="W82" s="25" t="e">
        <f>I82*'2. Salmon Passage by Bin'!O82</f>
        <v>#N/A</v>
      </c>
      <c r="X82" s="22" t="e">
        <f>E82*'2. Salmon Passage by Bin'!E82</f>
        <v>#N/A</v>
      </c>
      <c r="Y82" s="41">
        <f t="shared" si="1"/>
        <v>0</v>
      </c>
      <c r="Z82" s="42">
        <f>Y82/'[1]Passage Estimates'!$D82</f>
        <v>0</v>
      </c>
      <c r="AA82" s="43">
        <f>IFERROR(SUMIF(L82:R82, "&lt;&gt;#N/A")/SUMIF('2. Salmon Passage by Bin'!E82:J82, "&lt;&gt;#N/A"), NA())</f>
        <v>0</v>
      </c>
      <c r="AB82" s="42">
        <f>IFERROR(IF(ISNA(S82), NA(), S82/'2. Salmon Passage by Bin'!K82), NA())</f>
        <v>0</v>
      </c>
      <c r="AC82" s="44">
        <f>IFERROR(SUMIF(T82:W82, "&lt;&gt;#N/A")/SUMIF('2. Salmon Passage by Bin'!L82:N82, "&lt;&gt;#N/A"), NA())</f>
        <v>0</v>
      </c>
    </row>
    <row r="83" spans="1:29" x14ac:dyDescent="0.3">
      <c r="A83" s="5">
        <f>'1. Mixture Model Inputs'!A83</f>
        <v>45185</v>
      </c>
      <c r="B83" s="13" t="str">
        <f>IF(ISBLANK('[1]Passage Estimates'!$C83),"",IF('[1]Passage Estimates'!$C83="Imputation",'[1]Passage Estimates'!$B83,'[1]Passage Estimates'!$C83))</f>
        <v>A1+S1+M2+A2</v>
      </c>
      <c r="C83" s="17" t="e">
        <f>IFERROR('1. Mixture Model Inputs'!J83/'1. Mixture Model Inputs'!Z83,NA())</f>
        <v>#N/A</v>
      </c>
      <c r="D83" s="17" t="e">
        <f>IFERROR('1. Mixture Model Inputs'!K83/'1. Mixture Model Inputs'!AA83,NA())</f>
        <v>#N/A</v>
      </c>
      <c r="E83" s="17" t="e">
        <f>IFERROR('1. Mixture Model Inputs'!L83/'1. Mixture Model Inputs'!AB83,NA())</f>
        <v>#N/A</v>
      </c>
      <c r="F83" s="17" t="e">
        <f>IFERROR('1. Mixture Model Inputs'!M83/'1. Mixture Model Inputs'!AC83,NA())</f>
        <v>#N/A</v>
      </c>
      <c r="G83" s="17" t="e">
        <f>IFERROR('1. Mixture Model Inputs'!N83/'1. Mixture Model Inputs'!AD83,NA())</f>
        <v>#N/A</v>
      </c>
      <c r="H83" s="24">
        <f>WhonSpComp!AV98</f>
        <v>0</v>
      </c>
      <c r="I83" s="17" t="e">
        <f>IFERROR('1. Mixture Model Inputs'!O83/'1. Mixture Model Inputs'!AE83, NA())</f>
        <v>#N/A</v>
      </c>
      <c r="J83" s="17" t="e">
        <f>IFERROR('1. Mixture Model Inputs'!P83/'1. Mixture Model Inputs'!AF83, NA())</f>
        <v>#N/A</v>
      </c>
      <c r="K83" s="17" t="e">
        <f>IFERROR('1. Mixture Model Inputs'!Q83/'1. Mixture Model Inputs'!AG83, NA())</f>
        <v>#N/A</v>
      </c>
      <c r="L83" s="22" t="e">
        <f>C83*'2. Salmon Passage by Bin'!C83</f>
        <v>#N/A</v>
      </c>
      <c r="M83" s="22" t="e">
        <f>D83*'2. Salmon Passage by Bin'!D83</f>
        <v>#N/A</v>
      </c>
      <c r="N83" s="22" t="e">
        <f>F83*'2. Salmon Passage by Bin'!F83</f>
        <v>#N/A</v>
      </c>
      <c r="O83" s="22" t="e">
        <f>G83*'2. Salmon Passage by Bin'!G83</f>
        <v>#N/A</v>
      </c>
      <c r="P83" s="22" t="e">
        <f>$G83*'2. Salmon Passage by Bin'!H83</f>
        <v>#N/A</v>
      </c>
      <c r="Q83" s="22" t="e">
        <f>$G83*'2. Salmon Passage by Bin'!I83</f>
        <v>#N/A</v>
      </c>
      <c r="R83" s="22" t="e">
        <f>$G83*'2. Salmon Passage by Bin'!J83</f>
        <v>#N/A</v>
      </c>
      <c r="S83" s="25">
        <f>'2. Salmon Passage by Bin'!K83*H83</f>
        <v>0</v>
      </c>
      <c r="T83" s="25" t="e">
        <f>K83*'2. Salmon Passage by Bin'!L83</f>
        <v>#N/A</v>
      </c>
      <c r="U83" s="25" t="e">
        <f>K83*'2. Salmon Passage by Bin'!M83</f>
        <v>#N/A</v>
      </c>
      <c r="V83" s="25" t="e">
        <f>J83*'2. Salmon Passage by Bin'!N83</f>
        <v>#N/A</v>
      </c>
      <c r="W83" s="25" t="e">
        <f>I83*'2. Salmon Passage by Bin'!O83</f>
        <v>#N/A</v>
      </c>
      <c r="X83" s="22" t="e">
        <f>E83*'2. Salmon Passage by Bin'!E83</f>
        <v>#N/A</v>
      </c>
      <c r="Y83" s="41">
        <f t="shared" si="1"/>
        <v>0</v>
      </c>
      <c r="Z83" s="42">
        <f>Y83/'[1]Passage Estimates'!$D83</f>
        <v>0</v>
      </c>
      <c r="AA83" s="43">
        <f>IFERROR(SUMIF(L83:R83, "&lt;&gt;#N/A")/SUMIF('2. Salmon Passage by Bin'!E83:J83, "&lt;&gt;#N/A"), NA())</f>
        <v>0</v>
      </c>
      <c r="AB83" s="42">
        <f>IFERROR(IF(ISNA(S83), NA(), S83/'2. Salmon Passage by Bin'!K83), NA())</f>
        <v>0</v>
      </c>
      <c r="AC83" s="44">
        <f>IFERROR(SUMIF(T83:W83, "&lt;&gt;#N/A")/SUMIF('2. Salmon Passage by Bin'!L83:N83, "&lt;&gt;#N/A"), NA())</f>
        <v>0</v>
      </c>
    </row>
    <row r="84" spans="1:29" x14ac:dyDescent="0.3">
      <c r="A84" s="5">
        <f>'1. Mixture Model Inputs'!A84</f>
        <v>45186</v>
      </c>
      <c r="B84" s="13" t="str">
        <f>IF(ISBLANK('[1]Passage Estimates'!$C84),"",IF('[1]Passage Estimates'!$C84="Imputation",'[1]Passage Estimates'!$B84,'[1]Passage Estimates'!$C84))</f>
        <v>A1+S1+M2+A2</v>
      </c>
      <c r="C84" s="17" t="e">
        <f>IFERROR('1. Mixture Model Inputs'!J84/'1. Mixture Model Inputs'!Z84,NA())</f>
        <v>#N/A</v>
      </c>
      <c r="D84" s="17" t="e">
        <f>IFERROR('1. Mixture Model Inputs'!K84/'1. Mixture Model Inputs'!AA84,NA())</f>
        <v>#N/A</v>
      </c>
      <c r="E84" s="17" t="e">
        <f>IFERROR('1. Mixture Model Inputs'!L84/'1. Mixture Model Inputs'!AB84,NA())</f>
        <v>#N/A</v>
      </c>
      <c r="F84" s="17" t="e">
        <f>IFERROR('1. Mixture Model Inputs'!M84/'1. Mixture Model Inputs'!AC84,NA())</f>
        <v>#N/A</v>
      </c>
      <c r="G84" s="17" t="e">
        <f>IFERROR('1. Mixture Model Inputs'!N84/'1. Mixture Model Inputs'!AD84,NA())</f>
        <v>#N/A</v>
      </c>
      <c r="H84" s="24">
        <f>WhonSpComp!AV99</f>
        <v>0</v>
      </c>
      <c r="I84" s="17" t="e">
        <f>IFERROR('1. Mixture Model Inputs'!O84/'1. Mixture Model Inputs'!AE84, NA())</f>
        <v>#N/A</v>
      </c>
      <c r="J84" s="17" t="e">
        <f>IFERROR('1. Mixture Model Inputs'!P84/'1. Mixture Model Inputs'!AF84, NA())</f>
        <v>#N/A</v>
      </c>
      <c r="K84" s="17" t="e">
        <f>IFERROR('1. Mixture Model Inputs'!Q84/'1. Mixture Model Inputs'!AG84, NA())</f>
        <v>#N/A</v>
      </c>
      <c r="L84" s="22" t="e">
        <f>C84*'2. Salmon Passage by Bin'!C84</f>
        <v>#N/A</v>
      </c>
      <c r="M84" s="22" t="e">
        <f>D84*'2. Salmon Passage by Bin'!D84</f>
        <v>#N/A</v>
      </c>
      <c r="N84" s="22" t="e">
        <f>F84*'2. Salmon Passage by Bin'!F84</f>
        <v>#N/A</v>
      </c>
      <c r="O84" s="22" t="e">
        <f>G84*'2. Salmon Passage by Bin'!G84</f>
        <v>#N/A</v>
      </c>
      <c r="P84" s="22" t="e">
        <f>$G84*'2. Salmon Passage by Bin'!H84</f>
        <v>#N/A</v>
      </c>
      <c r="Q84" s="22" t="e">
        <f>$G84*'2. Salmon Passage by Bin'!I84</f>
        <v>#N/A</v>
      </c>
      <c r="R84" s="22" t="e">
        <f>$G84*'2. Salmon Passage by Bin'!J84</f>
        <v>#N/A</v>
      </c>
      <c r="S84" s="25">
        <f>'2. Salmon Passage by Bin'!K84*H84</f>
        <v>0</v>
      </c>
      <c r="T84" s="25" t="e">
        <f>K84*'2. Salmon Passage by Bin'!L84</f>
        <v>#N/A</v>
      </c>
      <c r="U84" s="25" t="e">
        <f>K84*'2. Salmon Passage by Bin'!M84</f>
        <v>#N/A</v>
      </c>
      <c r="V84" s="25" t="e">
        <f>J84*'2. Salmon Passage by Bin'!N84</f>
        <v>#N/A</v>
      </c>
      <c r="W84" s="25" t="e">
        <f>I84*'2. Salmon Passage by Bin'!O84</f>
        <v>#N/A</v>
      </c>
      <c r="X84" s="22" t="e">
        <f>E84*'2. Salmon Passage by Bin'!E84</f>
        <v>#N/A</v>
      </c>
      <c r="Y84" s="41">
        <f t="shared" si="1"/>
        <v>0</v>
      </c>
      <c r="Z84" s="42">
        <f>Y84/'[1]Passage Estimates'!$D84</f>
        <v>0</v>
      </c>
      <c r="AA84" s="43">
        <f>IFERROR(SUMIF(L84:R84, "&lt;&gt;#N/A")/SUMIF('2. Salmon Passage by Bin'!E84:J84, "&lt;&gt;#N/A"), NA())</f>
        <v>0</v>
      </c>
      <c r="AB84" s="42">
        <f>IFERROR(IF(ISNA(S84), NA(), S84/'2. Salmon Passage by Bin'!K84), NA())</f>
        <v>0</v>
      </c>
      <c r="AC84" s="44">
        <f>IFERROR(SUMIF(T84:W84, "&lt;&gt;#N/A")/SUMIF('2. Salmon Passage by Bin'!L84:N84, "&lt;&gt;#N/A"), NA())</f>
        <v>0</v>
      </c>
    </row>
    <row r="85" spans="1:29" x14ac:dyDescent="0.3">
      <c r="A85" s="5">
        <f>'1. Mixture Model Inputs'!A85</f>
        <v>45187</v>
      </c>
      <c r="B85" s="13" t="str">
        <f>IF(ISBLANK('[1]Passage Estimates'!$C85),"",IF('[1]Passage Estimates'!$C85="Imputation",'[1]Passage Estimates'!$B85,'[1]Passage Estimates'!$C85))</f>
        <v>A1+S1+M2+A2</v>
      </c>
      <c r="C85" s="17" t="e">
        <f>IFERROR('1. Mixture Model Inputs'!J85/'1. Mixture Model Inputs'!Z85,NA())</f>
        <v>#N/A</v>
      </c>
      <c r="D85" s="17" t="e">
        <f>IFERROR('1. Mixture Model Inputs'!K85/'1. Mixture Model Inputs'!AA85,NA())</f>
        <v>#N/A</v>
      </c>
      <c r="E85" s="17" t="e">
        <f>IFERROR('1. Mixture Model Inputs'!L85/'1. Mixture Model Inputs'!AB85,NA())</f>
        <v>#N/A</v>
      </c>
      <c r="F85" s="17" t="e">
        <f>IFERROR('1. Mixture Model Inputs'!M85/'1. Mixture Model Inputs'!AC85,NA())</f>
        <v>#N/A</v>
      </c>
      <c r="G85" s="17" t="e">
        <f>IFERROR('1. Mixture Model Inputs'!N85/'1. Mixture Model Inputs'!AD85,NA())</f>
        <v>#N/A</v>
      </c>
      <c r="H85" s="24">
        <f>WhonSpComp!AV100</f>
        <v>0</v>
      </c>
      <c r="I85" s="17" t="e">
        <f>IFERROR('1. Mixture Model Inputs'!O85/'1. Mixture Model Inputs'!AE85, NA())</f>
        <v>#N/A</v>
      </c>
      <c r="J85" s="17" t="e">
        <f>IFERROR('1. Mixture Model Inputs'!P85/'1. Mixture Model Inputs'!AF85, NA())</f>
        <v>#N/A</v>
      </c>
      <c r="K85" s="17" t="e">
        <f>IFERROR('1. Mixture Model Inputs'!Q85/'1. Mixture Model Inputs'!AG85, NA())</f>
        <v>#N/A</v>
      </c>
      <c r="L85" s="22" t="e">
        <f>C85*'2. Salmon Passage by Bin'!C85</f>
        <v>#N/A</v>
      </c>
      <c r="M85" s="22" t="e">
        <f>D85*'2. Salmon Passage by Bin'!D85</f>
        <v>#N/A</v>
      </c>
      <c r="N85" s="22" t="e">
        <f>F85*'2. Salmon Passage by Bin'!F85</f>
        <v>#N/A</v>
      </c>
      <c r="O85" s="22" t="e">
        <f>G85*'2. Salmon Passage by Bin'!G85</f>
        <v>#N/A</v>
      </c>
      <c r="P85" s="22" t="e">
        <f>$G85*'2. Salmon Passage by Bin'!H85</f>
        <v>#N/A</v>
      </c>
      <c r="Q85" s="22" t="e">
        <f>$G85*'2. Salmon Passage by Bin'!I85</f>
        <v>#N/A</v>
      </c>
      <c r="R85" s="22" t="e">
        <f>$G85*'2. Salmon Passage by Bin'!J85</f>
        <v>#N/A</v>
      </c>
      <c r="S85" s="25">
        <f>'2. Salmon Passage by Bin'!K85*H85</f>
        <v>0</v>
      </c>
      <c r="T85" s="25" t="e">
        <f>K85*'2. Salmon Passage by Bin'!L85</f>
        <v>#N/A</v>
      </c>
      <c r="U85" s="25" t="e">
        <f>K85*'2. Salmon Passage by Bin'!M85</f>
        <v>#N/A</v>
      </c>
      <c r="V85" s="25" t="e">
        <f>J85*'2. Salmon Passage by Bin'!N85</f>
        <v>#N/A</v>
      </c>
      <c r="W85" s="25" t="e">
        <f>I85*'2. Salmon Passage by Bin'!O85</f>
        <v>#N/A</v>
      </c>
      <c r="X85" s="22" t="e">
        <f>E85*'2. Salmon Passage by Bin'!E85</f>
        <v>#N/A</v>
      </c>
      <c r="Y85" s="41">
        <f t="shared" si="1"/>
        <v>0</v>
      </c>
      <c r="Z85" s="42">
        <f>Y85/'[1]Passage Estimates'!$D85</f>
        <v>0</v>
      </c>
      <c r="AA85" s="43">
        <f>IFERROR(SUMIF(L85:R85, "&lt;&gt;#N/A")/SUMIF('2. Salmon Passage by Bin'!E85:J85, "&lt;&gt;#N/A"), NA())</f>
        <v>0</v>
      </c>
      <c r="AB85" s="42">
        <f>IFERROR(IF(ISNA(S85), NA(), S85/'2. Salmon Passage by Bin'!K85), NA())</f>
        <v>0</v>
      </c>
      <c r="AC85" s="44">
        <f>IFERROR(SUMIF(T85:W85, "&lt;&gt;#N/A")/SUMIF('2. Salmon Passage by Bin'!L85:N85, "&lt;&gt;#N/A"), NA())</f>
        <v>0</v>
      </c>
    </row>
    <row r="86" spans="1:29" x14ac:dyDescent="0.3">
      <c r="A86" s="5">
        <f>'1. Mixture Model Inputs'!A86</f>
        <v>45188</v>
      </c>
      <c r="B86" s="13" t="str">
        <f>IF(ISBLANK('[1]Passage Estimates'!$C86),"",IF('[1]Passage Estimates'!$C86="Imputation",'[1]Passage Estimates'!$B86,'[1]Passage Estimates'!$C86))</f>
        <v>A1+S1+M2+A2</v>
      </c>
      <c r="C86" s="17" t="e">
        <f>IFERROR('1. Mixture Model Inputs'!J86/'1. Mixture Model Inputs'!Z86,NA())</f>
        <v>#N/A</v>
      </c>
      <c r="D86" s="17" t="e">
        <f>IFERROR('1. Mixture Model Inputs'!K86/'1. Mixture Model Inputs'!AA86,NA())</f>
        <v>#N/A</v>
      </c>
      <c r="E86" s="17" t="e">
        <f>IFERROR('1. Mixture Model Inputs'!L86/'1. Mixture Model Inputs'!AB86,NA())</f>
        <v>#N/A</v>
      </c>
      <c r="F86" s="17" t="e">
        <f>IFERROR('1. Mixture Model Inputs'!M86/'1. Mixture Model Inputs'!AC86,NA())</f>
        <v>#N/A</v>
      </c>
      <c r="G86" s="17" t="e">
        <f>IFERROR('1. Mixture Model Inputs'!N86/'1. Mixture Model Inputs'!AD86,NA())</f>
        <v>#N/A</v>
      </c>
      <c r="H86" s="24">
        <f>WhonSpComp!AV101</f>
        <v>0</v>
      </c>
      <c r="I86" s="17" t="e">
        <f>IFERROR('1. Mixture Model Inputs'!O86/'1. Mixture Model Inputs'!AE86, NA())</f>
        <v>#N/A</v>
      </c>
      <c r="J86" s="17" t="e">
        <f>IFERROR('1. Mixture Model Inputs'!P86/'1. Mixture Model Inputs'!AF86, NA())</f>
        <v>#N/A</v>
      </c>
      <c r="K86" s="17" t="e">
        <f>IFERROR('1. Mixture Model Inputs'!Q86/'1. Mixture Model Inputs'!AG86, NA())</f>
        <v>#N/A</v>
      </c>
      <c r="L86" s="22" t="e">
        <f>C86*'2. Salmon Passage by Bin'!C86</f>
        <v>#N/A</v>
      </c>
      <c r="M86" s="22" t="e">
        <f>D86*'2. Salmon Passage by Bin'!D86</f>
        <v>#N/A</v>
      </c>
      <c r="N86" s="22" t="e">
        <f>F86*'2. Salmon Passage by Bin'!F86</f>
        <v>#N/A</v>
      </c>
      <c r="O86" s="22" t="e">
        <f>G86*'2. Salmon Passage by Bin'!G86</f>
        <v>#N/A</v>
      </c>
      <c r="P86" s="22" t="e">
        <f>$G86*'2. Salmon Passage by Bin'!H86</f>
        <v>#N/A</v>
      </c>
      <c r="Q86" s="22" t="e">
        <f>$G86*'2. Salmon Passage by Bin'!I86</f>
        <v>#N/A</v>
      </c>
      <c r="R86" s="22" t="e">
        <f>$G86*'2. Salmon Passage by Bin'!J86</f>
        <v>#N/A</v>
      </c>
      <c r="S86" s="25">
        <f>'2. Salmon Passage by Bin'!K86*H86</f>
        <v>0</v>
      </c>
      <c r="T86" s="25" t="e">
        <f>K86*'2. Salmon Passage by Bin'!L86</f>
        <v>#N/A</v>
      </c>
      <c r="U86" s="25" t="e">
        <f>K86*'2. Salmon Passage by Bin'!M86</f>
        <v>#N/A</v>
      </c>
      <c r="V86" s="25" t="e">
        <f>J86*'2. Salmon Passage by Bin'!N86</f>
        <v>#N/A</v>
      </c>
      <c r="W86" s="25" t="e">
        <f>I86*'2. Salmon Passage by Bin'!O86</f>
        <v>#N/A</v>
      </c>
      <c r="X86" s="22" t="e">
        <f>E86*'2. Salmon Passage by Bin'!E86</f>
        <v>#N/A</v>
      </c>
      <c r="Y86" s="41">
        <f t="shared" si="1"/>
        <v>0</v>
      </c>
      <c r="Z86" s="42">
        <f>Y86/'[1]Passage Estimates'!$D86</f>
        <v>0</v>
      </c>
      <c r="AA86" s="43">
        <f>IFERROR(SUMIF(L86:R86, "&lt;&gt;#N/A")/SUMIF('2. Salmon Passage by Bin'!E86:J86, "&lt;&gt;#N/A"), NA())</f>
        <v>0</v>
      </c>
      <c r="AB86" s="42">
        <f>IFERROR(IF(ISNA(S86), NA(), S86/'2. Salmon Passage by Bin'!K86), NA())</f>
        <v>0</v>
      </c>
      <c r="AC86" s="44">
        <f>IFERROR(SUMIF(T86:W86, "&lt;&gt;#N/A")/SUMIF('2. Salmon Passage by Bin'!L86:N86, "&lt;&gt;#N/A"), NA())</f>
        <v>0</v>
      </c>
    </row>
    <row r="87" spans="1:29" x14ac:dyDescent="0.3">
      <c r="A87" s="5">
        <f>'1. Mixture Model Inputs'!A87</f>
        <v>45189</v>
      </c>
      <c r="B87" s="13" t="str">
        <f>IF(ISBLANK('[1]Passage Estimates'!$C87),"",IF('[1]Passage Estimates'!$C87="Imputation",'[1]Passage Estimates'!$B87,'[1]Passage Estimates'!$C87))</f>
        <v>A1+S1+M2+A2</v>
      </c>
      <c r="C87" s="17" t="e">
        <f>IFERROR('1. Mixture Model Inputs'!J87/'1. Mixture Model Inputs'!Z87,NA())</f>
        <v>#N/A</v>
      </c>
      <c r="D87" s="17" t="e">
        <f>IFERROR('1. Mixture Model Inputs'!K87/'1. Mixture Model Inputs'!AA87,NA())</f>
        <v>#N/A</v>
      </c>
      <c r="E87" s="17" t="e">
        <f>IFERROR('1. Mixture Model Inputs'!L87/'1. Mixture Model Inputs'!AB87,NA())</f>
        <v>#N/A</v>
      </c>
      <c r="F87" s="17" t="e">
        <f>IFERROR('1. Mixture Model Inputs'!M87/'1. Mixture Model Inputs'!AC87,NA())</f>
        <v>#N/A</v>
      </c>
      <c r="G87" s="17" t="e">
        <f>IFERROR('1. Mixture Model Inputs'!N87/'1. Mixture Model Inputs'!AD87,NA())</f>
        <v>#N/A</v>
      </c>
      <c r="H87" s="24">
        <f>WhonSpComp!AV102</f>
        <v>0</v>
      </c>
      <c r="I87" s="17" t="e">
        <f>IFERROR('1. Mixture Model Inputs'!O87/'1. Mixture Model Inputs'!AE87, NA())</f>
        <v>#N/A</v>
      </c>
      <c r="J87" s="17" t="e">
        <f>IFERROR('1. Mixture Model Inputs'!P87/'1. Mixture Model Inputs'!AF87, NA())</f>
        <v>#N/A</v>
      </c>
      <c r="K87" s="17" t="e">
        <f>IFERROR('1. Mixture Model Inputs'!Q87/'1. Mixture Model Inputs'!AG87, NA())</f>
        <v>#N/A</v>
      </c>
      <c r="L87" s="22" t="e">
        <f>C87*'2. Salmon Passage by Bin'!C87</f>
        <v>#N/A</v>
      </c>
      <c r="M87" s="22" t="e">
        <f>D87*'2. Salmon Passage by Bin'!D87</f>
        <v>#N/A</v>
      </c>
      <c r="N87" s="22" t="e">
        <f>F87*'2. Salmon Passage by Bin'!F87</f>
        <v>#N/A</v>
      </c>
      <c r="O87" s="22" t="e">
        <f>G87*'2. Salmon Passage by Bin'!G87</f>
        <v>#N/A</v>
      </c>
      <c r="P87" s="22" t="e">
        <f>$G87*'2. Salmon Passage by Bin'!H87</f>
        <v>#N/A</v>
      </c>
      <c r="Q87" s="22" t="e">
        <f>$G87*'2. Salmon Passage by Bin'!I87</f>
        <v>#N/A</v>
      </c>
      <c r="R87" s="22" t="e">
        <f>$G87*'2. Salmon Passage by Bin'!J87</f>
        <v>#N/A</v>
      </c>
      <c r="S87" s="25">
        <f>'2. Salmon Passage by Bin'!K87*H87</f>
        <v>0</v>
      </c>
      <c r="T87" s="25" t="e">
        <f>K87*'2. Salmon Passage by Bin'!L87</f>
        <v>#N/A</v>
      </c>
      <c r="U87" s="25" t="e">
        <f>K87*'2. Salmon Passage by Bin'!M87</f>
        <v>#N/A</v>
      </c>
      <c r="V87" s="25" t="e">
        <f>J87*'2. Salmon Passage by Bin'!N87</f>
        <v>#N/A</v>
      </c>
      <c r="W87" s="25" t="e">
        <f>I87*'2. Salmon Passage by Bin'!O87</f>
        <v>#N/A</v>
      </c>
      <c r="X87" s="22" t="e">
        <f>E87*'2. Salmon Passage by Bin'!E87</f>
        <v>#N/A</v>
      </c>
      <c r="Y87" s="41">
        <f t="shared" si="1"/>
        <v>0</v>
      </c>
      <c r="Z87" s="42">
        <f>Y87/'[1]Passage Estimates'!$D87</f>
        <v>0</v>
      </c>
      <c r="AA87" s="43">
        <f>IFERROR(SUMIF(L87:R87, "&lt;&gt;#N/A")/SUMIF('2. Salmon Passage by Bin'!E87:J87, "&lt;&gt;#N/A"), NA())</f>
        <v>0</v>
      </c>
      <c r="AB87" s="42">
        <f>IFERROR(IF(ISNA(S87), NA(), S87/'2. Salmon Passage by Bin'!K87), NA())</f>
        <v>0</v>
      </c>
      <c r="AC87" s="44">
        <f>IFERROR(SUMIF(T87:W87, "&lt;&gt;#N/A")/SUMIF('2. Salmon Passage by Bin'!L87:N87, "&lt;&gt;#N/A"), NA())</f>
        <v>0</v>
      </c>
    </row>
    <row r="88" spans="1:29" x14ac:dyDescent="0.3">
      <c r="A88" s="5">
        <f>'1. Mixture Model Inputs'!A88</f>
        <v>45190</v>
      </c>
      <c r="B88" s="13" t="str">
        <f>IF(ISBLANK('[1]Passage Estimates'!$C88),"",IF('[1]Passage Estimates'!$C88="Imputation",'[1]Passage Estimates'!$B88,'[1]Passage Estimates'!$C88))</f>
        <v>A1+S1+M2+A2</v>
      </c>
      <c r="C88" s="17" t="e">
        <f>IFERROR('1. Mixture Model Inputs'!J88/'1. Mixture Model Inputs'!Z88,NA())</f>
        <v>#N/A</v>
      </c>
      <c r="D88" s="17" t="e">
        <f>IFERROR('1. Mixture Model Inputs'!K88/'1. Mixture Model Inputs'!AA88,NA())</f>
        <v>#N/A</v>
      </c>
      <c r="E88" s="17" t="e">
        <f>IFERROR('1. Mixture Model Inputs'!L88/'1. Mixture Model Inputs'!AB88,NA())</f>
        <v>#N/A</v>
      </c>
      <c r="F88" s="17" t="e">
        <f>IFERROR('1. Mixture Model Inputs'!M88/'1. Mixture Model Inputs'!AC88,NA())</f>
        <v>#N/A</v>
      </c>
      <c r="G88" s="17" t="e">
        <f>IFERROR('1. Mixture Model Inputs'!N88/'1. Mixture Model Inputs'!AD88,NA())</f>
        <v>#N/A</v>
      </c>
      <c r="H88" s="24">
        <f>WhonSpComp!AV103</f>
        <v>0</v>
      </c>
      <c r="I88" s="17" t="e">
        <f>IFERROR('1. Mixture Model Inputs'!O88/'1. Mixture Model Inputs'!AE88, NA())</f>
        <v>#N/A</v>
      </c>
      <c r="J88" s="17" t="e">
        <f>IFERROR('1. Mixture Model Inputs'!P88/'1. Mixture Model Inputs'!AF88, NA())</f>
        <v>#N/A</v>
      </c>
      <c r="K88" s="17" t="e">
        <f>IFERROR('1. Mixture Model Inputs'!Q88/'1. Mixture Model Inputs'!AG88, NA())</f>
        <v>#N/A</v>
      </c>
      <c r="L88" s="22" t="e">
        <f>C88*'2. Salmon Passage by Bin'!C88</f>
        <v>#N/A</v>
      </c>
      <c r="M88" s="22" t="e">
        <f>D88*'2. Salmon Passage by Bin'!D88</f>
        <v>#N/A</v>
      </c>
      <c r="N88" s="22" t="e">
        <f>F88*'2. Salmon Passage by Bin'!F88</f>
        <v>#N/A</v>
      </c>
      <c r="O88" s="22" t="e">
        <f>G88*'2. Salmon Passage by Bin'!G88</f>
        <v>#N/A</v>
      </c>
      <c r="P88" s="22" t="e">
        <f>$G88*'2. Salmon Passage by Bin'!H88</f>
        <v>#N/A</v>
      </c>
      <c r="Q88" s="22" t="e">
        <f>$G88*'2. Salmon Passage by Bin'!I88</f>
        <v>#N/A</v>
      </c>
      <c r="R88" s="22" t="e">
        <f>$G88*'2. Salmon Passage by Bin'!J88</f>
        <v>#N/A</v>
      </c>
      <c r="S88" s="25">
        <f>'2. Salmon Passage by Bin'!K88*H88</f>
        <v>0</v>
      </c>
      <c r="T88" s="25" t="e">
        <f>K88*'2. Salmon Passage by Bin'!L88</f>
        <v>#N/A</v>
      </c>
      <c r="U88" s="25" t="e">
        <f>K88*'2. Salmon Passage by Bin'!M88</f>
        <v>#N/A</v>
      </c>
      <c r="V88" s="25" t="e">
        <f>J88*'2. Salmon Passage by Bin'!N88</f>
        <v>#N/A</v>
      </c>
      <c r="W88" s="25" t="e">
        <f>I88*'2. Salmon Passage by Bin'!O88</f>
        <v>#N/A</v>
      </c>
      <c r="X88" s="22" t="e">
        <f>E88*'2. Salmon Passage by Bin'!E88</f>
        <v>#N/A</v>
      </c>
      <c r="Y88" s="41">
        <f t="shared" si="1"/>
        <v>0</v>
      </c>
      <c r="Z88" s="42">
        <f>Y88/'[1]Passage Estimates'!$D88</f>
        <v>0</v>
      </c>
      <c r="AA88" s="43">
        <f>IFERROR(SUMIF(L88:R88, "&lt;&gt;#N/A")/SUMIF('2. Salmon Passage by Bin'!E88:J88, "&lt;&gt;#N/A"), NA())</f>
        <v>0</v>
      </c>
      <c r="AB88" s="42">
        <f>IFERROR(IF(ISNA(S88), NA(), S88/'2. Salmon Passage by Bin'!K88), NA())</f>
        <v>0</v>
      </c>
      <c r="AC88" s="44">
        <f>IFERROR(SUMIF(T88:W88, "&lt;&gt;#N/A")/SUMIF('2. Salmon Passage by Bin'!L88:N88, "&lt;&gt;#N/A"), NA())</f>
        <v>0</v>
      </c>
    </row>
    <row r="89" spans="1:29" x14ac:dyDescent="0.3">
      <c r="A89" s="5">
        <f>'1. Mixture Model Inputs'!A89</f>
        <v>45191</v>
      </c>
      <c r="B89" s="13" t="str">
        <f>IF(ISBLANK('[1]Passage Estimates'!$C89),"",IF('[1]Passage Estimates'!$C89="Imputation",'[1]Passage Estimates'!$B89,'[1]Passage Estimates'!$C89))</f>
        <v>A1+S1+M2+A2</v>
      </c>
      <c r="C89" s="17" t="e">
        <f>IFERROR('1. Mixture Model Inputs'!J89/'1. Mixture Model Inputs'!Z89,NA())</f>
        <v>#N/A</v>
      </c>
      <c r="D89" s="17" t="e">
        <f>IFERROR('1. Mixture Model Inputs'!K89/'1. Mixture Model Inputs'!AA89,NA())</f>
        <v>#N/A</v>
      </c>
      <c r="E89" s="17" t="e">
        <f>IFERROR('1. Mixture Model Inputs'!L89/'1. Mixture Model Inputs'!AB89,NA())</f>
        <v>#N/A</v>
      </c>
      <c r="F89" s="17" t="e">
        <f>IFERROR('1. Mixture Model Inputs'!M89/'1. Mixture Model Inputs'!AC89,NA())</f>
        <v>#N/A</v>
      </c>
      <c r="G89" s="17" t="e">
        <f>IFERROR('1. Mixture Model Inputs'!N89/'1. Mixture Model Inputs'!AD89,NA())</f>
        <v>#N/A</v>
      </c>
      <c r="H89" s="24">
        <f>WhonSpComp!AV104</f>
        <v>0</v>
      </c>
      <c r="I89" s="17" t="e">
        <f>IFERROR('1. Mixture Model Inputs'!O89/'1. Mixture Model Inputs'!AE89, NA())</f>
        <v>#N/A</v>
      </c>
      <c r="J89" s="17" t="e">
        <f>IFERROR('1. Mixture Model Inputs'!P89/'1. Mixture Model Inputs'!AF89, NA())</f>
        <v>#N/A</v>
      </c>
      <c r="K89" s="17" t="e">
        <f>IFERROR('1. Mixture Model Inputs'!Q89/'1. Mixture Model Inputs'!AG89, NA())</f>
        <v>#N/A</v>
      </c>
      <c r="L89" s="22" t="e">
        <f>C89*'2. Salmon Passage by Bin'!C89</f>
        <v>#N/A</v>
      </c>
      <c r="M89" s="22" t="e">
        <f>D89*'2. Salmon Passage by Bin'!D89</f>
        <v>#N/A</v>
      </c>
      <c r="N89" s="22" t="e">
        <f>F89*'2. Salmon Passage by Bin'!F89</f>
        <v>#N/A</v>
      </c>
      <c r="O89" s="22" t="e">
        <f>G89*'2. Salmon Passage by Bin'!G89</f>
        <v>#N/A</v>
      </c>
      <c r="P89" s="22" t="e">
        <f>$G89*'2. Salmon Passage by Bin'!H89</f>
        <v>#N/A</v>
      </c>
      <c r="Q89" s="22" t="e">
        <f>$G89*'2. Salmon Passage by Bin'!I89</f>
        <v>#N/A</v>
      </c>
      <c r="R89" s="22" t="e">
        <f>$G89*'2. Salmon Passage by Bin'!J89</f>
        <v>#N/A</v>
      </c>
      <c r="S89" s="25">
        <f>'2. Salmon Passage by Bin'!K89*H89</f>
        <v>0</v>
      </c>
      <c r="T89" s="25" t="e">
        <f>K89*'2. Salmon Passage by Bin'!L89</f>
        <v>#N/A</v>
      </c>
      <c r="U89" s="25" t="e">
        <f>K89*'2. Salmon Passage by Bin'!M89</f>
        <v>#N/A</v>
      </c>
      <c r="V89" s="25" t="e">
        <f>J89*'2. Salmon Passage by Bin'!N89</f>
        <v>#N/A</v>
      </c>
      <c r="W89" s="25" t="e">
        <f>I89*'2. Salmon Passage by Bin'!O89</f>
        <v>#N/A</v>
      </c>
      <c r="X89" s="22" t="e">
        <f>E89*'2. Salmon Passage by Bin'!E89</f>
        <v>#N/A</v>
      </c>
      <c r="Y89" s="41">
        <f t="shared" si="1"/>
        <v>0</v>
      </c>
      <c r="Z89" s="42">
        <f>Y89/'[1]Passage Estimates'!$D89</f>
        <v>0</v>
      </c>
      <c r="AA89" s="43">
        <f>IFERROR(SUMIF(L89:R89, "&lt;&gt;#N/A")/SUMIF('2. Salmon Passage by Bin'!E89:J89, "&lt;&gt;#N/A"), NA())</f>
        <v>0</v>
      </c>
      <c r="AB89" s="42">
        <f>IFERROR(IF(ISNA(S89), NA(), S89/'2. Salmon Passage by Bin'!K89), NA())</f>
        <v>0</v>
      </c>
      <c r="AC89" s="44">
        <f>IFERROR(SUMIF(T89:W89, "&lt;&gt;#N/A")/SUMIF('2. Salmon Passage by Bin'!L89:N89, "&lt;&gt;#N/A"), NA())</f>
        <v>0</v>
      </c>
    </row>
    <row r="90" spans="1:29" x14ac:dyDescent="0.3">
      <c r="A90" s="5">
        <f>'1. Mixture Model Inputs'!A90</f>
        <v>45192</v>
      </c>
      <c r="B90" s="13" t="str">
        <f>IF(ISBLANK('[1]Passage Estimates'!$C90),"",IF('[1]Passage Estimates'!$C90="Imputation",'[1]Passage Estimates'!$B90,'[1]Passage Estimates'!$C90))</f>
        <v>A1+S1+M2+A2</v>
      </c>
      <c r="C90" s="17" t="e">
        <f>IFERROR('1. Mixture Model Inputs'!J90/'1. Mixture Model Inputs'!Z90,NA())</f>
        <v>#N/A</v>
      </c>
      <c r="D90" s="17" t="e">
        <f>IFERROR('1. Mixture Model Inputs'!K90/'1. Mixture Model Inputs'!AA90,NA())</f>
        <v>#N/A</v>
      </c>
      <c r="E90" s="17" t="e">
        <f>IFERROR('1. Mixture Model Inputs'!L90/'1. Mixture Model Inputs'!AB90,NA())</f>
        <v>#N/A</v>
      </c>
      <c r="F90" s="17" t="e">
        <f>IFERROR('1. Mixture Model Inputs'!M90/'1. Mixture Model Inputs'!AC90,NA())</f>
        <v>#N/A</v>
      </c>
      <c r="G90" s="17" t="e">
        <f>IFERROR('1. Mixture Model Inputs'!N90/'1. Mixture Model Inputs'!AD90,NA())</f>
        <v>#N/A</v>
      </c>
      <c r="H90" s="24">
        <f>WhonSpComp!AV105</f>
        <v>0</v>
      </c>
      <c r="I90" s="17" t="e">
        <f>IFERROR('1. Mixture Model Inputs'!O90/'1. Mixture Model Inputs'!AE90, NA())</f>
        <v>#N/A</v>
      </c>
      <c r="J90" s="17" t="e">
        <f>IFERROR('1. Mixture Model Inputs'!P90/'1. Mixture Model Inputs'!AF90, NA())</f>
        <v>#N/A</v>
      </c>
      <c r="K90" s="17" t="e">
        <f>IFERROR('1. Mixture Model Inputs'!Q90/'1. Mixture Model Inputs'!AG90, NA())</f>
        <v>#N/A</v>
      </c>
      <c r="L90" s="22" t="e">
        <f>C90*'2. Salmon Passage by Bin'!C90</f>
        <v>#N/A</v>
      </c>
      <c r="M90" s="22" t="e">
        <f>D90*'2. Salmon Passage by Bin'!D90</f>
        <v>#N/A</v>
      </c>
      <c r="N90" s="22" t="e">
        <f>F90*'2. Salmon Passage by Bin'!F90</f>
        <v>#N/A</v>
      </c>
      <c r="O90" s="22" t="e">
        <f>G90*'2. Salmon Passage by Bin'!G90</f>
        <v>#N/A</v>
      </c>
      <c r="P90" s="22" t="e">
        <f>$G90*'2. Salmon Passage by Bin'!H90</f>
        <v>#N/A</v>
      </c>
      <c r="Q90" s="22" t="e">
        <f>$G90*'2. Salmon Passage by Bin'!I90</f>
        <v>#N/A</v>
      </c>
      <c r="R90" s="22" t="e">
        <f>$G90*'2. Salmon Passage by Bin'!J90</f>
        <v>#N/A</v>
      </c>
      <c r="S90" s="25">
        <f>'2. Salmon Passage by Bin'!K90*H90</f>
        <v>0</v>
      </c>
      <c r="T90" s="25" t="e">
        <f>K90*'2. Salmon Passage by Bin'!L90</f>
        <v>#N/A</v>
      </c>
      <c r="U90" s="25" t="e">
        <f>K90*'2. Salmon Passage by Bin'!M90</f>
        <v>#N/A</v>
      </c>
      <c r="V90" s="25" t="e">
        <f>J90*'2. Salmon Passage by Bin'!N90</f>
        <v>#N/A</v>
      </c>
      <c r="W90" s="25" t="e">
        <f>I90*'2. Salmon Passage by Bin'!O90</f>
        <v>#N/A</v>
      </c>
      <c r="X90" s="22" t="e">
        <f>E90*'2. Salmon Passage by Bin'!E90</f>
        <v>#N/A</v>
      </c>
      <c r="Y90" s="41">
        <f t="shared" si="1"/>
        <v>0</v>
      </c>
      <c r="Z90" s="42">
        <f>Y90/'[1]Passage Estimates'!$D90</f>
        <v>0</v>
      </c>
      <c r="AA90" s="43">
        <f>IFERROR(SUMIF(L90:R90, "&lt;&gt;#N/A")/SUMIF('2. Salmon Passage by Bin'!E90:J90, "&lt;&gt;#N/A"), NA())</f>
        <v>0</v>
      </c>
      <c r="AB90" s="42">
        <f>IFERROR(IF(ISNA(S90), NA(), S90/'2. Salmon Passage by Bin'!K90), NA())</f>
        <v>0</v>
      </c>
      <c r="AC90" s="44">
        <f>IFERROR(SUMIF(T90:W90, "&lt;&gt;#N/A")/SUMIF('2. Salmon Passage by Bin'!L90:N90, "&lt;&gt;#N/A"), NA())</f>
        <v>0</v>
      </c>
    </row>
    <row r="91" spans="1:29" x14ac:dyDescent="0.3">
      <c r="A91" s="5">
        <f>'1. Mixture Model Inputs'!A91</f>
        <v>45193</v>
      </c>
      <c r="B91" s="13" t="str">
        <f>IF(ISBLANK('[1]Passage Estimates'!$C91),"",IF('[1]Passage Estimates'!$C91="Imputation",'[1]Passage Estimates'!$B91,'[1]Passage Estimates'!$C91))</f>
        <v>A1+S1+M2+A2</v>
      </c>
      <c r="C91" s="17" t="e">
        <f>IFERROR('1. Mixture Model Inputs'!J91/'1. Mixture Model Inputs'!Z91,NA())</f>
        <v>#N/A</v>
      </c>
      <c r="D91" s="17" t="e">
        <f>IFERROR('1. Mixture Model Inputs'!K91/'1. Mixture Model Inputs'!AA91,NA())</f>
        <v>#N/A</v>
      </c>
      <c r="E91" s="17" t="e">
        <f>IFERROR('1. Mixture Model Inputs'!L91/'1. Mixture Model Inputs'!AB91,NA())</f>
        <v>#N/A</v>
      </c>
      <c r="F91" s="17" t="e">
        <f>IFERROR('1. Mixture Model Inputs'!M91/'1. Mixture Model Inputs'!AC91,NA())</f>
        <v>#N/A</v>
      </c>
      <c r="G91" s="17" t="e">
        <f>IFERROR('1. Mixture Model Inputs'!N91/'1. Mixture Model Inputs'!AD91,NA())</f>
        <v>#N/A</v>
      </c>
      <c r="H91" s="24">
        <f>WhonSpComp!AV106</f>
        <v>0</v>
      </c>
      <c r="I91" s="17" t="e">
        <f>IFERROR('1. Mixture Model Inputs'!O91/'1. Mixture Model Inputs'!AE91, NA())</f>
        <v>#N/A</v>
      </c>
      <c r="J91" s="17" t="e">
        <f>IFERROR('1. Mixture Model Inputs'!P91/'1. Mixture Model Inputs'!AF91, NA())</f>
        <v>#N/A</v>
      </c>
      <c r="K91" s="17" t="e">
        <f>IFERROR('1. Mixture Model Inputs'!Q91/'1. Mixture Model Inputs'!AG91, NA())</f>
        <v>#N/A</v>
      </c>
      <c r="L91" s="22" t="e">
        <f>C91*'2. Salmon Passage by Bin'!C91</f>
        <v>#N/A</v>
      </c>
      <c r="M91" s="22" t="e">
        <f>D91*'2. Salmon Passage by Bin'!D91</f>
        <v>#N/A</v>
      </c>
      <c r="N91" s="22" t="e">
        <f>F91*'2. Salmon Passage by Bin'!F91</f>
        <v>#N/A</v>
      </c>
      <c r="O91" s="22" t="e">
        <f>G91*'2. Salmon Passage by Bin'!G91</f>
        <v>#N/A</v>
      </c>
      <c r="P91" s="22" t="e">
        <f>$G91*'2. Salmon Passage by Bin'!H91</f>
        <v>#N/A</v>
      </c>
      <c r="Q91" s="22" t="e">
        <f>$G91*'2. Salmon Passage by Bin'!I91</f>
        <v>#N/A</v>
      </c>
      <c r="R91" s="22" t="e">
        <f>$G91*'2. Salmon Passage by Bin'!J91</f>
        <v>#N/A</v>
      </c>
      <c r="S91" s="25">
        <f>'2. Salmon Passage by Bin'!K91*H91</f>
        <v>0</v>
      </c>
      <c r="T91" s="25" t="e">
        <f>K91*'2. Salmon Passage by Bin'!L91</f>
        <v>#N/A</v>
      </c>
      <c r="U91" s="25" t="e">
        <f>K91*'2. Salmon Passage by Bin'!M91</f>
        <v>#N/A</v>
      </c>
      <c r="V91" s="25" t="e">
        <f>J91*'2. Salmon Passage by Bin'!N91</f>
        <v>#N/A</v>
      </c>
      <c r="W91" s="25" t="e">
        <f>I91*'2. Salmon Passage by Bin'!O91</f>
        <v>#N/A</v>
      </c>
      <c r="X91" s="22" t="e">
        <f>E91*'2. Salmon Passage by Bin'!E91</f>
        <v>#N/A</v>
      </c>
      <c r="Y91" s="41">
        <f t="shared" si="1"/>
        <v>0</v>
      </c>
      <c r="Z91" s="42">
        <f>Y91/'[1]Passage Estimates'!$D91</f>
        <v>0</v>
      </c>
      <c r="AA91" s="43">
        <f>IFERROR(SUMIF(L91:R91, "&lt;&gt;#N/A")/SUMIF('2. Salmon Passage by Bin'!E91:J91, "&lt;&gt;#N/A"), NA())</f>
        <v>0</v>
      </c>
      <c r="AB91" s="42">
        <f>IFERROR(IF(ISNA(S91), NA(), S91/'2. Salmon Passage by Bin'!K91), NA())</f>
        <v>0</v>
      </c>
      <c r="AC91" s="44">
        <f>IFERROR(SUMIF(T91:W91, "&lt;&gt;#N/A")/SUMIF('2. Salmon Passage by Bin'!L91:N91, "&lt;&gt;#N/A"), NA())</f>
        <v>0</v>
      </c>
    </row>
    <row r="92" spans="1:29" x14ac:dyDescent="0.3">
      <c r="A92" s="5">
        <f>'1. Mixture Model Inputs'!A92</f>
        <v>45194</v>
      </c>
      <c r="B92" s="13" t="str">
        <f>IF(ISBLANK('[1]Passage Estimates'!$C92),"",IF('[1]Passage Estimates'!$C92="Imputation",'[1]Passage Estimates'!$B92,'[1]Passage Estimates'!$C92))</f>
        <v>A1+S1+M2+A2</v>
      </c>
      <c r="C92" s="17" t="e">
        <f>IFERROR('1. Mixture Model Inputs'!J92/'1. Mixture Model Inputs'!Z92,NA())</f>
        <v>#N/A</v>
      </c>
      <c r="D92" s="17" t="e">
        <f>IFERROR('1. Mixture Model Inputs'!K92/'1. Mixture Model Inputs'!AA92,NA())</f>
        <v>#N/A</v>
      </c>
      <c r="E92" s="17" t="e">
        <f>IFERROR('1. Mixture Model Inputs'!L92/'1. Mixture Model Inputs'!AB92,NA())</f>
        <v>#N/A</v>
      </c>
      <c r="F92" s="17" t="e">
        <f>IFERROR('1. Mixture Model Inputs'!M92/'1. Mixture Model Inputs'!AC92,NA())</f>
        <v>#N/A</v>
      </c>
      <c r="G92" s="17" t="e">
        <f>IFERROR('1. Mixture Model Inputs'!N92/'1. Mixture Model Inputs'!AD92,NA())</f>
        <v>#N/A</v>
      </c>
      <c r="H92" s="24">
        <f>WhonSpComp!AV107</f>
        <v>0</v>
      </c>
      <c r="I92" s="17" t="e">
        <f>IFERROR('1. Mixture Model Inputs'!O92/'1. Mixture Model Inputs'!AE92, NA())</f>
        <v>#N/A</v>
      </c>
      <c r="J92" s="17" t="e">
        <f>IFERROR('1. Mixture Model Inputs'!P92/'1. Mixture Model Inputs'!AF92, NA())</f>
        <v>#N/A</v>
      </c>
      <c r="K92" s="17" t="e">
        <f>IFERROR('1. Mixture Model Inputs'!Q92/'1. Mixture Model Inputs'!AG92, NA())</f>
        <v>#N/A</v>
      </c>
      <c r="L92" s="22" t="e">
        <f>C92*'2. Salmon Passage by Bin'!C92</f>
        <v>#N/A</v>
      </c>
      <c r="M92" s="22" t="e">
        <f>D92*'2. Salmon Passage by Bin'!D92</f>
        <v>#N/A</v>
      </c>
      <c r="N92" s="22" t="e">
        <f>F92*'2. Salmon Passage by Bin'!F92</f>
        <v>#N/A</v>
      </c>
      <c r="O92" s="22" t="e">
        <f>G92*'2. Salmon Passage by Bin'!G92</f>
        <v>#N/A</v>
      </c>
      <c r="P92" s="22" t="e">
        <f>$G92*'2. Salmon Passage by Bin'!H92</f>
        <v>#N/A</v>
      </c>
      <c r="Q92" s="22" t="e">
        <f>$G92*'2. Salmon Passage by Bin'!I92</f>
        <v>#N/A</v>
      </c>
      <c r="R92" s="22" t="e">
        <f>$G92*'2. Salmon Passage by Bin'!J92</f>
        <v>#N/A</v>
      </c>
      <c r="S92" s="25">
        <f>'2. Salmon Passage by Bin'!K92*H92</f>
        <v>0</v>
      </c>
      <c r="T92" s="25" t="e">
        <f>K92*'2. Salmon Passage by Bin'!L92</f>
        <v>#N/A</v>
      </c>
      <c r="U92" s="25" t="e">
        <f>K92*'2. Salmon Passage by Bin'!M92</f>
        <v>#N/A</v>
      </c>
      <c r="V92" s="25" t="e">
        <f>J92*'2. Salmon Passage by Bin'!N92</f>
        <v>#N/A</v>
      </c>
      <c r="W92" s="25" t="e">
        <f>I92*'2. Salmon Passage by Bin'!O92</f>
        <v>#N/A</v>
      </c>
      <c r="X92" s="22" t="e">
        <f>E92*'2. Salmon Passage by Bin'!E92</f>
        <v>#N/A</v>
      </c>
      <c r="Y92" s="41">
        <f t="shared" si="1"/>
        <v>0</v>
      </c>
      <c r="Z92" s="42">
        <f>Y92/'[1]Passage Estimates'!$D92</f>
        <v>0</v>
      </c>
      <c r="AA92" s="43">
        <f>IFERROR(SUMIF(L92:R92, "&lt;&gt;#N/A")/SUMIF('2. Salmon Passage by Bin'!E92:J92, "&lt;&gt;#N/A"), NA())</f>
        <v>0</v>
      </c>
      <c r="AB92" s="42">
        <f>IFERROR(IF(ISNA(S92), NA(), S92/'2. Salmon Passage by Bin'!K92), NA())</f>
        <v>0</v>
      </c>
      <c r="AC92" s="44">
        <f>IFERROR(SUMIF(T92:W92, "&lt;&gt;#N/A")/SUMIF('2. Salmon Passage by Bin'!L92:N92, "&lt;&gt;#N/A"), NA())</f>
        <v>0</v>
      </c>
    </row>
    <row r="93" spans="1:29" x14ac:dyDescent="0.3">
      <c r="A93" s="5">
        <f>'1. Mixture Model Inputs'!A93</f>
        <v>45195</v>
      </c>
      <c r="B93" s="13" t="str">
        <f>IF(ISBLANK('[1]Passage Estimates'!$C93),"",IF('[1]Passage Estimates'!$C93="Imputation",'[1]Passage Estimates'!$B93,'[1]Passage Estimates'!$C93))</f>
        <v>A1+S1+M2+A2</v>
      </c>
      <c r="C93" s="17" t="e">
        <f>IFERROR('1. Mixture Model Inputs'!J93/'1. Mixture Model Inputs'!Z93,NA())</f>
        <v>#N/A</v>
      </c>
      <c r="D93" s="17" t="e">
        <f>IFERROR('1. Mixture Model Inputs'!K93/'1. Mixture Model Inputs'!AA93,NA())</f>
        <v>#N/A</v>
      </c>
      <c r="E93" s="17" t="e">
        <f>IFERROR('1. Mixture Model Inputs'!L93/'1. Mixture Model Inputs'!AB93,NA())</f>
        <v>#N/A</v>
      </c>
      <c r="F93" s="17" t="e">
        <f>IFERROR('1. Mixture Model Inputs'!M93/'1. Mixture Model Inputs'!AC93,NA())</f>
        <v>#N/A</v>
      </c>
      <c r="G93" s="17" t="e">
        <f>IFERROR('1. Mixture Model Inputs'!N93/'1. Mixture Model Inputs'!AD93,NA())</f>
        <v>#N/A</v>
      </c>
      <c r="H93" s="24">
        <f>WhonSpComp!AV108</f>
        <v>0</v>
      </c>
      <c r="I93" s="17" t="e">
        <f>IFERROR('1. Mixture Model Inputs'!O93/'1. Mixture Model Inputs'!AE93, NA())</f>
        <v>#N/A</v>
      </c>
      <c r="J93" s="17" t="e">
        <f>IFERROR('1. Mixture Model Inputs'!P93/'1. Mixture Model Inputs'!AF93, NA())</f>
        <v>#N/A</v>
      </c>
      <c r="K93" s="17" t="e">
        <f>IFERROR('1. Mixture Model Inputs'!Q93/'1. Mixture Model Inputs'!AG93, NA())</f>
        <v>#N/A</v>
      </c>
      <c r="L93" s="22" t="e">
        <f>C93*'2. Salmon Passage by Bin'!C93</f>
        <v>#N/A</v>
      </c>
      <c r="M93" s="22" t="e">
        <f>D93*'2. Salmon Passage by Bin'!D93</f>
        <v>#N/A</v>
      </c>
      <c r="N93" s="22" t="e">
        <f>F93*'2. Salmon Passage by Bin'!F93</f>
        <v>#N/A</v>
      </c>
      <c r="O93" s="22" t="e">
        <f>G93*'2. Salmon Passage by Bin'!G93</f>
        <v>#N/A</v>
      </c>
      <c r="P93" s="22" t="e">
        <f>$G93*'2. Salmon Passage by Bin'!H93</f>
        <v>#N/A</v>
      </c>
      <c r="Q93" s="22" t="e">
        <f>$G93*'2. Salmon Passage by Bin'!I93</f>
        <v>#N/A</v>
      </c>
      <c r="R93" s="22" t="e">
        <f>$G93*'2. Salmon Passage by Bin'!J93</f>
        <v>#N/A</v>
      </c>
      <c r="S93" s="25">
        <f>'2. Salmon Passage by Bin'!K93*H93</f>
        <v>0</v>
      </c>
      <c r="T93" s="25" t="e">
        <f>K93*'2. Salmon Passage by Bin'!L93</f>
        <v>#N/A</v>
      </c>
      <c r="U93" s="25" t="e">
        <f>K93*'2. Salmon Passage by Bin'!M93</f>
        <v>#N/A</v>
      </c>
      <c r="V93" s="25" t="e">
        <f>J93*'2. Salmon Passage by Bin'!N93</f>
        <v>#N/A</v>
      </c>
      <c r="W93" s="25" t="e">
        <f>I93*'2. Salmon Passage by Bin'!O93</f>
        <v>#N/A</v>
      </c>
      <c r="X93" s="22" t="e">
        <f>E93*'2. Salmon Passage by Bin'!E93</f>
        <v>#N/A</v>
      </c>
      <c r="Y93" s="41">
        <f t="shared" si="1"/>
        <v>0</v>
      </c>
      <c r="Z93" s="42">
        <f>Y93/'[1]Passage Estimates'!$D93</f>
        <v>0</v>
      </c>
      <c r="AA93" s="43">
        <f>IFERROR(SUMIF(L93:R93, "&lt;&gt;#N/A")/SUMIF('2. Salmon Passage by Bin'!E93:J93, "&lt;&gt;#N/A"), NA())</f>
        <v>0</v>
      </c>
      <c r="AB93" s="42">
        <f>IFERROR(IF(ISNA(S93), NA(), S93/'2. Salmon Passage by Bin'!K93), NA())</f>
        <v>0</v>
      </c>
      <c r="AC93" s="44">
        <f>IFERROR(SUMIF(T93:W93, "&lt;&gt;#N/A")/SUMIF('2. Salmon Passage by Bin'!L93:N93, "&lt;&gt;#N/A"), NA())</f>
        <v>0</v>
      </c>
    </row>
    <row r="94" spans="1:29" x14ac:dyDescent="0.3">
      <c r="A94" s="5">
        <f>'1. Mixture Model Inputs'!A94</f>
        <v>45196</v>
      </c>
      <c r="B94" s="13" t="str">
        <f>IF(ISBLANK('[1]Passage Estimates'!$C94),"",IF('[1]Passage Estimates'!$C94="Imputation",'[1]Passage Estimates'!$B94,'[1]Passage Estimates'!$C94))</f>
        <v>A1+S1+M2+A2</v>
      </c>
      <c r="C94" s="17" t="e">
        <f>IFERROR('1. Mixture Model Inputs'!J94/'1. Mixture Model Inputs'!Z94,NA())</f>
        <v>#N/A</v>
      </c>
      <c r="D94" s="17" t="e">
        <f>IFERROR('1. Mixture Model Inputs'!K94/'1. Mixture Model Inputs'!AA94,NA())</f>
        <v>#N/A</v>
      </c>
      <c r="E94" s="17" t="e">
        <f>IFERROR('1. Mixture Model Inputs'!L94/'1. Mixture Model Inputs'!AB94,NA())</f>
        <v>#N/A</v>
      </c>
      <c r="F94" s="17" t="e">
        <f>IFERROR('1. Mixture Model Inputs'!M94/'1. Mixture Model Inputs'!AC94,NA())</f>
        <v>#N/A</v>
      </c>
      <c r="G94" s="17" t="e">
        <f>IFERROR('1. Mixture Model Inputs'!N94/'1. Mixture Model Inputs'!AD94,NA())</f>
        <v>#N/A</v>
      </c>
      <c r="H94" s="24">
        <f>WhonSpComp!AV109</f>
        <v>0</v>
      </c>
      <c r="I94" s="17" t="e">
        <f>IFERROR('1. Mixture Model Inputs'!O94/'1. Mixture Model Inputs'!AE94, NA())</f>
        <v>#N/A</v>
      </c>
      <c r="J94" s="17" t="e">
        <f>IFERROR('1. Mixture Model Inputs'!P94/'1. Mixture Model Inputs'!AF94, NA())</f>
        <v>#N/A</v>
      </c>
      <c r="K94" s="17" t="e">
        <f>IFERROR('1. Mixture Model Inputs'!Q94/'1. Mixture Model Inputs'!AG94, NA())</f>
        <v>#N/A</v>
      </c>
      <c r="L94" s="22" t="e">
        <f>C94*'2. Salmon Passage by Bin'!C94</f>
        <v>#N/A</v>
      </c>
      <c r="M94" s="22" t="e">
        <f>D94*'2. Salmon Passage by Bin'!D94</f>
        <v>#N/A</v>
      </c>
      <c r="N94" s="22" t="e">
        <f>F94*'2. Salmon Passage by Bin'!F94</f>
        <v>#N/A</v>
      </c>
      <c r="O94" s="22" t="e">
        <f>G94*'2. Salmon Passage by Bin'!G94</f>
        <v>#N/A</v>
      </c>
      <c r="P94" s="22" t="e">
        <f>$G94*'2. Salmon Passage by Bin'!H94</f>
        <v>#N/A</v>
      </c>
      <c r="Q94" s="22" t="e">
        <f>$G94*'2. Salmon Passage by Bin'!I94</f>
        <v>#N/A</v>
      </c>
      <c r="R94" s="22" t="e">
        <f>$G94*'2. Salmon Passage by Bin'!J94</f>
        <v>#N/A</v>
      </c>
      <c r="S94" s="25">
        <f>'2. Salmon Passage by Bin'!K94*H94</f>
        <v>0</v>
      </c>
      <c r="T94" s="25" t="e">
        <f>K94*'2. Salmon Passage by Bin'!L94</f>
        <v>#N/A</v>
      </c>
      <c r="U94" s="25" t="e">
        <f>K94*'2. Salmon Passage by Bin'!M94</f>
        <v>#N/A</v>
      </c>
      <c r="V94" s="25" t="e">
        <f>J94*'2. Salmon Passage by Bin'!N94</f>
        <v>#N/A</v>
      </c>
      <c r="W94" s="25" t="e">
        <f>I94*'2. Salmon Passage by Bin'!O94</f>
        <v>#N/A</v>
      </c>
      <c r="X94" s="22" t="e">
        <f>E94*'2. Salmon Passage by Bin'!E94</f>
        <v>#N/A</v>
      </c>
      <c r="Y94" s="41">
        <f t="shared" si="1"/>
        <v>0</v>
      </c>
      <c r="Z94" s="42">
        <f>Y94/'[1]Passage Estimates'!$D94</f>
        <v>0</v>
      </c>
      <c r="AA94" s="43">
        <f>IFERROR(SUMIF(L94:R94, "&lt;&gt;#N/A")/SUMIF('2. Salmon Passage by Bin'!E94:J94, "&lt;&gt;#N/A"), NA())</f>
        <v>0</v>
      </c>
      <c r="AB94" s="42">
        <f>IFERROR(IF(ISNA(S94), NA(), S94/'2. Salmon Passage by Bin'!K94), NA())</f>
        <v>0</v>
      </c>
      <c r="AC94" s="44">
        <f>IFERROR(SUMIF(T94:W94, "&lt;&gt;#N/A")/SUMIF('2. Salmon Passage by Bin'!L94:N94, "&lt;&gt;#N/A"), NA())</f>
        <v>0</v>
      </c>
    </row>
    <row r="95" spans="1:29" x14ac:dyDescent="0.3">
      <c r="A95" s="5">
        <f>'1. Mixture Model Inputs'!A95</f>
        <v>45197</v>
      </c>
      <c r="B95" s="13" t="str">
        <f>IF(ISBLANK('[1]Passage Estimates'!$C95),"",IF('[1]Passage Estimates'!$C95="Imputation",'[1]Passage Estimates'!$B95,'[1]Passage Estimates'!$C95))</f>
        <v>A1+S1+M2+A2</v>
      </c>
      <c r="C95" s="17" t="e">
        <f>IFERROR('1. Mixture Model Inputs'!J95/'1. Mixture Model Inputs'!Z95,NA())</f>
        <v>#N/A</v>
      </c>
      <c r="D95" s="17" t="e">
        <f>IFERROR('1. Mixture Model Inputs'!K95/'1. Mixture Model Inputs'!AA95,NA())</f>
        <v>#N/A</v>
      </c>
      <c r="E95" s="17" t="e">
        <f>IFERROR('1. Mixture Model Inputs'!L95/'1. Mixture Model Inputs'!AB95,NA())</f>
        <v>#N/A</v>
      </c>
      <c r="F95" s="17" t="e">
        <f>IFERROR('1. Mixture Model Inputs'!M95/'1. Mixture Model Inputs'!AC95,NA())</f>
        <v>#N/A</v>
      </c>
      <c r="G95" s="17" t="e">
        <f>IFERROR('1. Mixture Model Inputs'!N95/'1. Mixture Model Inputs'!AD95,NA())</f>
        <v>#N/A</v>
      </c>
      <c r="H95" s="24">
        <f>WhonSpComp!AV110</f>
        <v>0</v>
      </c>
      <c r="I95" s="17" t="e">
        <f>IFERROR('1. Mixture Model Inputs'!O95/'1. Mixture Model Inputs'!AE95, NA())</f>
        <v>#N/A</v>
      </c>
      <c r="J95" s="17" t="e">
        <f>IFERROR('1. Mixture Model Inputs'!P95/'1. Mixture Model Inputs'!AF95, NA())</f>
        <v>#N/A</v>
      </c>
      <c r="K95" s="17" t="e">
        <f>IFERROR('1. Mixture Model Inputs'!Q95/'1. Mixture Model Inputs'!AG95, NA())</f>
        <v>#N/A</v>
      </c>
      <c r="L95" s="22" t="e">
        <f>C95*'2. Salmon Passage by Bin'!C95</f>
        <v>#N/A</v>
      </c>
      <c r="M95" s="22" t="e">
        <f>D95*'2. Salmon Passage by Bin'!D95</f>
        <v>#N/A</v>
      </c>
      <c r="N95" s="22" t="e">
        <f>F95*'2. Salmon Passage by Bin'!F95</f>
        <v>#N/A</v>
      </c>
      <c r="O95" s="22" t="e">
        <f>G95*'2. Salmon Passage by Bin'!G95</f>
        <v>#N/A</v>
      </c>
      <c r="P95" s="22" t="e">
        <f>$G95*'2. Salmon Passage by Bin'!H95</f>
        <v>#N/A</v>
      </c>
      <c r="Q95" s="22" t="e">
        <f>$G95*'2. Salmon Passage by Bin'!I95</f>
        <v>#N/A</v>
      </c>
      <c r="R95" s="22" t="e">
        <f>$G95*'2. Salmon Passage by Bin'!J95</f>
        <v>#N/A</v>
      </c>
      <c r="S95" s="25">
        <f>'2. Salmon Passage by Bin'!K95*H95</f>
        <v>0</v>
      </c>
      <c r="T95" s="25" t="e">
        <f>K95*'2. Salmon Passage by Bin'!L95</f>
        <v>#N/A</v>
      </c>
      <c r="U95" s="25" t="e">
        <f>K95*'2. Salmon Passage by Bin'!M95</f>
        <v>#N/A</v>
      </c>
      <c r="V95" s="25" t="e">
        <f>J95*'2. Salmon Passage by Bin'!N95</f>
        <v>#N/A</v>
      </c>
      <c r="W95" s="25" t="e">
        <f>I95*'2. Salmon Passage by Bin'!O95</f>
        <v>#N/A</v>
      </c>
      <c r="X95" s="22" t="e">
        <f>E95*'2. Salmon Passage by Bin'!E95</f>
        <v>#N/A</v>
      </c>
      <c r="Y95" s="41">
        <f t="shared" si="1"/>
        <v>0</v>
      </c>
      <c r="Z95" s="42">
        <f>Y95/'[1]Passage Estimates'!$D95</f>
        <v>0</v>
      </c>
      <c r="AA95" s="43">
        <f>IFERROR(SUMIF(L95:R95, "&lt;&gt;#N/A")/SUMIF('2. Salmon Passage by Bin'!E95:J95, "&lt;&gt;#N/A"), NA())</f>
        <v>0</v>
      </c>
      <c r="AB95" s="42">
        <f>IFERROR(IF(ISNA(S95), NA(), S95/'2. Salmon Passage by Bin'!K95), NA())</f>
        <v>0</v>
      </c>
      <c r="AC95" s="44">
        <f>IFERROR(SUMIF(T95:W95, "&lt;&gt;#N/A")/SUMIF('2. Salmon Passage by Bin'!L95:N95, "&lt;&gt;#N/A"), NA())</f>
        <v>0</v>
      </c>
    </row>
    <row r="96" spans="1:29" x14ac:dyDescent="0.3">
      <c r="A96" s="5">
        <f>'1. Mixture Model Inputs'!A96</f>
        <v>45198</v>
      </c>
      <c r="B96" s="13" t="str">
        <f>IF(ISBLANK('[1]Passage Estimates'!$C96),"",IF('[1]Passage Estimates'!$C96="Imputation",'[1]Passage Estimates'!$B96,'[1]Passage Estimates'!$C96))</f>
        <v>A1+S1+M2+A2</v>
      </c>
      <c r="C96" s="17" t="e">
        <f>IFERROR('1. Mixture Model Inputs'!J96/'1. Mixture Model Inputs'!Z96,NA())</f>
        <v>#N/A</v>
      </c>
      <c r="D96" s="17" t="e">
        <f>IFERROR('1. Mixture Model Inputs'!K96/'1. Mixture Model Inputs'!AA96,NA())</f>
        <v>#N/A</v>
      </c>
      <c r="E96" s="17" t="e">
        <f>IFERROR('1. Mixture Model Inputs'!L96/'1. Mixture Model Inputs'!AB96,NA())</f>
        <v>#N/A</v>
      </c>
      <c r="F96" s="17" t="e">
        <f>IFERROR('1. Mixture Model Inputs'!M96/'1. Mixture Model Inputs'!AC96,NA())</f>
        <v>#N/A</v>
      </c>
      <c r="G96" s="17" t="e">
        <f>IFERROR('1. Mixture Model Inputs'!N96/'1. Mixture Model Inputs'!AD96,NA())</f>
        <v>#N/A</v>
      </c>
      <c r="H96" s="24">
        <f>WhonSpComp!AV111</f>
        <v>0</v>
      </c>
      <c r="I96" s="17" t="e">
        <f>IFERROR('1. Mixture Model Inputs'!O96/'1. Mixture Model Inputs'!AE96, NA())</f>
        <v>#N/A</v>
      </c>
      <c r="J96" s="17" t="e">
        <f>IFERROR('1. Mixture Model Inputs'!P96/'1. Mixture Model Inputs'!AF96, NA())</f>
        <v>#N/A</v>
      </c>
      <c r="K96" s="17" t="e">
        <f>IFERROR('1. Mixture Model Inputs'!Q96/'1. Mixture Model Inputs'!AG96, NA())</f>
        <v>#N/A</v>
      </c>
      <c r="L96" s="22" t="e">
        <f>C96*'2. Salmon Passage by Bin'!C96</f>
        <v>#N/A</v>
      </c>
      <c r="M96" s="22" t="e">
        <f>D96*'2. Salmon Passage by Bin'!D96</f>
        <v>#N/A</v>
      </c>
      <c r="N96" s="22" t="e">
        <f>F96*'2. Salmon Passage by Bin'!F96</f>
        <v>#N/A</v>
      </c>
      <c r="O96" s="22" t="e">
        <f>G96*'2. Salmon Passage by Bin'!G96</f>
        <v>#N/A</v>
      </c>
      <c r="P96" s="22" t="e">
        <f>$G96*'2. Salmon Passage by Bin'!H96</f>
        <v>#N/A</v>
      </c>
      <c r="Q96" s="22" t="e">
        <f>$G96*'2. Salmon Passage by Bin'!I96</f>
        <v>#N/A</v>
      </c>
      <c r="R96" s="22" t="e">
        <f>$G96*'2. Salmon Passage by Bin'!J96</f>
        <v>#N/A</v>
      </c>
      <c r="S96" s="25">
        <f>'2. Salmon Passage by Bin'!K96*H96</f>
        <v>0</v>
      </c>
      <c r="T96" s="25" t="e">
        <f>K96*'2. Salmon Passage by Bin'!L96</f>
        <v>#N/A</v>
      </c>
      <c r="U96" s="25" t="e">
        <f>K96*'2. Salmon Passage by Bin'!M96</f>
        <v>#N/A</v>
      </c>
      <c r="V96" s="25" t="e">
        <f>J96*'2. Salmon Passage by Bin'!N96</f>
        <v>#N/A</v>
      </c>
      <c r="W96" s="25" t="e">
        <f>I96*'2. Salmon Passage by Bin'!O96</f>
        <v>#N/A</v>
      </c>
      <c r="X96" s="22" t="e">
        <f>E96*'2. Salmon Passage by Bin'!E96</f>
        <v>#N/A</v>
      </c>
      <c r="Y96" s="41">
        <f t="shared" si="1"/>
        <v>0</v>
      </c>
      <c r="Z96" s="42">
        <f>Y96/'[1]Passage Estimates'!$D96</f>
        <v>0</v>
      </c>
      <c r="AA96" s="43">
        <f>IFERROR(SUMIF(L96:R96, "&lt;&gt;#N/A")/SUMIF('2. Salmon Passage by Bin'!E96:J96, "&lt;&gt;#N/A"), NA())</f>
        <v>0</v>
      </c>
      <c r="AB96" s="42">
        <f>IFERROR(IF(ISNA(S96), NA(), S96/'2. Salmon Passage by Bin'!K96), NA())</f>
        <v>0</v>
      </c>
      <c r="AC96" s="44" t="e">
        <f>IFERROR(SUMIF(T96:W96, "&lt;&gt;#N/A")/SUMIF('2. Salmon Passage by Bin'!L96:N96, "&lt;&gt;#N/A"), NA())</f>
        <v>#N/A</v>
      </c>
    </row>
    <row r="97" spans="1:29" x14ac:dyDescent="0.3">
      <c r="A97" s="5">
        <f>'1. Mixture Model Inputs'!A97</f>
        <v>45199</v>
      </c>
      <c r="B97" s="13" t="str">
        <f>IF(ISBLANK('[1]Passage Estimates'!$C97),"",IF('[1]Passage Estimates'!$C97="Imputation",'[1]Passage Estimates'!$B97,'[1]Passage Estimates'!$C97))</f>
        <v>A1+S1+M2+A2</v>
      </c>
      <c r="C97" s="17" t="e">
        <f>IFERROR('1. Mixture Model Inputs'!J97/'1. Mixture Model Inputs'!Z97,NA())</f>
        <v>#N/A</v>
      </c>
      <c r="D97" s="17" t="e">
        <f>IFERROR('1. Mixture Model Inputs'!K97/'1. Mixture Model Inputs'!AA97,NA())</f>
        <v>#N/A</v>
      </c>
      <c r="E97" s="17" t="e">
        <f>IFERROR('1. Mixture Model Inputs'!L97/'1. Mixture Model Inputs'!AB97,NA())</f>
        <v>#N/A</v>
      </c>
      <c r="F97" s="17" t="e">
        <f>IFERROR('1. Mixture Model Inputs'!M97/'1. Mixture Model Inputs'!AC97,NA())</f>
        <v>#N/A</v>
      </c>
      <c r="G97" s="17" t="e">
        <f>IFERROR('1. Mixture Model Inputs'!N97/'1. Mixture Model Inputs'!AD97,NA())</f>
        <v>#N/A</v>
      </c>
      <c r="H97" s="24">
        <f>WhonSpComp!AV112</f>
        <v>0</v>
      </c>
      <c r="I97" s="17" t="e">
        <f>IFERROR('1. Mixture Model Inputs'!O97/'1. Mixture Model Inputs'!AE97, NA())</f>
        <v>#N/A</v>
      </c>
      <c r="J97" s="17" t="e">
        <f>IFERROR('1. Mixture Model Inputs'!P97/'1. Mixture Model Inputs'!AF97, NA())</f>
        <v>#N/A</v>
      </c>
      <c r="K97" s="17" t="e">
        <f>IFERROR('1. Mixture Model Inputs'!Q97/'1. Mixture Model Inputs'!AG97, NA())</f>
        <v>#N/A</v>
      </c>
      <c r="L97" s="22" t="e">
        <f>C97*'2. Salmon Passage by Bin'!C97</f>
        <v>#N/A</v>
      </c>
      <c r="M97" s="22" t="e">
        <f>D97*'2. Salmon Passage by Bin'!D97</f>
        <v>#N/A</v>
      </c>
      <c r="N97" s="22" t="e">
        <f>F97*'2. Salmon Passage by Bin'!F97</f>
        <v>#N/A</v>
      </c>
      <c r="O97" s="22" t="e">
        <f>G97*'2. Salmon Passage by Bin'!G97</f>
        <v>#N/A</v>
      </c>
      <c r="P97" s="22" t="e">
        <f>$G97*'2. Salmon Passage by Bin'!H97</f>
        <v>#N/A</v>
      </c>
      <c r="Q97" s="22" t="e">
        <f>$G97*'2. Salmon Passage by Bin'!I97</f>
        <v>#N/A</v>
      </c>
      <c r="R97" s="22" t="e">
        <f>$G97*'2. Salmon Passage by Bin'!J97</f>
        <v>#N/A</v>
      </c>
      <c r="S97" s="25">
        <f>'2. Salmon Passage by Bin'!K97*H97</f>
        <v>0</v>
      </c>
      <c r="T97" s="25" t="e">
        <f>K97*'2. Salmon Passage by Bin'!L97</f>
        <v>#N/A</v>
      </c>
      <c r="U97" s="25" t="e">
        <f>K97*'2. Salmon Passage by Bin'!M97</f>
        <v>#N/A</v>
      </c>
      <c r="V97" s="25" t="e">
        <f>J97*'2. Salmon Passage by Bin'!N97</f>
        <v>#N/A</v>
      </c>
      <c r="W97" s="25" t="e">
        <f>I97*'2. Salmon Passage by Bin'!O97</f>
        <v>#N/A</v>
      </c>
      <c r="X97" s="22" t="e">
        <f>E97*'2. Salmon Passage by Bin'!E97</f>
        <v>#N/A</v>
      </c>
      <c r="Y97" s="41">
        <f t="shared" si="1"/>
        <v>0</v>
      </c>
      <c r="Z97" s="42">
        <f>Y97/'[1]Passage Estimates'!$D97</f>
        <v>0</v>
      </c>
      <c r="AA97" s="43">
        <f>IFERROR(SUMIF(L97:R97, "&lt;&gt;#N/A")/SUMIF('2. Salmon Passage by Bin'!E97:J97, "&lt;&gt;#N/A"), NA())</f>
        <v>0</v>
      </c>
      <c r="AB97" s="42">
        <f>IFERROR(IF(ISNA(S97), NA(), S97/'2. Salmon Passage by Bin'!K97), NA())</f>
        <v>0</v>
      </c>
      <c r="AC97" s="44" t="e">
        <f>IFERROR(SUMIF(T97:W97, "&lt;&gt;#N/A")/SUMIF('2. Salmon Passage by Bin'!L97:N97, "&lt;&gt;#N/A"), NA())</f>
        <v>#N/A</v>
      </c>
    </row>
    <row r="98" spans="1:29" x14ac:dyDescent="0.3">
      <c r="A98" s="5">
        <f>'1. Mixture Model Inputs'!A98</f>
        <v>45200</v>
      </c>
      <c r="B98" s="13" t="str">
        <f>IF(ISBLANK('[1]Passage Estimates'!$C98),"",IF('[1]Passage Estimates'!$C98="Imputation",'[1]Passage Estimates'!$B98,'[1]Passage Estimates'!$C98))</f>
        <v>A1+S1+M2+A2</v>
      </c>
      <c r="C98" s="17" t="e">
        <f>IFERROR('1. Mixture Model Inputs'!J98/'1. Mixture Model Inputs'!Z98,NA())</f>
        <v>#N/A</v>
      </c>
      <c r="D98" s="17" t="e">
        <f>IFERROR('1. Mixture Model Inputs'!K98/'1. Mixture Model Inputs'!AA98,NA())</f>
        <v>#N/A</v>
      </c>
      <c r="E98" s="17" t="e">
        <f>IFERROR('1. Mixture Model Inputs'!L98/'1. Mixture Model Inputs'!AB98,NA())</f>
        <v>#N/A</v>
      </c>
      <c r="F98" s="17" t="e">
        <f>IFERROR('1. Mixture Model Inputs'!M98/'1. Mixture Model Inputs'!AC98,NA())</f>
        <v>#N/A</v>
      </c>
      <c r="G98" s="17" t="e">
        <f>IFERROR('1. Mixture Model Inputs'!N98/'1. Mixture Model Inputs'!AD98,NA())</f>
        <v>#N/A</v>
      </c>
      <c r="H98" s="24">
        <f>WhonSpComp!AV113</f>
        <v>0</v>
      </c>
      <c r="I98" s="17" t="e">
        <f>IFERROR('1. Mixture Model Inputs'!O98/'1. Mixture Model Inputs'!AE98, NA())</f>
        <v>#N/A</v>
      </c>
      <c r="J98" s="17" t="e">
        <f>IFERROR('1. Mixture Model Inputs'!P98/'1. Mixture Model Inputs'!AF98, NA())</f>
        <v>#N/A</v>
      </c>
      <c r="K98" s="17" t="e">
        <f>IFERROR('1. Mixture Model Inputs'!Q98/'1. Mixture Model Inputs'!AG98, NA())</f>
        <v>#N/A</v>
      </c>
      <c r="L98" s="22" t="e">
        <f>C98*'2. Salmon Passage by Bin'!C98</f>
        <v>#N/A</v>
      </c>
      <c r="M98" s="22" t="e">
        <f>D98*'2. Salmon Passage by Bin'!D98</f>
        <v>#N/A</v>
      </c>
      <c r="N98" s="22" t="e">
        <f>F98*'2. Salmon Passage by Bin'!F98</f>
        <v>#N/A</v>
      </c>
      <c r="O98" s="22" t="e">
        <f>G98*'2. Salmon Passage by Bin'!G98</f>
        <v>#N/A</v>
      </c>
      <c r="P98" s="22" t="e">
        <f>$G98*'2. Salmon Passage by Bin'!H98</f>
        <v>#N/A</v>
      </c>
      <c r="Q98" s="22" t="e">
        <f>$G98*'2. Salmon Passage by Bin'!I98</f>
        <v>#N/A</v>
      </c>
      <c r="R98" s="22" t="e">
        <f>$G98*'2. Salmon Passage by Bin'!J98</f>
        <v>#N/A</v>
      </c>
      <c r="S98" s="25">
        <f>'2. Salmon Passage by Bin'!K98*H98</f>
        <v>0</v>
      </c>
      <c r="T98" s="25" t="e">
        <f>K98*'2. Salmon Passage by Bin'!L98</f>
        <v>#N/A</v>
      </c>
      <c r="U98" s="25" t="e">
        <f>K98*'2. Salmon Passage by Bin'!M98</f>
        <v>#N/A</v>
      </c>
      <c r="V98" s="25" t="e">
        <f>J98*'2. Salmon Passage by Bin'!N98</f>
        <v>#N/A</v>
      </c>
      <c r="W98" s="25" t="e">
        <f>I98*'2. Salmon Passage by Bin'!O98</f>
        <v>#N/A</v>
      </c>
      <c r="X98" s="22" t="e">
        <f>E98*'2. Salmon Passage by Bin'!E98</f>
        <v>#N/A</v>
      </c>
      <c r="Y98" s="41">
        <f t="shared" si="1"/>
        <v>0</v>
      </c>
      <c r="Z98" s="42">
        <f>Y98/'[1]Passage Estimates'!$D98</f>
        <v>0</v>
      </c>
      <c r="AA98" s="43">
        <f>IFERROR(SUMIF(L98:R98, "&lt;&gt;#N/A")/SUMIF('2. Salmon Passage by Bin'!E98:J98, "&lt;&gt;#N/A"), NA())</f>
        <v>0</v>
      </c>
      <c r="AB98" s="42">
        <f>IFERROR(IF(ISNA(S98), NA(), S98/'2. Salmon Passage by Bin'!K98), NA())</f>
        <v>0</v>
      </c>
      <c r="AC98" s="44" t="e">
        <f>IFERROR(SUMIF(T98:W98, "&lt;&gt;#N/A")/SUMIF('2. Salmon Passage by Bin'!L98:N98, "&lt;&gt;#N/A"), NA())</f>
        <v>#N/A</v>
      </c>
    </row>
    <row r="99" spans="1:29" x14ac:dyDescent="0.3">
      <c r="A99" s="5">
        <f>'1. Mixture Model Inputs'!A99</f>
        <v>45201</v>
      </c>
      <c r="B99" s="13" t="str">
        <f>IF(ISBLANK('[1]Passage Estimates'!$C99),"",IF('[1]Passage Estimates'!$C99="Imputation",'[1]Passage Estimates'!$B99,'[1]Passage Estimates'!$C99))</f>
        <v>A1+S1+M2+A2</v>
      </c>
      <c r="C99" s="17" t="e">
        <f>IFERROR('1. Mixture Model Inputs'!J99/'1. Mixture Model Inputs'!Z99,NA())</f>
        <v>#N/A</v>
      </c>
      <c r="D99" s="17" t="e">
        <f>IFERROR('1. Mixture Model Inputs'!K99/'1. Mixture Model Inputs'!AA99,NA())</f>
        <v>#N/A</v>
      </c>
      <c r="E99" s="17" t="e">
        <f>IFERROR('1. Mixture Model Inputs'!L99/'1. Mixture Model Inputs'!AB99,NA())</f>
        <v>#N/A</v>
      </c>
      <c r="F99" s="17" t="e">
        <f>IFERROR('1. Mixture Model Inputs'!M99/'1. Mixture Model Inputs'!AC99,NA())</f>
        <v>#N/A</v>
      </c>
      <c r="G99" s="17" t="e">
        <f>IFERROR('1. Mixture Model Inputs'!N99/'1. Mixture Model Inputs'!AD99,NA())</f>
        <v>#N/A</v>
      </c>
      <c r="H99" s="24">
        <f>WhonSpComp!AV114</f>
        <v>0</v>
      </c>
      <c r="I99" s="17" t="e">
        <f>IFERROR('1. Mixture Model Inputs'!O99/'1. Mixture Model Inputs'!AE99, NA())</f>
        <v>#N/A</v>
      </c>
      <c r="J99" s="17" t="e">
        <f>IFERROR('1. Mixture Model Inputs'!P99/'1. Mixture Model Inputs'!AF99, NA())</f>
        <v>#N/A</v>
      </c>
      <c r="K99" s="17" t="e">
        <f>IFERROR('1. Mixture Model Inputs'!Q99/'1. Mixture Model Inputs'!AG99, NA())</f>
        <v>#N/A</v>
      </c>
      <c r="L99" s="22" t="e">
        <f>C99*'2. Salmon Passage by Bin'!C99</f>
        <v>#N/A</v>
      </c>
      <c r="M99" s="22" t="e">
        <f>D99*'2. Salmon Passage by Bin'!D99</f>
        <v>#N/A</v>
      </c>
      <c r="N99" s="22" t="e">
        <f>F99*'2. Salmon Passage by Bin'!F99</f>
        <v>#N/A</v>
      </c>
      <c r="O99" s="22" t="e">
        <f>G99*'2. Salmon Passage by Bin'!G99</f>
        <v>#N/A</v>
      </c>
      <c r="P99" s="22" t="e">
        <f>$G99*'2. Salmon Passage by Bin'!H99</f>
        <v>#N/A</v>
      </c>
      <c r="Q99" s="22" t="e">
        <f>$G99*'2. Salmon Passage by Bin'!I99</f>
        <v>#N/A</v>
      </c>
      <c r="R99" s="22" t="e">
        <f>$G99*'2. Salmon Passage by Bin'!J99</f>
        <v>#N/A</v>
      </c>
      <c r="S99" s="25">
        <f>'2. Salmon Passage by Bin'!K99*H99</f>
        <v>0</v>
      </c>
      <c r="T99" s="25" t="e">
        <f>K99*'2. Salmon Passage by Bin'!L99</f>
        <v>#N/A</v>
      </c>
      <c r="U99" s="25" t="e">
        <f>K99*'2. Salmon Passage by Bin'!M99</f>
        <v>#N/A</v>
      </c>
      <c r="V99" s="25" t="e">
        <f>J99*'2. Salmon Passage by Bin'!N99</f>
        <v>#N/A</v>
      </c>
      <c r="W99" s="25" t="e">
        <f>I99*'2. Salmon Passage by Bin'!O99</f>
        <v>#N/A</v>
      </c>
      <c r="X99" s="22" t="e">
        <f>E99*'2. Salmon Passage by Bin'!E99</f>
        <v>#N/A</v>
      </c>
      <c r="Y99" s="41">
        <f t="shared" si="1"/>
        <v>0</v>
      </c>
      <c r="Z99" s="42">
        <f>Y99/'[1]Passage Estimates'!$D99</f>
        <v>0</v>
      </c>
      <c r="AA99" s="43">
        <f>IFERROR(SUMIF(L99:R99, "&lt;&gt;#N/A")/SUMIF('2. Salmon Passage by Bin'!E99:J99, "&lt;&gt;#N/A"), NA())</f>
        <v>0</v>
      </c>
      <c r="AB99" s="42">
        <f>IFERROR(IF(ISNA(S99), NA(), S99/'2. Salmon Passage by Bin'!K99), NA())</f>
        <v>0</v>
      </c>
      <c r="AC99" s="44" t="e">
        <f>IFERROR(SUMIF(T99:W99, "&lt;&gt;#N/A")/SUMIF('2. Salmon Passage by Bin'!L99:N99, "&lt;&gt;#N/A"), NA())</f>
        <v>#N/A</v>
      </c>
    </row>
    <row r="100" spans="1:29" x14ac:dyDescent="0.3">
      <c r="A100" s="5">
        <f>'1. Mixture Model Inputs'!A100</f>
        <v>45202</v>
      </c>
      <c r="B100" s="13" t="str">
        <f>IF(ISBLANK('[1]Passage Estimates'!$C100),"",IF('[1]Passage Estimates'!$C100="Imputation",'[1]Passage Estimates'!$B100,'[1]Passage Estimates'!$C100))</f>
        <v/>
      </c>
      <c r="C100" s="17" t="e">
        <f>IFERROR('1. Mixture Model Inputs'!J100/'1. Mixture Model Inputs'!Z100,NA())</f>
        <v>#N/A</v>
      </c>
      <c r="D100" s="17" t="e">
        <f>IFERROR('1. Mixture Model Inputs'!K100/'1. Mixture Model Inputs'!AA100,NA())</f>
        <v>#N/A</v>
      </c>
      <c r="E100" s="17" t="e">
        <f>IFERROR('1. Mixture Model Inputs'!L100/'1. Mixture Model Inputs'!AB100,NA())</f>
        <v>#N/A</v>
      </c>
      <c r="F100" s="17" t="e">
        <f>IFERROR('1. Mixture Model Inputs'!M100/'1. Mixture Model Inputs'!AC100,NA())</f>
        <v>#N/A</v>
      </c>
      <c r="G100" s="17" t="e">
        <f>IFERROR('1. Mixture Model Inputs'!N100/'1. Mixture Model Inputs'!AD100,NA())</f>
        <v>#N/A</v>
      </c>
      <c r="H100" s="24" t="str">
        <f>WhonSpComp!AV115</f>
        <v/>
      </c>
      <c r="I100" s="17" t="e">
        <f>IFERROR('1. Mixture Model Inputs'!O100/'1. Mixture Model Inputs'!AE100, NA())</f>
        <v>#N/A</v>
      </c>
      <c r="J100" s="17" t="e">
        <f>IFERROR('1. Mixture Model Inputs'!P100/'1. Mixture Model Inputs'!AF100, NA())</f>
        <v>#N/A</v>
      </c>
      <c r="K100" s="17" t="e">
        <f>IFERROR('1. Mixture Model Inputs'!Q100/'1. Mixture Model Inputs'!AG100, NA())</f>
        <v>#N/A</v>
      </c>
      <c r="L100" s="22" t="e">
        <f>C100*'2. Salmon Passage by Bin'!C100</f>
        <v>#N/A</v>
      </c>
      <c r="M100" s="22" t="e">
        <f>D100*'2. Salmon Passage by Bin'!D100</f>
        <v>#N/A</v>
      </c>
      <c r="N100" s="22" t="e">
        <f>F100*'2. Salmon Passage by Bin'!F100</f>
        <v>#N/A</v>
      </c>
      <c r="O100" s="22" t="e">
        <f>G100*'2. Salmon Passage by Bin'!G100</f>
        <v>#N/A</v>
      </c>
      <c r="P100" s="22" t="e">
        <f>$G100*'2. Salmon Passage by Bin'!H100</f>
        <v>#N/A</v>
      </c>
      <c r="Q100" s="22" t="e">
        <f>$G100*'2. Salmon Passage by Bin'!I100</f>
        <v>#N/A</v>
      </c>
      <c r="R100" s="22" t="e">
        <f>$G100*'2. Salmon Passage by Bin'!J100</f>
        <v>#N/A</v>
      </c>
      <c r="S100" s="25" t="e">
        <f>'2. Salmon Passage by Bin'!K100*H100</f>
        <v>#N/A</v>
      </c>
      <c r="T100" s="25" t="e">
        <f>K100*'2. Salmon Passage by Bin'!L100</f>
        <v>#N/A</v>
      </c>
      <c r="U100" s="25" t="e">
        <f>K100*'2. Salmon Passage by Bin'!M100</f>
        <v>#N/A</v>
      </c>
      <c r="V100" s="25" t="e">
        <f>J100*'2. Salmon Passage by Bin'!N100</f>
        <v>#N/A</v>
      </c>
      <c r="W100" s="25" t="e">
        <f>I100*'2. Salmon Passage by Bin'!O100</f>
        <v>#N/A</v>
      </c>
      <c r="X100" s="22" t="e">
        <f>E100*'2. Salmon Passage by Bin'!E100</f>
        <v>#N/A</v>
      </c>
      <c r="Y100" s="41">
        <f t="shared" si="1"/>
        <v>0</v>
      </c>
      <c r="Z100" s="42" t="e">
        <f>Y100/'[1]Passage Estimates'!$D100</f>
        <v>#N/A</v>
      </c>
      <c r="AA100" s="43" t="e">
        <f>IFERROR(SUMIF(L100:R100, "&lt;&gt;#N/A")/SUMIF('2. Salmon Passage by Bin'!E100:J100, "&lt;&gt;#N/A"), NA())</f>
        <v>#N/A</v>
      </c>
      <c r="AB100" s="42" t="e">
        <f>IFERROR(IF(ISNA(S100), NA(), S100/'2. Salmon Passage by Bin'!K100), NA())</f>
        <v>#N/A</v>
      </c>
      <c r="AC100" s="44" t="e">
        <f>IFERROR(SUMIF(T100:W100, "&lt;&gt;#N/A")/SUMIF('2. Salmon Passage by Bin'!L100:N100, "&lt;&gt;#N/A"), NA())</f>
        <v>#N/A</v>
      </c>
    </row>
    <row r="101" spans="1:29" x14ac:dyDescent="0.3">
      <c r="A101" s="5">
        <f>'1. Mixture Model Inputs'!A101</f>
        <v>45203</v>
      </c>
      <c r="B101" s="13" t="str">
        <f>IF(ISBLANK('[1]Passage Estimates'!$C101),"",IF('[1]Passage Estimates'!$C101="Imputation",'[1]Passage Estimates'!$B101,'[1]Passage Estimates'!$C101))</f>
        <v/>
      </c>
      <c r="C101" s="17" t="e">
        <f>IFERROR('1. Mixture Model Inputs'!J101/'1. Mixture Model Inputs'!Z101,NA())</f>
        <v>#N/A</v>
      </c>
      <c r="D101" s="17" t="e">
        <f>IFERROR('1. Mixture Model Inputs'!K101/'1. Mixture Model Inputs'!AA101,NA())</f>
        <v>#N/A</v>
      </c>
      <c r="E101" s="17" t="e">
        <f>IFERROR('1. Mixture Model Inputs'!L101/'1. Mixture Model Inputs'!AB101,NA())</f>
        <v>#N/A</v>
      </c>
      <c r="F101" s="17" t="e">
        <f>IFERROR('1. Mixture Model Inputs'!M101/'1. Mixture Model Inputs'!AC101,NA())</f>
        <v>#N/A</v>
      </c>
      <c r="G101" s="17" t="e">
        <f>IFERROR('1. Mixture Model Inputs'!N101/'1. Mixture Model Inputs'!AD101,NA())</f>
        <v>#N/A</v>
      </c>
      <c r="H101" s="24" t="str">
        <f>WhonSpComp!AV116</f>
        <v/>
      </c>
      <c r="I101" s="17" t="e">
        <f>IFERROR('1. Mixture Model Inputs'!O101/'1. Mixture Model Inputs'!AE101, NA())</f>
        <v>#N/A</v>
      </c>
      <c r="J101" s="17" t="e">
        <f>IFERROR('1. Mixture Model Inputs'!P101/'1. Mixture Model Inputs'!AF101, NA())</f>
        <v>#N/A</v>
      </c>
      <c r="K101" s="17" t="e">
        <f>IFERROR('1. Mixture Model Inputs'!Q101/'1. Mixture Model Inputs'!AG101, NA())</f>
        <v>#N/A</v>
      </c>
      <c r="L101" s="22" t="e">
        <f>C101*'2. Salmon Passage by Bin'!C101</f>
        <v>#N/A</v>
      </c>
      <c r="M101" s="22" t="e">
        <f>D101*'2. Salmon Passage by Bin'!D101</f>
        <v>#N/A</v>
      </c>
      <c r="N101" s="22" t="e">
        <f>F101*'2. Salmon Passage by Bin'!F101</f>
        <v>#N/A</v>
      </c>
      <c r="O101" s="22" t="e">
        <f>G101*'2. Salmon Passage by Bin'!G101</f>
        <v>#N/A</v>
      </c>
      <c r="P101" s="22" t="e">
        <f>$G101*'2. Salmon Passage by Bin'!H101</f>
        <v>#N/A</v>
      </c>
      <c r="Q101" s="22" t="e">
        <f>$G101*'2. Salmon Passage by Bin'!I101</f>
        <v>#N/A</v>
      </c>
      <c r="R101" s="22" t="e">
        <f>$G101*'2. Salmon Passage by Bin'!J101</f>
        <v>#N/A</v>
      </c>
      <c r="S101" s="25" t="e">
        <f>'2. Salmon Passage by Bin'!K101*H101</f>
        <v>#N/A</v>
      </c>
      <c r="T101" s="25" t="e">
        <f>K101*'2. Salmon Passage by Bin'!L101</f>
        <v>#N/A</v>
      </c>
      <c r="U101" s="25" t="e">
        <f>K101*'2. Salmon Passage by Bin'!M101</f>
        <v>#N/A</v>
      </c>
      <c r="V101" s="25" t="e">
        <f>J101*'2. Salmon Passage by Bin'!N101</f>
        <v>#N/A</v>
      </c>
      <c r="W101" s="25" t="e">
        <f>I101*'2. Salmon Passage by Bin'!O101</f>
        <v>#N/A</v>
      </c>
      <c r="X101" s="22" t="e">
        <f>E101*'2. Salmon Passage by Bin'!E101</f>
        <v>#N/A</v>
      </c>
      <c r="Y101" s="41">
        <f t="shared" si="1"/>
        <v>0</v>
      </c>
      <c r="Z101" s="42" t="e">
        <f>Y101/'[1]Passage Estimates'!$D101</f>
        <v>#N/A</v>
      </c>
      <c r="AA101" s="43" t="e">
        <f>IFERROR(SUMIF(L101:R101, "&lt;&gt;#N/A")/SUMIF('2. Salmon Passage by Bin'!E101:J101, "&lt;&gt;#N/A"), NA())</f>
        <v>#N/A</v>
      </c>
      <c r="AB101" s="42" t="e">
        <f>IFERROR(IF(ISNA(S101), NA(), S101/'2. Salmon Passage by Bin'!K101), NA())</f>
        <v>#N/A</v>
      </c>
      <c r="AC101" s="44" t="e">
        <f>IFERROR(SUMIF(T101:W101, "&lt;&gt;#N/A")/SUMIF('2. Salmon Passage by Bin'!L101:N101, "&lt;&gt;#N/A"), NA())</f>
        <v>#N/A</v>
      </c>
    </row>
    <row r="102" spans="1:29" x14ac:dyDescent="0.3">
      <c r="A102" s="5">
        <f>'1. Mixture Model Inputs'!A102</f>
        <v>45204</v>
      </c>
      <c r="B102" s="13" t="str">
        <f>IF(ISBLANK('[1]Passage Estimates'!$C102),"",IF('[1]Passage Estimates'!$C102="Imputation",'[1]Passage Estimates'!$B102,'[1]Passage Estimates'!$C102))</f>
        <v/>
      </c>
      <c r="C102" s="17" t="e">
        <f>IFERROR('1. Mixture Model Inputs'!J102/'1. Mixture Model Inputs'!Z102,NA())</f>
        <v>#N/A</v>
      </c>
      <c r="D102" s="17" t="e">
        <f>IFERROR('1. Mixture Model Inputs'!K102/'1. Mixture Model Inputs'!AA102,NA())</f>
        <v>#N/A</v>
      </c>
      <c r="E102" s="17" t="e">
        <f>IFERROR('1. Mixture Model Inputs'!L102/'1. Mixture Model Inputs'!AB102,NA())</f>
        <v>#N/A</v>
      </c>
      <c r="F102" s="17" t="e">
        <f>IFERROR('1. Mixture Model Inputs'!M102/'1. Mixture Model Inputs'!AC102,NA())</f>
        <v>#N/A</v>
      </c>
      <c r="G102" s="17" t="e">
        <f>IFERROR('1. Mixture Model Inputs'!N102/'1. Mixture Model Inputs'!AD102,NA())</f>
        <v>#N/A</v>
      </c>
      <c r="H102" s="24" t="str">
        <f>WhonSpComp!AV117</f>
        <v/>
      </c>
      <c r="I102" s="17" t="e">
        <f>IFERROR('1. Mixture Model Inputs'!O102/'1. Mixture Model Inputs'!AE102, NA())</f>
        <v>#N/A</v>
      </c>
      <c r="J102" s="17" t="e">
        <f>IFERROR('1. Mixture Model Inputs'!P102/'1. Mixture Model Inputs'!AF102, NA())</f>
        <v>#N/A</v>
      </c>
      <c r="K102" s="17" t="e">
        <f>IFERROR('1. Mixture Model Inputs'!Q102/'1. Mixture Model Inputs'!AG102, NA())</f>
        <v>#N/A</v>
      </c>
      <c r="L102" s="22" t="e">
        <f>C102*'2. Salmon Passage by Bin'!C102</f>
        <v>#N/A</v>
      </c>
      <c r="M102" s="22" t="e">
        <f>D102*'2. Salmon Passage by Bin'!D102</f>
        <v>#N/A</v>
      </c>
      <c r="N102" s="22" t="e">
        <f>F102*'2. Salmon Passage by Bin'!F102</f>
        <v>#N/A</v>
      </c>
      <c r="O102" s="22" t="e">
        <f>G102*'2. Salmon Passage by Bin'!G102</f>
        <v>#N/A</v>
      </c>
      <c r="P102" s="22" t="e">
        <f>$G102*'2. Salmon Passage by Bin'!H102</f>
        <v>#N/A</v>
      </c>
      <c r="Q102" s="22" t="e">
        <f>$G102*'2. Salmon Passage by Bin'!I102</f>
        <v>#N/A</v>
      </c>
      <c r="R102" s="22" t="e">
        <f>$G102*'2. Salmon Passage by Bin'!J102</f>
        <v>#N/A</v>
      </c>
      <c r="S102" s="25" t="e">
        <f>'2. Salmon Passage by Bin'!K102*H102</f>
        <v>#N/A</v>
      </c>
      <c r="T102" s="25" t="e">
        <f>K102*'2. Salmon Passage by Bin'!L102</f>
        <v>#N/A</v>
      </c>
      <c r="U102" s="25" t="e">
        <f>K102*'2. Salmon Passage by Bin'!M102</f>
        <v>#N/A</v>
      </c>
      <c r="V102" s="25" t="e">
        <f>J102*'2. Salmon Passage by Bin'!N102</f>
        <v>#N/A</v>
      </c>
      <c r="W102" s="25" t="e">
        <f>I102*'2. Salmon Passage by Bin'!O102</f>
        <v>#N/A</v>
      </c>
      <c r="X102" s="22" t="e">
        <f>E102*'2. Salmon Passage by Bin'!E102</f>
        <v>#N/A</v>
      </c>
      <c r="Y102" s="41">
        <f t="shared" si="1"/>
        <v>0</v>
      </c>
      <c r="Z102" s="42" t="e">
        <f>Y102/'[1]Passage Estimates'!$D102</f>
        <v>#N/A</v>
      </c>
      <c r="AA102" s="43" t="e">
        <f>IFERROR(SUMIF(L102:R102, "&lt;&gt;#N/A")/SUMIF('2. Salmon Passage by Bin'!E102:J102, "&lt;&gt;#N/A"), NA())</f>
        <v>#N/A</v>
      </c>
      <c r="AB102" s="42" t="e">
        <f>IFERROR(IF(ISNA(S102), NA(), S102/'2. Salmon Passage by Bin'!K102), NA())</f>
        <v>#N/A</v>
      </c>
      <c r="AC102" s="44" t="e">
        <f>IFERROR(SUMIF(T102:W102, "&lt;&gt;#N/A")/SUMIF('2. Salmon Passage by Bin'!L102:N102, "&lt;&gt;#N/A"), NA())</f>
        <v>#N/A</v>
      </c>
    </row>
    <row r="103" spans="1:29" x14ac:dyDescent="0.3">
      <c r="A103" s="5">
        <f>'1. Mixture Model Inputs'!A103</f>
        <v>45205</v>
      </c>
      <c r="B103" s="13" t="str">
        <f>IF(ISBLANK('[1]Passage Estimates'!$C103),"",IF('[1]Passage Estimates'!$C103="Imputation",'[1]Passage Estimates'!$B103,'[1]Passage Estimates'!$C103))</f>
        <v/>
      </c>
      <c r="C103" s="17" t="e">
        <f>IFERROR('1. Mixture Model Inputs'!J103/'1. Mixture Model Inputs'!Z103,NA())</f>
        <v>#N/A</v>
      </c>
      <c r="D103" s="17" t="e">
        <f>IFERROR('1. Mixture Model Inputs'!K103/'1. Mixture Model Inputs'!AA103,NA())</f>
        <v>#N/A</v>
      </c>
      <c r="E103" s="17" t="e">
        <f>IFERROR('1. Mixture Model Inputs'!L103/'1. Mixture Model Inputs'!AB103,NA())</f>
        <v>#N/A</v>
      </c>
      <c r="F103" s="17" t="e">
        <f>IFERROR('1. Mixture Model Inputs'!M103/'1. Mixture Model Inputs'!AC103,NA())</f>
        <v>#N/A</v>
      </c>
      <c r="G103" s="17" t="e">
        <f>IFERROR('1. Mixture Model Inputs'!N103/'1. Mixture Model Inputs'!AD103,NA())</f>
        <v>#N/A</v>
      </c>
      <c r="H103" s="24" t="str">
        <f>WhonSpComp!AV118</f>
        <v/>
      </c>
      <c r="I103" s="17" t="e">
        <f>IFERROR('1. Mixture Model Inputs'!O103/'1. Mixture Model Inputs'!AE103, NA())</f>
        <v>#N/A</v>
      </c>
      <c r="J103" s="17" t="e">
        <f>IFERROR('1. Mixture Model Inputs'!P103/'1. Mixture Model Inputs'!AF103, NA())</f>
        <v>#N/A</v>
      </c>
      <c r="K103" s="17" t="e">
        <f>IFERROR('1. Mixture Model Inputs'!Q103/'1. Mixture Model Inputs'!AG103, NA())</f>
        <v>#N/A</v>
      </c>
      <c r="L103" s="22" t="e">
        <f>C103*'2. Salmon Passage by Bin'!C103</f>
        <v>#N/A</v>
      </c>
      <c r="M103" s="22" t="e">
        <f>D103*'2. Salmon Passage by Bin'!D103</f>
        <v>#N/A</v>
      </c>
      <c r="N103" s="22" t="e">
        <f>F103*'2. Salmon Passage by Bin'!F103</f>
        <v>#N/A</v>
      </c>
      <c r="O103" s="22" t="e">
        <f>G103*'2. Salmon Passage by Bin'!G103</f>
        <v>#N/A</v>
      </c>
      <c r="P103" s="22" t="e">
        <f>$G103*'2. Salmon Passage by Bin'!H103</f>
        <v>#N/A</v>
      </c>
      <c r="Q103" s="22" t="e">
        <f>$G103*'2. Salmon Passage by Bin'!I103</f>
        <v>#N/A</v>
      </c>
      <c r="R103" s="22" t="e">
        <f>$G103*'2. Salmon Passage by Bin'!J103</f>
        <v>#N/A</v>
      </c>
      <c r="S103" s="25" t="e">
        <f>'2. Salmon Passage by Bin'!K103*H103</f>
        <v>#N/A</v>
      </c>
      <c r="T103" s="25" t="e">
        <f>K103*'2. Salmon Passage by Bin'!L103</f>
        <v>#N/A</v>
      </c>
      <c r="U103" s="25" t="e">
        <f>K103*'2. Salmon Passage by Bin'!M103</f>
        <v>#N/A</v>
      </c>
      <c r="V103" s="25" t="e">
        <f>J103*'2. Salmon Passage by Bin'!N103</f>
        <v>#N/A</v>
      </c>
      <c r="W103" s="25" t="e">
        <f>I103*'2. Salmon Passage by Bin'!O103</f>
        <v>#N/A</v>
      </c>
      <c r="X103" s="22" t="e">
        <f>E103*'2. Salmon Passage by Bin'!E103</f>
        <v>#N/A</v>
      </c>
      <c r="Y103" s="41">
        <f t="shared" si="1"/>
        <v>0</v>
      </c>
      <c r="Z103" s="42" t="e">
        <f>Y103/'[1]Passage Estimates'!$D103</f>
        <v>#N/A</v>
      </c>
      <c r="AA103" s="43" t="e">
        <f>IFERROR(SUMIF(L103:R103, "&lt;&gt;#N/A")/SUMIF('2. Salmon Passage by Bin'!E103:J103, "&lt;&gt;#N/A"), NA())</f>
        <v>#N/A</v>
      </c>
      <c r="AB103" s="42" t="e">
        <f>IFERROR(IF(ISNA(S103), NA(), S103/'2. Salmon Passage by Bin'!K103), NA())</f>
        <v>#N/A</v>
      </c>
      <c r="AC103" s="44" t="e">
        <f>IFERROR(SUMIF(T103:W103, "&lt;&gt;#N/A")/SUMIF('2. Salmon Passage by Bin'!L103:N103, "&lt;&gt;#N/A"), NA())</f>
        <v>#N/A</v>
      </c>
    </row>
    <row r="104" spans="1:29" x14ac:dyDescent="0.3">
      <c r="A104" s="5">
        <f>'1. Mixture Model Inputs'!A104</f>
        <v>45206</v>
      </c>
      <c r="B104" s="13" t="str">
        <f>IF(ISBLANK('[1]Passage Estimates'!$C104),"",IF('[1]Passage Estimates'!$C104="Imputation",'[1]Passage Estimates'!$B104,'[1]Passage Estimates'!$C104))</f>
        <v/>
      </c>
      <c r="C104" s="17" t="e">
        <f>IFERROR('1. Mixture Model Inputs'!J104/'1. Mixture Model Inputs'!Z104,NA())</f>
        <v>#N/A</v>
      </c>
      <c r="D104" s="17" t="e">
        <f>IFERROR('1. Mixture Model Inputs'!K104/'1. Mixture Model Inputs'!AA104,NA())</f>
        <v>#N/A</v>
      </c>
      <c r="E104" s="17" t="e">
        <f>IFERROR('1. Mixture Model Inputs'!L104/'1. Mixture Model Inputs'!AB104,NA())</f>
        <v>#N/A</v>
      </c>
      <c r="F104" s="17" t="e">
        <f>IFERROR('1. Mixture Model Inputs'!M104/'1. Mixture Model Inputs'!AC104,NA())</f>
        <v>#N/A</v>
      </c>
      <c r="G104" s="17" t="e">
        <f>IFERROR('1. Mixture Model Inputs'!N104/'1. Mixture Model Inputs'!AD104,NA())</f>
        <v>#N/A</v>
      </c>
      <c r="H104" s="24" t="str">
        <f>WhonSpComp!AV119</f>
        <v/>
      </c>
      <c r="I104" s="17" t="e">
        <f>IFERROR('1. Mixture Model Inputs'!O104/'1. Mixture Model Inputs'!AE104, NA())</f>
        <v>#N/A</v>
      </c>
      <c r="J104" s="17" t="e">
        <f>IFERROR('1. Mixture Model Inputs'!P104/'1. Mixture Model Inputs'!AF104, NA())</f>
        <v>#N/A</v>
      </c>
      <c r="K104" s="17" t="e">
        <f>IFERROR('1. Mixture Model Inputs'!Q104/'1. Mixture Model Inputs'!AG104, NA())</f>
        <v>#N/A</v>
      </c>
      <c r="L104" s="22" t="e">
        <f>C104*'2. Salmon Passage by Bin'!C104</f>
        <v>#N/A</v>
      </c>
      <c r="M104" s="22" t="e">
        <f>D104*'2. Salmon Passage by Bin'!D104</f>
        <v>#N/A</v>
      </c>
      <c r="N104" s="22" t="e">
        <f>F104*'2. Salmon Passage by Bin'!F104</f>
        <v>#N/A</v>
      </c>
      <c r="O104" s="22" t="e">
        <f>G104*'2. Salmon Passage by Bin'!G104</f>
        <v>#N/A</v>
      </c>
      <c r="P104" s="22" t="e">
        <f>$G104*'2. Salmon Passage by Bin'!H104</f>
        <v>#N/A</v>
      </c>
      <c r="Q104" s="22" t="e">
        <f>$G104*'2. Salmon Passage by Bin'!I104</f>
        <v>#N/A</v>
      </c>
      <c r="R104" s="22" t="e">
        <f>$G104*'2. Salmon Passage by Bin'!J104</f>
        <v>#N/A</v>
      </c>
      <c r="S104" s="25" t="e">
        <f>'2. Salmon Passage by Bin'!K104*H104</f>
        <v>#N/A</v>
      </c>
      <c r="T104" s="25" t="e">
        <f>K104*'2. Salmon Passage by Bin'!L104</f>
        <v>#N/A</v>
      </c>
      <c r="U104" s="25" t="e">
        <f>K104*'2. Salmon Passage by Bin'!M104</f>
        <v>#N/A</v>
      </c>
      <c r="V104" s="25" t="e">
        <f>J104*'2. Salmon Passage by Bin'!N104</f>
        <v>#N/A</v>
      </c>
      <c r="W104" s="25" t="e">
        <f>I104*'2. Salmon Passage by Bin'!O104</f>
        <v>#N/A</v>
      </c>
      <c r="X104" s="22" t="e">
        <f>E104*'2. Salmon Passage by Bin'!E104</f>
        <v>#N/A</v>
      </c>
      <c r="Y104" s="41">
        <f t="shared" si="1"/>
        <v>0</v>
      </c>
      <c r="Z104" s="42" t="e">
        <f>Y104/'[1]Passage Estimates'!$D104</f>
        <v>#N/A</v>
      </c>
      <c r="AA104" s="43" t="e">
        <f>IFERROR(SUMIF(L104:R104, "&lt;&gt;#N/A")/SUMIF('2. Salmon Passage by Bin'!E104:J104, "&lt;&gt;#N/A"), NA())</f>
        <v>#N/A</v>
      </c>
      <c r="AB104" s="42" t="e">
        <f>IFERROR(IF(ISNA(S104), NA(), S104/'2. Salmon Passage by Bin'!K104), NA())</f>
        <v>#N/A</v>
      </c>
      <c r="AC104" s="44" t="e">
        <f>IFERROR(SUMIF(T104:W104, "&lt;&gt;#N/A")/SUMIF('2. Salmon Passage by Bin'!L104:N104, "&lt;&gt;#N/A"), NA())</f>
        <v>#N/A</v>
      </c>
    </row>
    <row r="105" spans="1:29" x14ac:dyDescent="0.3">
      <c r="A105" s="5">
        <f>'1. Mixture Model Inputs'!A105</f>
        <v>45207</v>
      </c>
      <c r="B105" s="13" t="str">
        <f>IF(ISBLANK('[1]Passage Estimates'!$C105),"",IF('[1]Passage Estimates'!$C105="Imputation",'[1]Passage Estimates'!$B105,'[1]Passage Estimates'!$C105))</f>
        <v/>
      </c>
      <c r="C105" s="17" t="e">
        <f>IFERROR('1. Mixture Model Inputs'!J105/'1. Mixture Model Inputs'!Z105,NA())</f>
        <v>#N/A</v>
      </c>
      <c r="D105" s="17" t="e">
        <f>IFERROR('1. Mixture Model Inputs'!K105/'1. Mixture Model Inputs'!AA105,NA())</f>
        <v>#N/A</v>
      </c>
      <c r="E105" s="17" t="e">
        <f>IFERROR('1. Mixture Model Inputs'!L105/'1. Mixture Model Inputs'!AB105,NA())</f>
        <v>#N/A</v>
      </c>
      <c r="F105" s="17" t="e">
        <f>IFERROR('1. Mixture Model Inputs'!M105/'1. Mixture Model Inputs'!AC105,NA())</f>
        <v>#N/A</v>
      </c>
      <c r="G105" s="17" t="e">
        <f>IFERROR('1. Mixture Model Inputs'!N105/'1. Mixture Model Inputs'!AD105,NA())</f>
        <v>#N/A</v>
      </c>
      <c r="H105" s="24" t="str">
        <f>WhonSpComp!AV120</f>
        <v/>
      </c>
      <c r="I105" s="17" t="e">
        <f>IFERROR('1. Mixture Model Inputs'!O105/'1. Mixture Model Inputs'!AE105, NA())</f>
        <v>#N/A</v>
      </c>
      <c r="J105" s="17" t="e">
        <f>IFERROR('1. Mixture Model Inputs'!P105/'1. Mixture Model Inputs'!AF105, NA())</f>
        <v>#N/A</v>
      </c>
      <c r="K105" s="17" t="e">
        <f>IFERROR('1. Mixture Model Inputs'!Q105/'1. Mixture Model Inputs'!AG105, NA())</f>
        <v>#N/A</v>
      </c>
      <c r="L105" s="22" t="e">
        <f>C105*'2. Salmon Passage by Bin'!C105</f>
        <v>#N/A</v>
      </c>
      <c r="M105" s="22" t="e">
        <f>D105*'2. Salmon Passage by Bin'!D105</f>
        <v>#N/A</v>
      </c>
      <c r="N105" s="22" t="e">
        <f>F105*'2. Salmon Passage by Bin'!F105</f>
        <v>#N/A</v>
      </c>
      <c r="O105" s="22" t="e">
        <f>G105*'2. Salmon Passage by Bin'!G105</f>
        <v>#N/A</v>
      </c>
      <c r="P105" s="22" t="e">
        <f>$G105*'2. Salmon Passage by Bin'!H105</f>
        <v>#N/A</v>
      </c>
      <c r="Q105" s="22" t="e">
        <f>$G105*'2. Salmon Passage by Bin'!I105</f>
        <v>#N/A</v>
      </c>
      <c r="R105" s="22" t="e">
        <f>$G105*'2. Salmon Passage by Bin'!J105</f>
        <v>#N/A</v>
      </c>
      <c r="S105" s="25" t="e">
        <f>'2. Salmon Passage by Bin'!K105*H105</f>
        <v>#N/A</v>
      </c>
      <c r="T105" s="25" t="e">
        <f>K105*'2. Salmon Passage by Bin'!L105</f>
        <v>#N/A</v>
      </c>
      <c r="U105" s="25" t="e">
        <f>K105*'2. Salmon Passage by Bin'!M105</f>
        <v>#N/A</v>
      </c>
      <c r="V105" s="25" t="e">
        <f>J105*'2. Salmon Passage by Bin'!N105</f>
        <v>#N/A</v>
      </c>
      <c r="W105" s="25" t="e">
        <f>I105*'2. Salmon Passage by Bin'!O105</f>
        <v>#N/A</v>
      </c>
      <c r="X105" s="22" t="e">
        <f>E105*'2. Salmon Passage by Bin'!E105</f>
        <v>#N/A</v>
      </c>
      <c r="Y105" s="41">
        <f t="shared" si="1"/>
        <v>0</v>
      </c>
      <c r="Z105" s="42" t="e">
        <f>Y105/'[1]Passage Estimates'!$D105</f>
        <v>#N/A</v>
      </c>
      <c r="AA105" s="43" t="e">
        <f>IFERROR(SUMIF(L105:R105, "&lt;&gt;#N/A")/SUMIF('2. Salmon Passage by Bin'!E105:J105, "&lt;&gt;#N/A"), NA())</f>
        <v>#N/A</v>
      </c>
      <c r="AB105" s="42" t="e">
        <f>IFERROR(IF(ISNA(S105), NA(), S105/'2. Salmon Passage by Bin'!K105), NA())</f>
        <v>#N/A</v>
      </c>
      <c r="AC105" s="44" t="e">
        <f>IFERROR(SUMIF(T105:W105, "&lt;&gt;#N/A")/SUMIF('2. Salmon Passage by Bin'!L105:N105, "&lt;&gt;#N/A"), NA())</f>
        <v>#N/A</v>
      </c>
    </row>
    <row r="106" spans="1:29" x14ac:dyDescent="0.3">
      <c r="A106" s="5">
        <f>'1. Mixture Model Inputs'!A106</f>
        <v>45208</v>
      </c>
      <c r="B106" s="13" t="str">
        <f>IF(ISBLANK('[1]Passage Estimates'!$C106),"",IF('[1]Passage Estimates'!$C106="Imputation",'[1]Passage Estimates'!$B106,'[1]Passage Estimates'!$C106))</f>
        <v/>
      </c>
      <c r="C106" s="17" t="e">
        <f>IFERROR('1. Mixture Model Inputs'!J106/'1. Mixture Model Inputs'!Z106,NA())</f>
        <v>#N/A</v>
      </c>
      <c r="D106" s="17" t="e">
        <f>IFERROR('1. Mixture Model Inputs'!K106/'1. Mixture Model Inputs'!AA106,NA())</f>
        <v>#N/A</v>
      </c>
      <c r="E106" s="17" t="e">
        <f>IFERROR('1. Mixture Model Inputs'!L106/'1. Mixture Model Inputs'!AB106,NA())</f>
        <v>#N/A</v>
      </c>
      <c r="F106" s="17" t="e">
        <f>IFERROR('1. Mixture Model Inputs'!M106/'1. Mixture Model Inputs'!AC106,NA())</f>
        <v>#N/A</v>
      </c>
      <c r="G106" s="17" t="e">
        <f>IFERROR('1. Mixture Model Inputs'!N106/'1. Mixture Model Inputs'!AD106,NA())</f>
        <v>#N/A</v>
      </c>
      <c r="H106" s="24" t="str">
        <f>WhonSpComp!AV121</f>
        <v/>
      </c>
      <c r="I106" s="17" t="e">
        <f>IFERROR('1. Mixture Model Inputs'!O106/'1. Mixture Model Inputs'!AE106, NA())</f>
        <v>#N/A</v>
      </c>
      <c r="J106" s="17" t="e">
        <f>IFERROR('1. Mixture Model Inputs'!P106/'1. Mixture Model Inputs'!AF106, NA())</f>
        <v>#N/A</v>
      </c>
      <c r="K106" s="17" t="e">
        <f>IFERROR('1. Mixture Model Inputs'!Q106/'1. Mixture Model Inputs'!AG106, NA())</f>
        <v>#N/A</v>
      </c>
      <c r="L106" s="22" t="e">
        <f>C106*'2. Salmon Passage by Bin'!C106</f>
        <v>#N/A</v>
      </c>
      <c r="M106" s="22" t="e">
        <f>D106*'2. Salmon Passage by Bin'!D106</f>
        <v>#N/A</v>
      </c>
      <c r="N106" s="22" t="e">
        <f>F106*'2. Salmon Passage by Bin'!F106</f>
        <v>#N/A</v>
      </c>
      <c r="O106" s="22" t="e">
        <f>G106*'2. Salmon Passage by Bin'!G106</f>
        <v>#N/A</v>
      </c>
      <c r="P106" s="22" t="e">
        <f>$G106*'2. Salmon Passage by Bin'!H106</f>
        <v>#N/A</v>
      </c>
      <c r="Q106" s="22" t="e">
        <f>$G106*'2. Salmon Passage by Bin'!I106</f>
        <v>#N/A</v>
      </c>
      <c r="R106" s="22" t="e">
        <f>$G106*'2. Salmon Passage by Bin'!J106</f>
        <v>#N/A</v>
      </c>
      <c r="S106" s="25" t="e">
        <f>'2. Salmon Passage by Bin'!K106*H106</f>
        <v>#N/A</v>
      </c>
      <c r="T106" s="25" t="e">
        <f>K106*'2. Salmon Passage by Bin'!L106</f>
        <v>#N/A</v>
      </c>
      <c r="U106" s="25" t="e">
        <f>K106*'2. Salmon Passage by Bin'!M106</f>
        <v>#N/A</v>
      </c>
      <c r="V106" s="25" t="e">
        <f>J106*'2. Salmon Passage by Bin'!N106</f>
        <v>#N/A</v>
      </c>
      <c r="W106" s="25" t="e">
        <f>I106*'2. Salmon Passage by Bin'!O106</f>
        <v>#N/A</v>
      </c>
      <c r="X106" s="22" t="e">
        <f>E106*'2. Salmon Passage by Bin'!E106</f>
        <v>#N/A</v>
      </c>
      <c r="Y106" s="41">
        <f t="shared" si="1"/>
        <v>0</v>
      </c>
      <c r="Z106" s="42" t="e">
        <f>Y106/'[1]Passage Estimates'!$D106</f>
        <v>#N/A</v>
      </c>
      <c r="AA106" s="43" t="e">
        <f>IFERROR(SUMIF(L106:R106, "&lt;&gt;#N/A")/SUMIF('2. Salmon Passage by Bin'!E106:J106, "&lt;&gt;#N/A"), NA())</f>
        <v>#N/A</v>
      </c>
      <c r="AB106" s="42" t="e">
        <f>IFERROR(IF(ISNA(S106), NA(), S106/'2. Salmon Passage by Bin'!K106), NA())</f>
        <v>#N/A</v>
      </c>
      <c r="AC106" s="44" t="e">
        <f>IFERROR(SUMIF(T106:W106, "&lt;&gt;#N/A")/SUMIF('2. Salmon Passage by Bin'!L106:N106, "&lt;&gt;#N/A"), NA())</f>
        <v>#N/A</v>
      </c>
    </row>
    <row r="107" spans="1:29" x14ac:dyDescent="0.3">
      <c r="A107" s="5">
        <f>'1. Mixture Model Inputs'!A107</f>
        <v>45209</v>
      </c>
      <c r="B107" s="13" t="str">
        <f>IF(ISBLANK('[1]Passage Estimates'!$C107),"",IF('[1]Passage Estimates'!$C107="Imputation",'[1]Passage Estimates'!$B107,'[1]Passage Estimates'!$C107))</f>
        <v/>
      </c>
      <c r="C107" s="17" t="e">
        <f>IFERROR('1. Mixture Model Inputs'!J107/'1. Mixture Model Inputs'!Z107,NA())</f>
        <v>#N/A</v>
      </c>
      <c r="D107" s="17" t="e">
        <f>IFERROR('1. Mixture Model Inputs'!K107/'1. Mixture Model Inputs'!AA107,NA())</f>
        <v>#N/A</v>
      </c>
      <c r="E107" s="17" t="e">
        <f>IFERROR('1. Mixture Model Inputs'!L107/'1. Mixture Model Inputs'!AB107,NA())</f>
        <v>#N/A</v>
      </c>
      <c r="F107" s="17" t="e">
        <f>IFERROR('1. Mixture Model Inputs'!M107/'1. Mixture Model Inputs'!AC107,NA())</f>
        <v>#N/A</v>
      </c>
      <c r="G107" s="17" t="e">
        <f>IFERROR('1. Mixture Model Inputs'!N107/'1. Mixture Model Inputs'!AD107,NA())</f>
        <v>#N/A</v>
      </c>
      <c r="H107" s="24" t="str">
        <f>WhonSpComp!AV122</f>
        <v/>
      </c>
      <c r="I107" s="17" t="e">
        <f>IFERROR('1. Mixture Model Inputs'!O107/'1. Mixture Model Inputs'!AE107, NA())</f>
        <v>#N/A</v>
      </c>
      <c r="J107" s="17" t="e">
        <f>IFERROR('1. Mixture Model Inputs'!P107/'1. Mixture Model Inputs'!AF107, NA())</f>
        <v>#N/A</v>
      </c>
      <c r="K107" s="17" t="e">
        <f>IFERROR('1. Mixture Model Inputs'!Q107/'1. Mixture Model Inputs'!AG107, NA())</f>
        <v>#N/A</v>
      </c>
      <c r="L107" s="22" t="e">
        <f>C107*'2. Salmon Passage by Bin'!C107</f>
        <v>#N/A</v>
      </c>
      <c r="M107" s="22" t="e">
        <f>D107*'2. Salmon Passage by Bin'!D107</f>
        <v>#N/A</v>
      </c>
      <c r="N107" s="22" t="e">
        <f>F107*'2. Salmon Passage by Bin'!F107</f>
        <v>#N/A</v>
      </c>
      <c r="O107" s="22" t="e">
        <f>G107*'2. Salmon Passage by Bin'!G107</f>
        <v>#N/A</v>
      </c>
      <c r="P107" s="22" t="e">
        <f>$G107*'2. Salmon Passage by Bin'!H107</f>
        <v>#N/A</v>
      </c>
      <c r="Q107" s="22" t="e">
        <f>$G107*'2. Salmon Passage by Bin'!I107</f>
        <v>#N/A</v>
      </c>
      <c r="R107" s="22" t="e">
        <f>$G107*'2. Salmon Passage by Bin'!J107</f>
        <v>#N/A</v>
      </c>
      <c r="S107" s="25" t="e">
        <f>'2. Salmon Passage by Bin'!K107*H107</f>
        <v>#N/A</v>
      </c>
      <c r="T107" s="25" t="e">
        <f>K107*'2. Salmon Passage by Bin'!L107</f>
        <v>#N/A</v>
      </c>
      <c r="U107" s="25" t="e">
        <f>K107*'2. Salmon Passage by Bin'!M107</f>
        <v>#N/A</v>
      </c>
      <c r="V107" s="25" t="e">
        <f>J107*'2. Salmon Passage by Bin'!N107</f>
        <v>#N/A</v>
      </c>
      <c r="W107" s="25" t="e">
        <f>I107*'2. Salmon Passage by Bin'!O107</f>
        <v>#N/A</v>
      </c>
      <c r="X107" s="22" t="e">
        <f>E107*'2. Salmon Passage by Bin'!E107</f>
        <v>#N/A</v>
      </c>
      <c r="Y107" s="41">
        <f t="shared" si="1"/>
        <v>0</v>
      </c>
      <c r="Z107" s="42" t="e">
        <f>Y107/'[1]Passage Estimates'!$D107</f>
        <v>#N/A</v>
      </c>
      <c r="AA107" s="43" t="e">
        <f>IFERROR(SUMIF(L107:R107, "&lt;&gt;#N/A")/SUMIF('2. Salmon Passage by Bin'!E107:J107, "&lt;&gt;#N/A"), NA())</f>
        <v>#N/A</v>
      </c>
      <c r="AB107" s="42" t="e">
        <f>IFERROR(IF(ISNA(S107), NA(), S107/'2. Salmon Passage by Bin'!K107), NA())</f>
        <v>#N/A</v>
      </c>
      <c r="AC107" s="44" t="e">
        <f>IFERROR(SUMIF(T107:W107, "&lt;&gt;#N/A")/SUMIF('2. Salmon Passage by Bin'!L107:N107, "&lt;&gt;#N/A"), NA())</f>
        <v>#N/A</v>
      </c>
    </row>
    <row r="108" spans="1:29" x14ac:dyDescent="0.3">
      <c r="A108" s="5">
        <f>'1. Mixture Model Inputs'!A108</f>
        <v>45210</v>
      </c>
      <c r="B108" s="13" t="str">
        <f>IF(ISBLANK('[1]Passage Estimates'!$C108),"",IF('[1]Passage Estimates'!$C108="Imputation",'[1]Passage Estimates'!$B108,'[1]Passage Estimates'!$C108))</f>
        <v/>
      </c>
      <c r="C108" s="17" t="e">
        <f>IFERROR('1. Mixture Model Inputs'!J108/'1. Mixture Model Inputs'!Z108,NA())</f>
        <v>#N/A</v>
      </c>
      <c r="D108" s="17" t="e">
        <f>IFERROR('1. Mixture Model Inputs'!K108/'1. Mixture Model Inputs'!AA108,NA())</f>
        <v>#N/A</v>
      </c>
      <c r="E108" s="17" t="e">
        <f>IFERROR('1. Mixture Model Inputs'!L108/'1. Mixture Model Inputs'!AB108,NA())</f>
        <v>#N/A</v>
      </c>
      <c r="F108" s="17" t="e">
        <f>IFERROR('1. Mixture Model Inputs'!M108/'1. Mixture Model Inputs'!AC108,NA())</f>
        <v>#N/A</v>
      </c>
      <c r="G108" s="17" t="e">
        <f>IFERROR('1. Mixture Model Inputs'!N108/'1. Mixture Model Inputs'!AD108,NA())</f>
        <v>#N/A</v>
      </c>
      <c r="H108" s="24" t="str">
        <f>WhonSpComp!AV123</f>
        <v/>
      </c>
      <c r="I108" s="17" t="e">
        <f>IFERROR('1. Mixture Model Inputs'!O108/'1. Mixture Model Inputs'!AE108, NA())</f>
        <v>#N/A</v>
      </c>
      <c r="J108" s="17" t="e">
        <f>IFERROR('1. Mixture Model Inputs'!P108/'1. Mixture Model Inputs'!AF108, NA())</f>
        <v>#N/A</v>
      </c>
      <c r="K108" s="17" t="e">
        <f>IFERROR('1. Mixture Model Inputs'!Q108/'1. Mixture Model Inputs'!AG108, NA())</f>
        <v>#N/A</v>
      </c>
      <c r="L108" s="22" t="e">
        <f>C108*'2. Salmon Passage by Bin'!C108</f>
        <v>#N/A</v>
      </c>
      <c r="M108" s="22" t="e">
        <f>D108*'2. Salmon Passage by Bin'!D108</f>
        <v>#N/A</v>
      </c>
      <c r="N108" s="22" t="e">
        <f>F108*'2. Salmon Passage by Bin'!F108</f>
        <v>#N/A</v>
      </c>
      <c r="O108" s="22" t="e">
        <f>G108*'2. Salmon Passage by Bin'!G108</f>
        <v>#N/A</v>
      </c>
      <c r="P108" s="22" t="e">
        <f>$G108*'2. Salmon Passage by Bin'!H108</f>
        <v>#N/A</v>
      </c>
      <c r="Q108" s="22" t="e">
        <f>$G108*'2. Salmon Passage by Bin'!I108</f>
        <v>#N/A</v>
      </c>
      <c r="R108" s="22" t="e">
        <f>$G108*'2. Salmon Passage by Bin'!J108</f>
        <v>#N/A</v>
      </c>
      <c r="S108" s="25" t="e">
        <f>'2. Salmon Passage by Bin'!K108*H108</f>
        <v>#N/A</v>
      </c>
      <c r="T108" s="25" t="e">
        <f>K108*'2. Salmon Passage by Bin'!L108</f>
        <v>#N/A</v>
      </c>
      <c r="U108" s="25" t="e">
        <f>K108*'2. Salmon Passage by Bin'!M108</f>
        <v>#N/A</v>
      </c>
      <c r="V108" s="25" t="e">
        <f>J108*'2. Salmon Passage by Bin'!N108</f>
        <v>#N/A</v>
      </c>
      <c r="W108" s="25" t="e">
        <f>I108*'2. Salmon Passage by Bin'!O108</f>
        <v>#N/A</v>
      </c>
      <c r="X108" s="22" t="e">
        <f>E108*'2. Salmon Passage by Bin'!E108</f>
        <v>#N/A</v>
      </c>
      <c r="Y108" s="41">
        <f t="shared" si="1"/>
        <v>0</v>
      </c>
      <c r="Z108" s="42" t="e">
        <f>Y108/'[1]Passage Estimates'!$D108</f>
        <v>#N/A</v>
      </c>
      <c r="AA108" s="43" t="e">
        <f>IFERROR(SUMIF(L108:R108, "&lt;&gt;#N/A")/SUMIF('2. Salmon Passage by Bin'!E108:J108, "&lt;&gt;#N/A"), NA())</f>
        <v>#N/A</v>
      </c>
      <c r="AB108" s="42" t="e">
        <f>IFERROR(IF(ISNA(S108), NA(), S108/'2. Salmon Passage by Bin'!K108), NA())</f>
        <v>#N/A</v>
      </c>
      <c r="AC108" s="44" t="e">
        <f>IFERROR(SUMIF(T108:W108, "&lt;&gt;#N/A")/SUMIF('2. Salmon Passage by Bin'!L108:N108, "&lt;&gt;#N/A"), NA())</f>
        <v>#N/A</v>
      </c>
    </row>
    <row r="109" spans="1:29" x14ac:dyDescent="0.3">
      <c r="A109" s="5">
        <f>'1. Mixture Model Inputs'!A109</f>
        <v>45211</v>
      </c>
      <c r="B109" s="13" t="str">
        <f>IF(ISBLANK('[1]Passage Estimates'!$C109),"",IF('[1]Passage Estimates'!$C109="Imputation",'[1]Passage Estimates'!$B109,'[1]Passage Estimates'!$C109))</f>
        <v/>
      </c>
      <c r="C109" s="17" t="e">
        <f>IFERROR('1. Mixture Model Inputs'!J109/'1. Mixture Model Inputs'!Z109,NA())</f>
        <v>#N/A</v>
      </c>
      <c r="D109" s="17" t="e">
        <f>IFERROR('1. Mixture Model Inputs'!K109/'1. Mixture Model Inputs'!AA109,NA())</f>
        <v>#N/A</v>
      </c>
      <c r="E109" s="17" t="e">
        <f>IFERROR('1. Mixture Model Inputs'!L109/'1. Mixture Model Inputs'!AB109,NA())</f>
        <v>#N/A</v>
      </c>
      <c r="F109" s="17" t="e">
        <f>IFERROR('1. Mixture Model Inputs'!M109/'1. Mixture Model Inputs'!AC109,NA())</f>
        <v>#N/A</v>
      </c>
      <c r="G109" s="17" t="e">
        <f>IFERROR('1. Mixture Model Inputs'!N109/'1. Mixture Model Inputs'!AD109,NA())</f>
        <v>#N/A</v>
      </c>
      <c r="H109" s="24" t="str">
        <f>WhonSpComp!AV124</f>
        <v/>
      </c>
      <c r="I109" s="17" t="e">
        <f>IFERROR('1. Mixture Model Inputs'!O109/'1. Mixture Model Inputs'!AE109, NA())</f>
        <v>#N/A</v>
      </c>
      <c r="J109" s="17" t="e">
        <f>IFERROR('1. Mixture Model Inputs'!P109/'1. Mixture Model Inputs'!AF109, NA())</f>
        <v>#N/A</v>
      </c>
      <c r="K109" s="17" t="e">
        <f>IFERROR('1. Mixture Model Inputs'!Q109/'1. Mixture Model Inputs'!AG109, NA())</f>
        <v>#N/A</v>
      </c>
      <c r="L109" s="22" t="e">
        <f>C109*'2. Salmon Passage by Bin'!C109</f>
        <v>#N/A</v>
      </c>
      <c r="M109" s="22" t="e">
        <f>D109*'2. Salmon Passage by Bin'!D109</f>
        <v>#N/A</v>
      </c>
      <c r="N109" s="22" t="e">
        <f>F109*'2. Salmon Passage by Bin'!F109</f>
        <v>#N/A</v>
      </c>
      <c r="O109" s="22" t="e">
        <f>G109*'2. Salmon Passage by Bin'!G109</f>
        <v>#N/A</v>
      </c>
      <c r="P109" s="22" t="e">
        <f>$G109*'2. Salmon Passage by Bin'!H109</f>
        <v>#N/A</v>
      </c>
      <c r="Q109" s="22" t="e">
        <f>$G109*'2. Salmon Passage by Bin'!I109</f>
        <v>#N/A</v>
      </c>
      <c r="R109" s="22" t="e">
        <f>$G109*'2. Salmon Passage by Bin'!J109</f>
        <v>#N/A</v>
      </c>
      <c r="S109" s="25" t="e">
        <f>'2. Salmon Passage by Bin'!K109*H109</f>
        <v>#N/A</v>
      </c>
      <c r="T109" s="25" t="e">
        <f>K109*'2. Salmon Passage by Bin'!L109</f>
        <v>#N/A</v>
      </c>
      <c r="U109" s="25" t="e">
        <f>K109*'2. Salmon Passage by Bin'!M109</f>
        <v>#N/A</v>
      </c>
      <c r="V109" s="25" t="e">
        <f>J109*'2. Salmon Passage by Bin'!N109</f>
        <v>#N/A</v>
      </c>
      <c r="W109" s="25" t="e">
        <f>I109*'2. Salmon Passage by Bin'!O109</f>
        <v>#N/A</v>
      </c>
      <c r="X109" s="22" t="e">
        <f>E109*'2. Salmon Passage by Bin'!E109</f>
        <v>#N/A</v>
      </c>
      <c r="Y109" s="41">
        <f t="shared" si="1"/>
        <v>0</v>
      </c>
      <c r="Z109" s="42" t="e">
        <f>Y109/'[1]Passage Estimates'!$D109</f>
        <v>#N/A</v>
      </c>
      <c r="AA109" s="43" t="e">
        <f>IFERROR(SUMIF(L109:R109, "&lt;&gt;#N/A")/SUMIF('2. Salmon Passage by Bin'!E109:J109, "&lt;&gt;#N/A"), NA())</f>
        <v>#N/A</v>
      </c>
      <c r="AB109" s="42" t="e">
        <f>IFERROR(IF(ISNA(S109), NA(), S109/'2. Salmon Passage by Bin'!K109), NA())</f>
        <v>#N/A</v>
      </c>
      <c r="AC109" s="44" t="e">
        <f>IFERROR(SUMIF(T109:W109, "&lt;&gt;#N/A")/SUMIF('2. Salmon Passage by Bin'!L109:N109, "&lt;&gt;#N/A"), NA())</f>
        <v>#N/A</v>
      </c>
    </row>
    <row r="110" spans="1:29" x14ac:dyDescent="0.3">
      <c r="A110" s="5">
        <f>'1. Mixture Model Inputs'!A110</f>
        <v>45212</v>
      </c>
      <c r="B110" s="13" t="str">
        <f>IF(ISBLANK('[1]Passage Estimates'!$C110),"",IF('[1]Passage Estimates'!$C110="Imputation",'[1]Passage Estimates'!$B110,'[1]Passage Estimates'!$C110))</f>
        <v/>
      </c>
      <c r="C110" s="17" t="e">
        <f>IFERROR('1. Mixture Model Inputs'!J110/'1. Mixture Model Inputs'!Z110,NA())</f>
        <v>#N/A</v>
      </c>
      <c r="D110" s="17" t="e">
        <f>IFERROR('1. Mixture Model Inputs'!K110/'1. Mixture Model Inputs'!AA110,NA())</f>
        <v>#N/A</v>
      </c>
      <c r="E110" s="17" t="e">
        <f>IFERROR('1. Mixture Model Inputs'!L110/'1. Mixture Model Inputs'!AB110,NA())</f>
        <v>#N/A</v>
      </c>
      <c r="F110" s="17" t="e">
        <f>IFERROR('1. Mixture Model Inputs'!M110/'1. Mixture Model Inputs'!AC110,NA())</f>
        <v>#N/A</v>
      </c>
      <c r="G110" s="17" t="e">
        <f>IFERROR('1. Mixture Model Inputs'!N110/'1. Mixture Model Inputs'!AD110,NA())</f>
        <v>#N/A</v>
      </c>
      <c r="H110" s="24" t="str">
        <f>WhonSpComp!AV125</f>
        <v/>
      </c>
      <c r="I110" s="17" t="e">
        <f>IFERROR('1. Mixture Model Inputs'!O110/'1. Mixture Model Inputs'!AE110, NA())</f>
        <v>#N/A</v>
      </c>
      <c r="J110" s="17" t="e">
        <f>IFERROR('1. Mixture Model Inputs'!P110/'1. Mixture Model Inputs'!AF110, NA())</f>
        <v>#N/A</v>
      </c>
      <c r="K110" s="17" t="e">
        <f>IFERROR('1. Mixture Model Inputs'!Q110/'1. Mixture Model Inputs'!AG110, NA())</f>
        <v>#N/A</v>
      </c>
      <c r="L110" s="22" t="e">
        <f>C110*'2. Salmon Passage by Bin'!C110</f>
        <v>#N/A</v>
      </c>
      <c r="M110" s="22" t="e">
        <f>D110*'2. Salmon Passage by Bin'!D110</f>
        <v>#N/A</v>
      </c>
      <c r="N110" s="22" t="e">
        <f>F110*'2. Salmon Passage by Bin'!F110</f>
        <v>#N/A</v>
      </c>
      <c r="O110" s="22" t="e">
        <f>G110*'2. Salmon Passage by Bin'!G110</f>
        <v>#N/A</v>
      </c>
      <c r="P110" s="22" t="e">
        <f>$G110*'2. Salmon Passage by Bin'!H110</f>
        <v>#N/A</v>
      </c>
      <c r="Q110" s="22" t="e">
        <f>$G110*'2. Salmon Passage by Bin'!I110</f>
        <v>#N/A</v>
      </c>
      <c r="R110" s="22" t="e">
        <f>$G110*'2. Salmon Passage by Bin'!J110</f>
        <v>#N/A</v>
      </c>
      <c r="S110" s="25" t="e">
        <f>'2. Salmon Passage by Bin'!K110*H110</f>
        <v>#N/A</v>
      </c>
      <c r="T110" s="25" t="e">
        <f>K110*'2. Salmon Passage by Bin'!L110</f>
        <v>#N/A</v>
      </c>
      <c r="U110" s="25" t="e">
        <f>K110*'2. Salmon Passage by Bin'!M110</f>
        <v>#N/A</v>
      </c>
      <c r="V110" s="25" t="e">
        <f>J110*'2. Salmon Passage by Bin'!N110</f>
        <v>#N/A</v>
      </c>
      <c r="W110" s="25" t="e">
        <f>I110*'2. Salmon Passage by Bin'!O110</f>
        <v>#N/A</v>
      </c>
      <c r="X110" s="22" t="e">
        <f>E110*'2. Salmon Passage by Bin'!E110</f>
        <v>#N/A</v>
      </c>
      <c r="Y110" s="41">
        <f t="shared" si="1"/>
        <v>0</v>
      </c>
      <c r="Z110" s="42" t="e">
        <f>Y110/'[1]Passage Estimates'!$D110</f>
        <v>#N/A</v>
      </c>
      <c r="AA110" s="43" t="e">
        <f>IFERROR(SUMIF(L110:R110, "&lt;&gt;#N/A")/SUMIF('2. Salmon Passage by Bin'!E110:J110, "&lt;&gt;#N/A"), NA())</f>
        <v>#N/A</v>
      </c>
      <c r="AB110" s="42" t="e">
        <f>IFERROR(IF(ISNA(S110), NA(), S110/'2. Salmon Passage by Bin'!K110), NA())</f>
        <v>#N/A</v>
      </c>
      <c r="AC110" s="44" t="e">
        <f>IFERROR(SUMIF(T110:W110, "&lt;&gt;#N/A")/SUMIF('2. Salmon Passage by Bin'!L110:N110, "&lt;&gt;#N/A"), NA())</f>
        <v>#N/A</v>
      </c>
    </row>
    <row r="111" spans="1:29" x14ac:dyDescent="0.3">
      <c r="A111" s="5">
        <f>'1. Mixture Model Inputs'!A111</f>
        <v>45213</v>
      </c>
      <c r="B111" s="13" t="str">
        <f>IF(ISBLANK('[1]Passage Estimates'!$C111),"",IF('[1]Passage Estimates'!$C111="Imputation",'[1]Passage Estimates'!$B111,'[1]Passage Estimates'!$C111))</f>
        <v/>
      </c>
      <c r="C111" s="17" t="e">
        <f>IFERROR('1. Mixture Model Inputs'!J111/'1. Mixture Model Inputs'!Z111,NA())</f>
        <v>#N/A</v>
      </c>
      <c r="D111" s="17" t="e">
        <f>IFERROR('1. Mixture Model Inputs'!K111/'1. Mixture Model Inputs'!AA111,NA())</f>
        <v>#N/A</v>
      </c>
      <c r="E111" s="17" t="e">
        <f>IFERROR('1. Mixture Model Inputs'!L111/'1. Mixture Model Inputs'!AB111,NA())</f>
        <v>#N/A</v>
      </c>
      <c r="F111" s="17" t="e">
        <f>IFERROR('1. Mixture Model Inputs'!M111/'1. Mixture Model Inputs'!AC111,NA())</f>
        <v>#N/A</v>
      </c>
      <c r="G111" s="17" t="e">
        <f>IFERROR('1. Mixture Model Inputs'!N111/'1. Mixture Model Inputs'!AD111,NA())</f>
        <v>#N/A</v>
      </c>
      <c r="H111" s="24" t="str">
        <f>WhonSpComp!AV126</f>
        <v/>
      </c>
      <c r="I111" s="17" t="e">
        <f>IFERROR('1. Mixture Model Inputs'!O111/'1. Mixture Model Inputs'!AE111, NA())</f>
        <v>#N/A</v>
      </c>
      <c r="J111" s="17" t="e">
        <f>IFERROR('1. Mixture Model Inputs'!P111/'1. Mixture Model Inputs'!AF111, NA())</f>
        <v>#N/A</v>
      </c>
      <c r="K111" s="17" t="e">
        <f>IFERROR('1. Mixture Model Inputs'!Q111/'1. Mixture Model Inputs'!AG111, NA())</f>
        <v>#N/A</v>
      </c>
      <c r="L111" s="22" t="e">
        <f>C111*'2. Salmon Passage by Bin'!C111</f>
        <v>#N/A</v>
      </c>
      <c r="M111" s="22" t="e">
        <f>D111*'2. Salmon Passage by Bin'!D111</f>
        <v>#N/A</v>
      </c>
      <c r="N111" s="22" t="e">
        <f>F111*'2. Salmon Passage by Bin'!F111</f>
        <v>#N/A</v>
      </c>
      <c r="O111" s="22" t="e">
        <f>G111*'2. Salmon Passage by Bin'!G111</f>
        <v>#N/A</v>
      </c>
      <c r="P111" s="22" t="e">
        <f>$G111*'2. Salmon Passage by Bin'!H111</f>
        <v>#N/A</v>
      </c>
      <c r="Q111" s="22" t="e">
        <f>$G111*'2. Salmon Passage by Bin'!I111</f>
        <v>#N/A</v>
      </c>
      <c r="R111" s="22" t="e">
        <f>$G111*'2. Salmon Passage by Bin'!J111</f>
        <v>#N/A</v>
      </c>
      <c r="S111" s="25" t="e">
        <f>'2. Salmon Passage by Bin'!K111*H111</f>
        <v>#N/A</v>
      </c>
      <c r="T111" s="25" t="e">
        <f>K111*'2. Salmon Passage by Bin'!L111</f>
        <v>#N/A</v>
      </c>
      <c r="U111" s="25" t="e">
        <f>K111*'2. Salmon Passage by Bin'!M111</f>
        <v>#N/A</v>
      </c>
      <c r="V111" s="25" t="e">
        <f>J111*'2. Salmon Passage by Bin'!N111</f>
        <v>#N/A</v>
      </c>
      <c r="W111" s="25" t="e">
        <f>I111*'2. Salmon Passage by Bin'!O111</f>
        <v>#N/A</v>
      </c>
      <c r="X111" s="22" t="e">
        <f>E111*'2. Salmon Passage by Bin'!E111</f>
        <v>#N/A</v>
      </c>
      <c r="Y111" s="41">
        <f t="shared" si="1"/>
        <v>0</v>
      </c>
      <c r="Z111" s="42" t="e">
        <f>Y111/'[1]Passage Estimates'!$D111</f>
        <v>#N/A</v>
      </c>
      <c r="AA111" s="43" t="e">
        <f>IFERROR(SUMIF(L111:R111, "&lt;&gt;#N/A")/SUMIF('2. Salmon Passage by Bin'!E111:J111, "&lt;&gt;#N/A"), NA())</f>
        <v>#N/A</v>
      </c>
      <c r="AB111" s="42" t="e">
        <f>IFERROR(IF(ISNA(S111), NA(), S111/'2. Salmon Passage by Bin'!K111), NA())</f>
        <v>#N/A</v>
      </c>
      <c r="AC111" s="44" t="e">
        <f>IFERROR(SUMIF(T111:W111, "&lt;&gt;#N/A")/SUMIF('2. Salmon Passage by Bin'!L111:N111, "&lt;&gt;#N/A"), NA())</f>
        <v>#N/A</v>
      </c>
    </row>
    <row r="112" spans="1:29" x14ac:dyDescent="0.3">
      <c r="A112" s="5">
        <f>'1. Mixture Model Inputs'!A112</f>
        <v>45214</v>
      </c>
      <c r="B112" s="13" t="str">
        <f>IF(ISBLANK('[1]Passage Estimates'!$C112),"",IF('[1]Passage Estimates'!$C112="Imputation",'[1]Passage Estimates'!$B112,'[1]Passage Estimates'!$C112))</f>
        <v/>
      </c>
      <c r="C112" s="17" t="e">
        <f>IFERROR('1. Mixture Model Inputs'!J112/'1. Mixture Model Inputs'!Z112,NA())</f>
        <v>#N/A</v>
      </c>
      <c r="D112" s="17" t="e">
        <f>IFERROR('1. Mixture Model Inputs'!K112/'1. Mixture Model Inputs'!AA112,NA())</f>
        <v>#N/A</v>
      </c>
      <c r="E112" s="17" t="e">
        <f>IFERROR('1. Mixture Model Inputs'!L112/'1. Mixture Model Inputs'!AB112,NA())</f>
        <v>#N/A</v>
      </c>
      <c r="F112" s="17" t="e">
        <f>IFERROR('1. Mixture Model Inputs'!M112/'1. Mixture Model Inputs'!AC112,NA())</f>
        <v>#N/A</v>
      </c>
      <c r="G112" s="17" t="e">
        <f>IFERROR('1. Mixture Model Inputs'!N112/'1. Mixture Model Inputs'!AD112,NA())</f>
        <v>#N/A</v>
      </c>
      <c r="H112" s="24" t="str">
        <f>WhonSpComp!AV127</f>
        <v/>
      </c>
      <c r="I112" s="17" t="e">
        <f>IFERROR('1. Mixture Model Inputs'!O112/'1. Mixture Model Inputs'!AE112, NA())</f>
        <v>#N/A</v>
      </c>
      <c r="J112" s="17" t="e">
        <f>IFERROR('1. Mixture Model Inputs'!P112/'1. Mixture Model Inputs'!AF112, NA())</f>
        <v>#N/A</v>
      </c>
      <c r="K112" s="17" t="e">
        <f>IFERROR('1. Mixture Model Inputs'!Q112/'1. Mixture Model Inputs'!AG112, NA())</f>
        <v>#N/A</v>
      </c>
      <c r="L112" s="22" t="e">
        <f>C112*'2. Salmon Passage by Bin'!C112</f>
        <v>#N/A</v>
      </c>
      <c r="M112" s="22" t="e">
        <f>D112*'2. Salmon Passage by Bin'!D112</f>
        <v>#N/A</v>
      </c>
      <c r="N112" s="22" t="e">
        <f>F112*'2. Salmon Passage by Bin'!F112</f>
        <v>#N/A</v>
      </c>
      <c r="O112" s="22" t="e">
        <f>G112*'2. Salmon Passage by Bin'!G112</f>
        <v>#N/A</v>
      </c>
      <c r="P112" s="22" t="e">
        <f>$G112*'2. Salmon Passage by Bin'!H112</f>
        <v>#N/A</v>
      </c>
      <c r="Q112" s="22" t="e">
        <f>$G112*'2. Salmon Passage by Bin'!I112</f>
        <v>#N/A</v>
      </c>
      <c r="R112" s="22" t="e">
        <f>$G112*'2. Salmon Passage by Bin'!J112</f>
        <v>#N/A</v>
      </c>
      <c r="S112" s="25" t="e">
        <f>'2. Salmon Passage by Bin'!K112*H112</f>
        <v>#N/A</v>
      </c>
      <c r="T112" s="25" t="e">
        <f>K112*'2. Salmon Passage by Bin'!L112</f>
        <v>#N/A</v>
      </c>
      <c r="U112" s="25" t="e">
        <f>K112*'2. Salmon Passage by Bin'!M112</f>
        <v>#N/A</v>
      </c>
      <c r="V112" s="25" t="e">
        <f>J112*'2. Salmon Passage by Bin'!N112</f>
        <v>#N/A</v>
      </c>
      <c r="W112" s="25" t="e">
        <f>I112*'2. Salmon Passage by Bin'!O112</f>
        <v>#N/A</v>
      </c>
      <c r="X112" s="22" t="e">
        <f>E112*'2. Salmon Passage by Bin'!E112</f>
        <v>#N/A</v>
      </c>
      <c r="Y112" s="41">
        <f t="shared" si="1"/>
        <v>0</v>
      </c>
      <c r="Z112" s="42" t="e">
        <f>Y112/'[1]Passage Estimates'!$D112</f>
        <v>#N/A</v>
      </c>
      <c r="AA112" s="43" t="e">
        <f>IFERROR(SUMIF(L112:R112, "&lt;&gt;#N/A")/SUMIF('2. Salmon Passage by Bin'!E112:J112, "&lt;&gt;#N/A"), NA())</f>
        <v>#N/A</v>
      </c>
      <c r="AB112" s="42" t="e">
        <f>IFERROR(IF(ISNA(S112), NA(), S112/'2. Salmon Passage by Bin'!K112), NA())</f>
        <v>#N/A</v>
      </c>
      <c r="AC112" s="44" t="e">
        <f>IFERROR(SUMIF(T112:W112, "&lt;&gt;#N/A")/SUMIF('2. Salmon Passage by Bin'!L112:N112, "&lt;&gt;#N/A"), NA())</f>
        <v>#N/A</v>
      </c>
    </row>
    <row r="113" spans="1:29" x14ac:dyDescent="0.3">
      <c r="A113" s="5">
        <f>'1. Mixture Model Inputs'!A113</f>
        <v>45215</v>
      </c>
      <c r="B113" s="13" t="str">
        <f>IF(ISBLANK('[1]Passage Estimates'!$C113),"",IF('[1]Passage Estimates'!$C113="Imputation",'[1]Passage Estimates'!$B113,'[1]Passage Estimates'!$C113))</f>
        <v/>
      </c>
      <c r="C113" s="17" t="e">
        <f>IFERROR('1. Mixture Model Inputs'!J113/'1. Mixture Model Inputs'!Z113,NA())</f>
        <v>#N/A</v>
      </c>
      <c r="D113" s="17" t="e">
        <f>IFERROR('1. Mixture Model Inputs'!K113/'1. Mixture Model Inputs'!AA113,NA())</f>
        <v>#N/A</v>
      </c>
      <c r="E113" s="17" t="e">
        <f>IFERROR('1. Mixture Model Inputs'!L113/'1. Mixture Model Inputs'!AB113,NA())</f>
        <v>#N/A</v>
      </c>
      <c r="F113" s="17" t="e">
        <f>IFERROR('1. Mixture Model Inputs'!M113/'1. Mixture Model Inputs'!AC113,NA())</f>
        <v>#N/A</v>
      </c>
      <c r="G113" s="17" t="e">
        <f>IFERROR('1. Mixture Model Inputs'!N113/'1. Mixture Model Inputs'!AD113,NA())</f>
        <v>#N/A</v>
      </c>
      <c r="H113" s="24" t="str">
        <f>WhonSpComp!AV128</f>
        <v/>
      </c>
      <c r="I113" s="17" t="e">
        <f>IFERROR('1. Mixture Model Inputs'!O113/'1. Mixture Model Inputs'!AE113, NA())</f>
        <v>#N/A</v>
      </c>
      <c r="J113" s="17" t="e">
        <f>IFERROR('1. Mixture Model Inputs'!P113/'1. Mixture Model Inputs'!AF113, NA())</f>
        <v>#N/A</v>
      </c>
      <c r="K113" s="17" t="e">
        <f>IFERROR('1. Mixture Model Inputs'!Q113/'1. Mixture Model Inputs'!AG113, NA())</f>
        <v>#N/A</v>
      </c>
      <c r="L113" s="22" t="e">
        <f>C113*'2. Salmon Passage by Bin'!C113</f>
        <v>#N/A</v>
      </c>
      <c r="M113" s="22" t="e">
        <f>D113*'2. Salmon Passage by Bin'!D113</f>
        <v>#N/A</v>
      </c>
      <c r="N113" s="22" t="e">
        <f>F113*'2. Salmon Passage by Bin'!F113</f>
        <v>#N/A</v>
      </c>
      <c r="O113" s="22" t="e">
        <f>G113*'2. Salmon Passage by Bin'!G113</f>
        <v>#N/A</v>
      </c>
      <c r="P113" s="22" t="e">
        <f>$G113*'2. Salmon Passage by Bin'!H113</f>
        <v>#N/A</v>
      </c>
      <c r="Q113" s="22" t="e">
        <f>$G113*'2. Salmon Passage by Bin'!I113</f>
        <v>#N/A</v>
      </c>
      <c r="R113" s="22" t="e">
        <f>$G113*'2. Salmon Passage by Bin'!J113</f>
        <v>#N/A</v>
      </c>
      <c r="S113" s="25" t="e">
        <f>'2. Salmon Passage by Bin'!K113*H113</f>
        <v>#N/A</v>
      </c>
      <c r="T113" s="25" t="e">
        <f>K113*'2. Salmon Passage by Bin'!L113</f>
        <v>#N/A</v>
      </c>
      <c r="U113" s="25" t="e">
        <f>K113*'2. Salmon Passage by Bin'!M113</f>
        <v>#N/A</v>
      </c>
      <c r="V113" s="25" t="e">
        <f>J113*'2. Salmon Passage by Bin'!N113</f>
        <v>#N/A</v>
      </c>
      <c r="W113" s="25" t="e">
        <f>I113*'2. Salmon Passage by Bin'!O113</f>
        <v>#N/A</v>
      </c>
      <c r="X113" s="22" t="e">
        <f>E113*'2. Salmon Passage by Bin'!E113</f>
        <v>#N/A</v>
      </c>
      <c r="Y113" s="41">
        <f t="shared" si="1"/>
        <v>0</v>
      </c>
      <c r="Z113" s="42" t="e">
        <f>Y113/'[1]Passage Estimates'!$D113</f>
        <v>#N/A</v>
      </c>
      <c r="AA113" s="43" t="e">
        <f>IFERROR(SUMIF(L113:R113, "&lt;&gt;#N/A")/SUMIF('2. Salmon Passage by Bin'!E113:J113, "&lt;&gt;#N/A"), NA())</f>
        <v>#N/A</v>
      </c>
      <c r="AB113" s="42" t="e">
        <f>IFERROR(IF(ISNA(S113), NA(), S113/'2. Salmon Passage by Bin'!K113), NA())</f>
        <v>#N/A</v>
      </c>
      <c r="AC113" s="44" t="e">
        <f>IFERROR(SUMIF(T113:W113, "&lt;&gt;#N/A")/SUMIF('2. Salmon Passage by Bin'!L113:N113, "&lt;&gt;#N/A"), NA())</f>
        <v>#N/A</v>
      </c>
    </row>
    <row r="114" spans="1:29" x14ac:dyDescent="0.3">
      <c r="A114" s="5">
        <f>'1. Mixture Model Inputs'!A114</f>
        <v>45216</v>
      </c>
      <c r="B114" s="13" t="str">
        <f>IF(ISBLANK('[1]Passage Estimates'!$C114),"",IF('[1]Passage Estimates'!$C114="Imputation",'[1]Passage Estimates'!$B114,'[1]Passage Estimates'!$C114))</f>
        <v/>
      </c>
      <c r="C114" s="17" t="e">
        <f>IFERROR('1. Mixture Model Inputs'!J114/'1. Mixture Model Inputs'!Z114,NA())</f>
        <v>#N/A</v>
      </c>
      <c r="D114" s="17" t="e">
        <f>IFERROR('1. Mixture Model Inputs'!K114/'1. Mixture Model Inputs'!AA114,NA())</f>
        <v>#N/A</v>
      </c>
      <c r="E114" s="17" t="e">
        <f>IFERROR('1. Mixture Model Inputs'!L114/'1. Mixture Model Inputs'!AB114,NA())</f>
        <v>#N/A</v>
      </c>
      <c r="F114" s="17" t="e">
        <f>IFERROR('1. Mixture Model Inputs'!M114/'1. Mixture Model Inputs'!AC114,NA())</f>
        <v>#N/A</v>
      </c>
      <c r="G114" s="17" t="e">
        <f>IFERROR('1. Mixture Model Inputs'!N114/'1. Mixture Model Inputs'!AD114,NA())</f>
        <v>#N/A</v>
      </c>
      <c r="H114" s="24" t="str">
        <f>WhonSpComp!AV129</f>
        <v/>
      </c>
      <c r="I114" s="17" t="e">
        <f>IFERROR('1. Mixture Model Inputs'!O114/'1. Mixture Model Inputs'!AE114, NA())</f>
        <v>#N/A</v>
      </c>
      <c r="J114" s="17" t="e">
        <f>IFERROR('1. Mixture Model Inputs'!P114/'1. Mixture Model Inputs'!AF114, NA())</f>
        <v>#N/A</v>
      </c>
      <c r="K114" s="17" t="e">
        <f>IFERROR('1. Mixture Model Inputs'!Q114/'1. Mixture Model Inputs'!AG114, NA())</f>
        <v>#N/A</v>
      </c>
      <c r="L114" s="22" t="e">
        <f>C114*'2. Salmon Passage by Bin'!C114</f>
        <v>#N/A</v>
      </c>
      <c r="M114" s="22" t="e">
        <f>D114*'2. Salmon Passage by Bin'!D114</f>
        <v>#N/A</v>
      </c>
      <c r="N114" s="22" t="e">
        <f>F114*'2. Salmon Passage by Bin'!F114</f>
        <v>#N/A</v>
      </c>
      <c r="O114" s="22" t="e">
        <f>G114*'2. Salmon Passage by Bin'!G114</f>
        <v>#N/A</v>
      </c>
      <c r="P114" s="22" t="e">
        <f>$G114*'2. Salmon Passage by Bin'!H114</f>
        <v>#N/A</v>
      </c>
      <c r="Q114" s="22" t="e">
        <f>$G114*'2. Salmon Passage by Bin'!I114</f>
        <v>#N/A</v>
      </c>
      <c r="R114" s="22" t="e">
        <f>$G114*'2. Salmon Passage by Bin'!J114</f>
        <v>#N/A</v>
      </c>
      <c r="S114" s="25" t="e">
        <f>'2. Salmon Passage by Bin'!K114*H114</f>
        <v>#N/A</v>
      </c>
      <c r="T114" s="25" t="e">
        <f>K114*'2. Salmon Passage by Bin'!L114</f>
        <v>#N/A</v>
      </c>
      <c r="U114" s="25" t="e">
        <f>K114*'2. Salmon Passage by Bin'!M114</f>
        <v>#N/A</v>
      </c>
      <c r="V114" s="25" t="e">
        <f>J114*'2. Salmon Passage by Bin'!N114</f>
        <v>#N/A</v>
      </c>
      <c r="W114" s="25" t="e">
        <f>I114*'2. Salmon Passage by Bin'!O114</f>
        <v>#N/A</v>
      </c>
      <c r="X114" s="22" t="e">
        <f>E114*'2. Salmon Passage by Bin'!E114</f>
        <v>#N/A</v>
      </c>
      <c r="Y114" s="41">
        <f t="shared" si="1"/>
        <v>0</v>
      </c>
      <c r="Z114" s="42" t="e">
        <f>Y114/'[1]Passage Estimates'!$D114</f>
        <v>#N/A</v>
      </c>
      <c r="AA114" s="43" t="e">
        <f>IFERROR(SUMIF(L114:R114, "&lt;&gt;#N/A")/SUMIF('2. Salmon Passage by Bin'!E114:J114, "&lt;&gt;#N/A"), NA())</f>
        <v>#N/A</v>
      </c>
      <c r="AB114" s="42" t="e">
        <f>IFERROR(IF(ISNA(S114), NA(), S114/'2. Salmon Passage by Bin'!K114), NA())</f>
        <v>#N/A</v>
      </c>
      <c r="AC114" s="44" t="e">
        <f>IFERROR(SUMIF(T114:W114, "&lt;&gt;#N/A")/SUMIF('2. Salmon Passage by Bin'!L114:N114, "&lt;&gt;#N/A"), NA())</f>
        <v>#N/A</v>
      </c>
    </row>
    <row r="115" spans="1:29" x14ac:dyDescent="0.3">
      <c r="A115" s="5">
        <f>'1. Mixture Model Inputs'!A115</f>
        <v>45217</v>
      </c>
      <c r="B115" s="13" t="str">
        <f>IF(ISBLANK('[1]Passage Estimates'!$C115),"",IF('[1]Passage Estimates'!$C115="Imputation",'[1]Passage Estimates'!$B115,'[1]Passage Estimates'!$C115))</f>
        <v/>
      </c>
      <c r="C115" s="17" t="e">
        <f>IFERROR('1. Mixture Model Inputs'!J115/'1. Mixture Model Inputs'!Z115,NA())</f>
        <v>#N/A</v>
      </c>
      <c r="D115" s="17" t="e">
        <f>IFERROR('1. Mixture Model Inputs'!K115/'1. Mixture Model Inputs'!AA115,NA())</f>
        <v>#N/A</v>
      </c>
      <c r="E115" s="17" t="e">
        <f>IFERROR('1. Mixture Model Inputs'!L115/'1. Mixture Model Inputs'!AB115,NA())</f>
        <v>#N/A</v>
      </c>
      <c r="F115" s="17" t="e">
        <f>IFERROR('1. Mixture Model Inputs'!M115/'1. Mixture Model Inputs'!AC115,NA())</f>
        <v>#N/A</v>
      </c>
      <c r="G115" s="17" t="e">
        <f>IFERROR('1. Mixture Model Inputs'!N115/'1. Mixture Model Inputs'!AD115,NA())</f>
        <v>#N/A</v>
      </c>
      <c r="H115" s="24" t="str">
        <f>WhonSpComp!AV130</f>
        <v/>
      </c>
      <c r="I115" s="17" t="e">
        <f>IFERROR('1. Mixture Model Inputs'!O115/'1. Mixture Model Inputs'!AE115, NA())</f>
        <v>#N/A</v>
      </c>
      <c r="J115" s="17" t="e">
        <f>IFERROR('1. Mixture Model Inputs'!P115/'1. Mixture Model Inputs'!AF115, NA())</f>
        <v>#N/A</v>
      </c>
      <c r="K115" s="17" t="e">
        <f>IFERROR('1. Mixture Model Inputs'!Q115/'1. Mixture Model Inputs'!AG115, NA())</f>
        <v>#N/A</v>
      </c>
      <c r="L115" s="22" t="e">
        <f>C115*'2. Salmon Passage by Bin'!C115</f>
        <v>#N/A</v>
      </c>
      <c r="M115" s="22" t="e">
        <f>D115*'2. Salmon Passage by Bin'!D115</f>
        <v>#N/A</v>
      </c>
      <c r="N115" s="22" t="e">
        <f>F115*'2. Salmon Passage by Bin'!F115</f>
        <v>#N/A</v>
      </c>
      <c r="O115" s="22" t="e">
        <f>G115*'2. Salmon Passage by Bin'!G115</f>
        <v>#N/A</v>
      </c>
      <c r="P115" s="22" t="e">
        <f>$G115*'2. Salmon Passage by Bin'!H115</f>
        <v>#N/A</v>
      </c>
      <c r="Q115" s="22" t="e">
        <f>$G115*'2. Salmon Passage by Bin'!I115</f>
        <v>#N/A</v>
      </c>
      <c r="R115" s="22" t="e">
        <f>$G115*'2. Salmon Passage by Bin'!J115</f>
        <v>#N/A</v>
      </c>
      <c r="S115" s="25" t="e">
        <f>'2. Salmon Passage by Bin'!K115*H115</f>
        <v>#N/A</v>
      </c>
      <c r="T115" s="25" t="e">
        <f>K115*'2. Salmon Passage by Bin'!L115</f>
        <v>#N/A</v>
      </c>
      <c r="U115" s="25" t="e">
        <f>K115*'2. Salmon Passage by Bin'!M115</f>
        <v>#N/A</v>
      </c>
      <c r="V115" s="25" t="e">
        <f>J115*'2. Salmon Passage by Bin'!N115</f>
        <v>#N/A</v>
      </c>
      <c r="W115" s="25" t="e">
        <f>I115*'2. Salmon Passage by Bin'!O115</f>
        <v>#N/A</v>
      </c>
      <c r="X115" s="22" t="e">
        <f>E115*'2. Salmon Passage by Bin'!E115</f>
        <v>#N/A</v>
      </c>
      <c r="Y115" s="41">
        <f t="shared" si="1"/>
        <v>0</v>
      </c>
      <c r="Z115" s="42" t="e">
        <f>Y115/'[1]Passage Estimates'!$D115</f>
        <v>#N/A</v>
      </c>
      <c r="AA115" s="43" t="e">
        <f>IFERROR(SUMIF(L115:R115, "&lt;&gt;#N/A")/SUMIF('2. Salmon Passage by Bin'!E115:J115, "&lt;&gt;#N/A"), NA())</f>
        <v>#N/A</v>
      </c>
      <c r="AB115" s="42" t="e">
        <f>IFERROR(IF(ISNA(S115), NA(), S115/'2. Salmon Passage by Bin'!K115), NA())</f>
        <v>#N/A</v>
      </c>
      <c r="AC115" s="44" t="e">
        <f>IFERROR(SUMIF(T115:W115, "&lt;&gt;#N/A")/SUMIF('2. Salmon Passage by Bin'!L115:N115, "&lt;&gt;#N/A"), NA())</f>
        <v>#N/A</v>
      </c>
    </row>
    <row r="116" spans="1:29" x14ac:dyDescent="0.3">
      <c r="A116" s="5">
        <f>'1. Mixture Model Inputs'!A116</f>
        <v>45218</v>
      </c>
      <c r="B116" s="13" t="str">
        <f>IF(ISBLANK('[1]Passage Estimates'!$C116),"",IF('[1]Passage Estimates'!$C116="Imputation",'[1]Passage Estimates'!$B116,'[1]Passage Estimates'!$C116))</f>
        <v/>
      </c>
      <c r="C116" s="17" t="e">
        <f>IFERROR('1. Mixture Model Inputs'!J116/'1. Mixture Model Inputs'!Z116,NA())</f>
        <v>#N/A</v>
      </c>
      <c r="D116" s="17" t="e">
        <f>IFERROR('1. Mixture Model Inputs'!K116/'1. Mixture Model Inputs'!AA116,NA())</f>
        <v>#N/A</v>
      </c>
      <c r="E116" s="17" t="e">
        <f>IFERROR('1. Mixture Model Inputs'!L116/'1. Mixture Model Inputs'!AB116,NA())</f>
        <v>#N/A</v>
      </c>
      <c r="F116" s="17" t="e">
        <f>IFERROR('1. Mixture Model Inputs'!M116/'1. Mixture Model Inputs'!AC116,NA())</f>
        <v>#N/A</v>
      </c>
      <c r="G116" s="17" t="e">
        <f>IFERROR('1. Mixture Model Inputs'!N116/'1. Mixture Model Inputs'!AD116,NA())</f>
        <v>#N/A</v>
      </c>
      <c r="H116" s="24" t="str">
        <f>WhonSpComp!AV131</f>
        <v/>
      </c>
      <c r="I116" s="17" t="e">
        <f>IFERROR('1. Mixture Model Inputs'!O116/'1. Mixture Model Inputs'!AE116, NA())</f>
        <v>#N/A</v>
      </c>
      <c r="J116" s="17" t="e">
        <f>IFERROR('1. Mixture Model Inputs'!P116/'1. Mixture Model Inputs'!AF116, NA())</f>
        <v>#N/A</v>
      </c>
      <c r="K116" s="17" t="e">
        <f>IFERROR('1. Mixture Model Inputs'!Q116/'1. Mixture Model Inputs'!AG116, NA())</f>
        <v>#N/A</v>
      </c>
      <c r="L116" s="22" t="e">
        <f>C116*'2. Salmon Passage by Bin'!C116</f>
        <v>#N/A</v>
      </c>
      <c r="M116" s="22" t="e">
        <f>D116*'2. Salmon Passage by Bin'!D116</f>
        <v>#N/A</v>
      </c>
      <c r="N116" s="22" t="e">
        <f>F116*'2. Salmon Passage by Bin'!F116</f>
        <v>#N/A</v>
      </c>
      <c r="O116" s="22" t="e">
        <f>G116*'2. Salmon Passage by Bin'!G116</f>
        <v>#N/A</v>
      </c>
      <c r="P116" s="22" t="e">
        <f>$G116*'2. Salmon Passage by Bin'!H116</f>
        <v>#N/A</v>
      </c>
      <c r="Q116" s="22" t="e">
        <f>$G116*'2. Salmon Passage by Bin'!I116</f>
        <v>#N/A</v>
      </c>
      <c r="R116" s="22" t="e">
        <f>$G116*'2. Salmon Passage by Bin'!J116</f>
        <v>#N/A</v>
      </c>
      <c r="S116" s="25" t="e">
        <f>'2. Salmon Passage by Bin'!K116*H116</f>
        <v>#N/A</v>
      </c>
      <c r="T116" s="25" t="e">
        <f>K116*'2. Salmon Passage by Bin'!L116</f>
        <v>#N/A</v>
      </c>
      <c r="U116" s="25" t="e">
        <f>K116*'2. Salmon Passage by Bin'!M116</f>
        <v>#N/A</v>
      </c>
      <c r="V116" s="25" t="e">
        <f>J116*'2. Salmon Passage by Bin'!N116</f>
        <v>#N/A</v>
      </c>
      <c r="W116" s="25" t="e">
        <f>I116*'2. Salmon Passage by Bin'!O116</f>
        <v>#N/A</v>
      </c>
      <c r="X116" s="22" t="e">
        <f>E116*'2. Salmon Passage by Bin'!E116</f>
        <v>#N/A</v>
      </c>
      <c r="Y116" s="41">
        <f t="shared" si="1"/>
        <v>0</v>
      </c>
      <c r="Z116" s="42" t="e">
        <f>Y116/'[1]Passage Estimates'!$D116</f>
        <v>#N/A</v>
      </c>
      <c r="AA116" s="43" t="e">
        <f>IFERROR(SUMIF(L116:R116, "&lt;&gt;#N/A")/SUMIF('2. Salmon Passage by Bin'!E116:J116, "&lt;&gt;#N/A"), NA())</f>
        <v>#N/A</v>
      </c>
      <c r="AB116" s="42" t="e">
        <f>IFERROR(IF(ISNA(S116), NA(), S116/'2. Salmon Passage by Bin'!K116), NA())</f>
        <v>#N/A</v>
      </c>
      <c r="AC116" s="44" t="e">
        <f>IFERROR(SUMIF(T116:W116, "&lt;&gt;#N/A")/SUMIF('2. Salmon Passage by Bin'!L116:N116, "&lt;&gt;#N/A"), NA())</f>
        <v>#N/A</v>
      </c>
    </row>
    <row r="117" spans="1:29" x14ac:dyDescent="0.3">
      <c r="A117" s="5">
        <f>'1. Mixture Model Inputs'!A117</f>
        <v>45219</v>
      </c>
      <c r="B117" s="13" t="str">
        <f>IF(ISBLANK('[1]Passage Estimates'!$C117),"",IF('[1]Passage Estimates'!$C117="Imputation",'[1]Passage Estimates'!$B117,'[1]Passage Estimates'!$C117))</f>
        <v/>
      </c>
      <c r="C117" s="17" t="e">
        <f>IFERROR('1. Mixture Model Inputs'!J117/'1. Mixture Model Inputs'!Z117,NA())</f>
        <v>#N/A</v>
      </c>
      <c r="D117" s="17" t="e">
        <f>IFERROR('1. Mixture Model Inputs'!K117/'1. Mixture Model Inputs'!AA117,NA())</f>
        <v>#N/A</v>
      </c>
      <c r="E117" s="17" t="e">
        <f>IFERROR('1. Mixture Model Inputs'!L117/'1. Mixture Model Inputs'!AB117,NA())</f>
        <v>#N/A</v>
      </c>
      <c r="F117" s="17" t="e">
        <f>IFERROR('1. Mixture Model Inputs'!M117/'1. Mixture Model Inputs'!AC117,NA())</f>
        <v>#N/A</v>
      </c>
      <c r="G117" s="17" t="e">
        <f>IFERROR('1. Mixture Model Inputs'!N117/'1. Mixture Model Inputs'!AD117,NA())</f>
        <v>#N/A</v>
      </c>
      <c r="H117" s="24" t="str">
        <f>WhonSpComp!AV132</f>
        <v/>
      </c>
      <c r="I117" s="17" t="e">
        <f>IFERROR('1. Mixture Model Inputs'!O117/'1. Mixture Model Inputs'!AE117, NA())</f>
        <v>#N/A</v>
      </c>
      <c r="J117" s="17" t="e">
        <f>IFERROR('1. Mixture Model Inputs'!P117/'1. Mixture Model Inputs'!AF117, NA())</f>
        <v>#N/A</v>
      </c>
      <c r="K117" s="17" t="e">
        <f>IFERROR('1. Mixture Model Inputs'!Q117/'1. Mixture Model Inputs'!AG117, NA())</f>
        <v>#N/A</v>
      </c>
      <c r="L117" s="22" t="e">
        <f>C117*'2. Salmon Passage by Bin'!C117</f>
        <v>#N/A</v>
      </c>
      <c r="M117" s="22" t="e">
        <f>D117*'2. Salmon Passage by Bin'!D117</f>
        <v>#N/A</v>
      </c>
      <c r="N117" s="22" t="e">
        <f>F117*'2. Salmon Passage by Bin'!F117</f>
        <v>#N/A</v>
      </c>
      <c r="O117" s="22" t="e">
        <f>G117*'2. Salmon Passage by Bin'!G117</f>
        <v>#N/A</v>
      </c>
      <c r="P117" s="22" t="e">
        <f>$G117*'2. Salmon Passage by Bin'!H117</f>
        <v>#N/A</v>
      </c>
      <c r="Q117" s="22" t="e">
        <f>$G117*'2. Salmon Passage by Bin'!I117</f>
        <v>#N/A</v>
      </c>
      <c r="R117" s="22" t="e">
        <f>$G117*'2. Salmon Passage by Bin'!J117</f>
        <v>#N/A</v>
      </c>
      <c r="S117" s="25" t="e">
        <f>'2. Salmon Passage by Bin'!K117*H117</f>
        <v>#N/A</v>
      </c>
      <c r="T117" s="25" t="e">
        <f>K117*'2. Salmon Passage by Bin'!L117</f>
        <v>#N/A</v>
      </c>
      <c r="U117" s="25" t="e">
        <f>K117*'2. Salmon Passage by Bin'!M117</f>
        <v>#N/A</v>
      </c>
      <c r="V117" s="25" t="e">
        <f>J117*'2. Salmon Passage by Bin'!N117</f>
        <v>#N/A</v>
      </c>
      <c r="W117" s="25" t="e">
        <f>I117*'2. Salmon Passage by Bin'!O117</f>
        <v>#N/A</v>
      </c>
      <c r="X117" s="22" t="e">
        <f>E117*'2. Salmon Passage by Bin'!E117</f>
        <v>#N/A</v>
      </c>
      <c r="Y117" s="41">
        <f t="shared" si="1"/>
        <v>0</v>
      </c>
      <c r="Z117" s="42" t="e">
        <f>Y117/'[1]Passage Estimates'!$D117</f>
        <v>#N/A</v>
      </c>
      <c r="AA117" s="43" t="e">
        <f>IFERROR(SUMIF(L117:R117, "&lt;&gt;#N/A")/SUMIF('2. Salmon Passage by Bin'!E117:J117, "&lt;&gt;#N/A"), NA())</f>
        <v>#N/A</v>
      </c>
      <c r="AB117" s="42" t="e">
        <f>IFERROR(IF(ISNA(S117), NA(), S117/'2. Salmon Passage by Bin'!K117), NA())</f>
        <v>#N/A</v>
      </c>
      <c r="AC117" s="44" t="e">
        <f>IFERROR(SUMIF(T117:W117, "&lt;&gt;#N/A")/SUMIF('2. Salmon Passage by Bin'!L117:N117, "&lt;&gt;#N/A"), NA())</f>
        <v>#N/A</v>
      </c>
    </row>
    <row r="118" spans="1:29" x14ac:dyDescent="0.3">
      <c r="A118" s="5">
        <f>'1. Mixture Model Inputs'!A118</f>
        <v>45220</v>
      </c>
      <c r="B118" s="13" t="str">
        <f>IF(ISBLANK('[1]Passage Estimates'!$C118),"",IF('[1]Passage Estimates'!$C118="Imputation",'[1]Passage Estimates'!$B118,'[1]Passage Estimates'!$C118))</f>
        <v/>
      </c>
      <c r="C118" s="17" t="e">
        <f>IFERROR('1. Mixture Model Inputs'!J118/'1. Mixture Model Inputs'!Z118,NA())</f>
        <v>#N/A</v>
      </c>
      <c r="D118" s="17" t="e">
        <f>IFERROR('1. Mixture Model Inputs'!K118/'1. Mixture Model Inputs'!AA118,NA())</f>
        <v>#N/A</v>
      </c>
      <c r="E118" s="17" t="e">
        <f>IFERROR('1. Mixture Model Inputs'!L118/'1. Mixture Model Inputs'!AB118,NA())</f>
        <v>#N/A</v>
      </c>
      <c r="F118" s="17" t="e">
        <f>IFERROR('1. Mixture Model Inputs'!M118/'1. Mixture Model Inputs'!AC118,NA())</f>
        <v>#N/A</v>
      </c>
      <c r="G118" s="17" t="e">
        <f>IFERROR('1. Mixture Model Inputs'!N118/'1. Mixture Model Inputs'!AD118,NA())</f>
        <v>#N/A</v>
      </c>
      <c r="H118" s="24">
        <f>WhonSpComp!AV133</f>
        <v>0</v>
      </c>
      <c r="I118" s="17" t="e">
        <f>IFERROR('1. Mixture Model Inputs'!O118/'1. Mixture Model Inputs'!AE118, NA())</f>
        <v>#N/A</v>
      </c>
      <c r="J118" s="17" t="e">
        <f>IFERROR('1. Mixture Model Inputs'!P118/'1. Mixture Model Inputs'!AF118, NA())</f>
        <v>#N/A</v>
      </c>
      <c r="K118" s="17" t="e">
        <f>IFERROR('1. Mixture Model Inputs'!Q118/'1. Mixture Model Inputs'!AG118, NA())</f>
        <v>#N/A</v>
      </c>
      <c r="L118" s="22" t="e">
        <f>C118*'2. Salmon Passage by Bin'!C118</f>
        <v>#N/A</v>
      </c>
      <c r="M118" s="22" t="e">
        <f>D118*'2. Salmon Passage by Bin'!D118</f>
        <v>#N/A</v>
      </c>
      <c r="N118" s="22" t="e">
        <f>F118*'2. Salmon Passage by Bin'!F118</f>
        <v>#N/A</v>
      </c>
      <c r="O118" s="22" t="e">
        <f>G118*'2. Salmon Passage by Bin'!G118</f>
        <v>#N/A</v>
      </c>
      <c r="P118" s="22" t="e">
        <f>$G118*'2. Salmon Passage by Bin'!H118</f>
        <v>#N/A</v>
      </c>
      <c r="Q118" s="22" t="e">
        <f>$G118*'2. Salmon Passage by Bin'!I118</f>
        <v>#N/A</v>
      </c>
      <c r="R118" s="22" t="e">
        <f>$G118*'2. Salmon Passage by Bin'!J118</f>
        <v>#N/A</v>
      </c>
      <c r="S118" s="25" t="e">
        <f>'2. Salmon Passage by Bin'!K118*H118</f>
        <v>#N/A</v>
      </c>
      <c r="T118" s="25" t="e">
        <f>K118*'2. Salmon Passage by Bin'!L118</f>
        <v>#N/A</v>
      </c>
      <c r="U118" s="25" t="e">
        <f>K118*'2. Salmon Passage by Bin'!M118</f>
        <v>#N/A</v>
      </c>
      <c r="V118" s="25" t="e">
        <f>J118*'2. Salmon Passage by Bin'!N118</f>
        <v>#N/A</v>
      </c>
      <c r="W118" s="25" t="e">
        <f>I118*'2. Salmon Passage by Bin'!O118</f>
        <v>#N/A</v>
      </c>
      <c r="X118" s="22" t="e">
        <f>E118*'2. Salmon Passage by Bin'!E118</f>
        <v>#N/A</v>
      </c>
      <c r="Y118" s="41">
        <f t="shared" si="1"/>
        <v>0</v>
      </c>
      <c r="Z118" s="42" t="e">
        <f>Y118/'[1]Passage Estimates'!$D118</f>
        <v>#N/A</v>
      </c>
      <c r="AA118" s="43" t="e">
        <f>IFERROR(SUMIF(L118:R118, "&lt;&gt;#N/A")/SUMIF('2. Salmon Passage by Bin'!E118:J118, "&lt;&gt;#N/A"), NA())</f>
        <v>#N/A</v>
      </c>
      <c r="AB118" s="42" t="e">
        <f>IFERROR(IF(ISNA(S118), NA(), S118/'2. Salmon Passage by Bin'!K118), NA())</f>
        <v>#N/A</v>
      </c>
      <c r="AC118" s="44" t="e">
        <f>IFERROR(SUMIF(T118:W118, "&lt;&gt;#N/A")/SUMIF('2. Salmon Passage by Bin'!L118:N118, "&lt;&gt;#N/A"), NA())</f>
        <v>#N/A</v>
      </c>
    </row>
    <row r="119" spans="1:29" x14ac:dyDescent="0.3">
      <c r="A119" s="5">
        <f>'1. Mixture Model Inputs'!A119</f>
        <v>45221</v>
      </c>
      <c r="B119" s="13" t="str">
        <f>IF(ISBLANK('[1]Passage Estimates'!$C119),"",IF('[1]Passage Estimates'!$C119="Imputation",'[1]Passage Estimates'!$B119,'[1]Passage Estimates'!$C119))</f>
        <v/>
      </c>
      <c r="C119" s="17" t="e">
        <f>IFERROR('1. Mixture Model Inputs'!J119/'1. Mixture Model Inputs'!Z119,NA())</f>
        <v>#N/A</v>
      </c>
      <c r="D119" s="17" t="e">
        <f>IFERROR('1. Mixture Model Inputs'!K119/'1. Mixture Model Inputs'!AA119,NA())</f>
        <v>#N/A</v>
      </c>
      <c r="E119" s="17" t="e">
        <f>IFERROR('1. Mixture Model Inputs'!L119/'1. Mixture Model Inputs'!AB119,NA())</f>
        <v>#N/A</v>
      </c>
      <c r="F119" s="17" t="e">
        <f>IFERROR('1. Mixture Model Inputs'!M119/'1. Mixture Model Inputs'!AC119,NA())</f>
        <v>#N/A</v>
      </c>
      <c r="G119" s="17" t="e">
        <f>IFERROR('1. Mixture Model Inputs'!N119/'1. Mixture Model Inputs'!AD119,NA())</f>
        <v>#N/A</v>
      </c>
      <c r="H119" s="24">
        <f>WhonSpComp!AV134</f>
        <v>0</v>
      </c>
      <c r="I119" s="17" t="e">
        <f>IFERROR('1. Mixture Model Inputs'!O119/'1. Mixture Model Inputs'!AE119, NA())</f>
        <v>#N/A</v>
      </c>
      <c r="J119" s="17" t="e">
        <f>IFERROR('1. Mixture Model Inputs'!P119/'1. Mixture Model Inputs'!AF119, NA())</f>
        <v>#N/A</v>
      </c>
      <c r="K119" s="17" t="e">
        <f>IFERROR('1. Mixture Model Inputs'!Q119/'1. Mixture Model Inputs'!AG119, NA())</f>
        <v>#N/A</v>
      </c>
      <c r="L119" s="22" t="e">
        <f>C119*'2. Salmon Passage by Bin'!C119</f>
        <v>#N/A</v>
      </c>
      <c r="M119" s="22" t="e">
        <f>D119*'2. Salmon Passage by Bin'!D119</f>
        <v>#N/A</v>
      </c>
      <c r="N119" s="22" t="e">
        <f>F119*'2. Salmon Passage by Bin'!F119</f>
        <v>#N/A</v>
      </c>
      <c r="O119" s="22" t="e">
        <f>G119*'2. Salmon Passage by Bin'!G119</f>
        <v>#N/A</v>
      </c>
      <c r="P119" s="22" t="e">
        <f>$G119*'2. Salmon Passage by Bin'!H119</f>
        <v>#N/A</v>
      </c>
      <c r="Q119" s="22" t="e">
        <f>$G119*'2. Salmon Passage by Bin'!I119</f>
        <v>#N/A</v>
      </c>
      <c r="R119" s="22" t="e">
        <f>$G119*'2. Salmon Passage by Bin'!J119</f>
        <v>#N/A</v>
      </c>
      <c r="S119" s="25" t="e">
        <f>'2. Salmon Passage by Bin'!K119*H119</f>
        <v>#N/A</v>
      </c>
      <c r="T119" s="25" t="e">
        <f>K119*'2. Salmon Passage by Bin'!L119</f>
        <v>#N/A</v>
      </c>
      <c r="U119" s="25" t="e">
        <f>K119*'2. Salmon Passage by Bin'!M119</f>
        <v>#N/A</v>
      </c>
      <c r="V119" s="25" t="e">
        <f>J119*'2. Salmon Passage by Bin'!N119</f>
        <v>#N/A</v>
      </c>
      <c r="W119" s="25" t="e">
        <f>I119*'2. Salmon Passage by Bin'!O119</f>
        <v>#N/A</v>
      </c>
      <c r="X119" s="22" t="e">
        <f>E119*'2. Salmon Passage by Bin'!E119</f>
        <v>#N/A</v>
      </c>
      <c r="Y119" s="41">
        <f t="shared" si="1"/>
        <v>0</v>
      </c>
      <c r="Z119" s="42" t="e">
        <f>Y119/'[1]Passage Estimates'!$D119</f>
        <v>#N/A</v>
      </c>
      <c r="AA119" s="43" t="e">
        <f>IFERROR(SUMIF(L119:R119, "&lt;&gt;#N/A")/SUMIF('2. Salmon Passage by Bin'!E119:J119, "&lt;&gt;#N/A"), NA())</f>
        <v>#N/A</v>
      </c>
      <c r="AB119" s="42" t="e">
        <f>IFERROR(IF(ISNA(S119), NA(), S119/'2. Salmon Passage by Bin'!K119), NA())</f>
        <v>#N/A</v>
      </c>
      <c r="AC119" s="44" t="e">
        <f>IFERROR(SUMIF(T119:W119, "&lt;&gt;#N/A")/SUMIF('2. Salmon Passage by Bin'!L119:N119, "&lt;&gt;#N/A"), NA())</f>
        <v>#N/A</v>
      </c>
    </row>
    <row r="120" spans="1:29" x14ac:dyDescent="0.3">
      <c r="A120" s="5">
        <f>'1. Mixture Model Inputs'!A120</f>
        <v>45222</v>
      </c>
      <c r="B120" s="13" t="str">
        <f>IF(ISBLANK('[1]Passage Estimates'!$C120),"",IF('[1]Passage Estimates'!$C120="Imputation",'[1]Passage Estimates'!$B120,'[1]Passage Estimates'!$C120))</f>
        <v/>
      </c>
      <c r="C120" s="17" t="e">
        <f>IFERROR('1. Mixture Model Inputs'!J120/'1. Mixture Model Inputs'!Z120,NA())</f>
        <v>#N/A</v>
      </c>
      <c r="D120" s="17" t="e">
        <f>IFERROR('1. Mixture Model Inputs'!K120/'1. Mixture Model Inputs'!AA120,NA())</f>
        <v>#N/A</v>
      </c>
      <c r="E120" s="17" t="e">
        <f>IFERROR('1. Mixture Model Inputs'!L120/'1. Mixture Model Inputs'!AB120,NA())</f>
        <v>#N/A</v>
      </c>
      <c r="F120" s="17" t="e">
        <f>IFERROR('1. Mixture Model Inputs'!M120/'1. Mixture Model Inputs'!AC120,NA())</f>
        <v>#N/A</v>
      </c>
      <c r="G120" s="17" t="e">
        <f>IFERROR('1. Mixture Model Inputs'!N120/'1. Mixture Model Inputs'!AD120,NA())</f>
        <v>#N/A</v>
      </c>
      <c r="H120" s="24">
        <f>WhonSpComp!AV135</f>
        <v>0</v>
      </c>
      <c r="I120" s="17" t="e">
        <f>IFERROR('1. Mixture Model Inputs'!O120/'1. Mixture Model Inputs'!AE120, NA())</f>
        <v>#N/A</v>
      </c>
      <c r="J120" s="17" t="e">
        <f>IFERROR('1. Mixture Model Inputs'!P120/'1. Mixture Model Inputs'!AF120, NA())</f>
        <v>#N/A</v>
      </c>
      <c r="K120" s="17" t="e">
        <f>IFERROR('1. Mixture Model Inputs'!Q120/'1. Mixture Model Inputs'!AG120, NA())</f>
        <v>#N/A</v>
      </c>
      <c r="L120" s="22" t="e">
        <f>C120*'2. Salmon Passage by Bin'!C120</f>
        <v>#N/A</v>
      </c>
      <c r="M120" s="22" t="e">
        <f>D120*'2. Salmon Passage by Bin'!D120</f>
        <v>#N/A</v>
      </c>
      <c r="N120" s="22" t="e">
        <f>F120*'2. Salmon Passage by Bin'!F120</f>
        <v>#N/A</v>
      </c>
      <c r="O120" s="22" t="e">
        <f>G120*'2. Salmon Passage by Bin'!G120</f>
        <v>#N/A</v>
      </c>
      <c r="P120" s="22" t="e">
        <f>$G120*'2. Salmon Passage by Bin'!H120</f>
        <v>#N/A</v>
      </c>
      <c r="Q120" s="22" t="e">
        <f>$G120*'2. Salmon Passage by Bin'!I120</f>
        <v>#N/A</v>
      </c>
      <c r="R120" s="22" t="e">
        <f>$G120*'2. Salmon Passage by Bin'!J120</f>
        <v>#N/A</v>
      </c>
      <c r="S120" s="25" t="e">
        <f>'2. Salmon Passage by Bin'!K120*H120</f>
        <v>#N/A</v>
      </c>
      <c r="T120" s="25" t="e">
        <f>K120*'2. Salmon Passage by Bin'!L120</f>
        <v>#N/A</v>
      </c>
      <c r="U120" s="25" t="e">
        <f>K120*'2. Salmon Passage by Bin'!M120</f>
        <v>#N/A</v>
      </c>
      <c r="V120" s="25" t="e">
        <f>J120*'2. Salmon Passage by Bin'!N120</f>
        <v>#N/A</v>
      </c>
      <c r="W120" s="25" t="e">
        <f>I120*'2. Salmon Passage by Bin'!O120</f>
        <v>#N/A</v>
      </c>
      <c r="X120" s="22" t="e">
        <f>E120*'2. Salmon Passage by Bin'!E120</f>
        <v>#N/A</v>
      </c>
      <c r="Y120" s="41">
        <f t="shared" si="1"/>
        <v>0</v>
      </c>
      <c r="Z120" s="42" t="e">
        <f>Y120/'[1]Passage Estimates'!$D120</f>
        <v>#N/A</v>
      </c>
      <c r="AA120" s="43" t="e">
        <f>IFERROR(SUMIF(L120:R120, "&lt;&gt;#N/A")/SUMIF('2. Salmon Passage by Bin'!E120:J120, "&lt;&gt;#N/A"), NA())</f>
        <v>#N/A</v>
      </c>
      <c r="AB120" s="42" t="e">
        <f>IFERROR(IF(ISNA(S120), NA(), S120/'2. Salmon Passage by Bin'!K120), NA())</f>
        <v>#N/A</v>
      </c>
      <c r="AC120" s="44" t="e">
        <f>IFERROR(SUMIF(T120:W120, "&lt;&gt;#N/A")/SUMIF('2. Salmon Passage by Bin'!L120:N120, "&lt;&gt;#N/A"), NA())</f>
        <v>#N/A</v>
      </c>
    </row>
    <row r="121" spans="1:29" x14ac:dyDescent="0.3">
      <c r="A121" s="5">
        <f>'1. Mixture Model Inputs'!A121</f>
        <v>45223</v>
      </c>
      <c r="B121" s="13" t="str">
        <f>IF(ISBLANK('[1]Passage Estimates'!$C121),"",IF('[1]Passage Estimates'!$C121="Imputation",'[1]Passage Estimates'!$B121,'[1]Passage Estimates'!$C121))</f>
        <v/>
      </c>
      <c r="C121" s="17" t="e">
        <f>IFERROR('1. Mixture Model Inputs'!J121/'1. Mixture Model Inputs'!Z121,NA())</f>
        <v>#N/A</v>
      </c>
      <c r="D121" s="17" t="e">
        <f>IFERROR('1. Mixture Model Inputs'!K121/'1. Mixture Model Inputs'!AA121,NA())</f>
        <v>#N/A</v>
      </c>
      <c r="E121" s="17" t="e">
        <f>IFERROR('1. Mixture Model Inputs'!L121/'1. Mixture Model Inputs'!AB121,NA())</f>
        <v>#N/A</v>
      </c>
      <c r="F121" s="17" t="e">
        <f>IFERROR('1. Mixture Model Inputs'!M121/'1. Mixture Model Inputs'!AC121,NA())</f>
        <v>#N/A</v>
      </c>
      <c r="G121" s="17" t="e">
        <f>IFERROR('1. Mixture Model Inputs'!N121/'1. Mixture Model Inputs'!AD121,NA())</f>
        <v>#N/A</v>
      </c>
      <c r="H121" s="24">
        <f>WhonSpComp!AV136</f>
        <v>0</v>
      </c>
      <c r="I121" s="17" t="e">
        <f>IFERROR('1. Mixture Model Inputs'!O121/'1. Mixture Model Inputs'!AE121, NA())</f>
        <v>#N/A</v>
      </c>
      <c r="J121" s="17" t="e">
        <f>IFERROR('1. Mixture Model Inputs'!P121/'1. Mixture Model Inputs'!AF121, NA())</f>
        <v>#N/A</v>
      </c>
      <c r="K121" s="17" t="e">
        <f>IFERROR('1. Mixture Model Inputs'!Q121/'1. Mixture Model Inputs'!AG121, NA())</f>
        <v>#N/A</v>
      </c>
      <c r="L121" s="22" t="e">
        <f>C121*'2. Salmon Passage by Bin'!C121</f>
        <v>#N/A</v>
      </c>
      <c r="M121" s="22" t="e">
        <f>D121*'2. Salmon Passage by Bin'!D121</f>
        <v>#N/A</v>
      </c>
      <c r="N121" s="22" t="e">
        <f>F121*'2. Salmon Passage by Bin'!F121</f>
        <v>#N/A</v>
      </c>
      <c r="O121" s="22" t="e">
        <f>G121*'2. Salmon Passage by Bin'!G121</f>
        <v>#N/A</v>
      </c>
      <c r="P121" s="22" t="e">
        <f>$G121*'2. Salmon Passage by Bin'!H121</f>
        <v>#N/A</v>
      </c>
      <c r="Q121" s="22" t="e">
        <f>$G121*'2. Salmon Passage by Bin'!I121</f>
        <v>#N/A</v>
      </c>
      <c r="R121" s="22" t="e">
        <f>$G121*'2. Salmon Passage by Bin'!J121</f>
        <v>#N/A</v>
      </c>
      <c r="S121" s="25" t="e">
        <f>'2. Salmon Passage by Bin'!K121*H121</f>
        <v>#N/A</v>
      </c>
      <c r="T121" s="25" t="e">
        <f>K121*'2. Salmon Passage by Bin'!L121</f>
        <v>#N/A</v>
      </c>
      <c r="U121" s="25" t="e">
        <f>K121*'2. Salmon Passage by Bin'!M121</f>
        <v>#N/A</v>
      </c>
      <c r="V121" s="25" t="e">
        <f>J121*'2. Salmon Passage by Bin'!N121</f>
        <v>#N/A</v>
      </c>
      <c r="W121" s="25" t="e">
        <f>I121*'2. Salmon Passage by Bin'!O121</f>
        <v>#N/A</v>
      </c>
      <c r="X121" s="22" t="e">
        <f>E121*'2. Salmon Passage by Bin'!E121</f>
        <v>#N/A</v>
      </c>
      <c r="Y121" s="41">
        <f t="shared" si="1"/>
        <v>0</v>
      </c>
      <c r="Z121" s="42" t="e">
        <f>Y121/'[1]Passage Estimates'!$D121</f>
        <v>#N/A</v>
      </c>
      <c r="AA121" s="43" t="e">
        <f>IFERROR(SUMIF(L121:R121, "&lt;&gt;#N/A")/SUMIF('2. Salmon Passage by Bin'!E121:J121, "&lt;&gt;#N/A"), NA())</f>
        <v>#N/A</v>
      </c>
      <c r="AB121" s="42" t="e">
        <f>IFERROR(IF(ISNA(S121), NA(), S121/'2. Salmon Passage by Bin'!K121), NA())</f>
        <v>#N/A</v>
      </c>
      <c r="AC121" s="44" t="e">
        <f>IFERROR(SUMIF(T121:W121, "&lt;&gt;#N/A")/SUMIF('2. Salmon Passage by Bin'!L121:N121, "&lt;&gt;#N/A"), NA())</f>
        <v>#N/A</v>
      </c>
    </row>
    <row r="122" spans="1:29" x14ac:dyDescent="0.3">
      <c r="A122" s="5">
        <f>'1. Mixture Model Inputs'!A122</f>
        <v>45224</v>
      </c>
      <c r="B122" s="13" t="str">
        <f>IF(ISBLANK('[1]Passage Estimates'!$C122),"",IF('[1]Passage Estimates'!$C122="Imputation",'[1]Passage Estimates'!$B122,'[1]Passage Estimates'!$C122))</f>
        <v/>
      </c>
      <c r="C122" s="17" t="e">
        <f>IFERROR('1. Mixture Model Inputs'!J122/'1. Mixture Model Inputs'!Z122,NA())</f>
        <v>#N/A</v>
      </c>
      <c r="D122" s="17" t="e">
        <f>IFERROR('1. Mixture Model Inputs'!K122/'1. Mixture Model Inputs'!AA122,NA())</f>
        <v>#N/A</v>
      </c>
      <c r="E122" s="17" t="e">
        <f>IFERROR('1. Mixture Model Inputs'!L122/'1. Mixture Model Inputs'!AB122,NA())</f>
        <v>#N/A</v>
      </c>
      <c r="F122" s="17" t="e">
        <f>IFERROR('1. Mixture Model Inputs'!M122/'1. Mixture Model Inputs'!AC122,NA())</f>
        <v>#N/A</v>
      </c>
      <c r="G122" s="17" t="e">
        <f>IFERROR('1. Mixture Model Inputs'!N122/'1. Mixture Model Inputs'!AD122,NA())</f>
        <v>#N/A</v>
      </c>
      <c r="H122" s="24">
        <f>WhonSpComp!AV137</f>
        <v>0</v>
      </c>
      <c r="I122" s="17" t="e">
        <f>IFERROR('1. Mixture Model Inputs'!O122/'1. Mixture Model Inputs'!AE122, NA())</f>
        <v>#N/A</v>
      </c>
      <c r="J122" s="17" t="e">
        <f>IFERROR('1. Mixture Model Inputs'!P122/'1. Mixture Model Inputs'!AF122, NA())</f>
        <v>#N/A</v>
      </c>
      <c r="K122" s="17" t="e">
        <f>IFERROR('1. Mixture Model Inputs'!Q122/'1. Mixture Model Inputs'!AG122, NA())</f>
        <v>#N/A</v>
      </c>
      <c r="L122" s="22" t="e">
        <f>C122*'2. Salmon Passage by Bin'!C122</f>
        <v>#N/A</v>
      </c>
      <c r="M122" s="22" t="e">
        <f>D122*'2. Salmon Passage by Bin'!D122</f>
        <v>#N/A</v>
      </c>
      <c r="N122" s="22" t="e">
        <f>F122*'2. Salmon Passage by Bin'!F122</f>
        <v>#N/A</v>
      </c>
      <c r="O122" s="22" t="e">
        <f>G122*'2. Salmon Passage by Bin'!G122</f>
        <v>#N/A</v>
      </c>
      <c r="P122" s="22" t="e">
        <f>$G122*'2. Salmon Passage by Bin'!H122</f>
        <v>#N/A</v>
      </c>
      <c r="Q122" s="22" t="e">
        <f>$G122*'2. Salmon Passage by Bin'!I122</f>
        <v>#N/A</v>
      </c>
      <c r="R122" s="22" t="e">
        <f>$G122*'2. Salmon Passage by Bin'!J122</f>
        <v>#N/A</v>
      </c>
      <c r="S122" s="25" t="e">
        <f>'2. Salmon Passage by Bin'!K122*H122</f>
        <v>#N/A</v>
      </c>
      <c r="T122" s="25" t="e">
        <f>K122*'2. Salmon Passage by Bin'!L122</f>
        <v>#N/A</v>
      </c>
      <c r="U122" s="25" t="e">
        <f>K122*'2. Salmon Passage by Bin'!M122</f>
        <v>#N/A</v>
      </c>
      <c r="V122" s="25" t="e">
        <f>J122*'2. Salmon Passage by Bin'!N122</f>
        <v>#N/A</v>
      </c>
      <c r="W122" s="25" t="e">
        <f>I122*'2. Salmon Passage by Bin'!O122</f>
        <v>#N/A</v>
      </c>
      <c r="X122" s="22" t="e">
        <f>E122*'2. Salmon Passage by Bin'!E122</f>
        <v>#N/A</v>
      </c>
      <c r="Y122" s="41">
        <f t="shared" si="1"/>
        <v>0</v>
      </c>
      <c r="Z122" s="42" t="e">
        <f>Y122/'[1]Passage Estimates'!$D122</f>
        <v>#N/A</v>
      </c>
      <c r="AA122" s="43" t="e">
        <f>IFERROR(SUMIF(L122:R122, "&lt;&gt;#N/A")/SUMIF('2. Salmon Passage by Bin'!E122:J122, "&lt;&gt;#N/A"), NA())</f>
        <v>#N/A</v>
      </c>
      <c r="AB122" s="42" t="e">
        <f>IFERROR(IF(ISNA(S122), NA(), S122/'2. Salmon Passage by Bin'!K122), NA())</f>
        <v>#N/A</v>
      </c>
      <c r="AC122" s="44" t="e">
        <f>IFERROR(SUMIF(T122:W122, "&lt;&gt;#N/A")/SUMIF('2. Salmon Passage by Bin'!L122:N122, "&lt;&gt;#N/A"), NA())</f>
        <v>#N/A</v>
      </c>
    </row>
    <row r="123" spans="1:29" x14ac:dyDescent="0.3">
      <c r="A123" s="5">
        <f>'1. Mixture Model Inputs'!A123</f>
        <v>45225</v>
      </c>
      <c r="B123" s="13" t="str">
        <f>IF(ISBLANK('[1]Passage Estimates'!$C123),"",IF('[1]Passage Estimates'!$C123="Imputation",'[1]Passage Estimates'!$B123,'[1]Passage Estimates'!$C123))</f>
        <v/>
      </c>
      <c r="C123" s="17" t="e">
        <f>IFERROR('1. Mixture Model Inputs'!J123/'1. Mixture Model Inputs'!Z123,NA())</f>
        <v>#N/A</v>
      </c>
      <c r="D123" s="17" t="e">
        <f>IFERROR('1. Mixture Model Inputs'!K123/'1. Mixture Model Inputs'!AA123,NA())</f>
        <v>#N/A</v>
      </c>
      <c r="E123" s="17" t="e">
        <f>IFERROR('1. Mixture Model Inputs'!L123/'1. Mixture Model Inputs'!AB123,NA())</f>
        <v>#N/A</v>
      </c>
      <c r="F123" s="17" t="e">
        <f>IFERROR('1. Mixture Model Inputs'!M123/'1. Mixture Model Inputs'!AC123,NA())</f>
        <v>#N/A</v>
      </c>
      <c r="G123" s="17" t="e">
        <f>IFERROR('1. Mixture Model Inputs'!N123/'1. Mixture Model Inputs'!AD123,NA())</f>
        <v>#N/A</v>
      </c>
      <c r="H123" s="24">
        <f>WhonSpComp!AV138</f>
        <v>0</v>
      </c>
      <c r="I123" s="17" t="e">
        <f>IFERROR('1. Mixture Model Inputs'!O123/'1. Mixture Model Inputs'!AE123, NA())</f>
        <v>#N/A</v>
      </c>
      <c r="J123" s="17" t="e">
        <f>IFERROR('1. Mixture Model Inputs'!P123/'1. Mixture Model Inputs'!AF123, NA())</f>
        <v>#N/A</v>
      </c>
      <c r="K123" s="17" t="e">
        <f>IFERROR('1. Mixture Model Inputs'!Q123/'1. Mixture Model Inputs'!AG123, NA())</f>
        <v>#N/A</v>
      </c>
      <c r="L123" s="22" t="e">
        <f>C123*'2. Salmon Passage by Bin'!C123</f>
        <v>#N/A</v>
      </c>
      <c r="M123" s="22" t="e">
        <f>D123*'2. Salmon Passage by Bin'!D123</f>
        <v>#N/A</v>
      </c>
      <c r="N123" s="22" t="e">
        <f>F123*'2. Salmon Passage by Bin'!F123</f>
        <v>#N/A</v>
      </c>
      <c r="O123" s="22" t="e">
        <f>G123*'2. Salmon Passage by Bin'!G123</f>
        <v>#N/A</v>
      </c>
      <c r="P123" s="22" t="e">
        <f>$G123*'2. Salmon Passage by Bin'!H123</f>
        <v>#N/A</v>
      </c>
      <c r="Q123" s="22" t="e">
        <f>$G123*'2. Salmon Passage by Bin'!I123</f>
        <v>#N/A</v>
      </c>
      <c r="R123" s="22" t="e">
        <f>$G123*'2. Salmon Passage by Bin'!J123</f>
        <v>#N/A</v>
      </c>
      <c r="S123" s="25" t="e">
        <f>'2. Salmon Passage by Bin'!K123*H123</f>
        <v>#N/A</v>
      </c>
      <c r="T123" s="25" t="e">
        <f>K123*'2. Salmon Passage by Bin'!L123</f>
        <v>#N/A</v>
      </c>
      <c r="U123" s="25" t="e">
        <f>K123*'2. Salmon Passage by Bin'!M123</f>
        <v>#N/A</v>
      </c>
      <c r="V123" s="25" t="e">
        <f>J123*'2. Salmon Passage by Bin'!N123</f>
        <v>#N/A</v>
      </c>
      <c r="W123" s="25" t="e">
        <f>I123*'2. Salmon Passage by Bin'!O123</f>
        <v>#N/A</v>
      </c>
      <c r="X123" s="22" t="e">
        <f>E123*'2. Salmon Passage by Bin'!E123</f>
        <v>#N/A</v>
      </c>
      <c r="Y123" s="41">
        <f t="shared" si="1"/>
        <v>0</v>
      </c>
      <c r="Z123" s="42" t="e">
        <f>Y123/'[1]Passage Estimates'!$D123</f>
        <v>#N/A</v>
      </c>
      <c r="AA123" s="43" t="e">
        <f>IFERROR(SUMIF(L123:R123, "&lt;&gt;#N/A")/SUMIF('2. Salmon Passage by Bin'!E123:J123, "&lt;&gt;#N/A"), NA())</f>
        <v>#N/A</v>
      </c>
      <c r="AB123" s="42" t="e">
        <f>IFERROR(IF(ISNA(S123), NA(), S123/'2. Salmon Passage by Bin'!K123), NA())</f>
        <v>#N/A</v>
      </c>
      <c r="AC123" s="44" t="e">
        <f>IFERROR(SUMIF(T123:W123, "&lt;&gt;#N/A")/SUMIF('2. Salmon Passage by Bin'!L123:N123, "&lt;&gt;#N/A"), NA())</f>
        <v>#N/A</v>
      </c>
    </row>
    <row r="124" spans="1:29" x14ac:dyDescent="0.3">
      <c r="A124" s="5">
        <f>'1. Mixture Model Inputs'!A124</f>
        <v>45226</v>
      </c>
      <c r="B124" s="13" t="str">
        <f>IF(ISBLANK('[1]Passage Estimates'!$C124),"",IF('[1]Passage Estimates'!$C124="Imputation",'[1]Passage Estimates'!$B124,'[1]Passage Estimates'!$C124))</f>
        <v/>
      </c>
      <c r="C124" s="17" t="e">
        <f>IFERROR('1. Mixture Model Inputs'!J124/'1. Mixture Model Inputs'!Z124,NA())</f>
        <v>#N/A</v>
      </c>
      <c r="D124" s="17" t="e">
        <f>IFERROR('1. Mixture Model Inputs'!K124/'1. Mixture Model Inputs'!AA124,NA())</f>
        <v>#N/A</v>
      </c>
      <c r="E124" s="17" t="e">
        <f>IFERROR('1. Mixture Model Inputs'!L124/'1. Mixture Model Inputs'!AB124,NA())</f>
        <v>#N/A</v>
      </c>
      <c r="F124" s="17" t="e">
        <f>IFERROR('1. Mixture Model Inputs'!M124/'1. Mixture Model Inputs'!AC124,NA())</f>
        <v>#N/A</v>
      </c>
      <c r="G124" s="17" t="e">
        <f>IFERROR('1. Mixture Model Inputs'!N124/'1. Mixture Model Inputs'!AD124,NA())</f>
        <v>#N/A</v>
      </c>
      <c r="H124" s="24">
        <f>WhonSpComp!AV139</f>
        <v>0</v>
      </c>
      <c r="I124" s="17" t="e">
        <f>IFERROR('1. Mixture Model Inputs'!O124/'1. Mixture Model Inputs'!AE124, NA())</f>
        <v>#N/A</v>
      </c>
      <c r="J124" s="17" t="e">
        <f>IFERROR('1. Mixture Model Inputs'!P124/'1. Mixture Model Inputs'!AF124, NA())</f>
        <v>#N/A</v>
      </c>
      <c r="K124" s="17" t="e">
        <f>IFERROR('1. Mixture Model Inputs'!Q124/'1. Mixture Model Inputs'!AG124, NA())</f>
        <v>#N/A</v>
      </c>
      <c r="L124" s="22" t="e">
        <f>C124*'2. Salmon Passage by Bin'!C124</f>
        <v>#N/A</v>
      </c>
      <c r="M124" s="22" t="e">
        <f>D124*'2. Salmon Passage by Bin'!D124</f>
        <v>#N/A</v>
      </c>
      <c r="N124" s="22" t="e">
        <f>F124*'2. Salmon Passage by Bin'!F124</f>
        <v>#N/A</v>
      </c>
      <c r="O124" s="22" t="e">
        <f>G124*'2. Salmon Passage by Bin'!G124</f>
        <v>#N/A</v>
      </c>
      <c r="P124" s="22" t="e">
        <f>$G124*'2. Salmon Passage by Bin'!H124</f>
        <v>#N/A</v>
      </c>
      <c r="Q124" s="22" t="e">
        <f>$G124*'2. Salmon Passage by Bin'!I124</f>
        <v>#N/A</v>
      </c>
      <c r="R124" s="22" t="e">
        <f>$G124*'2. Salmon Passage by Bin'!J124</f>
        <v>#N/A</v>
      </c>
      <c r="S124" s="25" t="e">
        <f>'2. Salmon Passage by Bin'!K124*H124</f>
        <v>#N/A</v>
      </c>
      <c r="T124" s="25" t="e">
        <f>K124*'2. Salmon Passage by Bin'!L124</f>
        <v>#N/A</v>
      </c>
      <c r="U124" s="25" t="e">
        <f>K124*'2. Salmon Passage by Bin'!M124</f>
        <v>#N/A</v>
      </c>
      <c r="V124" s="25" t="e">
        <f>J124*'2. Salmon Passage by Bin'!N124</f>
        <v>#N/A</v>
      </c>
      <c r="W124" s="25" t="e">
        <f>I124*'2. Salmon Passage by Bin'!O124</f>
        <v>#N/A</v>
      </c>
      <c r="X124" s="22" t="e">
        <f>E124*'2. Salmon Passage by Bin'!E124</f>
        <v>#N/A</v>
      </c>
      <c r="Y124" s="41">
        <f t="shared" si="1"/>
        <v>0</v>
      </c>
      <c r="Z124" s="42" t="e">
        <f>Y124/'[1]Passage Estimates'!$D124</f>
        <v>#N/A</v>
      </c>
      <c r="AA124" s="43" t="e">
        <f>IFERROR(SUMIF(L124:R124, "&lt;&gt;#N/A")/SUMIF('2. Salmon Passage by Bin'!E124:J124, "&lt;&gt;#N/A"), NA())</f>
        <v>#N/A</v>
      </c>
      <c r="AB124" s="42" t="e">
        <f>IFERROR(IF(ISNA(S124), NA(), S124/'2. Salmon Passage by Bin'!K124), NA())</f>
        <v>#N/A</v>
      </c>
      <c r="AC124" s="44" t="e">
        <f>IFERROR(SUMIF(T124:W124, "&lt;&gt;#N/A")/SUMIF('2. Salmon Passage by Bin'!L124:N124, "&lt;&gt;#N/A"), NA())</f>
        <v>#N/A</v>
      </c>
    </row>
    <row r="125" spans="1:29" x14ac:dyDescent="0.3">
      <c r="A125" s="5">
        <f>'1. Mixture Model Inputs'!A125</f>
        <v>45227</v>
      </c>
      <c r="B125" s="13" t="str">
        <f>IF(ISBLANK('[1]Passage Estimates'!$C125),"",IF('[1]Passage Estimates'!$C125="Imputation",'[1]Passage Estimates'!$B125,'[1]Passage Estimates'!$C125))</f>
        <v/>
      </c>
      <c r="C125" s="17" t="e">
        <f>IFERROR('1. Mixture Model Inputs'!J125/'1. Mixture Model Inputs'!Z125,NA())</f>
        <v>#N/A</v>
      </c>
      <c r="D125" s="17" t="e">
        <f>IFERROR('1. Mixture Model Inputs'!K125/'1. Mixture Model Inputs'!AA125,NA())</f>
        <v>#N/A</v>
      </c>
      <c r="E125" s="17" t="e">
        <f>IFERROR('1. Mixture Model Inputs'!L125/'1. Mixture Model Inputs'!AB125,NA())</f>
        <v>#N/A</v>
      </c>
      <c r="F125" s="17" t="e">
        <f>IFERROR('1. Mixture Model Inputs'!M125/'1. Mixture Model Inputs'!AC125,NA())</f>
        <v>#N/A</v>
      </c>
      <c r="G125" s="17" t="e">
        <f>IFERROR('1. Mixture Model Inputs'!N125/'1. Mixture Model Inputs'!AD125,NA())</f>
        <v>#N/A</v>
      </c>
      <c r="H125" s="24">
        <f>WhonSpComp!AV140</f>
        <v>0</v>
      </c>
      <c r="I125" s="17" t="e">
        <f>IFERROR('1. Mixture Model Inputs'!O125/'1. Mixture Model Inputs'!AE125, NA())</f>
        <v>#N/A</v>
      </c>
      <c r="J125" s="17" t="e">
        <f>IFERROR('1. Mixture Model Inputs'!P125/'1. Mixture Model Inputs'!AF125, NA())</f>
        <v>#N/A</v>
      </c>
      <c r="K125" s="17" t="e">
        <f>IFERROR('1. Mixture Model Inputs'!Q125/'1. Mixture Model Inputs'!AG125, NA())</f>
        <v>#N/A</v>
      </c>
      <c r="L125" s="22" t="e">
        <f>C125*'2. Salmon Passage by Bin'!C125</f>
        <v>#N/A</v>
      </c>
      <c r="M125" s="22" t="e">
        <f>D125*'2. Salmon Passage by Bin'!D125</f>
        <v>#N/A</v>
      </c>
      <c r="N125" s="22" t="e">
        <f>F125*'2. Salmon Passage by Bin'!F125</f>
        <v>#N/A</v>
      </c>
      <c r="O125" s="22" t="e">
        <f>G125*'2. Salmon Passage by Bin'!G125</f>
        <v>#N/A</v>
      </c>
      <c r="P125" s="22" t="e">
        <f>$G125*'2. Salmon Passage by Bin'!H125</f>
        <v>#N/A</v>
      </c>
      <c r="Q125" s="22" t="e">
        <f>$G125*'2. Salmon Passage by Bin'!I125</f>
        <v>#N/A</v>
      </c>
      <c r="R125" s="22" t="e">
        <f>$G125*'2. Salmon Passage by Bin'!J125</f>
        <v>#N/A</v>
      </c>
      <c r="S125" s="25" t="e">
        <f>'2. Salmon Passage by Bin'!K125*H125</f>
        <v>#N/A</v>
      </c>
      <c r="T125" s="25" t="e">
        <f>K125*'2. Salmon Passage by Bin'!L125</f>
        <v>#N/A</v>
      </c>
      <c r="U125" s="25" t="e">
        <f>K125*'2. Salmon Passage by Bin'!M125</f>
        <v>#N/A</v>
      </c>
      <c r="V125" s="25" t="e">
        <f>J125*'2. Salmon Passage by Bin'!N125</f>
        <v>#N/A</v>
      </c>
      <c r="W125" s="25" t="e">
        <f>I125*'2. Salmon Passage by Bin'!O125</f>
        <v>#N/A</v>
      </c>
      <c r="X125" s="22" t="e">
        <f>E125*'2. Salmon Passage by Bin'!E125</f>
        <v>#N/A</v>
      </c>
      <c r="Y125" s="41">
        <f t="shared" si="1"/>
        <v>0</v>
      </c>
      <c r="Z125" s="42" t="e">
        <f>Y125/'[1]Passage Estimates'!$D125</f>
        <v>#N/A</v>
      </c>
      <c r="AA125" s="43" t="e">
        <f>IFERROR(SUMIF(L125:R125, "&lt;&gt;#N/A")/SUMIF('2. Salmon Passage by Bin'!E125:J125, "&lt;&gt;#N/A"), NA())</f>
        <v>#N/A</v>
      </c>
      <c r="AB125" s="42" t="e">
        <f>IFERROR(IF(ISNA(S125), NA(), S125/'2. Salmon Passage by Bin'!K125), NA())</f>
        <v>#N/A</v>
      </c>
      <c r="AC125" s="44" t="e">
        <f>IFERROR(SUMIF(T125:W125, "&lt;&gt;#N/A")/SUMIF('2. Salmon Passage by Bin'!L125:N125, "&lt;&gt;#N/A"), NA())</f>
        <v>#N/A</v>
      </c>
    </row>
    <row r="126" spans="1:29" x14ac:dyDescent="0.3">
      <c r="A126" s="5">
        <f>'1. Mixture Model Inputs'!A126</f>
        <v>45228</v>
      </c>
      <c r="B126" s="13" t="str">
        <f>IF(ISBLANK('[1]Passage Estimates'!$C126),"",IF('[1]Passage Estimates'!$C126="Imputation",'[1]Passage Estimates'!$B126,'[1]Passage Estimates'!$C126))</f>
        <v/>
      </c>
      <c r="C126" s="17" t="e">
        <f>IFERROR('1. Mixture Model Inputs'!J126/'1. Mixture Model Inputs'!Z126,NA())</f>
        <v>#N/A</v>
      </c>
      <c r="D126" s="17" t="e">
        <f>IFERROR('1. Mixture Model Inputs'!K126/'1. Mixture Model Inputs'!AA126,NA())</f>
        <v>#N/A</v>
      </c>
      <c r="E126" s="17" t="e">
        <f>IFERROR('1. Mixture Model Inputs'!L126/'1. Mixture Model Inputs'!AB126,NA())</f>
        <v>#N/A</v>
      </c>
      <c r="F126" s="17" t="e">
        <f>IFERROR('1. Mixture Model Inputs'!M126/'1. Mixture Model Inputs'!AC126,NA())</f>
        <v>#N/A</v>
      </c>
      <c r="G126" s="17" t="e">
        <f>IFERROR('1. Mixture Model Inputs'!N126/'1. Mixture Model Inputs'!AD126,NA())</f>
        <v>#N/A</v>
      </c>
      <c r="H126" s="24">
        <f>WhonSpComp!AV141</f>
        <v>0</v>
      </c>
      <c r="I126" s="17" t="e">
        <f>IFERROR('1. Mixture Model Inputs'!O126/'1. Mixture Model Inputs'!AE126, NA())</f>
        <v>#N/A</v>
      </c>
      <c r="J126" s="17" t="e">
        <f>IFERROR('1. Mixture Model Inputs'!P126/'1. Mixture Model Inputs'!AF126, NA())</f>
        <v>#N/A</v>
      </c>
      <c r="K126" s="17" t="e">
        <f>IFERROR('1. Mixture Model Inputs'!Q126/'1. Mixture Model Inputs'!AG126, NA())</f>
        <v>#N/A</v>
      </c>
      <c r="L126" s="22" t="e">
        <f>C126*'2. Salmon Passage by Bin'!C126</f>
        <v>#N/A</v>
      </c>
      <c r="M126" s="22" t="e">
        <f>D126*'2. Salmon Passage by Bin'!D126</f>
        <v>#N/A</v>
      </c>
      <c r="N126" s="22" t="e">
        <f>F126*'2. Salmon Passage by Bin'!F126</f>
        <v>#N/A</v>
      </c>
      <c r="O126" s="22" t="e">
        <f>G126*'2. Salmon Passage by Bin'!G126</f>
        <v>#N/A</v>
      </c>
      <c r="P126" s="22" t="e">
        <f>$G126*'2. Salmon Passage by Bin'!H126</f>
        <v>#N/A</v>
      </c>
      <c r="Q126" s="22" t="e">
        <f>$G126*'2. Salmon Passage by Bin'!I126</f>
        <v>#N/A</v>
      </c>
      <c r="R126" s="22" t="e">
        <f>$G126*'2. Salmon Passage by Bin'!J126</f>
        <v>#N/A</v>
      </c>
      <c r="S126" s="25" t="e">
        <f>'2. Salmon Passage by Bin'!K126*H126</f>
        <v>#N/A</v>
      </c>
      <c r="T126" s="25" t="e">
        <f>K126*'2. Salmon Passage by Bin'!L126</f>
        <v>#N/A</v>
      </c>
      <c r="U126" s="25" t="e">
        <f>K126*'2. Salmon Passage by Bin'!M126</f>
        <v>#N/A</v>
      </c>
      <c r="V126" s="25" t="e">
        <f>J126*'2. Salmon Passage by Bin'!N126</f>
        <v>#N/A</v>
      </c>
      <c r="W126" s="25" t="e">
        <f>I126*'2. Salmon Passage by Bin'!O126</f>
        <v>#N/A</v>
      </c>
      <c r="X126" s="22" t="e">
        <f>E126*'2. Salmon Passage by Bin'!E126</f>
        <v>#N/A</v>
      </c>
      <c r="Y126" s="41">
        <f t="shared" si="1"/>
        <v>0</v>
      </c>
      <c r="Z126" s="42" t="e">
        <f>Y126/'[1]Passage Estimates'!$D126</f>
        <v>#N/A</v>
      </c>
      <c r="AA126" s="43" t="e">
        <f>IFERROR(SUMIF(L126:R126, "&lt;&gt;#N/A")/SUMIF('2. Salmon Passage by Bin'!E126:J126, "&lt;&gt;#N/A"), NA())</f>
        <v>#N/A</v>
      </c>
      <c r="AB126" s="42" t="e">
        <f>IFERROR(IF(ISNA(S126), NA(), S126/'2. Salmon Passage by Bin'!K126), NA())</f>
        <v>#N/A</v>
      </c>
      <c r="AC126" s="44" t="e">
        <f>IFERROR(SUMIF(T126:W126, "&lt;&gt;#N/A")/SUMIF('2. Salmon Passage by Bin'!L126:N126, "&lt;&gt;#N/A"), NA())</f>
        <v>#N/A</v>
      </c>
    </row>
    <row r="127" spans="1:29" x14ac:dyDescent="0.3">
      <c r="A127" s="5">
        <f>'1. Mixture Model Inputs'!A127</f>
        <v>45229</v>
      </c>
      <c r="B127" s="13" t="str">
        <f>IF(ISBLANK('[1]Passage Estimates'!$C127),"",IF('[1]Passage Estimates'!$C127="Imputation",'[1]Passage Estimates'!$B127,'[1]Passage Estimates'!$C127))</f>
        <v/>
      </c>
      <c r="C127" s="17" t="e">
        <f>IFERROR('1. Mixture Model Inputs'!J127/'1. Mixture Model Inputs'!Z127,NA())</f>
        <v>#N/A</v>
      </c>
      <c r="D127" s="17" t="e">
        <f>IFERROR('1. Mixture Model Inputs'!K127/'1. Mixture Model Inputs'!AA127,NA())</f>
        <v>#N/A</v>
      </c>
      <c r="E127" s="17" t="e">
        <f>IFERROR('1. Mixture Model Inputs'!L127/'1. Mixture Model Inputs'!AB127,NA())</f>
        <v>#N/A</v>
      </c>
      <c r="F127" s="17" t="e">
        <f>IFERROR('1. Mixture Model Inputs'!M127/'1. Mixture Model Inputs'!AC127,NA())</f>
        <v>#N/A</v>
      </c>
      <c r="G127" s="17" t="e">
        <f>IFERROR('1. Mixture Model Inputs'!N127/'1. Mixture Model Inputs'!AD127,NA())</f>
        <v>#N/A</v>
      </c>
      <c r="H127" s="24">
        <f>WhonSpComp!AV142</f>
        <v>0</v>
      </c>
      <c r="I127" s="17" t="e">
        <f>IFERROR('1. Mixture Model Inputs'!O127/'1. Mixture Model Inputs'!AE127, NA())</f>
        <v>#N/A</v>
      </c>
      <c r="J127" s="17" t="e">
        <f>IFERROR('1. Mixture Model Inputs'!P127/'1. Mixture Model Inputs'!AF127, NA())</f>
        <v>#N/A</v>
      </c>
      <c r="K127" s="17" t="e">
        <f>IFERROR('1. Mixture Model Inputs'!Q127/'1. Mixture Model Inputs'!AG127, NA())</f>
        <v>#N/A</v>
      </c>
      <c r="L127" s="22" t="e">
        <f>C127*'2. Salmon Passage by Bin'!C127</f>
        <v>#N/A</v>
      </c>
      <c r="M127" s="22" t="e">
        <f>D127*'2. Salmon Passage by Bin'!D127</f>
        <v>#N/A</v>
      </c>
      <c r="N127" s="22" t="e">
        <f>F127*'2. Salmon Passage by Bin'!F127</f>
        <v>#N/A</v>
      </c>
      <c r="O127" s="22" t="e">
        <f>G127*'2. Salmon Passage by Bin'!G127</f>
        <v>#N/A</v>
      </c>
      <c r="P127" s="22" t="e">
        <f>$G127*'2. Salmon Passage by Bin'!H127</f>
        <v>#N/A</v>
      </c>
      <c r="Q127" s="22" t="e">
        <f>$G127*'2. Salmon Passage by Bin'!I127</f>
        <v>#N/A</v>
      </c>
      <c r="R127" s="22" t="e">
        <f>$G127*'2. Salmon Passage by Bin'!J127</f>
        <v>#N/A</v>
      </c>
      <c r="S127" s="25" t="e">
        <f>'2. Salmon Passage by Bin'!K127*H127</f>
        <v>#N/A</v>
      </c>
      <c r="T127" s="25" t="e">
        <f>K127*'2. Salmon Passage by Bin'!L127</f>
        <v>#N/A</v>
      </c>
      <c r="U127" s="25" t="e">
        <f>K127*'2. Salmon Passage by Bin'!M127</f>
        <v>#N/A</v>
      </c>
      <c r="V127" s="25" t="e">
        <f>J127*'2. Salmon Passage by Bin'!N127</f>
        <v>#N/A</v>
      </c>
      <c r="W127" s="25" t="e">
        <f>I127*'2. Salmon Passage by Bin'!O127</f>
        <v>#N/A</v>
      </c>
      <c r="X127" s="22" t="e">
        <f>E127*'2. Salmon Passage by Bin'!E127</f>
        <v>#N/A</v>
      </c>
      <c r="Y127" s="41">
        <f t="shared" si="1"/>
        <v>0</v>
      </c>
      <c r="Z127" s="42" t="e">
        <f>Y127/'[1]Passage Estimates'!$D127</f>
        <v>#N/A</v>
      </c>
      <c r="AA127" s="43" t="e">
        <f>IFERROR(SUMIF(L127:R127, "&lt;&gt;#N/A")/SUMIF('2. Salmon Passage by Bin'!E127:J127, "&lt;&gt;#N/A"), NA())</f>
        <v>#N/A</v>
      </c>
      <c r="AB127" s="42" t="e">
        <f>IFERROR(IF(ISNA(S127), NA(), S127/'2. Salmon Passage by Bin'!K127), NA())</f>
        <v>#N/A</v>
      </c>
      <c r="AC127" s="44" t="e">
        <f>IFERROR(SUMIF(T127:W127, "&lt;&gt;#N/A")/SUMIF('2. Salmon Passage by Bin'!L127:N127, "&lt;&gt;#N/A"), NA())</f>
        <v>#N/A</v>
      </c>
    </row>
    <row r="128" spans="1:29" ht="15" thickBot="1" x14ac:dyDescent="0.35">
      <c r="A128" s="6">
        <f>'1. Mixture Model Inputs'!A128</f>
        <v>45230</v>
      </c>
      <c r="B128" s="13" t="str">
        <f>IF(ISBLANK('[1]Passage Estimates'!$C128),"",IF('[1]Passage Estimates'!$C128="Imputation",'[1]Passage Estimates'!$B128,'[1]Passage Estimates'!$C128))</f>
        <v/>
      </c>
      <c r="C128" s="17" t="e">
        <f>IFERROR('1. Mixture Model Inputs'!J128/'1. Mixture Model Inputs'!Z128,NA())</f>
        <v>#N/A</v>
      </c>
      <c r="D128" s="17" t="e">
        <f>IFERROR('1. Mixture Model Inputs'!K128/'1. Mixture Model Inputs'!AA128,NA())</f>
        <v>#N/A</v>
      </c>
      <c r="E128" s="17" t="e">
        <f>IFERROR('1. Mixture Model Inputs'!L128/'1. Mixture Model Inputs'!AB128,NA())</f>
        <v>#N/A</v>
      </c>
      <c r="F128" s="17" t="e">
        <f>IFERROR('1. Mixture Model Inputs'!M128/'1. Mixture Model Inputs'!AC128,NA())</f>
        <v>#N/A</v>
      </c>
      <c r="G128" s="17" t="e">
        <f>IFERROR('1. Mixture Model Inputs'!N128/'1. Mixture Model Inputs'!AD128,NA())</f>
        <v>#N/A</v>
      </c>
      <c r="H128" s="37">
        <f>WhonSpComp!AV143</f>
        <v>0</v>
      </c>
      <c r="I128" s="17" t="e">
        <f>IFERROR('1. Mixture Model Inputs'!O128/'1. Mixture Model Inputs'!AE128, NA())</f>
        <v>#N/A</v>
      </c>
      <c r="J128" s="17" t="e">
        <f>IFERROR('1. Mixture Model Inputs'!P128/'1. Mixture Model Inputs'!AF128, NA())</f>
        <v>#N/A</v>
      </c>
      <c r="K128" s="17" t="e">
        <f>IFERROR('1. Mixture Model Inputs'!Q128/'1. Mixture Model Inputs'!AG128, NA())</f>
        <v>#N/A</v>
      </c>
      <c r="L128" s="22" t="e">
        <f>C128*'2. Salmon Passage by Bin'!C128</f>
        <v>#N/A</v>
      </c>
      <c r="M128" s="22" t="e">
        <f>D128*'2. Salmon Passage by Bin'!D128</f>
        <v>#N/A</v>
      </c>
      <c r="N128" s="39" t="e">
        <f>F128*'2. Salmon Passage by Bin'!F128</f>
        <v>#N/A</v>
      </c>
      <c r="O128" s="39" t="e">
        <f>G128*'2. Salmon Passage by Bin'!G128</f>
        <v>#N/A</v>
      </c>
      <c r="P128" s="39" t="e">
        <f>$G128*'2. Salmon Passage by Bin'!H128</f>
        <v>#N/A</v>
      </c>
      <c r="Q128" s="39" t="e">
        <f>$G128*'2. Salmon Passage by Bin'!I128</f>
        <v>#N/A</v>
      </c>
      <c r="R128" s="39" t="e">
        <f>$G128*'2. Salmon Passage by Bin'!J128</f>
        <v>#N/A</v>
      </c>
      <c r="S128" s="40" t="e">
        <f>'2. Salmon Passage by Bin'!K128*H128</f>
        <v>#N/A</v>
      </c>
      <c r="T128" s="25" t="e">
        <f>K128*'2. Salmon Passage by Bin'!L128</f>
        <v>#N/A</v>
      </c>
      <c r="U128" s="25" t="e">
        <f>K128*'2. Salmon Passage by Bin'!M128</f>
        <v>#N/A</v>
      </c>
      <c r="V128" s="25" t="e">
        <f>J128*'2. Salmon Passage by Bin'!N128</f>
        <v>#N/A</v>
      </c>
      <c r="W128" s="25" t="e">
        <f>I128*'2. Salmon Passage by Bin'!O128</f>
        <v>#N/A</v>
      </c>
      <c r="X128" s="22" t="e">
        <f>E128*'2. Salmon Passage by Bin'!E128</f>
        <v>#N/A</v>
      </c>
      <c r="Y128" s="41">
        <f t="shared" si="1"/>
        <v>0</v>
      </c>
      <c r="Z128" s="47" t="e">
        <f>Y128/'[1]Passage Estimates'!$D128</f>
        <v>#N/A</v>
      </c>
      <c r="AA128" s="48" t="e">
        <f>IFERROR(SUMIF(L128:R128, "&lt;&gt;#N/A")/SUMIF('2. Salmon Passage by Bin'!E128:J128, "&lt;&gt;#N/A"), NA())</f>
        <v>#N/A</v>
      </c>
      <c r="AB128" s="47" t="e">
        <f>IFERROR(IF(ISNA(S128), NA(), S128/'2. Salmon Passage by Bin'!K128), NA())</f>
        <v>#N/A</v>
      </c>
      <c r="AC128" s="44" t="e">
        <f>IFERROR(SUMIF(T128:W128, "&lt;&gt;#N/A")/SUMIF('2. Salmon Passage by Bin'!L128:N128, "&lt;&gt;#N/A"), NA())</f>
        <v>#N/A</v>
      </c>
    </row>
    <row r="129" spans="1:1" x14ac:dyDescent="0.3">
      <c r="A129" s="1"/>
    </row>
  </sheetData>
  <mergeCells count="8">
    <mergeCell ref="Y3:AC3"/>
    <mergeCell ref="A4:A5"/>
    <mergeCell ref="B4:B5"/>
    <mergeCell ref="C4:K4"/>
    <mergeCell ref="L4:X4"/>
    <mergeCell ref="Y4:Y5"/>
    <mergeCell ref="Z4:Z5"/>
    <mergeCell ref="AA4:AC4"/>
  </mergeCells>
  <conditionalFormatting sqref="B6:S128 X6:AC128">
    <cfRule type="expression" dxfId="20" priority="2">
      <formula>ISNA(B6)</formula>
    </cfRule>
  </conditionalFormatting>
  <conditionalFormatting sqref="T6:W128">
    <cfRule type="expression" dxfId="19" priority="1">
      <formula>ISNA(T6)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943D-42BB-4FD5-A7BD-1D8582C168D7}">
  <sheetPr codeName="Sheet7">
    <tabColor theme="4" tint="0.59999389629810485"/>
  </sheetPr>
  <dimension ref="A2:AC132"/>
  <sheetViews>
    <sheetView topLeftCell="H40" workbookViewId="0">
      <selection activeCell="T7" sqref="T7"/>
    </sheetView>
  </sheetViews>
  <sheetFormatPr defaultRowHeight="14.4" x14ac:dyDescent="0.3"/>
  <cols>
    <col min="1" max="1" width="12.44140625" bestFit="1" customWidth="1"/>
    <col min="2" max="2" width="15.6640625" customWidth="1"/>
    <col min="3" max="3" width="9.44140625" bestFit="1" customWidth="1"/>
    <col min="4" max="5" width="9.44140625" customWidth="1"/>
    <col min="6" max="6" width="9.44140625" bestFit="1" customWidth="1"/>
    <col min="7" max="7" width="9.44140625" customWidth="1"/>
    <col min="8" max="10" width="12.109375" customWidth="1"/>
    <col min="11" max="11" width="10.5546875" customWidth="1"/>
    <col min="12" max="12" width="9.44140625" bestFit="1" customWidth="1"/>
    <col min="13" max="14" width="9.44140625" customWidth="1"/>
    <col min="15" max="15" width="9.44140625" bestFit="1" customWidth="1"/>
    <col min="16" max="20" width="9.44140625" customWidth="1"/>
    <col min="21" max="21" width="8.88671875" bestFit="1" customWidth="1"/>
    <col min="22" max="23" width="8.88671875" customWidth="1"/>
    <col min="24" max="24" width="10.5546875" bestFit="1" customWidth="1"/>
    <col min="25" max="25" width="18.33203125" bestFit="1" customWidth="1"/>
    <col min="26" max="26" width="15.33203125" bestFit="1" customWidth="1"/>
    <col min="27" max="27" width="9.44140625" customWidth="1"/>
    <col min="28" max="28" width="7.33203125" bestFit="1" customWidth="1"/>
    <col min="29" max="29" width="10.33203125" customWidth="1"/>
  </cols>
  <sheetData>
    <row r="2" spans="1:29" ht="15" thickBot="1" x14ac:dyDescent="0.35"/>
    <row r="3" spans="1:29" ht="21.6" thickBot="1" x14ac:dyDescent="0.45">
      <c r="H3" t="s">
        <v>34</v>
      </c>
      <c r="Y3" s="266" t="s">
        <v>20</v>
      </c>
      <c r="Z3" s="267"/>
      <c r="AA3" s="267"/>
      <c r="AB3" s="267"/>
      <c r="AC3" s="268"/>
    </row>
    <row r="4" spans="1:29" ht="18" x14ac:dyDescent="0.35">
      <c r="A4" s="260" t="s">
        <v>0</v>
      </c>
      <c r="B4" s="253" t="s">
        <v>21</v>
      </c>
      <c r="C4" s="255" t="s">
        <v>16</v>
      </c>
      <c r="D4" s="248"/>
      <c r="E4" s="248"/>
      <c r="F4" s="248"/>
      <c r="G4" s="248"/>
      <c r="H4" s="248"/>
      <c r="I4" s="248"/>
      <c r="J4" s="248"/>
      <c r="K4" s="256"/>
      <c r="L4" s="255" t="s">
        <v>17</v>
      </c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69" t="s">
        <v>50</v>
      </c>
      <c r="Z4" s="269" t="s">
        <v>51</v>
      </c>
      <c r="AA4" s="255" t="s">
        <v>52</v>
      </c>
      <c r="AB4" s="248"/>
      <c r="AC4" s="227"/>
    </row>
    <row r="5" spans="1:29" ht="43.2" x14ac:dyDescent="0.3">
      <c r="A5" s="261"/>
      <c r="B5" s="254"/>
      <c r="C5" s="26" t="s">
        <v>54</v>
      </c>
      <c r="D5" s="26" t="s">
        <v>55</v>
      </c>
      <c r="E5" s="26" t="s">
        <v>106</v>
      </c>
      <c r="F5" s="26" t="s">
        <v>8</v>
      </c>
      <c r="G5" s="26" t="s">
        <v>9</v>
      </c>
      <c r="H5" s="73" t="s">
        <v>33</v>
      </c>
      <c r="I5" s="27" t="s">
        <v>13</v>
      </c>
      <c r="J5" s="27" t="s">
        <v>14</v>
      </c>
      <c r="K5" s="27" t="s">
        <v>15</v>
      </c>
      <c r="L5" s="26" t="s">
        <v>54</v>
      </c>
      <c r="M5" s="26" t="s">
        <v>55</v>
      </c>
      <c r="N5" s="29" t="s">
        <v>8</v>
      </c>
      <c r="O5" s="29" t="s">
        <v>9</v>
      </c>
      <c r="P5" s="29" t="s">
        <v>102</v>
      </c>
      <c r="Q5" s="29" t="s">
        <v>103</v>
      </c>
      <c r="R5" s="29" t="s">
        <v>104</v>
      </c>
      <c r="S5" s="30" t="s">
        <v>18</v>
      </c>
      <c r="T5" s="27" t="s">
        <v>163</v>
      </c>
      <c r="U5" s="27" t="s">
        <v>15</v>
      </c>
      <c r="V5" s="27" t="s">
        <v>14</v>
      </c>
      <c r="W5" s="27" t="s">
        <v>13</v>
      </c>
      <c r="X5" s="26" t="s">
        <v>106</v>
      </c>
      <c r="Y5" s="270"/>
      <c r="Z5" s="270"/>
      <c r="AA5" s="11" t="s">
        <v>24</v>
      </c>
      <c r="AB5" s="74" t="s">
        <v>25</v>
      </c>
      <c r="AC5" s="8" t="s">
        <v>26</v>
      </c>
    </row>
    <row r="6" spans="1:29" x14ac:dyDescent="0.3">
      <c r="A6" s="5">
        <f>'1. Mixture Model Inputs'!A6</f>
        <v>45108</v>
      </c>
      <c r="B6" s="13" t="str">
        <f>IF(ISBLANK('[1]Passage Estimates'!$C6), "", '[1]Passage Estimates'!$C6)</f>
        <v>S1+M+A2</v>
      </c>
      <c r="C6" s="71">
        <f>IFERROR('1. Mixture Model Inputs'!R6/'1. Mixture Model Inputs'!Z6,0)</f>
        <v>0</v>
      </c>
      <c r="D6" s="71">
        <f>IFERROR('1. Mixture Model Inputs'!S6/'1. Mixture Model Inputs'!AA6,0)</f>
        <v>0</v>
      </c>
      <c r="E6" s="71">
        <f>IFERROR('1. Mixture Model Inputs'!T6/'1. Mixture Model Inputs'!AB6,0)</f>
        <v>0</v>
      </c>
      <c r="F6" s="71">
        <f>IFERROR('1. Mixture Model Inputs'!U6/'1. Mixture Model Inputs'!AC6,0)</f>
        <v>0</v>
      </c>
      <c r="G6" s="71">
        <f>IFERROR('1. Mixture Model Inputs'!V6/'1. Mixture Model Inputs'!AD6,0)</f>
        <v>0</v>
      </c>
      <c r="H6" s="24">
        <f>WhonSpComp!AR21</f>
        <v>0</v>
      </c>
      <c r="I6" s="70">
        <f>IFERROR('1. Mixture Model Inputs'!W6/'1. Mixture Model Inputs'!AE6, 0)</f>
        <v>0</v>
      </c>
      <c r="J6" s="71">
        <f>IFERROR('1. Mixture Model Inputs'!X6/'1. Mixture Model Inputs'!AF6, 0)</f>
        <v>0</v>
      </c>
      <c r="K6" s="23">
        <f>IFERROR('1. Mixture Model Inputs'!Y6/'1. Mixture Model Inputs'!AG6, 0)</f>
        <v>0</v>
      </c>
      <c r="L6" s="76">
        <f>C6*'2. Salmon Passage by Bin'!C6</f>
        <v>0</v>
      </c>
      <c r="M6" s="76">
        <f>D6*'2. Salmon Passage by Bin'!D6</f>
        <v>0</v>
      </c>
      <c r="N6" s="76">
        <f>F6*'2. Salmon Passage by Bin'!F6</f>
        <v>0</v>
      </c>
      <c r="O6" s="76">
        <f>G6*'2. Salmon Passage by Bin'!G6</f>
        <v>0</v>
      </c>
      <c r="P6" s="76">
        <f>$G6*'2. Salmon Passage by Bin'!H6</f>
        <v>0</v>
      </c>
      <c r="Q6" s="76">
        <f>$G6*'2. Salmon Passage by Bin'!I6</f>
        <v>0</v>
      </c>
      <c r="R6" s="76">
        <f>$G6*'2. Salmon Passage by Bin'!J6</f>
        <v>0</v>
      </c>
      <c r="S6" s="56">
        <f>'2. Salmon Passage by Bin'!K6*H6</f>
        <v>0</v>
      </c>
      <c r="T6" s="25">
        <f>K6*'2. Salmon Passage by Bin'!L6</f>
        <v>0</v>
      </c>
      <c r="U6" s="25">
        <f>K6*'2. Salmon Passage by Bin'!M6</f>
        <v>0</v>
      </c>
      <c r="V6" s="25">
        <f>J6*'2. Salmon Passage by Bin'!N6</f>
        <v>0</v>
      </c>
      <c r="W6" s="25">
        <f>I6*'2. Salmon Passage by Bin'!O6</f>
        <v>0</v>
      </c>
      <c r="X6" s="76">
        <f>E6*'2. Salmon Passage by Bin'!E6</f>
        <v>0</v>
      </c>
      <c r="Y6" s="41">
        <f>IF(B6="M",S6,IF(AND(ISNUMBER(SEARCH("A1*",B6)),SUMIF(L6:W6,"&lt;&gt;#N/A")&gt;0),SUMIF(L6:W6,"&lt;&gt;#N/A"),IF(SUMIF(N6:X6,"&lt;&gt;#N/A")&gt;0,SUMIF(N6:X6,"&lt;&gt;#N/A"),0)))</f>
        <v>0</v>
      </c>
      <c r="Z6" s="42">
        <f>Y6/'[1]Passage Estimates'!$D6</f>
        <v>0</v>
      </c>
      <c r="AA6" s="43">
        <f>IFERROR(SUMIF(L6:O6, "&lt;&gt;#N/A")/SUMIF('2. Salmon Passage by Bin'!E6:J6, "&lt;&gt;#N/A"), NA())</f>
        <v>0</v>
      </c>
      <c r="AB6" s="42">
        <f>IFERROR(IF(ISNA(S6), NA(), S6/'2. Salmon Passage by Bin'!K6), NA())</f>
        <v>0</v>
      </c>
      <c r="AC6" s="44">
        <f>IFERROR(SUMIF(T6:W6, "&lt;&gt;#N/A")/SUMIF('2. Salmon Passage by Bin'!L6:N6, "&lt;&gt;#N/A"), NA())</f>
        <v>0</v>
      </c>
    </row>
    <row r="7" spans="1:29" x14ac:dyDescent="0.3">
      <c r="A7" s="5">
        <f>'1. Mixture Model Inputs'!A7</f>
        <v>45109</v>
      </c>
      <c r="B7" s="13" t="str">
        <f>IF(ISBLANK('[1]Passage Estimates'!$C7), "", '[1]Passage Estimates'!$C7)</f>
        <v>S1+M+A2</v>
      </c>
      <c r="C7" s="71">
        <f>IFERROR('1. Mixture Model Inputs'!R7/'1. Mixture Model Inputs'!Z7,0)</f>
        <v>0</v>
      </c>
      <c r="D7" s="71">
        <f>IFERROR('1. Mixture Model Inputs'!S7/'1. Mixture Model Inputs'!AA7,0)</f>
        <v>0</v>
      </c>
      <c r="E7" s="71">
        <f>IFERROR('1. Mixture Model Inputs'!T7/'1. Mixture Model Inputs'!AB7,0)</f>
        <v>0</v>
      </c>
      <c r="F7" s="71">
        <f>IFERROR('1. Mixture Model Inputs'!U7/'1. Mixture Model Inputs'!AC7,0)</f>
        <v>0</v>
      </c>
      <c r="G7" s="71">
        <f>IFERROR('1. Mixture Model Inputs'!V7/'1. Mixture Model Inputs'!AD7,0)</f>
        <v>0</v>
      </c>
      <c r="H7" s="24">
        <f>WhonSpComp!AR22</f>
        <v>0</v>
      </c>
      <c r="I7" s="70">
        <f>IFERROR('1. Mixture Model Inputs'!W7/'1. Mixture Model Inputs'!AE7, 0)</f>
        <v>0</v>
      </c>
      <c r="J7" s="71">
        <f>IFERROR('1. Mixture Model Inputs'!X7/'1. Mixture Model Inputs'!AF7, 0)</f>
        <v>0</v>
      </c>
      <c r="K7" s="23">
        <f>IFERROR('1. Mixture Model Inputs'!Y7/'1. Mixture Model Inputs'!AG7, 0)</f>
        <v>0</v>
      </c>
      <c r="L7" s="76">
        <f>C7*'2. Salmon Passage by Bin'!C7</f>
        <v>0</v>
      </c>
      <c r="M7" s="76">
        <f>D7*'2. Salmon Passage by Bin'!D7</f>
        <v>0</v>
      </c>
      <c r="N7" s="76">
        <f>F7*'2. Salmon Passage by Bin'!F7</f>
        <v>0</v>
      </c>
      <c r="O7" s="76">
        <f>G7*'2. Salmon Passage by Bin'!G7</f>
        <v>0</v>
      </c>
      <c r="P7" s="76">
        <f>$G7*'2. Salmon Passage by Bin'!H7</f>
        <v>0</v>
      </c>
      <c r="Q7" s="76">
        <f>$G7*'2. Salmon Passage by Bin'!I7</f>
        <v>0</v>
      </c>
      <c r="R7" s="76">
        <f>$G7*'2. Salmon Passage by Bin'!J7</f>
        <v>0</v>
      </c>
      <c r="S7" s="56">
        <f>'2. Salmon Passage by Bin'!K7*H7</f>
        <v>0</v>
      </c>
      <c r="T7" s="25">
        <f>K7*'2. Salmon Passage by Bin'!L7</f>
        <v>0</v>
      </c>
      <c r="U7" s="25">
        <f>K7*'2. Salmon Passage by Bin'!M7</f>
        <v>0</v>
      </c>
      <c r="V7" s="25">
        <f>J7*'2. Salmon Passage by Bin'!N7</f>
        <v>0</v>
      </c>
      <c r="W7" s="25">
        <f>I7*'2. Salmon Passage by Bin'!O7</f>
        <v>0</v>
      </c>
      <c r="X7" s="76">
        <f>E7*'2. Salmon Passage by Bin'!E7</f>
        <v>0</v>
      </c>
      <c r="Y7" s="41">
        <f t="shared" ref="Y7:Y70" si="0">IF(B7="M",S7,IF(AND(ISNUMBER(SEARCH("A1*",B7)),SUMIF(L7:W7,"&lt;&gt;#N/A")&gt;0),SUMIF(L7:W7,"&lt;&gt;#N/A"),IF(SUMIF(N7:X7,"&lt;&gt;#N/A")&gt;0,SUMIF(N7:X7,"&lt;&gt;#N/A"),0)))</f>
        <v>0</v>
      </c>
      <c r="Z7" s="42">
        <f>Y7/'[1]Passage Estimates'!$D7</f>
        <v>0</v>
      </c>
      <c r="AA7" s="43">
        <f>IFERROR(SUMIF(L7:O7, "&lt;&gt;#N/A")/SUMIF('2. Salmon Passage by Bin'!E7:J7, "&lt;&gt;#N/A"), NA())</f>
        <v>0</v>
      </c>
      <c r="AB7" s="42">
        <f>IFERROR(IF(ISNA(S7), NA(), S7/'2. Salmon Passage by Bin'!K7), NA())</f>
        <v>0</v>
      </c>
      <c r="AC7" s="44">
        <f>IFERROR(SUMIF(T7:W7, "&lt;&gt;#N/A")/SUMIF('2. Salmon Passage by Bin'!L7:N7, "&lt;&gt;#N/A"), NA())</f>
        <v>0</v>
      </c>
    </row>
    <row r="8" spans="1:29" x14ac:dyDescent="0.3">
      <c r="A8" s="5">
        <f>'1. Mixture Model Inputs'!A8</f>
        <v>45110</v>
      </c>
      <c r="B8" s="13" t="str">
        <f>IF(ISBLANK('[1]Passage Estimates'!$C8), "", '[1]Passage Estimates'!$C8)</f>
        <v>S1+M+A2</v>
      </c>
      <c r="C8" s="71">
        <f>IFERROR('1. Mixture Model Inputs'!R8/'1. Mixture Model Inputs'!Z8,0)</f>
        <v>0</v>
      </c>
      <c r="D8" s="71">
        <f>IFERROR('1. Mixture Model Inputs'!S8/'1. Mixture Model Inputs'!AA8,0)</f>
        <v>0</v>
      </c>
      <c r="E8" s="71">
        <f>IFERROR('1. Mixture Model Inputs'!T8/'1. Mixture Model Inputs'!AB8,0)</f>
        <v>0</v>
      </c>
      <c r="F8" s="71">
        <f>IFERROR('1. Mixture Model Inputs'!U8/'1. Mixture Model Inputs'!AC8,0)</f>
        <v>0</v>
      </c>
      <c r="G8" s="71">
        <f>IFERROR('1. Mixture Model Inputs'!V8/'1. Mixture Model Inputs'!AD8,0)</f>
        <v>0</v>
      </c>
      <c r="H8" s="24">
        <f>WhonSpComp!AR23</f>
        <v>0</v>
      </c>
      <c r="I8" s="70">
        <f>IFERROR('1. Mixture Model Inputs'!W8/'1. Mixture Model Inputs'!AE8, 0)</f>
        <v>0</v>
      </c>
      <c r="J8" s="71">
        <f>IFERROR('1. Mixture Model Inputs'!X8/'1. Mixture Model Inputs'!AF8, 0)</f>
        <v>0</v>
      </c>
      <c r="K8" s="23">
        <f>IFERROR('1. Mixture Model Inputs'!Y8/'1. Mixture Model Inputs'!AG8, 0)</f>
        <v>0</v>
      </c>
      <c r="L8" s="76">
        <f>C8*'2. Salmon Passage by Bin'!C8</f>
        <v>0</v>
      </c>
      <c r="M8" s="76">
        <f>D8*'2. Salmon Passage by Bin'!D8</f>
        <v>0</v>
      </c>
      <c r="N8" s="76">
        <f>F8*'2. Salmon Passage by Bin'!F8</f>
        <v>0</v>
      </c>
      <c r="O8" s="76">
        <f>G8*'2. Salmon Passage by Bin'!G8</f>
        <v>0</v>
      </c>
      <c r="P8" s="76">
        <f>$G8*'2. Salmon Passage by Bin'!H8</f>
        <v>0</v>
      </c>
      <c r="Q8" s="76">
        <f>$G8*'2. Salmon Passage by Bin'!I8</f>
        <v>0</v>
      </c>
      <c r="R8" s="76">
        <f>$G8*'2. Salmon Passage by Bin'!J8</f>
        <v>0</v>
      </c>
      <c r="S8" s="56">
        <f>'2. Salmon Passage by Bin'!K8*H8</f>
        <v>0</v>
      </c>
      <c r="T8" s="25">
        <f>K8*'2. Salmon Passage by Bin'!L8</f>
        <v>0</v>
      </c>
      <c r="U8" s="25">
        <f>K8*'2. Salmon Passage by Bin'!M8</f>
        <v>0</v>
      </c>
      <c r="V8" s="25">
        <f>J8*'2. Salmon Passage by Bin'!N8</f>
        <v>0</v>
      </c>
      <c r="W8" s="25">
        <f>I8*'2. Salmon Passage by Bin'!O8</f>
        <v>0</v>
      </c>
      <c r="X8" s="76">
        <f>E8*'2. Salmon Passage by Bin'!E8</f>
        <v>0</v>
      </c>
      <c r="Y8" s="41">
        <f t="shared" si="0"/>
        <v>0</v>
      </c>
      <c r="Z8" s="42">
        <f>Y8/'[1]Passage Estimates'!$D8</f>
        <v>0</v>
      </c>
      <c r="AA8" s="43">
        <f>IFERROR(SUMIF(L8:O8, "&lt;&gt;#N/A")/SUMIF('2. Salmon Passage by Bin'!E8:J8, "&lt;&gt;#N/A"), NA())</f>
        <v>0</v>
      </c>
      <c r="AB8" s="42">
        <f>IFERROR(IF(ISNA(S8), NA(), S8/'2. Salmon Passage by Bin'!K8), NA())</f>
        <v>0</v>
      </c>
      <c r="AC8" s="44">
        <f>IFERROR(SUMIF(T8:W8, "&lt;&gt;#N/A")/SUMIF('2. Salmon Passage by Bin'!L8:N8, "&lt;&gt;#N/A"), NA())</f>
        <v>0</v>
      </c>
    </row>
    <row r="9" spans="1:29" x14ac:dyDescent="0.3">
      <c r="A9" s="5">
        <f>'1. Mixture Model Inputs'!A9</f>
        <v>45111</v>
      </c>
      <c r="B9" s="13" t="str">
        <f>IF(ISBLANK('[1]Passage Estimates'!$C9), "", '[1]Passage Estimates'!$C9)</f>
        <v>S1+M+A2</v>
      </c>
      <c r="C9" s="71">
        <f>IFERROR('1. Mixture Model Inputs'!R9/'1. Mixture Model Inputs'!Z9,0)</f>
        <v>0</v>
      </c>
      <c r="D9" s="71">
        <f>IFERROR('1. Mixture Model Inputs'!S9/'1. Mixture Model Inputs'!AA9,0)</f>
        <v>0</v>
      </c>
      <c r="E9" s="71">
        <f>IFERROR('1. Mixture Model Inputs'!T9/'1. Mixture Model Inputs'!AB9,0)</f>
        <v>0</v>
      </c>
      <c r="F9" s="71">
        <f>IFERROR('1. Mixture Model Inputs'!U9/'1. Mixture Model Inputs'!AC9,0)</f>
        <v>0</v>
      </c>
      <c r="G9" s="71">
        <f>IFERROR('1. Mixture Model Inputs'!V9/'1. Mixture Model Inputs'!AD9,0)</f>
        <v>0</v>
      </c>
      <c r="H9" s="24">
        <f>WhonSpComp!AR24</f>
        <v>0</v>
      </c>
      <c r="I9" s="70">
        <f>IFERROR('1. Mixture Model Inputs'!W9/'1. Mixture Model Inputs'!AE9, 0)</f>
        <v>0</v>
      </c>
      <c r="J9" s="71">
        <f>IFERROR('1. Mixture Model Inputs'!X9/'1. Mixture Model Inputs'!AF9, 0)</f>
        <v>0</v>
      </c>
      <c r="K9" s="23">
        <f>IFERROR('1. Mixture Model Inputs'!Y9/'1. Mixture Model Inputs'!AG9, 0)</f>
        <v>0</v>
      </c>
      <c r="L9" s="76">
        <f>C9*'2. Salmon Passage by Bin'!C9</f>
        <v>0</v>
      </c>
      <c r="M9" s="76">
        <f>D9*'2. Salmon Passage by Bin'!D9</f>
        <v>0</v>
      </c>
      <c r="N9" s="76">
        <f>F9*'2. Salmon Passage by Bin'!F9</f>
        <v>0</v>
      </c>
      <c r="O9" s="76">
        <f>G9*'2. Salmon Passage by Bin'!G9</f>
        <v>0</v>
      </c>
      <c r="P9" s="76">
        <f>$G9*'2. Salmon Passage by Bin'!H9</f>
        <v>0</v>
      </c>
      <c r="Q9" s="76">
        <f>$G9*'2. Salmon Passage by Bin'!I9</f>
        <v>0</v>
      </c>
      <c r="R9" s="76">
        <f>$G9*'2. Salmon Passage by Bin'!J9</f>
        <v>0</v>
      </c>
      <c r="S9" s="56">
        <f>'2. Salmon Passage by Bin'!K9*H9</f>
        <v>0</v>
      </c>
      <c r="T9" s="25">
        <f>K9*'2. Salmon Passage by Bin'!L9</f>
        <v>0</v>
      </c>
      <c r="U9" s="25">
        <f>K9*'2. Salmon Passage by Bin'!M9</f>
        <v>0</v>
      </c>
      <c r="V9" s="25">
        <f>J9*'2. Salmon Passage by Bin'!N9</f>
        <v>0</v>
      </c>
      <c r="W9" s="25">
        <f>I9*'2. Salmon Passage by Bin'!O9</f>
        <v>0</v>
      </c>
      <c r="X9" s="76">
        <f>E9*'2. Salmon Passage by Bin'!E9</f>
        <v>0</v>
      </c>
      <c r="Y9" s="41">
        <f t="shared" si="0"/>
        <v>0</v>
      </c>
      <c r="Z9" s="42">
        <f>Y9/'[1]Passage Estimates'!$D9</f>
        <v>0</v>
      </c>
      <c r="AA9" s="43">
        <f>IFERROR(SUMIF(L9:O9, "&lt;&gt;#N/A")/SUMIF('2. Salmon Passage by Bin'!E9:J9, "&lt;&gt;#N/A"), NA())</f>
        <v>0</v>
      </c>
      <c r="AB9" s="42">
        <f>IFERROR(IF(ISNA(S9), NA(), S9/'2. Salmon Passage by Bin'!K9), NA())</f>
        <v>0</v>
      </c>
      <c r="AC9" s="44">
        <f>IFERROR(SUMIF(T9:W9, "&lt;&gt;#N/A")/SUMIF('2. Salmon Passage by Bin'!L9:N9, "&lt;&gt;#N/A"), NA())</f>
        <v>0</v>
      </c>
    </row>
    <row r="10" spans="1:29" x14ac:dyDescent="0.3">
      <c r="A10" s="5">
        <f>'1. Mixture Model Inputs'!A10</f>
        <v>45112</v>
      </c>
      <c r="B10" s="13" t="str">
        <f>IF(ISBLANK('[1]Passage Estimates'!$C10), "", '[1]Passage Estimates'!$C10)</f>
        <v>Imputation</v>
      </c>
      <c r="C10" s="71">
        <f>IFERROR('1. Mixture Model Inputs'!R10/'1. Mixture Model Inputs'!Z10,0)</f>
        <v>0</v>
      </c>
      <c r="D10" s="71">
        <f>IFERROR('1. Mixture Model Inputs'!S10/'1. Mixture Model Inputs'!AA10,0)</f>
        <v>0</v>
      </c>
      <c r="E10" s="71">
        <f>IFERROR('1. Mixture Model Inputs'!T10/'1. Mixture Model Inputs'!AB10,0)</f>
        <v>0</v>
      </c>
      <c r="F10" s="71">
        <f>IFERROR('1. Mixture Model Inputs'!U10/'1. Mixture Model Inputs'!AC10,0)</f>
        <v>0</v>
      </c>
      <c r="G10" s="71">
        <f>IFERROR('1. Mixture Model Inputs'!V10/'1. Mixture Model Inputs'!AD10,0)</f>
        <v>0</v>
      </c>
      <c r="H10" s="24">
        <f>WhonSpComp!AR25</f>
        <v>0</v>
      </c>
      <c r="I10" s="70">
        <f>IFERROR('1. Mixture Model Inputs'!W10/'1. Mixture Model Inputs'!AE10, 0)</f>
        <v>0</v>
      </c>
      <c r="J10" s="71">
        <f>IFERROR('1. Mixture Model Inputs'!X10/'1. Mixture Model Inputs'!AF10, 0)</f>
        <v>0</v>
      </c>
      <c r="K10" s="23">
        <f>IFERROR('1. Mixture Model Inputs'!Y10/'1. Mixture Model Inputs'!AG10, 0)</f>
        <v>0</v>
      </c>
      <c r="L10" s="76">
        <f>C10*'2. Salmon Passage by Bin'!C10</f>
        <v>0</v>
      </c>
      <c r="M10" s="76">
        <f>D10*'2. Salmon Passage by Bin'!D10</f>
        <v>0</v>
      </c>
      <c r="N10" s="76">
        <f>F10*'2. Salmon Passage by Bin'!F10</f>
        <v>0</v>
      </c>
      <c r="O10" s="76">
        <f>G10*'2. Salmon Passage by Bin'!G10</f>
        <v>0</v>
      </c>
      <c r="P10" s="76">
        <f>$G10*'2. Salmon Passage by Bin'!H10</f>
        <v>0</v>
      </c>
      <c r="Q10" s="76">
        <f>$G10*'2. Salmon Passage by Bin'!I10</f>
        <v>0</v>
      </c>
      <c r="R10" s="76">
        <f>$G10*'2. Salmon Passage by Bin'!J10</f>
        <v>0</v>
      </c>
      <c r="S10" s="56">
        <f>'2. Salmon Passage by Bin'!K10*H10</f>
        <v>0</v>
      </c>
      <c r="T10" s="25">
        <f>K10*'2. Salmon Passage by Bin'!L10</f>
        <v>0</v>
      </c>
      <c r="U10" s="25">
        <f>K10*'2. Salmon Passage by Bin'!M10</f>
        <v>0</v>
      </c>
      <c r="V10" s="25">
        <f>J10*'2. Salmon Passage by Bin'!N10</f>
        <v>0</v>
      </c>
      <c r="W10" s="25">
        <f>I10*'2. Salmon Passage by Bin'!O10</f>
        <v>0</v>
      </c>
      <c r="X10" s="76">
        <f>E10*'2. Salmon Passage by Bin'!E10</f>
        <v>0</v>
      </c>
      <c r="Y10" s="41">
        <f t="shared" si="0"/>
        <v>0</v>
      </c>
      <c r="Z10" s="42">
        <f>Y10/'[1]Passage Estimates'!$D10</f>
        <v>0</v>
      </c>
      <c r="AA10" s="43">
        <f>IFERROR(SUMIF(L10:O10, "&lt;&gt;#N/A")/SUMIF('2. Salmon Passage by Bin'!E10:J10, "&lt;&gt;#N/A"), NA())</f>
        <v>0</v>
      </c>
      <c r="AB10" s="42">
        <f>IFERROR(IF(ISNA(S10), NA(), S10/'2. Salmon Passage by Bin'!K10), NA())</f>
        <v>0</v>
      </c>
      <c r="AC10" s="44">
        <f>IFERROR(SUMIF(T10:W10, "&lt;&gt;#N/A")/SUMIF('2. Salmon Passage by Bin'!L10:N10, "&lt;&gt;#N/A"), NA())</f>
        <v>0</v>
      </c>
    </row>
    <row r="11" spans="1:29" x14ac:dyDescent="0.3">
      <c r="A11" s="5">
        <f>'1. Mixture Model Inputs'!A11</f>
        <v>45113</v>
      </c>
      <c r="B11" s="13" t="str">
        <f>IF(ISBLANK('[1]Passage Estimates'!$C11), "", '[1]Passage Estimates'!$C11)</f>
        <v>S1+M+A2</v>
      </c>
      <c r="C11" s="71">
        <f>IFERROR('1. Mixture Model Inputs'!R11/'1. Mixture Model Inputs'!Z11,0)</f>
        <v>0</v>
      </c>
      <c r="D11" s="71">
        <f>IFERROR('1. Mixture Model Inputs'!S11/'1. Mixture Model Inputs'!AA11,0)</f>
        <v>0</v>
      </c>
      <c r="E11" s="71">
        <f>IFERROR('1. Mixture Model Inputs'!T11/'1. Mixture Model Inputs'!AB11,0)</f>
        <v>0</v>
      </c>
      <c r="F11" s="71">
        <f>IFERROR('1. Mixture Model Inputs'!U11/'1. Mixture Model Inputs'!AC11,0)</f>
        <v>0</v>
      </c>
      <c r="G11" s="71">
        <f>IFERROR('1. Mixture Model Inputs'!V11/'1. Mixture Model Inputs'!AD11,0)</f>
        <v>0</v>
      </c>
      <c r="H11" s="24">
        <f>WhonSpComp!AR26</f>
        <v>0</v>
      </c>
      <c r="I11" s="70">
        <f>IFERROR('1. Mixture Model Inputs'!W11/'1. Mixture Model Inputs'!AE11, 0)</f>
        <v>0</v>
      </c>
      <c r="J11" s="71">
        <f>IFERROR('1. Mixture Model Inputs'!X11/'1. Mixture Model Inputs'!AF11, 0)</f>
        <v>0</v>
      </c>
      <c r="K11" s="23">
        <f>IFERROR('1. Mixture Model Inputs'!Y11/'1. Mixture Model Inputs'!AG11, 0)</f>
        <v>0</v>
      </c>
      <c r="L11" s="76">
        <f>C11*'2. Salmon Passage by Bin'!C11</f>
        <v>0</v>
      </c>
      <c r="M11" s="76">
        <f>D11*'2. Salmon Passage by Bin'!D11</f>
        <v>0</v>
      </c>
      <c r="N11" s="76">
        <f>F11*'2. Salmon Passage by Bin'!F11</f>
        <v>0</v>
      </c>
      <c r="O11" s="76">
        <f>G11*'2. Salmon Passage by Bin'!G11</f>
        <v>0</v>
      </c>
      <c r="P11" s="76">
        <f>$G11*'2. Salmon Passage by Bin'!H11</f>
        <v>0</v>
      </c>
      <c r="Q11" s="76">
        <f>$G11*'2. Salmon Passage by Bin'!I11</f>
        <v>0</v>
      </c>
      <c r="R11" s="76">
        <f>$G11*'2. Salmon Passage by Bin'!J11</f>
        <v>0</v>
      </c>
      <c r="S11" s="56">
        <f>'2. Salmon Passage by Bin'!K11*H11</f>
        <v>0</v>
      </c>
      <c r="T11" s="25">
        <f>K11*'2. Salmon Passage by Bin'!L11</f>
        <v>0</v>
      </c>
      <c r="U11" s="25">
        <f>K11*'2. Salmon Passage by Bin'!M11</f>
        <v>0</v>
      </c>
      <c r="V11" s="25">
        <f>J11*'2. Salmon Passage by Bin'!N11</f>
        <v>0</v>
      </c>
      <c r="W11" s="25">
        <f>I11*'2. Salmon Passage by Bin'!O11</f>
        <v>0</v>
      </c>
      <c r="X11" s="76">
        <f>E11*'2. Salmon Passage by Bin'!E11</f>
        <v>0</v>
      </c>
      <c r="Y11" s="41">
        <f t="shared" si="0"/>
        <v>0</v>
      </c>
      <c r="Z11" s="42">
        <f>Y11/'[1]Passage Estimates'!$D11</f>
        <v>0</v>
      </c>
      <c r="AA11" s="43">
        <f>IFERROR(SUMIF(L11:O11, "&lt;&gt;#N/A")/SUMIF('2. Salmon Passage by Bin'!E11:J11, "&lt;&gt;#N/A"), NA())</f>
        <v>0</v>
      </c>
      <c r="AB11" s="42">
        <f>IFERROR(IF(ISNA(S11), NA(), S11/'2. Salmon Passage by Bin'!K11), NA())</f>
        <v>0</v>
      </c>
      <c r="AC11" s="44">
        <f>IFERROR(SUMIF(T11:W11, "&lt;&gt;#N/A")/SUMIF('2. Salmon Passage by Bin'!L11:N11, "&lt;&gt;#N/A"), NA())</f>
        <v>0</v>
      </c>
    </row>
    <row r="12" spans="1:29" x14ac:dyDescent="0.3">
      <c r="A12" s="5">
        <f>'1. Mixture Model Inputs'!A12</f>
        <v>45114</v>
      </c>
      <c r="B12" s="13" t="str">
        <f>IF(ISBLANK('[1]Passage Estimates'!$C12), "", '[1]Passage Estimates'!$C12)</f>
        <v>S1+M+A2</v>
      </c>
      <c r="C12" s="71">
        <f>IFERROR('1. Mixture Model Inputs'!R12/'1. Mixture Model Inputs'!Z12,0)</f>
        <v>0</v>
      </c>
      <c r="D12" s="71">
        <f>IFERROR('1. Mixture Model Inputs'!S12/'1. Mixture Model Inputs'!AA12,0)</f>
        <v>0</v>
      </c>
      <c r="E12" s="71">
        <f>IFERROR('1. Mixture Model Inputs'!T12/'1. Mixture Model Inputs'!AB12,0)</f>
        <v>0</v>
      </c>
      <c r="F12" s="71">
        <f>IFERROR('1. Mixture Model Inputs'!U12/'1. Mixture Model Inputs'!AC12,0)</f>
        <v>0</v>
      </c>
      <c r="G12" s="71">
        <f>IFERROR('1. Mixture Model Inputs'!V12/'1. Mixture Model Inputs'!AD12,0)</f>
        <v>0</v>
      </c>
      <c r="H12" s="24">
        <f>WhonSpComp!AR27</f>
        <v>0</v>
      </c>
      <c r="I12" s="70">
        <f>IFERROR('1. Mixture Model Inputs'!W12/'1. Mixture Model Inputs'!AE12, 0)</f>
        <v>0</v>
      </c>
      <c r="J12" s="71">
        <f>IFERROR('1. Mixture Model Inputs'!X12/'1. Mixture Model Inputs'!AF12, 0)</f>
        <v>0</v>
      </c>
      <c r="K12" s="23">
        <f>IFERROR('1. Mixture Model Inputs'!Y12/'1. Mixture Model Inputs'!AG12, 0)</f>
        <v>0</v>
      </c>
      <c r="L12" s="76">
        <f>C12*'2. Salmon Passage by Bin'!C12</f>
        <v>0</v>
      </c>
      <c r="M12" s="76">
        <f>D12*'2. Salmon Passage by Bin'!D12</f>
        <v>0</v>
      </c>
      <c r="N12" s="76">
        <f>F12*'2. Salmon Passage by Bin'!F12</f>
        <v>0</v>
      </c>
      <c r="O12" s="76">
        <f>G12*'2. Salmon Passage by Bin'!G12</f>
        <v>0</v>
      </c>
      <c r="P12" s="76">
        <f>$G12*'2. Salmon Passage by Bin'!H12</f>
        <v>0</v>
      </c>
      <c r="Q12" s="76">
        <f>$G12*'2. Salmon Passage by Bin'!I12</f>
        <v>0</v>
      </c>
      <c r="R12" s="76">
        <f>$G12*'2. Salmon Passage by Bin'!J12</f>
        <v>0</v>
      </c>
      <c r="S12" s="56">
        <f>'2. Salmon Passage by Bin'!K12*H12</f>
        <v>0</v>
      </c>
      <c r="T12" s="25">
        <f>K12*'2. Salmon Passage by Bin'!L12</f>
        <v>0</v>
      </c>
      <c r="U12" s="25">
        <f>K12*'2. Salmon Passage by Bin'!M12</f>
        <v>0</v>
      </c>
      <c r="V12" s="25">
        <f>J12*'2. Salmon Passage by Bin'!N12</f>
        <v>0</v>
      </c>
      <c r="W12" s="25">
        <f>I12*'2. Salmon Passage by Bin'!O12</f>
        <v>0</v>
      </c>
      <c r="X12" s="76">
        <f>E12*'2. Salmon Passage by Bin'!E12</f>
        <v>0</v>
      </c>
      <c r="Y12" s="41">
        <f t="shared" si="0"/>
        <v>0</v>
      </c>
      <c r="Z12" s="42">
        <f>Y12/'[1]Passage Estimates'!$D12</f>
        <v>0</v>
      </c>
      <c r="AA12" s="43">
        <f>IFERROR(SUMIF(L12:O12, "&lt;&gt;#N/A")/SUMIF('2. Salmon Passage by Bin'!E12:J12, "&lt;&gt;#N/A"), NA())</f>
        <v>0</v>
      </c>
      <c r="AB12" s="42">
        <f>IFERROR(IF(ISNA(S12), NA(), S12/'2. Salmon Passage by Bin'!K12), NA())</f>
        <v>0</v>
      </c>
      <c r="AC12" s="44">
        <f>IFERROR(SUMIF(T12:W12, "&lt;&gt;#N/A")/SUMIF('2. Salmon Passage by Bin'!L12:N12, "&lt;&gt;#N/A"), NA())</f>
        <v>0</v>
      </c>
    </row>
    <row r="13" spans="1:29" x14ac:dyDescent="0.3">
      <c r="A13" s="5">
        <f>'1. Mixture Model Inputs'!A13</f>
        <v>45115</v>
      </c>
      <c r="B13" s="13" t="str">
        <f>IF(ISBLANK('[1]Passage Estimates'!$C13), "", '[1]Passage Estimates'!$C13)</f>
        <v>S1+M+A2</v>
      </c>
      <c r="C13" s="71">
        <f>IFERROR('1. Mixture Model Inputs'!R13/'1. Mixture Model Inputs'!Z13,0)</f>
        <v>0</v>
      </c>
      <c r="D13" s="71">
        <f>IFERROR('1. Mixture Model Inputs'!S13/'1. Mixture Model Inputs'!AA13,0)</f>
        <v>0</v>
      </c>
      <c r="E13" s="71">
        <f>IFERROR('1. Mixture Model Inputs'!T13/'1. Mixture Model Inputs'!AB13,0)</f>
        <v>0</v>
      </c>
      <c r="F13" s="71">
        <f>IFERROR('1. Mixture Model Inputs'!U13/'1. Mixture Model Inputs'!AC13,0)</f>
        <v>0</v>
      </c>
      <c r="G13" s="71">
        <f>IFERROR('1. Mixture Model Inputs'!V13/'1. Mixture Model Inputs'!AD13,0)</f>
        <v>0</v>
      </c>
      <c r="H13" s="24">
        <f>WhonSpComp!AR28</f>
        <v>0</v>
      </c>
      <c r="I13" s="70">
        <f>IFERROR('1. Mixture Model Inputs'!W13/'1. Mixture Model Inputs'!AE13, 0)</f>
        <v>0</v>
      </c>
      <c r="J13" s="71">
        <f>IFERROR('1. Mixture Model Inputs'!X13/'1. Mixture Model Inputs'!AF13, 0)</f>
        <v>0</v>
      </c>
      <c r="K13" s="23">
        <f>IFERROR('1. Mixture Model Inputs'!Y13/'1. Mixture Model Inputs'!AG13, 0)</f>
        <v>0</v>
      </c>
      <c r="L13" s="76">
        <f>C13*'2. Salmon Passage by Bin'!C13</f>
        <v>0</v>
      </c>
      <c r="M13" s="76">
        <f>D13*'2. Salmon Passage by Bin'!D13</f>
        <v>0</v>
      </c>
      <c r="N13" s="76">
        <f>F13*'2. Salmon Passage by Bin'!F13</f>
        <v>0</v>
      </c>
      <c r="O13" s="76">
        <f>G13*'2. Salmon Passage by Bin'!G13</f>
        <v>0</v>
      </c>
      <c r="P13" s="76">
        <f>$G13*'2. Salmon Passage by Bin'!H13</f>
        <v>0</v>
      </c>
      <c r="Q13" s="76">
        <f>$G13*'2. Salmon Passage by Bin'!I13</f>
        <v>0</v>
      </c>
      <c r="R13" s="76">
        <f>$G13*'2. Salmon Passage by Bin'!J13</f>
        <v>0</v>
      </c>
      <c r="S13" s="56">
        <f>'2. Salmon Passage by Bin'!K13*H13</f>
        <v>0</v>
      </c>
      <c r="T13" s="25">
        <f>K13*'2. Salmon Passage by Bin'!L13</f>
        <v>0</v>
      </c>
      <c r="U13" s="25">
        <f>K13*'2. Salmon Passage by Bin'!M13</f>
        <v>0</v>
      </c>
      <c r="V13" s="25">
        <f>J13*'2. Salmon Passage by Bin'!N13</f>
        <v>0</v>
      </c>
      <c r="W13" s="25">
        <f>I13*'2. Salmon Passage by Bin'!O13</f>
        <v>0</v>
      </c>
      <c r="X13" s="76">
        <f>E13*'2. Salmon Passage by Bin'!E13</f>
        <v>0</v>
      </c>
      <c r="Y13" s="41">
        <f t="shared" si="0"/>
        <v>0</v>
      </c>
      <c r="Z13" s="42">
        <f>Y13/'[1]Passage Estimates'!$D13</f>
        <v>0</v>
      </c>
      <c r="AA13" s="43">
        <f>IFERROR(SUMIF(L13:O13, "&lt;&gt;#N/A")/SUMIF('2. Salmon Passage by Bin'!E13:J13, "&lt;&gt;#N/A"), NA())</f>
        <v>0</v>
      </c>
      <c r="AB13" s="42">
        <f>IFERROR(IF(ISNA(S13), NA(), S13/'2. Salmon Passage by Bin'!K13), NA())</f>
        <v>0</v>
      </c>
      <c r="AC13" s="44">
        <f>IFERROR(SUMIF(T13:W13, "&lt;&gt;#N/A")/SUMIF('2. Salmon Passage by Bin'!L13:N13, "&lt;&gt;#N/A"), NA())</f>
        <v>0</v>
      </c>
    </row>
    <row r="14" spans="1:29" x14ac:dyDescent="0.3">
      <c r="A14" s="5">
        <f>'1. Mixture Model Inputs'!A14</f>
        <v>45116</v>
      </c>
      <c r="B14" s="13" t="str">
        <f>IF(ISBLANK('[1]Passage Estimates'!$C14), "", '[1]Passage Estimates'!$C14)</f>
        <v>S1+M+A2</v>
      </c>
      <c r="C14" s="71">
        <f>IFERROR('1. Mixture Model Inputs'!R14/'1. Mixture Model Inputs'!Z14,0)</f>
        <v>0</v>
      </c>
      <c r="D14" s="71">
        <f>IFERROR('1. Mixture Model Inputs'!S14/'1. Mixture Model Inputs'!AA14,0)</f>
        <v>0</v>
      </c>
      <c r="E14" s="71">
        <f>IFERROR('1. Mixture Model Inputs'!T14/'1. Mixture Model Inputs'!AB14,0)</f>
        <v>0</v>
      </c>
      <c r="F14" s="71">
        <f>IFERROR('1. Mixture Model Inputs'!U14/'1. Mixture Model Inputs'!AC14,0)</f>
        <v>0</v>
      </c>
      <c r="G14" s="71">
        <f>IFERROR('1. Mixture Model Inputs'!V14/'1. Mixture Model Inputs'!AD14,0)</f>
        <v>0</v>
      </c>
      <c r="H14" s="24">
        <f>WhonSpComp!AR29</f>
        <v>0</v>
      </c>
      <c r="I14" s="70">
        <f>IFERROR('1. Mixture Model Inputs'!W14/'1. Mixture Model Inputs'!AE14, 0)</f>
        <v>0</v>
      </c>
      <c r="J14" s="71">
        <f>IFERROR('1. Mixture Model Inputs'!X14/'1. Mixture Model Inputs'!AF14, 0)</f>
        <v>0</v>
      </c>
      <c r="K14" s="23">
        <f>IFERROR('1. Mixture Model Inputs'!Y14/'1. Mixture Model Inputs'!AG14, 0)</f>
        <v>0</v>
      </c>
      <c r="L14" s="76">
        <f>C14*'2. Salmon Passage by Bin'!C14</f>
        <v>0</v>
      </c>
      <c r="M14" s="76">
        <f>D14*'2. Salmon Passage by Bin'!D14</f>
        <v>0</v>
      </c>
      <c r="N14" s="76">
        <f>F14*'2. Salmon Passage by Bin'!F14</f>
        <v>0</v>
      </c>
      <c r="O14" s="76">
        <f>G14*'2. Salmon Passage by Bin'!G14</f>
        <v>0</v>
      </c>
      <c r="P14" s="76">
        <f>$G14*'2. Salmon Passage by Bin'!H14</f>
        <v>0</v>
      </c>
      <c r="Q14" s="76">
        <f>$G14*'2. Salmon Passage by Bin'!I14</f>
        <v>0</v>
      </c>
      <c r="R14" s="76">
        <f>$G14*'2. Salmon Passage by Bin'!J14</f>
        <v>0</v>
      </c>
      <c r="S14" s="56">
        <f>'2. Salmon Passage by Bin'!K14*H14</f>
        <v>0</v>
      </c>
      <c r="T14" s="25">
        <f>K14*'2. Salmon Passage by Bin'!L14</f>
        <v>0</v>
      </c>
      <c r="U14" s="25">
        <f>K14*'2. Salmon Passage by Bin'!M14</f>
        <v>0</v>
      </c>
      <c r="V14" s="25">
        <f>J14*'2. Salmon Passage by Bin'!N14</f>
        <v>0</v>
      </c>
      <c r="W14" s="25">
        <f>I14*'2. Salmon Passage by Bin'!O14</f>
        <v>0</v>
      </c>
      <c r="X14" s="76">
        <f>E14*'2. Salmon Passage by Bin'!E14</f>
        <v>0</v>
      </c>
      <c r="Y14" s="41">
        <f t="shared" si="0"/>
        <v>0</v>
      </c>
      <c r="Z14" s="42">
        <f>Y14/'[1]Passage Estimates'!$D14</f>
        <v>0</v>
      </c>
      <c r="AA14" s="43">
        <f>IFERROR(SUMIF(L14:O14, "&lt;&gt;#N/A")/SUMIF('2. Salmon Passage by Bin'!E14:J14, "&lt;&gt;#N/A"), NA())</f>
        <v>0</v>
      </c>
      <c r="AB14" s="42">
        <f>IFERROR(IF(ISNA(S14), NA(), S14/'2. Salmon Passage by Bin'!K14), NA())</f>
        <v>0</v>
      </c>
      <c r="AC14" s="44">
        <f>IFERROR(SUMIF(T14:W14, "&lt;&gt;#N/A")/SUMIF('2. Salmon Passage by Bin'!L14:N14, "&lt;&gt;#N/A"), NA())</f>
        <v>0</v>
      </c>
    </row>
    <row r="15" spans="1:29" x14ac:dyDescent="0.3">
      <c r="A15" s="5">
        <f>'1. Mixture Model Inputs'!A15</f>
        <v>45117</v>
      </c>
      <c r="B15" s="13" t="str">
        <f>IF(ISBLANK('[1]Passage Estimates'!$C15), "", '[1]Passage Estimates'!$C15)</f>
        <v>S1+M+A2</v>
      </c>
      <c r="C15" s="71">
        <f>IFERROR('1. Mixture Model Inputs'!R15/'1. Mixture Model Inputs'!Z15,0)</f>
        <v>0</v>
      </c>
      <c r="D15" s="71">
        <f>IFERROR('1. Mixture Model Inputs'!S15/'1. Mixture Model Inputs'!AA15,0)</f>
        <v>0</v>
      </c>
      <c r="E15" s="71">
        <f>IFERROR('1. Mixture Model Inputs'!T15/'1. Mixture Model Inputs'!AB15,0)</f>
        <v>0</v>
      </c>
      <c r="F15" s="71">
        <f>IFERROR('1. Mixture Model Inputs'!U15/'1. Mixture Model Inputs'!AC15,0)</f>
        <v>0</v>
      </c>
      <c r="G15" s="71">
        <f>IFERROR('1. Mixture Model Inputs'!V15/'1. Mixture Model Inputs'!AD15,0)</f>
        <v>0</v>
      </c>
      <c r="H15" s="24">
        <f>WhonSpComp!AR30</f>
        <v>0</v>
      </c>
      <c r="I15" s="70">
        <f>IFERROR('1. Mixture Model Inputs'!W15/'1. Mixture Model Inputs'!AE15, 0)</f>
        <v>0</v>
      </c>
      <c r="J15" s="71">
        <f>IFERROR('1. Mixture Model Inputs'!X15/'1. Mixture Model Inputs'!AF15, 0)</f>
        <v>0</v>
      </c>
      <c r="K15" s="23">
        <f>IFERROR('1. Mixture Model Inputs'!Y15/'1. Mixture Model Inputs'!AG15, 0)</f>
        <v>0</v>
      </c>
      <c r="L15" s="76">
        <f>C15*'2. Salmon Passage by Bin'!C15</f>
        <v>0</v>
      </c>
      <c r="M15" s="76">
        <f>D15*'2. Salmon Passage by Bin'!D15</f>
        <v>0</v>
      </c>
      <c r="N15" s="76">
        <f>F15*'2. Salmon Passage by Bin'!F15</f>
        <v>0</v>
      </c>
      <c r="O15" s="76">
        <f>G15*'2. Salmon Passage by Bin'!G15</f>
        <v>0</v>
      </c>
      <c r="P15" s="76">
        <f>$G15*'2. Salmon Passage by Bin'!H15</f>
        <v>0</v>
      </c>
      <c r="Q15" s="76">
        <f>$G15*'2. Salmon Passage by Bin'!I15</f>
        <v>0</v>
      </c>
      <c r="R15" s="76">
        <f>$G15*'2. Salmon Passage by Bin'!J15</f>
        <v>0</v>
      </c>
      <c r="S15" s="56">
        <f>'2. Salmon Passage by Bin'!K15*H15</f>
        <v>0</v>
      </c>
      <c r="T15" s="25">
        <f>K15*'2. Salmon Passage by Bin'!L15</f>
        <v>0</v>
      </c>
      <c r="U15" s="25">
        <f>K15*'2. Salmon Passage by Bin'!M15</f>
        <v>0</v>
      </c>
      <c r="V15" s="25">
        <f>J15*'2. Salmon Passage by Bin'!N15</f>
        <v>0</v>
      </c>
      <c r="W15" s="25">
        <f>I15*'2. Salmon Passage by Bin'!O15</f>
        <v>0</v>
      </c>
      <c r="X15" s="76">
        <f>E15*'2. Salmon Passage by Bin'!E15</f>
        <v>0</v>
      </c>
      <c r="Y15" s="41">
        <f t="shared" si="0"/>
        <v>0</v>
      </c>
      <c r="Z15" s="42">
        <f>Y15/'[1]Passage Estimates'!$D15</f>
        <v>0</v>
      </c>
      <c r="AA15" s="43">
        <f>IFERROR(SUMIF(L15:O15, "&lt;&gt;#N/A")/SUMIF('2. Salmon Passage by Bin'!E15:J15, "&lt;&gt;#N/A"), NA())</f>
        <v>0</v>
      </c>
      <c r="AB15" s="42">
        <f>IFERROR(IF(ISNA(S15), NA(), S15/'2. Salmon Passage by Bin'!K15), NA())</f>
        <v>0</v>
      </c>
      <c r="AC15" s="44">
        <f>IFERROR(SUMIF(T15:W15, "&lt;&gt;#N/A")/SUMIF('2. Salmon Passage by Bin'!L15:N15, "&lt;&gt;#N/A"), NA())</f>
        <v>0</v>
      </c>
    </row>
    <row r="16" spans="1:29" x14ac:dyDescent="0.3">
      <c r="A16" s="5">
        <f>'1. Mixture Model Inputs'!A16</f>
        <v>45118</v>
      </c>
      <c r="B16" s="13" t="str">
        <f>IF(ISBLANK('[1]Passage Estimates'!$C16), "", '[1]Passage Estimates'!$C16)</f>
        <v>S1+M+A2</v>
      </c>
      <c r="C16" s="71">
        <f>IFERROR('1. Mixture Model Inputs'!R16/'1. Mixture Model Inputs'!Z16,0)</f>
        <v>0</v>
      </c>
      <c r="D16" s="71">
        <f>IFERROR('1. Mixture Model Inputs'!S16/'1. Mixture Model Inputs'!AA16,0)</f>
        <v>0</v>
      </c>
      <c r="E16" s="71">
        <f>IFERROR('1. Mixture Model Inputs'!T16/'1. Mixture Model Inputs'!AB16,0)</f>
        <v>0</v>
      </c>
      <c r="F16" s="71">
        <f>IFERROR('1. Mixture Model Inputs'!U16/'1. Mixture Model Inputs'!AC16,0)</f>
        <v>0</v>
      </c>
      <c r="G16" s="71">
        <f>IFERROR('1. Mixture Model Inputs'!V16/'1. Mixture Model Inputs'!AD16,0)</f>
        <v>0</v>
      </c>
      <c r="H16" s="24">
        <f>WhonSpComp!AR31</f>
        <v>0</v>
      </c>
      <c r="I16" s="70">
        <f>IFERROR('1. Mixture Model Inputs'!W16/'1. Mixture Model Inputs'!AE16, 0)</f>
        <v>0</v>
      </c>
      <c r="J16" s="71">
        <f>IFERROR('1. Mixture Model Inputs'!X16/'1. Mixture Model Inputs'!AF16, 0)</f>
        <v>0</v>
      </c>
      <c r="K16" s="23">
        <f>IFERROR('1. Mixture Model Inputs'!Y16/'1. Mixture Model Inputs'!AG16, 0)</f>
        <v>0</v>
      </c>
      <c r="L16" s="76">
        <f>C16*'2. Salmon Passage by Bin'!C16</f>
        <v>0</v>
      </c>
      <c r="M16" s="76">
        <f>D16*'2. Salmon Passage by Bin'!D16</f>
        <v>0</v>
      </c>
      <c r="N16" s="76">
        <f>F16*'2. Salmon Passage by Bin'!F16</f>
        <v>0</v>
      </c>
      <c r="O16" s="76">
        <f>G16*'2. Salmon Passage by Bin'!G16</f>
        <v>0</v>
      </c>
      <c r="P16" s="76">
        <f>$G16*'2. Salmon Passage by Bin'!H16</f>
        <v>0</v>
      </c>
      <c r="Q16" s="76">
        <f>$G16*'2. Salmon Passage by Bin'!I16</f>
        <v>0</v>
      </c>
      <c r="R16" s="76">
        <f>$G16*'2. Salmon Passage by Bin'!J16</f>
        <v>0</v>
      </c>
      <c r="S16" s="56">
        <f>'2. Salmon Passage by Bin'!K16*H16</f>
        <v>0</v>
      </c>
      <c r="T16" s="25">
        <f>K16*'2. Salmon Passage by Bin'!L16</f>
        <v>0</v>
      </c>
      <c r="U16" s="25">
        <f>K16*'2. Salmon Passage by Bin'!M16</f>
        <v>0</v>
      </c>
      <c r="V16" s="25">
        <f>J16*'2. Salmon Passage by Bin'!N16</f>
        <v>0</v>
      </c>
      <c r="W16" s="25">
        <f>I16*'2. Salmon Passage by Bin'!O16</f>
        <v>0</v>
      </c>
      <c r="X16" s="76">
        <f>E16*'2. Salmon Passage by Bin'!E16</f>
        <v>0</v>
      </c>
      <c r="Y16" s="41">
        <f t="shared" si="0"/>
        <v>0</v>
      </c>
      <c r="Z16" s="42">
        <f>Y16/'[1]Passage Estimates'!$D16</f>
        <v>0</v>
      </c>
      <c r="AA16" s="43">
        <f>IFERROR(SUMIF(L16:O16, "&lt;&gt;#N/A")/SUMIF('2. Salmon Passage by Bin'!E16:J16, "&lt;&gt;#N/A"), NA())</f>
        <v>0</v>
      </c>
      <c r="AB16" s="42">
        <f>IFERROR(IF(ISNA(S16), NA(), S16/'2. Salmon Passage by Bin'!K16), NA())</f>
        <v>0</v>
      </c>
      <c r="AC16" s="44">
        <f>IFERROR(SUMIF(T16:W16, "&lt;&gt;#N/A")/SUMIF('2. Salmon Passage by Bin'!L16:N16, "&lt;&gt;#N/A"), NA())</f>
        <v>0</v>
      </c>
    </row>
    <row r="17" spans="1:29" x14ac:dyDescent="0.3">
      <c r="A17" s="5">
        <f>'1. Mixture Model Inputs'!A17</f>
        <v>45119</v>
      </c>
      <c r="B17" s="13" t="str">
        <f>IF(ISBLANK('[1]Passage Estimates'!$C17), "", '[1]Passage Estimates'!$C17)</f>
        <v>S1+M+A2</v>
      </c>
      <c r="C17" s="71">
        <f>IFERROR('1. Mixture Model Inputs'!R17/'1. Mixture Model Inputs'!Z17,0)</f>
        <v>0</v>
      </c>
      <c r="D17" s="71">
        <f>IFERROR('1. Mixture Model Inputs'!S17/'1. Mixture Model Inputs'!AA17,0)</f>
        <v>0</v>
      </c>
      <c r="E17" s="71">
        <f>IFERROR('1. Mixture Model Inputs'!T17/'1. Mixture Model Inputs'!AB17,0)</f>
        <v>0</v>
      </c>
      <c r="F17" s="71">
        <f>IFERROR('1. Mixture Model Inputs'!U17/'1. Mixture Model Inputs'!AC17,0)</f>
        <v>0</v>
      </c>
      <c r="G17" s="71">
        <f>IFERROR('1. Mixture Model Inputs'!V17/'1. Mixture Model Inputs'!AD17,0)</f>
        <v>0</v>
      </c>
      <c r="H17" s="24">
        <f>WhonSpComp!AR32</f>
        <v>0</v>
      </c>
      <c r="I17" s="70">
        <f>IFERROR('1. Mixture Model Inputs'!W17/'1. Mixture Model Inputs'!AE17, 0)</f>
        <v>0</v>
      </c>
      <c r="J17" s="71">
        <f>IFERROR('1. Mixture Model Inputs'!X17/'1. Mixture Model Inputs'!AF17, 0)</f>
        <v>0</v>
      </c>
      <c r="K17" s="23">
        <f>IFERROR('1. Mixture Model Inputs'!Y17/'1. Mixture Model Inputs'!AG17, 0)</f>
        <v>0</v>
      </c>
      <c r="L17" s="76">
        <f>C17*'2. Salmon Passage by Bin'!C17</f>
        <v>0</v>
      </c>
      <c r="M17" s="76">
        <f>D17*'2. Salmon Passage by Bin'!D17</f>
        <v>0</v>
      </c>
      <c r="N17" s="76">
        <f>F17*'2. Salmon Passage by Bin'!F17</f>
        <v>0</v>
      </c>
      <c r="O17" s="76">
        <f>G17*'2. Salmon Passage by Bin'!G17</f>
        <v>0</v>
      </c>
      <c r="P17" s="76">
        <f>$G17*'2. Salmon Passage by Bin'!H17</f>
        <v>0</v>
      </c>
      <c r="Q17" s="76">
        <f>$G17*'2. Salmon Passage by Bin'!I17</f>
        <v>0</v>
      </c>
      <c r="R17" s="76">
        <f>$G17*'2. Salmon Passage by Bin'!J17</f>
        <v>0</v>
      </c>
      <c r="S17" s="56">
        <f>'2. Salmon Passage by Bin'!K17*H17</f>
        <v>0</v>
      </c>
      <c r="T17" s="25">
        <f>K17*'2. Salmon Passage by Bin'!L17</f>
        <v>0</v>
      </c>
      <c r="U17" s="25">
        <f>K17*'2. Salmon Passage by Bin'!M17</f>
        <v>0</v>
      </c>
      <c r="V17" s="25">
        <f>J17*'2. Salmon Passage by Bin'!N17</f>
        <v>0</v>
      </c>
      <c r="W17" s="25">
        <f>I17*'2. Salmon Passage by Bin'!O17</f>
        <v>0</v>
      </c>
      <c r="X17" s="76">
        <f>E17*'2. Salmon Passage by Bin'!E17</f>
        <v>0</v>
      </c>
      <c r="Y17" s="41">
        <f t="shared" si="0"/>
        <v>0</v>
      </c>
      <c r="Z17" s="42">
        <f>Y17/'[1]Passage Estimates'!$D17</f>
        <v>0</v>
      </c>
      <c r="AA17" s="43">
        <f>IFERROR(SUMIF(L17:O17, "&lt;&gt;#N/A")/SUMIF('2. Salmon Passage by Bin'!E17:J17, "&lt;&gt;#N/A"), NA())</f>
        <v>0</v>
      </c>
      <c r="AB17" s="42">
        <f>IFERROR(IF(ISNA(S17), NA(), S17/'2. Salmon Passage by Bin'!K17), NA())</f>
        <v>0</v>
      </c>
      <c r="AC17" s="44">
        <f>IFERROR(SUMIF(T17:W17, "&lt;&gt;#N/A")/SUMIF('2. Salmon Passage by Bin'!L17:N17, "&lt;&gt;#N/A"), NA())</f>
        <v>0</v>
      </c>
    </row>
    <row r="18" spans="1:29" x14ac:dyDescent="0.3">
      <c r="A18" s="5">
        <f>'1. Mixture Model Inputs'!A18</f>
        <v>45120</v>
      </c>
      <c r="B18" s="13" t="str">
        <f>IF(ISBLANK('[1]Passage Estimates'!$C18), "", '[1]Passage Estimates'!$C18)</f>
        <v>S1+M+A2</v>
      </c>
      <c r="C18" s="71">
        <f>IFERROR('1. Mixture Model Inputs'!R18/'1. Mixture Model Inputs'!Z18,0)</f>
        <v>0</v>
      </c>
      <c r="D18" s="71">
        <f>IFERROR('1. Mixture Model Inputs'!S18/'1. Mixture Model Inputs'!AA18,0)</f>
        <v>0</v>
      </c>
      <c r="E18" s="71">
        <f>IFERROR('1. Mixture Model Inputs'!T18/'1. Mixture Model Inputs'!AB18,0)</f>
        <v>0</v>
      </c>
      <c r="F18" s="71">
        <f>IFERROR('1. Mixture Model Inputs'!U18/'1. Mixture Model Inputs'!AC18,0)</f>
        <v>0</v>
      </c>
      <c r="G18" s="71">
        <f>IFERROR('1. Mixture Model Inputs'!V18/'1. Mixture Model Inputs'!AD18,0)</f>
        <v>0</v>
      </c>
      <c r="H18" s="24">
        <f>WhonSpComp!AR33</f>
        <v>0</v>
      </c>
      <c r="I18" s="70">
        <f>IFERROR('1. Mixture Model Inputs'!W18/'1. Mixture Model Inputs'!AE18, 0)</f>
        <v>0</v>
      </c>
      <c r="J18" s="71">
        <f>IFERROR('1. Mixture Model Inputs'!X18/'1. Mixture Model Inputs'!AF18, 0)</f>
        <v>0</v>
      </c>
      <c r="K18" s="23">
        <f>IFERROR('1. Mixture Model Inputs'!Y18/'1. Mixture Model Inputs'!AG18, 0)</f>
        <v>0</v>
      </c>
      <c r="L18" s="76">
        <f>C18*'2. Salmon Passage by Bin'!C18</f>
        <v>0</v>
      </c>
      <c r="M18" s="76">
        <f>D18*'2. Salmon Passage by Bin'!D18</f>
        <v>0</v>
      </c>
      <c r="N18" s="76">
        <f>F18*'2. Salmon Passage by Bin'!F18</f>
        <v>0</v>
      </c>
      <c r="O18" s="76">
        <f>G18*'2. Salmon Passage by Bin'!G18</f>
        <v>0</v>
      </c>
      <c r="P18" s="76">
        <f>$G18*'2. Salmon Passage by Bin'!H18</f>
        <v>0</v>
      </c>
      <c r="Q18" s="76">
        <f>$G18*'2. Salmon Passage by Bin'!I18</f>
        <v>0</v>
      </c>
      <c r="R18" s="76">
        <f>$G18*'2. Salmon Passage by Bin'!J18</f>
        <v>0</v>
      </c>
      <c r="S18" s="56">
        <f>'2. Salmon Passage by Bin'!K18*H18</f>
        <v>0</v>
      </c>
      <c r="T18" s="25">
        <f>K18*'2. Salmon Passage by Bin'!L18</f>
        <v>0</v>
      </c>
      <c r="U18" s="25">
        <f>K18*'2. Salmon Passage by Bin'!M18</f>
        <v>0</v>
      </c>
      <c r="V18" s="25">
        <f>J18*'2. Salmon Passage by Bin'!N18</f>
        <v>0</v>
      </c>
      <c r="W18" s="25">
        <f>I18*'2. Salmon Passage by Bin'!O18</f>
        <v>0</v>
      </c>
      <c r="X18" s="76">
        <f>E18*'2. Salmon Passage by Bin'!E18</f>
        <v>0</v>
      </c>
      <c r="Y18" s="41">
        <f t="shared" si="0"/>
        <v>0</v>
      </c>
      <c r="Z18" s="42">
        <f>Y18/'[1]Passage Estimates'!$D18</f>
        <v>0</v>
      </c>
      <c r="AA18" s="43">
        <f>IFERROR(SUMIF(L18:O18, "&lt;&gt;#N/A")/SUMIF('2. Salmon Passage by Bin'!E18:J18, "&lt;&gt;#N/A"), NA())</f>
        <v>0</v>
      </c>
      <c r="AB18" s="42">
        <f>IFERROR(IF(ISNA(S18), NA(), S18/'2. Salmon Passage by Bin'!K18), NA())</f>
        <v>0</v>
      </c>
      <c r="AC18" s="44">
        <f>IFERROR(SUMIF(T18:W18, "&lt;&gt;#N/A")/SUMIF('2. Salmon Passage by Bin'!L18:N18, "&lt;&gt;#N/A"), NA())</f>
        <v>0</v>
      </c>
    </row>
    <row r="19" spans="1:29" x14ac:dyDescent="0.3">
      <c r="A19" s="5">
        <f>'1. Mixture Model Inputs'!A19</f>
        <v>45121</v>
      </c>
      <c r="B19" s="13" t="str">
        <f>IF(ISBLANK('[1]Passage Estimates'!$C19), "", '[1]Passage Estimates'!$C19)</f>
        <v>S1+M+A2</v>
      </c>
      <c r="C19" s="71">
        <f>IFERROR('1. Mixture Model Inputs'!R19/'1. Mixture Model Inputs'!Z19,0)</f>
        <v>0</v>
      </c>
      <c r="D19" s="71">
        <f>IFERROR('1. Mixture Model Inputs'!S19/'1. Mixture Model Inputs'!AA19,0)</f>
        <v>0</v>
      </c>
      <c r="E19" s="71">
        <f>IFERROR('1. Mixture Model Inputs'!T19/'1. Mixture Model Inputs'!AB19,0)</f>
        <v>0</v>
      </c>
      <c r="F19" s="71">
        <f>IFERROR('1. Mixture Model Inputs'!U19/'1. Mixture Model Inputs'!AC19,0)</f>
        <v>0</v>
      </c>
      <c r="G19" s="71">
        <f>IFERROR('1. Mixture Model Inputs'!V19/'1. Mixture Model Inputs'!AD19,0)</f>
        <v>0</v>
      </c>
      <c r="H19" s="24">
        <f>WhonSpComp!AR34</f>
        <v>0</v>
      </c>
      <c r="I19" s="70">
        <f>IFERROR('1. Mixture Model Inputs'!W19/'1. Mixture Model Inputs'!AE19, 0)</f>
        <v>0</v>
      </c>
      <c r="J19" s="71">
        <f>IFERROR('1. Mixture Model Inputs'!X19/'1. Mixture Model Inputs'!AF19, 0)</f>
        <v>0</v>
      </c>
      <c r="K19" s="23">
        <f>IFERROR('1. Mixture Model Inputs'!Y19/'1. Mixture Model Inputs'!AG19, 0)</f>
        <v>0</v>
      </c>
      <c r="L19" s="76">
        <f>C19*'2. Salmon Passage by Bin'!C19</f>
        <v>0</v>
      </c>
      <c r="M19" s="76">
        <f>D19*'2. Salmon Passage by Bin'!D19</f>
        <v>0</v>
      </c>
      <c r="N19" s="76">
        <f>F19*'2. Salmon Passage by Bin'!F19</f>
        <v>0</v>
      </c>
      <c r="O19" s="76">
        <f>G19*'2. Salmon Passage by Bin'!G19</f>
        <v>0</v>
      </c>
      <c r="P19" s="76">
        <f>$G19*'2. Salmon Passage by Bin'!H19</f>
        <v>0</v>
      </c>
      <c r="Q19" s="76">
        <f>$G19*'2. Salmon Passage by Bin'!I19</f>
        <v>0</v>
      </c>
      <c r="R19" s="76">
        <f>$G19*'2. Salmon Passage by Bin'!J19</f>
        <v>0</v>
      </c>
      <c r="S19" s="56">
        <f>'2. Salmon Passage by Bin'!K19*H19</f>
        <v>0</v>
      </c>
      <c r="T19" s="25">
        <f>K19*'2. Salmon Passage by Bin'!L19</f>
        <v>0</v>
      </c>
      <c r="U19" s="25">
        <f>K19*'2. Salmon Passage by Bin'!M19</f>
        <v>0</v>
      </c>
      <c r="V19" s="25">
        <f>J19*'2. Salmon Passage by Bin'!N19</f>
        <v>0</v>
      </c>
      <c r="W19" s="25">
        <f>I19*'2. Salmon Passage by Bin'!O19</f>
        <v>0</v>
      </c>
      <c r="X19" s="76">
        <f>E19*'2. Salmon Passage by Bin'!E19</f>
        <v>0</v>
      </c>
      <c r="Y19" s="41">
        <f t="shared" si="0"/>
        <v>0</v>
      </c>
      <c r="Z19" s="42">
        <f>Y19/'[1]Passage Estimates'!$D19</f>
        <v>0</v>
      </c>
      <c r="AA19" s="43">
        <f>IFERROR(SUMIF(L19:O19, "&lt;&gt;#N/A")/SUMIF('2. Salmon Passage by Bin'!E19:J19, "&lt;&gt;#N/A"), NA())</f>
        <v>0</v>
      </c>
      <c r="AB19" s="42">
        <f>IFERROR(IF(ISNA(S19), NA(), S19/'2. Salmon Passage by Bin'!K19), NA())</f>
        <v>0</v>
      </c>
      <c r="AC19" s="44">
        <f>IFERROR(SUMIF(T19:W19, "&lt;&gt;#N/A")/SUMIF('2. Salmon Passage by Bin'!L19:N19, "&lt;&gt;#N/A"), NA())</f>
        <v>0</v>
      </c>
    </row>
    <row r="20" spans="1:29" x14ac:dyDescent="0.3">
      <c r="A20" s="5">
        <f>'1. Mixture Model Inputs'!A20</f>
        <v>45122</v>
      </c>
      <c r="B20" s="13" t="str">
        <f>IF(ISBLANK('[1]Passage Estimates'!$C20), "", '[1]Passage Estimates'!$C20)</f>
        <v>S1+M+A2</v>
      </c>
      <c r="C20" s="71">
        <f>IFERROR('1. Mixture Model Inputs'!R20/'1. Mixture Model Inputs'!Z20,0)</f>
        <v>0</v>
      </c>
      <c r="D20" s="71">
        <f>IFERROR('1. Mixture Model Inputs'!S20/'1. Mixture Model Inputs'!AA20,0)</f>
        <v>0</v>
      </c>
      <c r="E20" s="71">
        <f>IFERROR('1. Mixture Model Inputs'!T20/'1. Mixture Model Inputs'!AB20,0)</f>
        <v>0</v>
      </c>
      <c r="F20" s="71">
        <f>IFERROR('1. Mixture Model Inputs'!U20/'1. Mixture Model Inputs'!AC20,0)</f>
        <v>0</v>
      </c>
      <c r="G20" s="71">
        <f>IFERROR('1. Mixture Model Inputs'!V20/'1. Mixture Model Inputs'!AD20,0)</f>
        <v>0</v>
      </c>
      <c r="H20" s="24">
        <f>WhonSpComp!AR35</f>
        <v>0</v>
      </c>
      <c r="I20" s="70">
        <f>IFERROR('1. Mixture Model Inputs'!W20/'1. Mixture Model Inputs'!AE20, 0)</f>
        <v>0</v>
      </c>
      <c r="J20" s="71">
        <f>IFERROR('1. Mixture Model Inputs'!X20/'1. Mixture Model Inputs'!AF20, 0)</f>
        <v>0</v>
      </c>
      <c r="K20" s="23">
        <f>IFERROR('1. Mixture Model Inputs'!Y20/'1. Mixture Model Inputs'!AG20, 0)</f>
        <v>0</v>
      </c>
      <c r="L20" s="76">
        <f>C20*'2. Salmon Passage by Bin'!C20</f>
        <v>0</v>
      </c>
      <c r="M20" s="76">
        <f>D20*'2. Salmon Passage by Bin'!D20</f>
        <v>0</v>
      </c>
      <c r="N20" s="76">
        <f>F20*'2. Salmon Passage by Bin'!F20</f>
        <v>0</v>
      </c>
      <c r="O20" s="76">
        <f>G20*'2. Salmon Passage by Bin'!G20</f>
        <v>0</v>
      </c>
      <c r="P20" s="76">
        <f>$G20*'2. Salmon Passage by Bin'!H20</f>
        <v>0</v>
      </c>
      <c r="Q20" s="76">
        <f>$G20*'2. Salmon Passage by Bin'!I20</f>
        <v>0</v>
      </c>
      <c r="R20" s="76">
        <f>$G20*'2. Salmon Passage by Bin'!J20</f>
        <v>0</v>
      </c>
      <c r="S20" s="56">
        <f>'2. Salmon Passage by Bin'!K20*H20</f>
        <v>0</v>
      </c>
      <c r="T20" s="25">
        <f>K20*'2. Salmon Passage by Bin'!L20</f>
        <v>0</v>
      </c>
      <c r="U20" s="25">
        <f>K20*'2. Salmon Passage by Bin'!M20</f>
        <v>0</v>
      </c>
      <c r="V20" s="25">
        <f>J20*'2. Salmon Passage by Bin'!N20</f>
        <v>0</v>
      </c>
      <c r="W20" s="25">
        <f>I20*'2. Salmon Passage by Bin'!O20</f>
        <v>0</v>
      </c>
      <c r="X20" s="76">
        <f>E20*'2. Salmon Passage by Bin'!E20</f>
        <v>0</v>
      </c>
      <c r="Y20" s="41">
        <f t="shared" si="0"/>
        <v>0</v>
      </c>
      <c r="Z20" s="42">
        <f>Y20/'[1]Passage Estimates'!$D20</f>
        <v>0</v>
      </c>
      <c r="AA20" s="43">
        <f>IFERROR(SUMIF(L20:O20, "&lt;&gt;#N/A")/SUMIF('2. Salmon Passage by Bin'!E20:J20, "&lt;&gt;#N/A"), NA())</f>
        <v>0</v>
      </c>
      <c r="AB20" s="42">
        <f>IFERROR(IF(ISNA(S20), NA(), S20/'2. Salmon Passage by Bin'!K20), NA())</f>
        <v>0</v>
      </c>
      <c r="AC20" s="44">
        <f>IFERROR(SUMIF(T20:W20, "&lt;&gt;#N/A")/SUMIF('2. Salmon Passage by Bin'!L20:N20, "&lt;&gt;#N/A"), NA())</f>
        <v>0</v>
      </c>
    </row>
    <row r="21" spans="1:29" x14ac:dyDescent="0.3">
      <c r="A21" s="5">
        <f>'1. Mixture Model Inputs'!A21</f>
        <v>45123</v>
      </c>
      <c r="B21" s="13" t="str">
        <f>IF(ISBLANK('[1]Passage Estimates'!$C21), "", '[1]Passage Estimates'!$C21)</f>
        <v>S1+M+A2</v>
      </c>
      <c r="C21" s="71">
        <f>IFERROR('1. Mixture Model Inputs'!R21/'1. Mixture Model Inputs'!Z21,0)</f>
        <v>0</v>
      </c>
      <c r="D21" s="71">
        <f>IFERROR('1. Mixture Model Inputs'!S21/'1. Mixture Model Inputs'!AA21,0)</f>
        <v>0</v>
      </c>
      <c r="E21" s="71">
        <f>IFERROR('1. Mixture Model Inputs'!T21/'1. Mixture Model Inputs'!AB21,0)</f>
        <v>0</v>
      </c>
      <c r="F21" s="71">
        <f>IFERROR('1. Mixture Model Inputs'!U21/'1. Mixture Model Inputs'!AC21,0)</f>
        <v>0</v>
      </c>
      <c r="G21" s="71">
        <f>IFERROR('1. Mixture Model Inputs'!V21/'1. Mixture Model Inputs'!AD21,0)</f>
        <v>0</v>
      </c>
      <c r="H21" s="24">
        <f>WhonSpComp!AR36</f>
        <v>0</v>
      </c>
      <c r="I21" s="70">
        <f>IFERROR('1. Mixture Model Inputs'!W21/'1. Mixture Model Inputs'!AE21, 0)</f>
        <v>0</v>
      </c>
      <c r="J21" s="71">
        <f>IFERROR('1. Mixture Model Inputs'!X21/'1. Mixture Model Inputs'!AF21, 0)</f>
        <v>0</v>
      </c>
      <c r="K21" s="23">
        <f>IFERROR('1. Mixture Model Inputs'!Y21/'1. Mixture Model Inputs'!AG21, 0)</f>
        <v>0</v>
      </c>
      <c r="L21" s="76">
        <f>C21*'2. Salmon Passage by Bin'!C21</f>
        <v>0</v>
      </c>
      <c r="M21" s="76">
        <f>D21*'2. Salmon Passage by Bin'!D21</f>
        <v>0</v>
      </c>
      <c r="N21" s="76">
        <f>F21*'2. Salmon Passage by Bin'!F21</f>
        <v>0</v>
      </c>
      <c r="O21" s="76">
        <f>G21*'2. Salmon Passage by Bin'!G21</f>
        <v>0</v>
      </c>
      <c r="P21" s="76">
        <f>$G21*'2. Salmon Passage by Bin'!H21</f>
        <v>0</v>
      </c>
      <c r="Q21" s="76">
        <f>$G21*'2. Salmon Passage by Bin'!I21</f>
        <v>0</v>
      </c>
      <c r="R21" s="76">
        <f>$G21*'2. Salmon Passage by Bin'!J21</f>
        <v>0</v>
      </c>
      <c r="S21" s="56">
        <f>'2. Salmon Passage by Bin'!K21*H21</f>
        <v>0</v>
      </c>
      <c r="T21" s="25">
        <f>K21*'2. Salmon Passage by Bin'!L21</f>
        <v>0</v>
      </c>
      <c r="U21" s="25">
        <f>K21*'2. Salmon Passage by Bin'!M21</f>
        <v>0</v>
      </c>
      <c r="V21" s="25">
        <f>J21*'2. Salmon Passage by Bin'!N21</f>
        <v>0</v>
      </c>
      <c r="W21" s="25">
        <f>I21*'2. Salmon Passage by Bin'!O21</f>
        <v>0</v>
      </c>
      <c r="X21" s="76">
        <f>E21*'2. Salmon Passage by Bin'!E21</f>
        <v>0</v>
      </c>
      <c r="Y21" s="41">
        <f t="shared" si="0"/>
        <v>0</v>
      </c>
      <c r="Z21" s="42">
        <f>Y21/'[1]Passage Estimates'!$D21</f>
        <v>0</v>
      </c>
      <c r="AA21" s="43">
        <f>IFERROR(SUMIF(L21:O21, "&lt;&gt;#N/A")/SUMIF('2. Salmon Passage by Bin'!E21:J21, "&lt;&gt;#N/A"), NA())</f>
        <v>0</v>
      </c>
      <c r="AB21" s="42">
        <f>IFERROR(IF(ISNA(S21), NA(), S21/'2. Salmon Passage by Bin'!K21), NA())</f>
        <v>0</v>
      </c>
      <c r="AC21" s="44">
        <f>IFERROR(SUMIF(T21:W21, "&lt;&gt;#N/A")/SUMIF('2. Salmon Passage by Bin'!L21:N21, "&lt;&gt;#N/A"), NA())</f>
        <v>0</v>
      </c>
    </row>
    <row r="22" spans="1:29" x14ac:dyDescent="0.3">
      <c r="A22" s="5">
        <f>'1. Mixture Model Inputs'!A22</f>
        <v>45124</v>
      </c>
      <c r="B22" s="13" t="str">
        <f>IF(ISBLANK('[1]Passage Estimates'!$C22), "", '[1]Passage Estimates'!$C22)</f>
        <v>Imputation</v>
      </c>
      <c r="C22" s="71">
        <f>IFERROR('1. Mixture Model Inputs'!R22/'1. Mixture Model Inputs'!Z22,0)</f>
        <v>0</v>
      </c>
      <c r="D22" s="71">
        <f>IFERROR('1. Mixture Model Inputs'!S22/'1. Mixture Model Inputs'!AA22,0)</f>
        <v>0</v>
      </c>
      <c r="E22" s="71">
        <f>IFERROR('1. Mixture Model Inputs'!T22/'1. Mixture Model Inputs'!AB22,0)</f>
        <v>0</v>
      </c>
      <c r="F22" s="71">
        <f>IFERROR('1. Mixture Model Inputs'!U22/'1. Mixture Model Inputs'!AC22,0)</f>
        <v>0</v>
      </c>
      <c r="G22" s="71">
        <f>IFERROR('1. Mixture Model Inputs'!V22/'1. Mixture Model Inputs'!AD22,0)</f>
        <v>0</v>
      </c>
      <c r="H22" s="24">
        <f>WhonSpComp!AR37</f>
        <v>0</v>
      </c>
      <c r="I22" s="70">
        <f>IFERROR('1. Mixture Model Inputs'!W22/'1. Mixture Model Inputs'!AE22, 0)</f>
        <v>0</v>
      </c>
      <c r="J22" s="71">
        <f>IFERROR('1. Mixture Model Inputs'!X22/'1. Mixture Model Inputs'!AF22, 0)</f>
        <v>0</v>
      </c>
      <c r="K22" s="23">
        <f>IFERROR('1. Mixture Model Inputs'!Y22/'1. Mixture Model Inputs'!AG22, 0)</f>
        <v>0</v>
      </c>
      <c r="L22" s="76">
        <f>C22*'2. Salmon Passage by Bin'!C22</f>
        <v>0</v>
      </c>
      <c r="M22" s="76">
        <f>D22*'2. Salmon Passage by Bin'!D22</f>
        <v>0</v>
      </c>
      <c r="N22" s="76">
        <f>F22*'2. Salmon Passage by Bin'!F22</f>
        <v>0</v>
      </c>
      <c r="O22" s="76">
        <f>G22*'2. Salmon Passage by Bin'!G22</f>
        <v>0</v>
      </c>
      <c r="P22" s="76">
        <f>$G22*'2. Salmon Passage by Bin'!H22</f>
        <v>0</v>
      </c>
      <c r="Q22" s="76">
        <f>$G22*'2. Salmon Passage by Bin'!I22</f>
        <v>0</v>
      </c>
      <c r="R22" s="76">
        <f>$G22*'2. Salmon Passage by Bin'!J22</f>
        <v>0</v>
      </c>
      <c r="S22" s="56">
        <f>'2. Salmon Passage by Bin'!K22*H22</f>
        <v>0</v>
      </c>
      <c r="T22" s="25">
        <f>K22*'2. Salmon Passage by Bin'!L22</f>
        <v>0</v>
      </c>
      <c r="U22" s="25">
        <f>K22*'2. Salmon Passage by Bin'!M22</f>
        <v>0</v>
      </c>
      <c r="V22" s="25">
        <f>J22*'2. Salmon Passage by Bin'!N22</f>
        <v>0</v>
      </c>
      <c r="W22" s="25">
        <f>I22*'2. Salmon Passage by Bin'!O22</f>
        <v>0</v>
      </c>
      <c r="X22" s="76">
        <f>E22*'2. Salmon Passage by Bin'!E22</f>
        <v>0</v>
      </c>
      <c r="Y22" s="41">
        <f t="shared" si="0"/>
        <v>0</v>
      </c>
      <c r="Z22" s="42">
        <f>Y22/'[1]Passage Estimates'!$D22</f>
        <v>0</v>
      </c>
      <c r="AA22" s="43">
        <f>IFERROR(SUMIF(L22:O22, "&lt;&gt;#N/A")/SUMIF('2. Salmon Passage by Bin'!E22:J22, "&lt;&gt;#N/A"), NA())</f>
        <v>0</v>
      </c>
      <c r="AB22" s="42">
        <f>IFERROR(IF(ISNA(S22), NA(), S22/'2. Salmon Passage by Bin'!K22), NA())</f>
        <v>0</v>
      </c>
      <c r="AC22" s="44">
        <f>IFERROR(SUMIF(T22:W22, "&lt;&gt;#N/A")/SUMIF('2. Salmon Passage by Bin'!L22:N22, "&lt;&gt;#N/A"), NA())</f>
        <v>0</v>
      </c>
    </row>
    <row r="23" spans="1:29" x14ac:dyDescent="0.3">
      <c r="A23" s="5">
        <f>'1. Mixture Model Inputs'!A23</f>
        <v>45125</v>
      </c>
      <c r="B23" s="13" t="str">
        <f>IF(ISBLANK('[1]Passage Estimates'!$C23), "", '[1]Passage Estimates'!$C23)</f>
        <v>S1+M+A2</v>
      </c>
      <c r="C23" s="71">
        <f>IFERROR('1. Mixture Model Inputs'!R23/'1. Mixture Model Inputs'!Z23,0)</f>
        <v>0</v>
      </c>
      <c r="D23" s="71">
        <f>IFERROR('1. Mixture Model Inputs'!S23/'1. Mixture Model Inputs'!AA23,0)</f>
        <v>0</v>
      </c>
      <c r="E23" s="71">
        <f>IFERROR('1. Mixture Model Inputs'!T23/'1. Mixture Model Inputs'!AB23,0)</f>
        <v>0</v>
      </c>
      <c r="F23" s="71">
        <f>IFERROR('1. Mixture Model Inputs'!U23/'1. Mixture Model Inputs'!AC23,0)</f>
        <v>0</v>
      </c>
      <c r="G23" s="71">
        <f>IFERROR('1. Mixture Model Inputs'!V23/'1. Mixture Model Inputs'!AD23,0)</f>
        <v>0</v>
      </c>
      <c r="H23" s="24">
        <f>WhonSpComp!AR38</f>
        <v>0</v>
      </c>
      <c r="I23" s="70">
        <f>IFERROR('1. Mixture Model Inputs'!W23/'1. Mixture Model Inputs'!AE23, 0)</f>
        <v>0</v>
      </c>
      <c r="J23" s="71">
        <f>IFERROR('1. Mixture Model Inputs'!X23/'1. Mixture Model Inputs'!AF23, 0)</f>
        <v>0</v>
      </c>
      <c r="K23" s="23">
        <f>IFERROR('1. Mixture Model Inputs'!Y23/'1. Mixture Model Inputs'!AG23, 0)</f>
        <v>0</v>
      </c>
      <c r="L23" s="76">
        <f>C23*'2. Salmon Passage by Bin'!C23</f>
        <v>0</v>
      </c>
      <c r="M23" s="76">
        <f>D23*'2. Salmon Passage by Bin'!D23</f>
        <v>0</v>
      </c>
      <c r="N23" s="76">
        <f>F23*'2. Salmon Passage by Bin'!F23</f>
        <v>0</v>
      </c>
      <c r="O23" s="76">
        <f>G23*'2. Salmon Passage by Bin'!G23</f>
        <v>0</v>
      </c>
      <c r="P23" s="76">
        <f>$G23*'2. Salmon Passage by Bin'!H23</f>
        <v>0</v>
      </c>
      <c r="Q23" s="76">
        <f>$G23*'2. Salmon Passage by Bin'!I23</f>
        <v>0</v>
      </c>
      <c r="R23" s="76">
        <f>$G23*'2. Salmon Passage by Bin'!J23</f>
        <v>0</v>
      </c>
      <c r="S23" s="56">
        <f>'2. Salmon Passage by Bin'!K23*H23</f>
        <v>0</v>
      </c>
      <c r="T23" s="25">
        <f>K23*'2. Salmon Passage by Bin'!L23</f>
        <v>0</v>
      </c>
      <c r="U23" s="25">
        <f>K23*'2. Salmon Passage by Bin'!M23</f>
        <v>0</v>
      </c>
      <c r="V23" s="25">
        <f>J23*'2. Salmon Passage by Bin'!N23</f>
        <v>0</v>
      </c>
      <c r="W23" s="25">
        <f>I23*'2. Salmon Passage by Bin'!O23</f>
        <v>0</v>
      </c>
      <c r="X23" s="76">
        <f>E23*'2. Salmon Passage by Bin'!E23</f>
        <v>0</v>
      </c>
      <c r="Y23" s="41">
        <f t="shared" si="0"/>
        <v>0</v>
      </c>
      <c r="Z23" s="42">
        <f>Y23/'[1]Passage Estimates'!$D23</f>
        <v>0</v>
      </c>
      <c r="AA23" s="43">
        <f>IFERROR(SUMIF(L23:O23, "&lt;&gt;#N/A")/SUMIF('2. Salmon Passage by Bin'!E23:J23, "&lt;&gt;#N/A"), NA())</f>
        <v>0</v>
      </c>
      <c r="AB23" s="42">
        <f>IFERROR(IF(ISNA(S23), NA(), S23/'2. Salmon Passage by Bin'!K23), NA())</f>
        <v>0</v>
      </c>
      <c r="AC23" s="44">
        <f>IFERROR(SUMIF(T23:W23, "&lt;&gt;#N/A")/SUMIF('2. Salmon Passage by Bin'!L23:N23, "&lt;&gt;#N/A"), NA())</f>
        <v>0</v>
      </c>
    </row>
    <row r="24" spans="1:29" x14ac:dyDescent="0.3">
      <c r="A24" s="5">
        <f>'1. Mixture Model Inputs'!A24</f>
        <v>45126</v>
      </c>
      <c r="B24" s="13" t="str">
        <f>IF(ISBLANK('[1]Passage Estimates'!$C24), "", '[1]Passage Estimates'!$C24)</f>
        <v>S1+M2+A2</v>
      </c>
      <c r="C24" s="71">
        <f>IFERROR('1. Mixture Model Inputs'!R24/'1. Mixture Model Inputs'!Z24,0)</f>
        <v>0</v>
      </c>
      <c r="D24" s="71">
        <f>IFERROR('1. Mixture Model Inputs'!S24/'1. Mixture Model Inputs'!AA24,0)</f>
        <v>0</v>
      </c>
      <c r="E24" s="71">
        <f>IFERROR('1. Mixture Model Inputs'!T24/'1. Mixture Model Inputs'!AB24,0)</f>
        <v>0</v>
      </c>
      <c r="F24" s="71">
        <f>IFERROR('1. Mixture Model Inputs'!U24/'1. Mixture Model Inputs'!AC24,0)</f>
        <v>0</v>
      </c>
      <c r="G24" s="71">
        <f>IFERROR('1. Mixture Model Inputs'!V24/'1. Mixture Model Inputs'!AD24,0)</f>
        <v>0</v>
      </c>
      <c r="H24" s="24">
        <f>WhonSpComp!AR39</f>
        <v>0</v>
      </c>
      <c r="I24" s="70">
        <f>IFERROR('1. Mixture Model Inputs'!W24/'1. Mixture Model Inputs'!AE24, 0)</f>
        <v>0</v>
      </c>
      <c r="J24" s="71">
        <f>IFERROR('1. Mixture Model Inputs'!X24/'1. Mixture Model Inputs'!AF24, 0)</f>
        <v>0</v>
      </c>
      <c r="K24" s="23">
        <f>IFERROR('1. Mixture Model Inputs'!Y24/'1. Mixture Model Inputs'!AG24, 0)</f>
        <v>0</v>
      </c>
      <c r="L24" s="76">
        <f>C24*'2. Salmon Passage by Bin'!C24</f>
        <v>0</v>
      </c>
      <c r="M24" s="76">
        <f>D24*'2. Salmon Passage by Bin'!D24</f>
        <v>0</v>
      </c>
      <c r="N24" s="76">
        <f>F24*'2. Salmon Passage by Bin'!F24</f>
        <v>0</v>
      </c>
      <c r="O24" s="76">
        <f>G24*'2. Salmon Passage by Bin'!G24</f>
        <v>0</v>
      </c>
      <c r="P24" s="76">
        <f>$G24*'2. Salmon Passage by Bin'!H24</f>
        <v>0</v>
      </c>
      <c r="Q24" s="76">
        <f>$G24*'2. Salmon Passage by Bin'!I24</f>
        <v>0</v>
      </c>
      <c r="R24" s="76">
        <f>$G24*'2. Salmon Passage by Bin'!J24</f>
        <v>0</v>
      </c>
      <c r="S24" s="56">
        <f>'2. Salmon Passage by Bin'!K24*H24</f>
        <v>0</v>
      </c>
      <c r="T24" s="25">
        <f>K24*'2. Salmon Passage by Bin'!L24</f>
        <v>0</v>
      </c>
      <c r="U24" s="25">
        <f>K24*'2. Salmon Passage by Bin'!M24</f>
        <v>0</v>
      </c>
      <c r="V24" s="25">
        <f>J24*'2. Salmon Passage by Bin'!N24</f>
        <v>0</v>
      </c>
      <c r="W24" s="25">
        <f>I24*'2. Salmon Passage by Bin'!O24</f>
        <v>0</v>
      </c>
      <c r="X24" s="76">
        <f>E24*'2. Salmon Passage by Bin'!E24</f>
        <v>0</v>
      </c>
      <c r="Y24" s="41">
        <f t="shared" si="0"/>
        <v>0</v>
      </c>
      <c r="Z24" s="42">
        <f>Y24/'[1]Passage Estimates'!$D24</f>
        <v>0</v>
      </c>
      <c r="AA24" s="43">
        <f>IFERROR(SUMIF(L24:O24, "&lt;&gt;#N/A")/SUMIF('2. Salmon Passage by Bin'!E24:J24, "&lt;&gt;#N/A"), NA())</f>
        <v>0</v>
      </c>
      <c r="AB24" s="42">
        <f>IFERROR(IF(ISNA(S24), NA(), S24/'2. Salmon Passage by Bin'!K24), NA())</f>
        <v>0</v>
      </c>
      <c r="AC24" s="44">
        <f>IFERROR(SUMIF(T24:W24, "&lt;&gt;#N/A")/SUMIF('2. Salmon Passage by Bin'!L24:N24, "&lt;&gt;#N/A"), NA())</f>
        <v>0</v>
      </c>
    </row>
    <row r="25" spans="1:29" x14ac:dyDescent="0.3">
      <c r="A25" s="5">
        <f>'1. Mixture Model Inputs'!A25</f>
        <v>45127</v>
      </c>
      <c r="B25" s="13" t="str">
        <f>IF(ISBLANK('[1]Passage Estimates'!$C25), "", '[1]Passage Estimates'!$C25)</f>
        <v>S1+M2+A2</v>
      </c>
      <c r="C25" s="71">
        <f>IFERROR('1. Mixture Model Inputs'!R25/'1. Mixture Model Inputs'!Z25,0)</f>
        <v>0</v>
      </c>
      <c r="D25" s="71">
        <f>IFERROR('1. Mixture Model Inputs'!S25/'1. Mixture Model Inputs'!AA25,0)</f>
        <v>0</v>
      </c>
      <c r="E25" s="71">
        <f>IFERROR('1. Mixture Model Inputs'!T25/'1. Mixture Model Inputs'!AB25,0)</f>
        <v>0</v>
      </c>
      <c r="F25" s="71">
        <f>IFERROR('1. Mixture Model Inputs'!U25/'1. Mixture Model Inputs'!AC25,0)</f>
        <v>0</v>
      </c>
      <c r="G25" s="71">
        <f>IFERROR('1. Mixture Model Inputs'!V25/'1. Mixture Model Inputs'!AD25,0)</f>
        <v>0</v>
      </c>
      <c r="H25" s="24">
        <f>WhonSpComp!AR40</f>
        <v>0</v>
      </c>
      <c r="I25" s="70">
        <f>IFERROR('1. Mixture Model Inputs'!W25/'1. Mixture Model Inputs'!AE25, 0)</f>
        <v>0</v>
      </c>
      <c r="J25" s="71">
        <f>IFERROR('1. Mixture Model Inputs'!X25/'1. Mixture Model Inputs'!AF25, 0)</f>
        <v>0</v>
      </c>
      <c r="K25" s="23">
        <f>IFERROR('1. Mixture Model Inputs'!Y25/'1. Mixture Model Inputs'!AG25, 0)</f>
        <v>0</v>
      </c>
      <c r="L25" s="76">
        <f>C25*'2. Salmon Passage by Bin'!C25</f>
        <v>0</v>
      </c>
      <c r="M25" s="76">
        <f>D25*'2. Salmon Passage by Bin'!D25</f>
        <v>0</v>
      </c>
      <c r="N25" s="76">
        <f>F25*'2. Salmon Passage by Bin'!F25</f>
        <v>0</v>
      </c>
      <c r="O25" s="76">
        <f>G25*'2. Salmon Passage by Bin'!G25</f>
        <v>0</v>
      </c>
      <c r="P25" s="76">
        <f>$G25*'2. Salmon Passage by Bin'!H25</f>
        <v>0</v>
      </c>
      <c r="Q25" s="76">
        <f>$G25*'2. Salmon Passage by Bin'!I25</f>
        <v>0</v>
      </c>
      <c r="R25" s="76">
        <f>$G25*'2. Salmon Passage by Bin'!J25</f>
        <v>0</v>
      </c>
      <c r="S25" s="56">
        <f>'2. Salmon Passage by Bin'!K25*H25</f>
        <v>0</v>
      </c>
      <c r="T25" s="25">
        <f>K25*'2. Salmon Passage by Bin'!L25</f>
        <v>0</v>
      </c>
      <c r="U25" s="25">
        <f>K25*'2. Salmon Passage by Bin'!M25</f>
        <v>0</v>
      </c>
      <c r="V25" s="25">
        <f>J25*'2. Salmon Passage by Bin'!N25</f>
        <v>0</v>
      </c>
      <c r="W25" s="25">
        <f>I25*'2. Salmon Passage by Bin'!O25</f>
        <v>0</v>
      </c>
      <c r="X25" s="76">
        <f>E25*'2. Salmon Passage by Bin'!E25</f>
        <v>0</v>
      </c>
      <c r="Y25" s="41">
        <f t="shared" si="0"/>
        <v>0</v>
      </c>
      <c r="Z25" s="42">
        <f>Y25/'[1]Passage Estimates'!$D25</f>
        <v>0</v>
      </c>
      <c r="AA25" s="43">
        <f>IFERROR(SUMIF(L25:O25, "&lt;&gt;#N/A")/SUMIF('2. Salmon Passage by Bin'!E25:J25, "&lt;&gt;#N/A"), NA())</f>
        <v>0</v>
      </c>
      <c r="AB25" s="42">
        <f>IFERROR(IF(ISNA(S25), NA(), S25/'2. Salmon Passage by Bin'!K25), NA())</f>
        <v>0</v>
      </c>
      <c r="AC25" s="44">
        <f>IFERROR(SUMIF(T25:W25, "&lt;&gt;#N/A")/SUMIF('2. Salmon Passage by Bin'!L25:N25, "&lt;&gt;#N/A"), NA())</f>
        <v>0</v>
      </c>
    </row>
    <row r="26" spans="1:29" x14ac:dyDescent="0.3">
      <c r="A26" s="5">
        <f>'1. Mixture Model Inputs'!A26</f>
        <v>45128</v>
      </c>
      <c r="B26" s="13" t="str">
        <f>IF(ISBLANK('[1]Passage Estimates'!$C26), "", '[1]Passage Estimates'!$C26)</f>
        <v>S1+M2+A2</v>
      </c>
      <c r="C26" s="71">
        <f>IFERROR('1. Mixture Model Inputs'!R26/'1. Mixture Model Inputs'!Z26,0)</f>
        <v>0</v>
      </c>
      <c r="D26" s="71">
        <f>IFERROR('1. Mixture Model Inputs'!S26/'1. Mixture Model Inputs'!AA26,0)</f>
        <v>0</v>
      </c>
      <c r="E26" s="71">
        <f>IFERROR('1. Mixture Model Inputs'!T26/'1. Mixture Model Inputs'!AB26,0)</f>
        <v>0</v>
      </c>
      <c r="F26" s="71">
        <f>IFERROR('1. Mixture Model Inputs'!U26/'1. Mixture Model Inputs'!AC26,0)</f>
        <v>0</v>
      </c>
      <c r="G26" s="71">
        <f>IFERROR('1. Mixture Model Inputs'!V26/'1. Mixture Model Inputs'!AD26,0)</f>
        <v>0</v>
      </c>
      <c r="H26" s="24">
        <f>WhonSpComp!AR41</f>
        <v>0</v>
      </c>
      <c r="I26" s="70">
        <f>IFERROR('1. Mixture Model Inputs'!W26/'1. Mixture Model Inputs'!AE26, 0)</f>
        <v>0</v>
      </c>
      <c r="J26" s="71">
        <f>IFERROR('1. Mixture Model Inputs'!X26/'1. Mixture Model Inputs'!AF26, 0)</f>
        <v>0</v>
      </c>
      <c r="K26" s="23">
        <f>IFERROR('1. Mixture Model Inputs'!Y26/'1. Mixture Model Inputs'!AG26, 0)</f>
        <v>0</v>
      </c>
      <c r="L26" s="76">
        <f>C26*'2. Salmon Passage by Bin'!C26</f>
        <v>0</v>
      </c>
      <c r="M26" s="76">
        <f>D26*'2. Salmon Passage by Bin'!D26</f>
        <v>0</v>
      </c>
      <c r="N26" s="76">
        <f>F26*'2. Salmon Passage by Bin'!F26</f>
        <v>0</v>
      </c>
      <c r="O26" s="76">
        <f>G26*'2. Salmon Passage by Bin'!G26</f>
        <v>0</v>
      </c>
      <c r="P26" s="76">
        <f>$G26*'2. Salmon Passage by Bin'!H26</f>
        <v>0</v>
      </c>
      <c r="Q26" s="76">
        <f>$G26*'2. Salmon Passage by Bin'!I26</f>
        <v>0</v>
      </c>
      <c r="R26" s="76">
        <f>$G26*'2. Salmon Passage by Bin'!J26</f>
        <v>0</v>
      </c>
      <c r="S26" s="56">
        <f>'2. Salmon Passage by Bin'!K26*H26</f>
        <v>0</v>
      </c>
      <c r="T26" s="25">
        <f>K26*'2. Salmon Passage by Bin'!L26</f>
        <v>0</v>
      </c>
      <c r="U26" s="25">
        <f>K26*'2. Salmon Passage by Bin'!M26</f>
        <v>0</v>
      </c>
      <c r="V26" s="25">
        <f>J26*'2. Salmon Passage by Bin'!N26</f>
        <v>0</v>
      </c>
      <c r="W26" s="25">
        <f>I26*'2. Salmon Passage by Bin'!O26</f>
        <v>0</v>
      </c>
      <c r="X26" s="76">
        <f>E26*'2. Salmon Passage by Bin'!E26</f>
        <v>0</v>
      </c>
      <c r="Y26" s="41">
        <f t="shared" si="0"/>
        <v>0</v>
      </c>
      <c r="Z26" s="42">
        <f>Y26/'[1]Passage Estimates'!$D26</f>
        <v>0</v>
      </c>
      <c r="AA26" s="43">
        <f>IFERROR(SUMIF(L26:O26, "&lt;&gt;#N/A")/SUMIF('2. Salmon Passage by Bin'!E26:J26, "&lt;&gt;#N/A"), NA())</f>
        <v>0</v>
      </c>
      <c r="AB26" s="42">
        <f>IFERROR(IF(ISNA(S26), NA(), S26/'2. Salmon Passage by Bin'!K26), NA())</f>
        <v>0</v>
      </c>
      <c r="AC26" s="44">
        <f>IFERROR(SUMIF(T26:W26, "&lt;&gt;#N/A")/SUMIF('2. Salmon Passage by Bin'!L26:N26, "&lt;&gt;#N/A"), NA())</f>
        <v>0</v>
      </c>
    </row>
    <row r="27" spans="1:29" x14ac:dyDescent="0.3">
      <c r="A27" s="5">
        <f>'1. Mixture Model Inputs'!A27</f>
        <v>45129</v>
      </c>
      <c r="B27" s="13" t="str">
        <f>IF(ISBLANK('[1]Passage Estimates'!$C27), "", '[1]Passage Estimates'!$C27)</f>
        <v>S1+M2+A2</v>
      </c>
      <c r="C27" s="71">
        <f>IFERROR('1. Mixture Model Inputs'!R27/'1. Mixture Model Inputs'!Z27,0)</f>
        <v>0</v>
      </c>
      <c r="D27" s="71">
        <f>IFERROR('1. Mixture Model Inputs'!S27/'1. Mixture Model Inputs'!AA27,0)</f>
        <v>0</v>
      </c>
      <c r="E27" s="71">
        <f>IFERROR('1. Mixture Model Inputs'!T27/'1. Mixture Model Inputs'!AB27,0)</f>
        <v>0</v>
      </c>
      <c r="F27" s="71">
        <f>IFERROR('1. Mixture Model Inputs'!U27/'1. Mixture Model Inputs'!AC27,0)</f>
        <v>0</v>
      </c>
      <c r="G27" s="71">
        <f>IFERROR('1. Mixture Model Inputs'!V27/'1. Mixture Model Inputs'!AD27,0)</f>
        <v>0</v>
      </c>
      <c r="H27" s="24">
        <f>WhonSpComp!AR42</f>
        <v>0</v>
      </c>
      <c r="I27" s="70">
        <f>IFERROR('1. Mixture Model Inputs'!W27/'1. Mixture Model Inputs'!AE27, 0)</f>
        <v>0</v>
      </c>
      <c r="J27" s="71">
        <f>IFERROR('1. Mixture Model Inputs'!X27/'1. Mixture Model Inputs'!AF27, 0)</f>
        <v>0</v>
      </c>
      <c r="K27" s="23">
        <f>IFERROR('1. Mixture Model Inputs'!Y27/'1. Mixture Model Inputs'!AG27, 0)</f>
        <v>0</v>
      </c>
      <c r="L27" s="76">
        <f>C27*'2. Salmon Passage by Bin'!C27</f>
        <v>0</v>
      </c>
      <c r="M27" s="76">
        <f>D27*'2. Salmon Passage by Bin'!D27</f>
        <v>0</v>
      </c>
      <c r="N27" s="76">
        <f>F27*'2. Salmon Passage by Bin'!F27</f>
        <v>0</v>
      </c>
      <c r="O27" s="76">
        <f>G27*'2. Salmon Passage by Bin'!G27</f>
        <v>0</v>
      </c>
      <c r="P27" s="76">
        <f>$G27*'2. Salmon Passage by Bin'!H27</f>
        <v>0</v>
      </c>
      <c r="Q27" s="76">
        <f>$G27*'2. Salmon Passage by Bin'!I27</f>
        <v>0</v>
      </c>
      <c r="R27" s="76">
        <f>$G27*'2. Salmon Passage by Bin'!J27</f>
        <v>0</v>
      </c>
      <c r="S27" s="56">
        <f ca="1">'2. Salmon Passage by Bin'!K27*H27</f>
        <v>0</v>
      </c>
      <c r="T27" s="25">
        <f>K27*'2. Salmon Passage by Bin'!L27</f>
        <v>0</v>
      </c>
      <c r="U27" s="25">
        <f>K27*'2. Salmon Passage by Bin'!M27</f>
        <v>0</v>
      </c>
      <c r="V27" s="25">
        <f>J27*'2. Salmon Passage by Bin'!N27</f>
        <v>0</v>
      </c>
      <c r="W27" s="25">
        <f>I27*'2. Salmon Passage by Bin'!O27</f>
        <v>0</v>
      </c>
      <c r="X27" s="76">
        <f>E27*'2. Salmon Passage by Bin'!E27</f>
        <v>0</v>
      </c>
      <c r="Y27" s="41">
        <f t="shared" ca="1" si="0"/>
        <v>0</v>
      </c>
      <c r="Z27" s="42">
        <f ca="1">Y27/'[1]Passage Estimates'!$D27</f>
        <v>0</v>
      </c>
      <c r="AA27" s="43">
        <f>IFERROR(SUMIF(L27:O27, "&lt;&gt;#N/A")/SUMIF('2. Salmon Passage by Bin'!E27:J27, "&lt;&gt;#N/A"), NA())</f>
        <v>0</v>
      </c>
      <c r="AB27" s="42">
        <f ca="1">IFERROR(IF(ISNA(S27), NA(), S27/'2. Salmon Passage by Bin'!K27), NA())</f>
        <v>0</v>
      </c>
      <c r="AC27" s="44">
        <f>IFERROR(SUMIF(T27:W27, "&lt;&gt;#N/A")/SUMIF('2. Salmon Passage by Bin'!L27:N27, "&lt;&gt;#N/A"), NA())</f>
        <v>0</v>
      </c>
    </row>
    <row r="28" spans="1:29" x14ac:dyDescent="0.3">
      <c r="A28" s="5">
        <f>'1. Mixture Model Inputs'!A28</f>
        <v>45130</v>
      </c>
      <c r="B28" s="13" t="str">
        <f>IF(ISBLANK('[1]Passage Estimates'!$C28), "", '[1]Passage Estimates'!$C28)</f>
        <v>S1+M2+A2</v>
      </c>
      <c r="C28" s="71">
        <f>IFERROR('1. Mixture Model Inputs'!R28/'1. Mixture Model Inputs'!Z28,0)</f>
        <v>0</v>
      </c>
      <c r="D28" s="71">
        <f>IFERROR('1. Mixture Model Inputs'!S28/'1. Mixture Model Inputs'!AA28,0)</f>
        <v>0</v>
      </c>
      <c r="E28" s="71">
        <f>IFERROR('1. Mixture Model Inputs'!T28/'1. Mixture Model Inputs'!AB28,0)</f>
        <v>0</v>
      </c>
      <c r="F28" s="71">
        <f>IFERROR('1. Mixture Model Inputs'!U28/'1. Mixture Model Inputs'!AC28,0)</f>
        <v>0</v>
      </c>
      <c r="G28" s="71">
        <f>IFERROR('1. Mixture Model Inputs'!V28/'1. Mixture Model Inputs'!AD28,0)</f>
        <v>0</v>
      </c>
      <c r="H28" s="24">
        <f>WhonSpComp!AR43</f>
        <v>0</v>
      </c>
      <c r="I28" s="70">
        <f>IFERROR('1. Mixture Model Inputs'!W28/'1. Mixture Model Inputs'!AE28, 0)</f>
        <v>0</v>
      </c>
      <c r="J28" s="71">
        <f>IFERROR('1. Mixture Model Inputs'!X28/'1. Mixture Model Inputs'!AF28, 0)</f>
        <v>0</v>
      </c>
      <c r="K28" s="23">
        <f>IFERROR('1. Mixture Model Inputs'!Y28/'1. Mixture Model Inputs'!AG28, 0)</f>
        <v>0</v>
      </c>
      <c r="L28" s="76">
        <f>C28*'2. Salmon Passage by Bin'!C28</f>
        <v>0</v>
      </c>
      <c r="M28" s="76">
        <f>D28*'2. Salmon Passage by Bin'!D28</f>
        <v>0</v>
      </c>
      <c r="N28" s="76">
        <f>F28*'2. Salmon Passage by Bin'!F28</f>
        <v>0</v>
      </c>
      <c r="O28" s="76">
        <f>G28*'2. Salmon Passage by Bin'!G28</f>
        <v>0</v>
      </c>
      <c r="P28" s="76">
        <f>$G28*'2. Salmon Passage by Bin'!H28</f>
        <v>0</v>
      </c>
      <c r="Q28" s="76">
        <f>$G28*'2. Salmon Passage by Bin'!I28</f>
        <v>0</v>
      </c>
      <c r="R28" s="76">
        <f>$G28*'2. Salmon Passage by Bin'!J28</f>
        <v>0</v>
      </c>
      <c r="S28" s="56">
        <f>'2. Salmon Passage by Bin'!K28*H28</f>
        <v>0</v>
      </c>
      <c r="T28" s="25">
        <f>K28*'2. Salmon Passage by Bin'!L28</f>
        <v>0</v>
      </c>
      <c r="U28" s="25">
        <f>K28*'2. Salmon Passage by Bin'!M28</f>
        <v>0</v>
      </c>
      <c r="V28" s="25">
        <f>J28*'2. Salmon Passage by Bin'!N28</f>
        <v>0</v>
      </c>
      <c r="W28" s="25">
        <f>I28*'2. Salmon Passage by Bin'!O28</f>
        <v>0</v>
      </c>
      <c r="X28" s="76">
        <f>E28*'2. Salmon Passage by Bin'!E28</f>
        <v>0</v>
      </c>
      <c r="Y28" s="41">
        <f t="shared" si="0"/>
        <v>0</v>
      </c>
      <c r="Z28" s="42">
        <f>Y28/'[1]Passage Estimates'!$D28</f>
        <v>0</v>
      </c>
      <c r="AA28" s="43">
        <f>IFERROR(SUMIF(L28:O28, "&lt;&gt;#N/A")/SUMIF('2. Salmon Passage by Bin'!E28:J28, "&lt;&gt;#N/A"), NA())</f>
        <v>0</v>
      </c>
      <c r="AB28" s="42">
        <f>IFERROR(IF(ISNA(S28), NA(), S28/'2. Salmon Passage by Bin'!K28), NA())</f>
        <v>0</v>
      </c>
      <c r="AC28" s="44">
        <f>IFERROR(SUMIF(T28:W28, "&lt;&gt;#N/A")/SUMIF('2. Salmon Passage by Bin'!L28:N28, "&lt;&gt;#N/A"), NA())</f>
        <v>0</v>
      </c>
    </row>
    <row r="29" spans="1:29" x14ac:dyDescent="0.3">
      <c r="A29" s="5">
        <f>'1. Mixture Model Inputs'!A29</f>
        <v>45131</v>
      </c>
      <c r="B29" s="13" t="str">
        <f>IF(ISBLANK('[1]Passage Estimates'!$C29), "", '[1]Passage Estimates'!$C29)</f>
        <v>S1+M2+A2</v>
      </c>
      <c r="C29" s="71">
        <f>IFERROR('1. Mixture Model Inputs'!R29/'1. Mixture Model Inputs'!Z29,0)</f>
        <v>0</v>
      </c>
      <c r="D29" s="71">
        <f>IFERROR('1. Mixture Model Inputs'!S29/'1. Mixture Model Inputs'!AA29,0)</f>
        <v>0</v>
      </c>
      <c r="E29" s="71">
        <f>IFERROR('1. Mixture Model Inputs'!T29/'1. Mixture Model Inputs'!AB29,0)</f>
        <v>0</v>
      </c>
      <c r="F29" s="71">
        <f>IFERROR('1. Mixture Model Inputs'!U29/'1. Mixture Model Inputs'!AC29,0)</f>
        <v>0</v>
      </c>
      <c r="G29" s="71">
        <f>IFERROR('1. Mixture Model Inputs'!V29/'1. Mixture Model Inputs'!AD29,0)</f>
        <v>0</v>
      </c>
      <c r="H29" s="24">
        <f>WhonSpComp!AR44</f>
        <v>0</v>
      </c>
      <c r="I29" s="70">
        <f>IFERROR('1. Mixture Model Inputs'!W29/'1. Mixture Model Inputs'!AE29, 0)</f>
        <v>0</v>
      </c>
      <c r="J29" s="71">
        <f>IFERROR('1. Mixture Model Inputs'!X29/'1. Mixture Model Inputs'!AF29, 0)</f>
        <v>0</v>
      </c>
      <c r="K29" s="23">
        <f>IFERROR('1. Mixture Model Inputs'!Y29/'1. Mixture Model Inputs'!AG29, 0)</f>
        <v>0</v>
      </c>
      <c r="L29" s="76">
        <f>C29*'2. Salmon Passage by Bin'!C29</f>
        <v>0</v>
      </c>
      <c r="M29" s="76">
        <f>D29*'2. Salmon Passage by Bin'!D29</f>
        <v>0</v>
      </c>
      <c r="N29" s="76">
        <f>F29*'2. Salmon Passage by Bin'!F29</f>
        <v>0</v>
      </c>
      <c r="O29" s="76">
        <f>G29*'2. Salmon Passage by Bin'!G29</f>
        <v>0</v>
      </c>
      <c r="P29" s="76">
        <f>$G29*'2. Salmon Passage by Bin'!H29</f>
        <v>0</v>
      </c>
      <c r="Q29" s="76">
        <f>$G29*'2. Salmon Passage by Bin'!I29</f>
        <v>0</v>
      </c>
      <c r="R29" s="76">
        <f>$G29*'2. Salmon Passage by Bin'!J29</f>
        <v>0</v>
      </c>
      <c r="S29" s="56">
        <f ca="1">'2. Salmon Passage by Bin'!K29*H29</f>
        <v>0</v>
      </c>
      <c r="T29" s="25">
        <f>K29*'2. Salmon Passage by Bin'!L29</f>
        <v>0</v>
      </c>
      <c r="U29" s="25">
        <f>K29*'2. Salmon Passage by Bin'!M29</f>
        <v>0</v>
      </c>
      <c r="V29" s="25">
        <f>J29*'2. Salmon Passage by Bin'!N29</f>
        <v>0</v>
      </c>
      <c r="W29" s="25">
        <f>I29*'2. Salmon Passage by Bin'!O29</f>
        <v>0</v>
      </c>
      <c r="X29" s="76">
        <f>E29*'2. Salmon Passage by Bin'!E29</f>
        <v>0</v>
      </c>
      <c r="Y29" s="41">
        <f t="shared" ca="1" si="0"/>
        <v>0</v>
      </c>
      <c r="Z29" s="42">
        <f ca="1">Y29/'[1]Passage Estimates'!$D29</f>
        <v>0</v>
      </c>
      <c r="AA29" s="43">
        <f>IFERROR(SUMIF(L29:O29, "&lt;&gt;#N/A")/SUMIF('2. Salmon Passage by Bin'!E29:J29, "&lt;&gt;#N/A"), NA())</f>
        <v>0</v>
      </c>
      <c r="AB29" s="42">
        <f ca="1">IFERROR(IF(ISNA(S29), NA(), S29/'2. Salmon Passage by Bin'!K29), NA())</f>
        <v>0</v>
      </c>
      <c r="AC29" s="44">
        <f>IFERROR(SUMIF(T29:W29, "&lt;&gt;#N/A")/SUMIF('2. Salmon Passage by Bin'!L29:N29, "&lt;&gt;#N/A"), NA())</f>
        <v>0</v>
      </c>
    </row>
    <row r="30" spans="1:29" x14ac:dyDescent="0.3">
      <c r="A30" s="5">
        <f>'1. Mixture Model Inputs'!A30</f>
        <v>45132</v>
      </c>
      <c r="B30" s="13" t="str">
        <f>IF(ISBLANK('[1]Passage Estimates'!$C30), "", '[1]Passage Estimates'!$C30)</f>
        <v>S1+M2+A2</v>
      </c>
      <c r="C30" s="71">
        <f>IFERROR('1. Mixture Model Inputs'!R30/'1. Mixture Model Inputs'!Z30,0)</f>
        <v>0</v>
      </c>
      <c r="D30" s="71">
        <f>IFERROR('1. Mixture Model Inputs'!S30/'1. Mixture Model Inputs'!AA30,0)</f>
        <v>0</v>
      </c>
      <c r="E30" s="71">
        <f>IFERROR('1. Mixture Model Inputs'!T30/'1. Mixture Model Inputs'!AB30,0)</f>
        <v>0</v>
      </c>
      <c r="F30" s="71">
        <f>IFERROR('1. Mixture Model Inputs'!U30/'1. Mixture Model Inputs'!AC30,0)</f>
        <v>0</v>
      </c>
      <c r="G30" s="71">
        <f>IFERROR('1. Mixture Model Inputs'!V30/'1. Mixture Model Inputs'!AD30,0)</f>
        <v>0</v>
      </c>
      <c r="H30" s="24">
        <f>WhonSpComp!AR45</f>
        <v>0</v>
      </c>
      <c r="I30" s="70">
        <f>IFERROR('1. Mixture Model Inputs'!W30/'1. Mixture Model Inputs'!AE30, 0)</f>
        <v>0</v>
      </c>
      <c r="J30" s="71">
        <f>IFERROR('1. Mixture Model Inputs'!X30/'1. Mixture Model Inputs'!AF30, 0)</f>
        <v>0</v>
      </c>
      <c r="K30" s="23">
        <f>IFERROR('1. Mixture Model Inputs'!Y30/'1. Mixture Model Inputs'!AG30, 0)</f>
        <v>0</v>
      </c>
      <c r="L30" s="76">
        <f>C30*'2. Salmon Passage by Bin'!C30</f>
        <v>0</v>
      </c>
      <c r="M30" s="76">
        <f>D30*'2. Salmon Passage by Bin'!D30</f>
        <v>0</v>
      </c>
      <c r="N30" s="76">
        <f>F30*'2. Salmon Passage by Bin'!F30</f>
        <v>0</v>
      </c>
      <c r="O30" s="76">
        <f>G30*'2. Salmon Passage by Bin'!G30</f>
        <v>0</v>
      </c>
      <c r="P30" s="76">
        <f>$G30*'2. Salmon Passage by Bin'!H30</f>
        <v>0</v>
      </c>
      <c r="Q30" s="76">
        <f>$G30*'2. Salmon Passage by Bin'!I30</f>
        <v>0</v>
      </c>
      <c r="R30" s="76">
        <f>$G30*'2. Salmon Passage by Bin'!J30</f>
        <v>0</v>
      </c>
      <c r="S30" s="56">
        <f>'2. Salmon Passage by Bin'!K30*H30</f>
        <v>0</v>
      </c>
      <c r="T30" s="25">
        <f>K30*'2. Salmon Passage by Bin'!L30</f>
        <v>0</v>
      </c>
      <c r="U30" s="25">
        <f>K30*'2. Salmon Passage by Bin'!M30</f>
        <v>0</v>
      </c>
      <c r="V30" s="25">
        <f>J30*'2. Salmon Passage by Bin'!N30</f>
        <v>0</v>
      </c>
      <c r="W30" s="25">
        <f>I30*'2. Salmon Passage by Bin'!O30</f>
        <v>0</v>
      </c>
      <c r="X30" s="76">
        <f>E30*'2. Salmon Passage by Bin'!E30</f>
        <v>0</v>
      </c>
      <c r="Y30" s="41">
        <f t="shared" si="0"/>
        <v>0</v>
      </c>
      <c r="Z30" s="42">
        <f>Y30/'[1]Passage Estimates'!$D30</f>
        <v>0</v>
      </c>
      <c r="AA30" s="43">
        <f>IFERROR(SUMIF(L30:O30, "&lt;&gt;#N/A")/SUMIF('2. Salmon Passage by Bin'!E30:J30, "&lt;&gt;#N/A"), NA())</f>
        <v>0</v>
      </c>
      <c r="AB30" s="42">
        <f>IFERROR(IF(ISNA(S30), NA(), S30/'2. Salmon Passage by Bin'!K30), NA())</f>
        <v>0</v>
      </c>
      <c r="AC30" s="44">
        <f>IFERROR(SUMIF(T30:W30, "&lt;&gt;#N/A")/SUMIF('2. Salmon Passage by Bin'!L30:N30, "&lt;&gt;#N/A"), NA())</f>
        <v>0</v>
      </c>
    </row>
    <row r="31" spans="1:29" x14ac:dyDescent="0.3">
      <c r="A31" s="5">
        <f>'1. Mixture Model Inputs'!A31</f>
        <v>45133</v>
      </c>
      <c r="B31" s="13" t="str">
        <f>IF(ISBLANK('[1]Passage Estimates'!$C31), "", '[1]Passage Estimates'!$C31)</f>
        <v>S1+M2+A2</v>
      </c>
      <c r="C31" s="71">
        <f>IFERROR('1. Mixture Model Inputs'!R31/'1. Mixture Model Inputs'!Z31,0)</f>
        <v>0</v>
      </c>
      <c r="D31" s="71">
        <f>IFERROR('1. Mixture Model Inputs'!S31/'1. Mixture Model Inputs'!AA31,0)</f>
        <v>0</v>
      </c>
      <c r="E31" s="71">
        <f>IFERROR('1. Mixture Model Inputs'!T31/'1. Mixture Model Inputs'!AB31,0)</f>
        <v>0</v>
      </c>
      <c r="F31" s="71">
        <f>IFERROR('1. Mixture Model Inputs'!U31/'1. Mixture Model Inputs'!AC31,0)</f>
        <v>0</v>
      </c>
      <c r="G31" s="71">
        <f>IFERROR('1. Mixture Model Inputs'!V31/'1. Mixture Model Inputs'!AD31,0)</f>
        <v>0</v>
      </c>
      <c r="H31" s="24">
        <f>WhonSpComp!AR46</f>
        <v>0</v>
      </c>
      <c r="I31" s="70">
        <f>IFERROR('1. Mixture Model Inputs'!W31/'1. Mixture Model Inputs'!AE31, 0)</f>
        <v>0</v>
      </c>
      <c r="J31" s="71">
        <f>IFERROR('1. Mixture Model Inputs'!X31/'1. Mixture Model Inputs'!AF31, 0)</f>
        <v>0</v>
      </c>
      <c r="K31" s="23">
        <f>IFERROR('1. Mixture Model Inputs'!Y31/'1. Mixture Model Inputs'!AG31, 0)</f>
        <v>0</v>
      </c>
      <c r="L31" s="76">
        <f>C31*'2. Salmon Passage by Bin'!C31</f>
        <v>0</v>
      </c>
      <c r="M31" s="76">
        <f>D31*'2. Salmon Passage by Bin'!D31</f>
        <v>0</v>
      </c>
      <c r="N31" s="76">
        <f>F31*'2. Salmon Passage by Bin'!F31</f>
        <v>0</v>
      </c>
      <c r="O31" s="76">
        <f>G31*'2. Salmon Passage by Bin'!G31</f>
        <v>0</v>
      </c>
      <c r="P31" s="76">
        <f>$G31*'2. Salmon Passage by Bin'!H31</f>
        <v>0</v>
      </c>
      <c r="Q31" s="76">
        <f>$G31*'2. Salmon Passage by Bin'!I31</f>
        <v>0</v>
      </c>
      <c r="R31" s="76">
        <f>$G31*'2. Salmon Passage by Bin'!J31</f>
        <v>0</v>
      </c>
      <c r="S31" s="56">
        <f>'2. Salmon Passage by Bin'!K31*H31</f>
        <v>0</v>
      </c>
      <c r="T31" s="25">
        <f>K31*'2. Salmon Passage by Bin'!L31</f>
        <v>0</v>
      </c>
      <c r="U31" s="25">
        <f>K31*'2. Salmon Passage by Bin'!M31</f>
        <v>0</v>
      </c>
      <c r="V31" s="25">
        <f>J31*'2. Salmon Passage by Bin'!N31</f>
        <v>0</v>
      </c>
      <c r="W31" s="25">
        <f>I31*'2. Salmon Passage by Bin'!O31</f>
        <v>0</v>
      </c>
      <c r="X31" s="76">
        <f>E31*'2. Salmon Passage by Bin'!E31</f>
        <v>0</v>
      </c>
      <c r="Y31" s="41">
        <f t="shared" si="0"/>
        <v>0</v>
      </c>
      <c r="Z31" s="42">
        <f>Y31/'[1]Passage Estimates'!$D31</f>
        <v>0</v>
      </c>
      <c r="AA31" s="43">
        <f>IFERROR(SUMIF(L31:O31, "&lt;&gt;#N/A")/SUMIF('2. Salmon Passage by Bin'!E31:J31, "&lt;&gt;#N/A"), NA())</f>
        <v>0</v>
      </c>
      <c r="AB31" s="42">
        <f>IFERROR(IF(ISNA(S31), NA(), S31/'2. Salmon Passage by Bin'!K31), NA())</f>
        <v>0</v>
      </c>
      <c r="AC31" s="44">
        <f>IFERROR(SUMIF(T31:W31, "&lt;&gt;#N/A")/SUMIF('2. Salmon Passage by Bin'!L31:N31, "&lt;&gt;#N/A"), NA())</f>
        <v>0</v>
      </c>
    </row>
    <row r="32" spans="1:29" x14ac:dyDescent="0.3">
      <c r="A32" s="5">
        <f>'1. Mixture Model Inputs'!A32</f>
        <v>45134</v>
      </c>
      <c r="B32" s="13" t="str">
        <f>IF(ISBLANK('[1]Passage Estimates'!$C32), "", '[1]Passage Estimates'!$C32)</f>
        <v>S1+M2+A2</v>
      </c>
      <c r="C32" s="71">
        <f>IFERROR('1. Mixture Model Inputs'!R32/'1. Mixture Model Inputs'!Z32,0)</f>
        <v>0</v>
      </c>
      <c r="D32" s="71">
        <f>IFERROR('1. Mixture Model Inputs'!S32/'1. Mixture Model Inputs'!AA32,0)</f>
        <v>0</v>
      </c>
      <c r="E32" s="71">
        <f>IFERROR('1. Mixture Model Inputs'!T32/'1. Mixture Model Inputs'!AB32,0)</f>
        <v>0</v>
      </c>
      <c r="F32" s="71">
        <f>IFERROR('1. Mixture Model Inputs'!U32/'1. Mixture Model Inputs'!AC32,0)</f>
        <v>0</v>
      </c>
      <c r="G32" s="71">
        <f>IFERROR('1. Mixture Model Inputs'!V32/'1. Mixture Model Inputs'!AD32,0)</f>
        <v>0</v>
      </c>
      <c r="H32" s="24">
        <f>WhonSpComp!AR47</f>
        <v>0</v>
      </c>
      <c r="I32" s="70">
        <f>IFERROR('1. Mixture Model Inputs'!W32/'1. Mixture Model Inputs'!AE32, 0)</f>
        <v>0</v>
      </c>
      <c r="J32" s="71">
        <f>IFERROR('1. Mixture Model Inputs'!X32/'1. Mixture Model Inputs'!AF32, 0)</f>
        <v>0</v>
      </c>
      <c r="K32" s="23">
        <f>IFERROR('1. Mixture Model Inputs'!Y32/'1. Mixture Model Inputs'!AG32, 0)</f>
        <v>0</v>
      </c>
      <c r="L32" s="76">
        <f>C32*'2. Salmon Passage by Bin'!C32</f>
        <v>0</v>
      </c>
      <c r="M32" s="76">
        <f>D32*'2. Salmon Passage by Bin'!D32</f>
        <v>0</v>
      </c>
      <c r="N32" s="76">
        <f>F32*'2. Salmon Passage by Bin'!F32</f>
        <v>0</v>
      </c>
      <c r="O32" s="76">
        <f>G32*'2. Salmon Passage by Bin'!G32</f>
        <v>0</v>
      </c>
      <c r="P32" s="76">
        <f>$G32*'2. Salmon Passage by Bin'!H32</f>
        <v>0</v>
      </c>
      <c r="Q32" s="76">
        <f>$G32*'2. Salmon Passage by Bin'!I32</f>
        <v>0</v>
      </c>
      <c r="R32" s="76">
        <f>$G32*'2. Salmon Passage by Bin'!J32</f>
        <v>0</v>
      </c>
      <c r="S32" s="56">
        <f>'2. Salmon Passage by Bin'!K32*H32</f>
        <v>0</v>
      </c>
      <c r="T32" s="25">
        <f>K32*'2. Salmon Passage by Bin'!L32</f>
        <v>0</v>
      </c>
      <c r="U32" s="25">
        <f>K32*'2. Salmon Passage by Bin'!M32</f>
        <v>0</v>
      </c>
      <c r="V32" s="25">
        <f>J32*'2. Salmon Passage by Bin'!N32</f>
        <v>0</v>
      </c>
      <c r="W32" s="25">
        <f>I32*'2. Salmon Passage by Bin'!O32</f>
        <v>0</v>
      </c>
      <c r="X32" s="76">
        <f>E32*'2. Salmon Passage by Bin'!E32</f>
        <v>0</v>
      </c>
      <c r="Y32" s="41">
        <f t="shared" si="0"/>
        <v>0</v>
      </c>
      <c r="Z32" s="42">
        <f>Y32/'[1]Passage Estimates'!$D32</f>
        <v>0</v>
      </c>
      <c r="AA32" s="43">
        <f>IFERROR(SUMIF(L32:O32, "&lt;&gt;#N/A")/SUMIF('2. Salmon Passage by Bin'!E32:J32, "&lt;&gt;#N/A"), NA())</f>
        <v>0</v>
      </c>
      <c r="AB32" s="42">
        <f>IFERROR(IF(ISNA(S32), NA(), S32/'2. Salmon Passage by Bin'!K32), NA())</f>
        <v>0</v>
      </c>
      <c r="AC32" s="44">
        <f>IFERROR(SUMIF(T32:W32, "&lt;&gt;#N/A")/SUMIF('2. Salmon Passage by Bin'!L32:N32, "&lt;&gt;#N/A"), NA())</f>
        <v>0</v>
      </c>
    </row>
    <row r="33" spans="1:29" x14ac:dyDescent="0.3">
      <c r="A33" s="5">
        <f>'1. Mixture Model Inputs'!A33</f>
        <v>45135</v>
      </c>
      <c r="B33" s="13" t="str">
        <f>IF(ISBLANK('[1]Passage Estimates'!$C33), "", '[1]Passage Estimates'!$C33)</f>
        <v>S1+M2+A2</v>
      </c>
      <c r="C33" s="71">
        <f>IFERROR('1. Mixture Model Inputs'!R33/'1. Mixture Model Inputs'!Z33,0)</f>
        <v>0</v>
      </c>
      <c r="D33" s="71">
        <f>IFERROR('1. Mixture Model Inputs'!S33/'1. Mixture Model Inputs'!AA33,0)</f>
        <v>0</v>
      </c>
      <c r="E33" s="71">
        <f>IFERROR('1. Mixture Model Inputs'!T33/'1. Mixture Model Inputs'!AB33,0)</f>
        <v>0</v>
      </c>
      <c r="F33" s="71">
        <f>IFERROR('1. Mixture Model Inputs'!U33/'1. Mixture Model Inputs'!AC33,0)</f>
        <v>0</v>
      </c>
      <c r="G33" s="71">
        <f>IFERROR('1. Mixture Model Inputs'!V33/'1. Mixture Model Inputs'!AD33,0)</f>
        <v>0</v>
      </c>
      <c r="H33" s="24">
        <f>WhonSpComp!AR48</f>
        <v>0</v>
      </c>
      <c r="I33" s="70">
        <f>IFERROR('1. Mixture Model Inputs'!W33/'1. Mixture Model Inputs'!AE33, 0)</f>
        <v>0</v>
      </c>
      <c r="J33" s="71">
        <f>IFERROR('1. Mixture Model Inputs'!X33/'1. Mixture Model Inputs'!AF33, 0)</f>
        <v>0</v>
      </c>
      <c r="K33" s="23">
        <f>IFERROR('1. Mixture Model Inputs'!Y33/'1. Mixture Model Inputs'!AG33, 0)</f>
        <v>0</v>
      </c>
      <c r="L33" s="76">
        <f>C33*'2. Salmon Passage by Bin'!C33</f>
        <v>0</v>
      </c>
      <c r="M33" s="76">
        <f>D33*'2. Salmon Passage by Bin'!D33</f>
        <v>0</v>
      </c>
      <c r="N33" s="76">
        <f>F33*'2. Salmon Passage by Bin'!F33</f>
        <v>0</v>
      </c>
      <c r="O33" s="76">
        <f>G33*'2. Salmon Passage by Bin'!G33</f>
        <v>0</v>
      </c>
      <c r="P33" s="76">
        <f>$G33*'2. Salmon Passage by Bin'!H33</f>
        <v>0</v>
      </c>
      <c r="Q33" s="76">
        <f>$G33*'2. Salmon Passage by Bin'!I33</f>
        <v>0</v>
      </c>
      <c r="R33" s="76">
        <f>$G33*'2. Salmon Passage by Bin'!J33</f>
        <v>0</v>
      </c>
      <c r="S33" s="56">
        <f>'2. Salmon Passage by Bin'!K33*H33</f>
        <v>0</v>
      </c>
      <c r="T33" s="25">
        <f>K33*'2. Salmon Passage by Bin'!L33</f>
        <v>0</v>
      </c>
      <c r="U33" s="25">
        <f>K33*'2. Salmon Passage by Bin'!M33</f>
        <v>0</v>
      </c>
      <c r="V33" s="25">
        <f>J33*'2. Salmon Passage by Bin'!N33</f>
        <v>0</v>
      </c>
      <c r="W33" s="25">
        <f>I33*'2. Salmon Passage by Bin'!O33</f>
        <v>0</v>
      </c>
      <c r="X33" s="76">
        <f>E33*'2. Salmon Passage by Bin'!E33</f>
        <v>0</v>
      </c>
      <c r="Y33" s="41">
        <f t="shared" si="0"/>
        <v>0</v>
      </c>
      <c r="Z33" s="42">
        <f>Y33/'[1]Passage Estimates'!$D33</f>
        <v>0</v>
      </c>
      <c r="AA33" s="43">
        <f>IFERROR(SUMIF(L33:O33, "&lt;&gt;#N/A")/SUMIF('2. Salmon Passage by Bin'!E33:J33, "&lt;&gt;#N/A"), NA())</f>
        <v>0</v>
      </c>
      <c r="AB33" s="42">
        <f>IFERROR(IF(ISNA(S33), NA(), S33/'2. Salmon Passage by Bin'!K33), NA())</f>
        <v>0</v>
      </c>
      <c r="AC33" s="44">
        <f>IFERROR(SUMIF(T33:W33, "&lt;&gt;#N/A")/SUMIF('2. Salmon Passage by Bin'!L33:N33, "&lt;&gt;#N/A"), NA())</f>
        <v>0</v>
      </c>
    </row>
    <row r="34" spans="1:29" x14ac:dyDescent="0.3">
      <c r="A34" s="5">
        <f>'1. Mixture Model Inputs'!A34</f>
        <v>45136</v>
      </c>
      <c r="B34" s="13" t="str">
        <f>IF(ISBLANK('[1]Passage Estimates'!$C34), "", '[1]Passage Estimates'!$C34)</f>
        <v>S1+M2+A2</v>
      </c>
      <c r="C34" s="71">
        <f>IFERROR('1. Mixture Model Inputs'!R34/'1. Mixture Model Inputs'!Z34,0)</f>
        <v>0</v>
      </c>
      <c r="D34" s="71">
        <f>IFERROR('1. Mixture Model Inputs'!S34/'1. Mixture Model Inputs'!AA34,0)</f>
        <v>0</v>
      </c>
      <c r="E34" s="71">
        <f>IFERROR('1. Mixture Model Inputs'!T34/'1. Mixture Model Inputs'!AB34,0)</f>
        <v>0</v>
      </c>
      <c r="F34" s="71">
        <f>IFERROR('1. Mixture Model Inputs'!U34/'1. Mixture Model Inputs'!AC34,0)</f>
        <v>0</v>
      </c>
      <c r="G34" s="71">
        <f>IFERROR('1. Mixture Model Inputs'!V34/'1. Mixture Model Inputs'!AD34,0)</f>
        <v>0</v>
      </c>
      <c r="H34" s="24">
        <f>WhonSpComp!AR49</f>
        <v>0</v>
      </c>
      <c r="I34" s="70">
        <f>IFERROR('1. Mixture Model Inputs'!W34/'1. Mixture Model Inputs'!AE34, 0)</f>
        <v>0</v>
      </c>
      <c r="J34" s="71">
        <f>IFERROR('1. Mixture Model Inputs'!X34/'1. Mixture Model Inputs'!AF34, 0)</f>
        <v>0</v>
      </c>
      <c r="K34" s="23">
        <f>IFERROR('1. Mixture Model Inputs'!Y34/'1. Mixture Model Inputs'!AG34, 0)</f>
        <v>0</v>
      </c>
      <c r="L34" s="76">
        <f>C34*'2. Salmon Passage by Bin'!C34</f>
        <v>0</v>
      </c>
      <c r="M34" s="76">
        <f>D34*'2. Salmon Passage by Bin'!D34</f>
        <v>0</v>
      </c>
      <c r="N34" s="76">
        <f>F34*'2. Salmon Passage by Bin'!F34</f>
        <v>0</v>
      </c>
      <c r="O34" s="76">
        <f>G34*'2. Salmon Passage by Bin'!G34</f>
        <v>0</v>
      </c>
      <c r="P34" s="76">
        <f>$G34*'2. Salmon Passage by Bin'!H34</f>
        <v>0</v>
      </c>
      <c r="Q34" s="76">
        <f>$G34*'2. Salmon Passage by Bin'!I34</f>
        <v>0</v>
      </c>
      <c r="R34" s="76">
        <f>$G34*'2. Salmon Passage by Bin'!J34</f>
        <v>0</v>
      </c>
      <c r="S34" s="56">
        <f>'2. Salmon Passage by Bin'!K34*H34</f>
        <v>0</v>
      </c>
      <c r="T34" s="25">
        <f>K34*'2. Salmon Passage by Bin'!L34</f>
        <v>0</v>
      </c>
      <c r="U34" s="25">
        <f>K34*'2. Salmon Passage by Bin'!M34</f>
        <v>0</v>
      </c>
      <c r="V34" s="25">
        <f>J34*'2. Salmon Passage by Bin'!N34</f>
        <v>0</v>
      </c>
      <c r="W34" s="25">
        <f>I34*'2. Salmon Passage by Bin'!O34</f>
        <v>0</v>
      </c>
      <c r="X34" s="76">
        <f>E34*'2. Salmon Passage by Bin'!E34</f>
        <v>0</v>
      </c>
      <c r="Y34" s="41">
        <f t="shared" si="0"/>
        <v>0</v>
      </c>
      <c r="Z34" s="42">
        <f>Y34/'[1]Passage Estimates'!$D34</f>
        <v>0</v>
      </c>
      <c r="AA34" s="43">
        <f>IFERROR(SUMIF(L34:O34, "&lt;&gt;#N/A")/SUMIF('2. Salmon Passage by Bin'!E34:J34, "&lt;&gt;#N/A"), NA())</f>
        <v>0</v>
      </c>
      <c r="AB34" s="42">
        <f>IFERROR(IF(ISNA(S34), NA(), S34/'2. Salmon Passage by Bin'!K34), NA())</f>
        <v>0</v>
      </c>
      <c r="AC34" s="44">
        <f>IFERROR(SUMIF(T34:W34, "&lt;&gt;#N/A")/SUMIF('2. Salmon Passage by Bin'!L34:N34, "&lt;&gt;#N/A"), NA())</f>
        <v>0</v>
      </c>
    </row>
    <row r="35" spans="1:29" x14ac:dyDescent="0.3">
      <c r="A35" s="5">
        <f>'1. Mixture Model Inputs'!A35</f>
        <v>45137</v>
      </c>
      <c r="B35" s="13" t="str">
        <f>IF(ISBLANK('[1]Passage Estimates'!$C35), "", '[1]Passage Estimates'!$C35)</f>
        <v>S1+M2+A2</v>
      </c>
      <c r="C35" s="71">
        <f>IFERROR('1. Mixture Model Inputs'!R35/'1. Mixture Model Inputs'!Z35,0)</f>
        <v>0</v>
      </c>
      <c r="D35" s="71">
        <f>IFERROR('1. Mixture Model Inputs'!S35/'1. Mixture Model Inputs'!AA35,0)</f>
        <v>0</v>
      </c>
      <c r="E35" s="71">
        <f>IFERROR('1. Mixture Model Inputs'!T35/'1. Mixture Model Inputs'!AB35,0)</f>
        <v>0</v>
      </c>
      <c r="F35" s="71">
        <f>IFERROR('1. Mixture Model Inputs'!U35/'1. Mixture Model Inputs'!AC35,0)</f>
        <v>0</v>
      </c>
      <c r="G35" s="71">
        <f>IFERROR('1. Mixture Model Inputs'!V35/'1. Mixture Model Inputs'!AD35,0)</f>
        <v>0</v>
      </c>
      <c r="H35" s="24">
        <f>WhonSpComp!AR50</f>
        <v>0</v>
      </c>
      <c r="I35" s="70">
        <f>IFERROR('1. Mixture Model Inputs'!W35/'1. Mixture Model Inputs'!AE35, 0)</f>
        <v>0</v>
      </c>
      <c r="J35" s="71">
        <f>IFERROR('1. Mixture Model Inputs'!X35/'1. Mixture Model Inputs'!AF35, 0)</f>
        <v>0</v>
      </c>
      <c r="K35" s="23">
        <f>IFERROR('1. Mixture Model Inputs'!Y35/'1. Mixture Model Inputs'!AG35, 0)</f>
        <v>0</v>
      </c>
      <c r="L35" s="76">
        <f>C35*'2. Salmon Passage by Bin'!C35</f>
        <v>0</v>
      </c>
      <c r="M35" s="76">
        <f>D35*'2. Salmon Passage by Bin'!D35</f>
        <v>0</v>
      </c>
      <c r="N35" s="76">
        <f>F35*'2. Salmon Passage by Bin'!F35</f>
        <v>0</v>
      </c>
      <c r="O35" s="76">
        <f>G35*'2. Salmon Passage by Bin'!G35</f>
        <v>0</v>
      </c>
      <c r="P35" s="76">
        <f>$G35*'2. Salmon Passage by Bin'!H35</f>
        <v>0</v>
      </c>
      <c r="Q35" s="76">
        <f>$G35*'2. Salmon Passage by Bin'!I35</f>
        <v>0</v>
      </c>
      <c r="R35" s="76">
        <f>$G35*'2. Salmon Passage by Bin'!J35</f>
        <v>0</v>
      </c>
      <c r="S35" s="56">
        <f>'2. Salmon Passage by Bin'!K35*H35</f>
        <v>0</v>
      </c>
      <c r="T35" s="25">
        <f>K35*'2. Salmon Passage by Bin'!L35</f>
        <v>0</v>
      </c>
      <c r="U35" s="25">
        <f>K35*'2. Salmon Passage by Bin'!M35</f>
        <v>0</v>
      </c>
      <c r="V35" s="25">
        <f>J35*'2. Salmon Passage by Bin'!N35</f>
        <v>0</v>
      </c>
      <c r="W35" s="25">
        <f>I35*'2. Salmon Passage by Bin'!O35</f>
        <v>0</v>
      </c>
      <c r="X35" s="76">
        <f>E35*'2. Salmon Passage by Bin'!E35</f>
        <v>0</v>
      </c>
      <c r="Y35" s="41">
        <f t="shared" si="0"/>
        <v>0</v>
      </c>
      <c r="Z35" s="42">
        <f>Y35/'[1]Passage Estimates'!$D35</f>
        <v>0</v>
      </c>
      <c r="AA35" s="43">
        <f>IFERROR(SUMIF(L35:O35, "&lt;&gt;#N/A")/SUMIF('2. Salmon Passage by Bin'!E35:J35, "&lt;&gt;#N/A"), NA())</f>
        <v>0</v>
      </c>
      <c r="AB35" s="42">
        <f>IFERROR(IF(ISNA(S35), NA(), S35/'2. Salmon Passage by Bin'!K35), NA())</f>
        <v>0</v>
      </c>
      <c r="AC35" s="44">
        <f>IFERROR(SUMIF(T35:W35, "&lt;&gt;#N/A")/SUMIF('2. Salmon Passage by Bin'!L35:N35, "&lt;&gt;#N/A"), NA())</f>
        <v>0</v>
      </c>
    </row>
    <row r="36" spans="1:29" x14ac:dyDescent="0.3">
      <c r="A36" s="5">
        <f>'1. Mixture Model Inputs'!A36</f>
        <v>45138</v>
      </c>
      <c r="B36" s="13" t="str">
        <f>IF(ISBLANK('[1]Passage Estimates'!$C36), "", '[1]Passage Estimates'!$C36)</f>
        <v>S1+M2+A2</v>
      </c>
      <c r="C36" s="71">
        <f>IFERROR('1. Mixture Model Inputs'!R36/'1. Mixture Model Inputs'!Z36,0)</f>
        <v>0</v>
      </c>
      <c r="D36" s="71">
        <f>IFERROR('1. Mixture Model Inputs'!S36/'1. Mixture Model Inputs'!AA36,0)</f>
        <v>0</v>
      </c>
      <c r="E36" s="71">
        <f>IFERROR('1. Mixture Model Inputs'!T36/'1. Mixture Model Inputs'!AB36,0)</f>
        <v>0</v>
      </c>
      <c r="F36" s="71">
        <f>IFERROR('1. Mixture Model Inputs'!U36/'1. Mixture Model Inputs'!AC36,0)</f>
        <v>0</v>
      </c>
      <c r="G36" s="71">
        <f>IFERROR('1. Mixture Model Inputs'!V36/'1. Mixture Model Inputs'!AD36,0)</f>
        <v>0</v>
      </c>
      <c r="H36" s="24">
        <f>WhonSpComp!AR51</f>
        <v>0</v>
      </c>
      <c r="I36" s="70">
        <f>IFERROR('1. Mixture Model Inputs'!W36/'1. Mixture Model Inputs'!AE36, 0)</f>
        <v>0</v>
      </c>
      <c r="J36" s="71">
        <f>IFERROR('1. Mixture Model Inputs'!X36/'1. Mixture Model Inputs'!AF36, 0)</f>
        <v>0</v>
      </c>
      <c r="K36" s="23">
        <f>IFERROR('1. Mixture Model Inputs'!Y36/'1. Mixture Model Inputs'!AG36, 0)</f>
        <v>0</v>
      </c>
      <c r="L36" s="76">
        <f>C36*'2. Salmon Passage by Bin'!C36</f>
        <v>0</v>
      </c>
      <c r="M36" s="76">
        <f>D36*'2. Salmon Passage by Bin'!D36</f>
        <v>0</v>
      </c>
      <c r="N36" s="76">
        <f>F36*'2. Salmon Passage by Bin'!F36</f>
        <v>0</v>
      </c>
      <c r="O36" s="76">
        <f>G36*'2. Salmon Passage by Bin'!G36</f>
        <v>0</v>
      </c>
      <c r="P36" s="76">
        <f>$G36*'2. Salmon Passage by Bin'!H36</f>
        <v>0</v>
      </c>
      <c r="Q36" s="76">
        <f>$G36*'2. Salmon Passage by Bin'!I36</f>
        <v>0</v>
      </c>
      <c r="R36" s="76">
        <f>$G36*'2. Salmon Passage by Bin'!J36</f>
        <v>0</v>
      </c>
      <c r="S36" s="56">
        <f>'2. Salmon Passage by Bin'!K36*H36</f>
        <v>0</v>
      </c>
      <c r="T36" s="25">
        <f>K36*'2. Salmon Passage by Bin'!L36</f>
        <v>0</v>
      </c>
      <c r="U36" s="25">
        <f>K36*'2. Salmon Passage by Bin'!M36</f>
        <v>0</v>
      </c>
      <c r="V36" s="25">
        <f>J36*'2. Salmon Passage by Bin'!N36</f>
        <v>0</v>
      </c>
      <c r="W36" s="25">
        <f>I36*'2. Salmon Passage by Bin'!O36</f>
        <v>0</v>
      </c>
      <c r="X36" s="76">
        <f>E36*'2. Salmon Passage by Bin'!E36</f>
        <v>0</v>
      </c>
      <c r="Y36" s="41">
        <f t="shared" si="0"/>
        <v>0</v>
      </c>
      <c r="Z36" s="42">
        <f>Y36/'[1]Passage Estimates'!$D36</f>
        <v>0</v>
      </c>
      <c r="AA36" s="43">
        <f>IFERROR(SUMIF(L36:O36, "&lt;&gt;#N/A")/SUMIF('2. Salmon Passage by Bin'!E36:J36, "&lt;&gt;#N/A"), NA())</f>
        <v>0</v>
      </c>
      <c r="AB36" s="42">
        <f>IFERROR(IF(ISNA(S36), NA(), S36/'2. Salmon Passage by Bin'!K36), NA())</f>
        <v>0</v>
      </c>
      <c r="AC36" s="44">
        <f>IFERROR(SUMIF(T36:W36, "&lt;&gt;#N/A")/SUMIF('2. Salmon Passage by Bin'!L36:N36, "&lt;&gt;#N/A"), NA())</f>
        <v>0</v>
      </c>
    </row>
    <row r="37" spans="1:29" x14ac:dyDescent="0.3">
      <c r="A37" s="5">
        <f>'1. Mixture Model Inputs'!A37</f>
        <v>45139</v>
      </c>
      <c r="B37" s="13" t="str">
        <f>IF(ISBLANK('[1]Passage Estimates'!$C37), "", '[1]Passage Estimates'!$C37)</f>
        <v>S1+M2+A2</v>
      </c>
      <c r="C37" s="71">
        <f>IFERROR('1. Mixture Model Inputs'!R37/'1. Mixture Model Inputs'!Z37,0)</f>
        <v>0</v>
      </c>
      <c r="D37" s="71">
        <f>IFERROR('1. Mixture Model Inputs'!S37/'1. Mixture Model Inputs'!AA37,0)</f>
        <v>0</v>
      </c>
      <c r="E37" s="71">
        <f>IFERROR('1. Mixture Model Inputs'!T37/'1. Mixture Model Inputs'!AB37,0)</f>
        <v>0</v>
      </c>
      <c r="F37" s="71">
        <f>IFERROR('1. Mixture Model Inputs'!U37/'1. Mixture Model Inputs'!AC37,0)</f>
        <v>0</v>
      </c>
      <c r="G37" s="71">
        <f>IFERROR('1. Mixture Model Inputs'!V37/'1. Mixture Model Inputs'!AD37,0)</f>
        <v>0</v>
      </c>
      <c r="H37" s="24">
        <f>WhonSpComp!AR52</f>
        <v>0</v>
      </c>
      <c r="I37" s="70">
        <f>IFERROR('1. Mixture Model Inputs'!W37/'1. Mixture Model Inputs'!AE37, 0)</f>
        <v>0</v>
      </c>
      <c r="J37" s="71">
        <f>IFERROR('1. Mixture Model Inputs'!X37/'1. Mixture Model Inputs'!AF37, 0)</f>
        <v>0</v>
      </c>
      <c r="K37" s="23">
        <f>IFERROR('1. Mixture Model Inputs'!Y37/'1. Mixture Model Inputs'!AG37, 0)</f>
        <v>0</v>
      </c>
      <c r="L37" s="76">
        <f>C37*'2. Salmon Passage by Bin'!C37</f>
        <v>0</v>
      </c>
      <c r="M37" s="76">
        <f>D37*'2. Salmon Passage by Bin'!D37</f>
        <v>0</v>
      </c>
      <c r="N37" s="76">
        <f>F37*'2. Salmon Passage by Bin'!F37</f>
        <v>0</v>
      </c>
      <c r="O37" s="76">
        <f>G37*'2. Salmon Passage by Bin'!G37</f>
        <v>0</v>
      </c>
      <c r="P37" s="76">
        <f>$G37*'2. Salmon Passage by Bin'!H37</f>
        <v>0</v>
      </c>
      <c r="Q37" s="76">
        <f>$G37*'2. Salmon Passage by Bin'!I37</f>
        <v>0</v>
      </c>
      <c r="R37" s="76">
        <f>$G37*'2. Salmon Passage by Bin'!J37</f>
        <v>0</v>
      </c>
      <c r="S37" s="56">
        <f>'2. Salmon Passage by Bin'!K37*H37</f>
        <v>0</v>
      </c>
      <c r="T37" s="25">
        <f>K37*'2. Salmon Passage by Bin'!L37</f>
        <v>0</v>
      </c>
      <c r="U37" s="25">
        <f>K37*'2. Salmon Passage by Bin'!M37</f>
        <v>0</v>
      </c>
      <c r="V37" s="25">
        <f>J37*'2. Salmon Passage by Bin'!N37</f>
        <v>0</v>
      </c>
      <c r="W37" s="25">
        <f>I37*'2. Salmon Passage by Bin'!O37</f>
        <v>0</v>
      </c>
      <c r="X37" s="76">
        <f>E37*'2. Salmon Passage by Bin'!E37</f>
        <v>0</v>
      </c>
      <c r="Y37" s="41">
        <f t="shared" si="0"/>
        <v>0</v>
      </c>
      <c r="Z37" s="42">
        <f>Y37/'[1]Passage Estimates'!$D37</f>
        <v>0</v>
      </c>
      <c r="AA37" s="43">
        <f>IFERROR(SUMIF(L37:O37, "&lt;&gt;#N/A")/SUMIF('2. Salmon Passage by Bin'!E37:J37, "&lt;&gt;#N/A"), NA())</f>
        <v>0</v>
      </c>
      <c r="AB37" s="42">
        <f>IFERROR(IF(ISNA(S37), NA(), S37/'2. Salmon Passage by Bin'!K37), NA())</f>
        <v>0</v>
      </c>
      <c r="AC37" s="44">
        <f>IFERROR(SUMIF(T37:W37, "&lt;&gt;#N/A")/SUMIF('2. Salmon Passage by Bin'!L37:N37, "&lt;&gt;#N/A"), NA())</f>
        <v>0</v>
      </c>
    </row>
    <row r="38" spans="1:29" x14ac:dyDescent="0.3">
      <c r="A38" s="5">
        <f>'1. Mixture Model Inputs'!A38</f>
        <v>45140</v>
      </c>
      <c r="B38" s="13" t="str">
        <f>IF(ISBLANK('[1]Passage Estimates'!$C38), "", '[1]Passage Estimates'!$C38)</f>
        <v>S1+M2+A2</v>
      </c>
      <c r="C38" s="71">
        <f>IFERROR('1. Mixture Model Inputs'!R38/'1. Mixture Model Inputs'!Z38,0)</f>
        <v>0</v>
      </c>
      <c r="D38" s="71">
        <f>IFERROR('1. Mixture Model Inputs'!S38/'1. Mixture Model Inputs'!AA38,0)</f>
        <v>0</v>
      </c>
      <c r="E38" s="71">
        <f>IFERROR('1. Mixture Model Inputs'!T38/'1. Mixture Model Inputs'!AB38,0)</f>
        <v>0</v>
      </c>
      <c r="F38" s="71">
        <f>IFERROR('1. Mixture Model Inputs'!U38/'1. Mixture Model Inputs'!AC38,0)</f>
        <v>0</v>
      </c>
      <c r="G38" s="71">
        <f>IFERROR('1. Mixture Model Inputs'!V38/'1. Mixture Model Inputs'!AD38,0)</f>
        <v>0</v>
      </c>
      <c r="H38" s="24">
        <f>WhonSpComp!AR53</f>
        <v>0</v>
      </c>
      <c r="I38" s="70">
        <f>IFERROR('1. Mixture Model Inputs'!W38/'1. Mixture Model Inputs'!AE38, 0)</f>
        <v>0</v>
      </c>
      <c r="J38" s="71">
        <f>IFERROR('1. Mixture Model Inputs'!X38/'1. Mixture Model Inputs'!AF38, 0)</f>
        <v>0</v>
      </c>
      <c r="K38" s="23">
        <f>IFERROR('1. Mixture Model Inputs'!Y38/'1. Mixture Model Inputs'!AG38, 0)</f>
        <v>0</v>
      </c>
      <c r="L38" s="76">
        <f>C38*'2. Salmon Passage by Bin'!C38</f>
        <v>0</v>
      </c>
      <c r="M38" s="76">
        <f>D38*'2. Salmon Passage by Bin'!D38</f>
        <v>0</v>
      </c>
      <c r="N38" s="76">
        <f>F38*'2. Salmon Passage by Bin'!F38</f>
        <v>0</v>
      </c>
      <c r="O38" s="76">
        <f>G38*'2. Salmon Passage by Bin'!G38</f>
        <v>0</v>
      </c>
      <c r="P38" s="76">
        <f>$G38*'2. Salmon Passage by Bin'!H38</f>
        <v>0</v>
      </c>
      <c r="Q38" s="76">
        <f>$G38*'2. Salmon Passage by Bin'!I38</f>
        <v>0</v>
      </c>
      <c r="R38" s="76">
        <f>$G38*'2. Salmon Passage by Bin'!J38</f>
        <v>0</v>
      </c>
      <c r="S38" s="56">
        <f>'2. Salmon Passage by Bin'!K38*H38</f>
        <v>0</v>
      </c>
      <c r="T38" s="25">
        <f>K38*'2. Salmon Passage by Bin'!L38</f>
        <v>0</v>
      </c>
      <c r="U38" s="25">
        <f>K38*'2. Salmon Passage by Bin'!M38</f>
        <v>0</v>
      </c>
      <c r="V38" s="25">
        <f>J38*'2. Salmon Passage by Bin'!N38</f>
        <v>0</v>
      </c>
      <c r="W38" s="25">
        <f>I38*'2. Salmon Passage by Bin'!O38</f>
        <v>0</v>
      </c>
      <c r="X38" s="76">
        <f>E38*'2. Salmon Passage by Bin'!E38</f>
        <v>0</v>
      </c>
      <c r="Y38" s="41">
        <f t="shared" si="0"/>
        <v>0</v>
      </c>
      <c r="Z38" s="42">
        <f>Y38/'[1]Passage Estimates'!$D38</f>
        <v>0</v>
      </c>
      <c r="AA38" s="43">
        <f>IFERROR(SUMIF(L38:O38, "&lt;&gt;#N/A")/SUMIF('2. Salmon Passage by Bin'!E38:J38, "&lt;&gt;#N/A"), NA())</f>
        <v>0</v>
      </c>
      <c r="AB38" s="42">
        <f>IFERROR(IF(ISNA(S38), NA(), S38/'2. Salmon Passage by Bin'!K38), NA())</f>
        <v>0</v>
      </c>
      <c r="AC38" s="44">
        <f>IFERROR(SUMIF(T38:W38, "&lt;&gt;#N/A")/SUMIF('2. Salmon Passage by Bin'!L38:N38, "&lt;&gt;#N/A"), NA())</f>
        <v>0</v>
      </c>
    </row>
    <row r="39" spans="1:29" x14ac:dyDescent="0.3">
      <c r="A39" s="5">
        <f>'1. Mixture Model Inputs'!A39</f>
        <v>45141</v>
      </c>
      <c r="B39" s="13" t="str">
        <f>IF(ISBLANK('[1]Passage Estimates'!$C39), "", '[1]Passage Estimates'!$C39)</f>
        <v>S1+M2+A2</v>
      </c>
      <c r="C39" s="71">
        <f>IFERROR('1. Mixture Model Inputs'!R39/'1. Mixture Model Inputs'!Z39,0)</f>
        <v>0</v>
      </c>
      <c r="D39" s="71">
        <f>IFERROR('1. Mixture Model Inputs'!S39/'1. Mixture Model Inputs'!AA39,0)</f>
        <v>0</v>
      </c>
      <c r="E39" s="71">
        <f>IFERROR('1. Mixture Model Inputs'!T39/'1. Mixture Model Inputs'!AB39,0)</f>
        <v>0</v>
      </c>
      <c r="F39" s="71">
        <f>IFERROR('1. Mixture Model Inputs'!U39/'1. Mixture Model Inputs'!AC39,0)</f>
        <v>0</v>
      </c>
      <c r="G39" s="71">
        <f>IFERROR('1. Mixture Model Inputs'!V39/'1. Mixture Model Inputs'!AD39,0)</f>
        <v>0</v>
      </c>
      <c r="H39" s="24">
        <f>WhonSpComp!AR54</f>
        <v>0</v>
      </c>
      <c r="I39" s="70">
        <f>IFERROR('1. Mixture Model Inputs'!W39/'1. Mixture Model Inputs'!AE39, 0)</f>
        <v>0</v>
      </c>
      <c r="J39" s="71">
        <f>IFERROR('1. Mixture Model Inputs'!X39/'1. Mixture Model Inputs'!AF39, 0)</f>
        <v>0</v>
      </c>
      <c r="K39" s="23">
        <f>IFERROR('1. Mixture Model Inputs'!Y39/'1. Mixture Model Inputs'!AG39, 0)</f>
        <v>0</v>
      </c>
      <c r="L39" s="76">
        <f>C39*'2. Salmon Passage by Bin'!C39</f>
        <v>0</v>
      </c>
      <c r="M39" s="76">
        <f>D39*'2. Salmon Passage by Bin'!D39</f>
        <v>0</v>
      </c>
      <c r="N39" s="76">
        <f>F39*'2. Salmon Passage by Bin'!F39</f>
        <v>0</v>
      </c>
      <c r="O39" s="76">
        <f>G39*'2. Salmon Passage by Bin'!G39</f>
        <v>0</v>
      </c>
      <c r="P39" s="76">
        <f>$G39*'2. Salmon Passage by Bin'!H39</f>
        <v>0</v>
      </c>
      <c r="Q39" s="76">
        <f>$G39*'2. Salmon Passage by Bin'!I39</f>
        <v>0</v>
      </c>
      <c r="R39" s="76">
        <f>$G39*'2. Salmon Passage by Bin'!J39</f>
        <v>0</v>
      </c>
      <c r="S39" s="56">
        <f>'2. Salmon Passage by Bin'!K39*H39</f>
        <v>0</v>
      </c>
      <c r="T39" s="25">
        <f>K39*'2. Salmon Passage by Bin'!L39</f>
        <v>0</v>
      </c>
      <c r="U39" s="25">
        <f>K39*'2. Salmon Passage by Bin'!M39</f>
        <v>0</v>
      </c>
      <c r="V39" s="25">
        <f>J39*'2. Salmon Passage by Bin'!N39</f>
        <v>0</v>
      </c>
      <c r="W39" s="25">
        <f>I39*'2. Salmon Passage by Bin'!O39</f>
        <v>0</v>
      </c>
      <c r="X39" s="76">
        <f>E39*'2. Salmon Passage by Bin'!E39</f>
        <v>0</v>
      </c>
      <c r="Y39" s="41">
        <f t="shared" si="0"/>
        <v>0</v>
      </c>
      <c r="Z39" s="42">
        <f>Y39/'[1]Passage Estimates'!$D39</f>
        <v>0</v>
      </c>
      <c r="AA39" s="43">
        <f>IFERROR(SUMIF(L39:O39, "&lt;&gt;#N/A")/SUMIF('2. Salmon Passage by Bin'!E39:J39, "&lt;&gt;#N/A"), NA())</f>
        <v>0</v>
      </c>
      <c r="AB39" s="42">
        <f>IFERROR(IF(ISNA(S39), NA(), S39/'2. Salmon Passage by Bin'!K39), NA())</f>
        <v>0</v>
      </c>
      <c r="AC39" s="44">
        <f>IFERROR(SUMIF(T39:W39, "&lt;&gt;#N/A")/SUMIF('2. Salmon Passage by Bin'!L39:N39, "&lt;&gt;#N/A"), NA())</f>
        <v>0</v>
      </c>
    </row>
    <row r="40" spans="1:29" x14ac:dyDescent="0.3">
      <c r="A40" s="5">
        <f>'1. Mixture Model Inputs'!A40</f>
        <v>45142</v>
      </c>
      <c r="B40" s="13" t="str">
        <f>IF(ISBLANK('[1]Passage Estimates'!$C40), "", '[1]Passage Estimates'!$C40)</f>
        <v>Imputation</v>
      </c>
      <c r="C40" s="71">
        <f>IFERROR('1. Mixture Model Inputs'!R40/'1. Mixture Model Inputs'!Z40,0)</f>
        <v>0.91729323308270672</v>
      </c>
      <c r="D40" s="71">
        <f>IFERROR('1. Mixture Model Inputs'!S40/'1. Mixture Model Inputs'!AA40,0)</f>
        <v>0.50495049504950495</v>
      </c>
      <c r="E40" s="71">
        <f>IFERROR('1. Mixture Model Inputs'!T40/'1. Mixture Model Inputs'!AB40,0)</f>
        <v>0.38216560509554137</v>
      </c>
      <c r="F40" s="71">
        <f>IFERROR('1. Mixture Model Inputs'!U40/'1. Mixture Model Inputs'!AC40,0)</f>
        <v>0.3168016194331984</v>
      </c>
      <c r="G40" s="71">
        <f>IFERROR('1. Mixture Model Inputs'!V40/'1. Mixture Model Inputs'!AD40,0)</f>
        <v>0.50482076637824469</v>
      </c>
      <c r="H40" s="24">
        <f>WhonSpComp!AR55</f>
        <v>0</v>
      </c>
      <c r="I40" s="70">
        <f>IFERROR('1. Mixture Model Inputs'!W40/'1. Mixture Model Inputs'!AE40, 0)</f>
        <v>0.77570093457943934</v>
      </c>
      <c r="J40" s="71">
        <f>IFERROR('1. Mixture Model Inputs'!X40/'1. Mixture Model Inputs'!AF40, 0)</f>
        <v>0.5990703079604881</v>
      </c>
      <c r="K40" s="23">
        <f>IFERROR('1. Mixture Model Inputs'!Y40/'1. Mixture Model Inputs'!AG40, 0)</f>
        <v>0.71496361910787731</v>
      </c>
      <c r="L40" s="76">
        <f>C40*'2. Salmon Passage by Bin'!C40</f>
        <v>101.81954887218045</v>
      </c>
      <c r="M40" s="76">
        <f>D40*'2. Salmon Passage by Bin'!D40</f>
        <v>298.42574257425741</v>
      </c>
      <c r="N40" s="76">
        <f>F40*'2. Salmon Passage by Bin'!F40</f>
        <v>276.90995951417005</v>
      </c>
      <c r="O40" s="76">
        <f>G40*'2. Salmon Passage by Bin'!G40</f>
        <v>722.21678121137188</v>
      </c>
      <c r="P40" s="76">
        <f>$G40*'2. Salmon Passage by Bin'!H40</f>
        <v>664.42489987639055</v>
      </c>
      <c r="Q40" s="76">
        <f>$G40*'2. Salmon Passage by Bin'!I40</f>
        <v>431.44001977750304</v>
      </c>
      <c r="R40" s="76">
        <f>$G40*'2. Salmon Passage by Bin'!J40</f>
        <v>0</v>
      </c>
      <c r="S40" s="56">
        <f>'2. Salmon Passage by Bin'!K40*H40</f>
        <v>0</v>
      </c>
      <c r="T40" s="25">
        <f>K40*'2. Salmon Passage by Bin'!L40</f>
        <v>11.839797532426447</v>
      </c>
      <c r="U40" s="25">
        <f>K40*'2. Salmon Passage by Bin'!M40</f>
        <v>160.26624485922179</v>
      </c>
      <c r="V40" s="25">
        <f>J40*'2. Salmon Passage by Bin'!N40</f>
        <v>217.53441022661244</v>
      </c>
      <c r="W40" s="25">
        <f>I40*'2. Salmon Passage by Bin'!O40</f>
        <v>458.16</v>
      </c>
      <c r="X40" s="76">
        <f>E40*'2. Salmon Passage by Bin'!E40</f>
        <v>268.28025477707007</v>
      </c>
      <c r="Y40" s="41">
        <f>IF(B40="M",S40,IF(AND(ISNUMBER(SEARCH("A1*",B40)),SUMIF(L40:W40,"&lt;&gt;#N/A")&gt;0),SUMIF(L40:W40,"&lt;&gt;#N/A"),IF(SUMIF(N40:X40,"&lt;&gt;#N/A")&gt;0,SUMIF(N40:X40,"&lt;&gt;#N/A"),0)))</f>
        <v>3211.0723677747665</v>
      </c>
      <c r="Z40" s="42">
        <f>Y40/'[1]Passage Estimates'!$D40</f>
        <v>0.17708053009617156</v>
      </c>
      <c r="AA40" s="43">
        <f>IFERROR(SUMIF(L40:O40, "&lt;&gt;#N/A")/SUMIF('2. Salmon Passage by Bin'!E40:J40, "&lt;&gt;#N/A"), NA())</f>
        <v>0.27027844067661344</v>
      </c>
      <c r="AB40" s="42">
        <f>IFERROR(IF(ISNA(S40), NA(), S40/'2. Salmon Passage by Bin'!K40), NA())</f>
        <v>0</v>
      </c>
      <c r="AC40" s="44">
        <f>IFERROR(SUMIF(T40:W40, "&lt;&gt;#N/A")/SUMIF('2. Salmon Passage by Bin'!L40:N40, "&lt;&gt;#N/A"), NA())</f>
        <v>1.4040150579926149</v>
      </c>
    </row>
    <row r="41" spans="1:29" x14ac:dyDescent="0.3">
      <c r="A41" s="5">
        <f>'1. Mixture Model Inputs'!A41</f>
        <v>45143</v>
      </c>
      <c r="B41" s="13" t="str">
        <f>IF(ISBLANK('[1]Passage Estimates'!$C41), "", '[1]Passage Estimates'!$C41)</f>
        <v>A1+S1+M2+A2</v>
      </c>
      <c r="C41" s="71">
        <f>IFERROR('1. Mixture Model Inputs'!R41/'1. Mixture Model Inputs'!Z41,0)</f>
        <v>0.27540211847783441</v>
      </c>
      <c r="D41" s="71">
        <f>IFERROR('1. Mixture Model Inputs'!S41/'1. Mixture Model Inputs'!AA41,0)</f>
        <v>0.46682464454976308</v>
      </c>
      <c r="E41" s="71">
        <f>IFERROR('1. Mixture Model Inputs'!T41/'1. Mixture Model Inputs'!AB41,0)</f>
        <v>0.44486692015209128</v>
      </c>
      <c r="F41" s="71">
        <f>IFERROR('1. Mixture Model Inputs'!U41/'1. Mixture Model Inputs'!AC41,0)</f>
        <v>0.40431443046249388</v>
      </c>
      <c r="G41" s="71">
        <f>IFERROR('1. Mixture Model Inputs'!V41/'1. Mixture Model Inputs'!AD41,0)</f>
        <v>0.39380424300867889</v>
      </c>
      <c r="H41" s="24">
        <f>WhonSpComp!AR56</f>
        <v>0</v>
      </c>
      <c r="I41" s="70">
        <f>IFERROR('1. Mixture Model Inputs'!W41/'1. Mixture Model Inputs'!AE41, 0)</f>
        <v>0.7632898696088265</v>
      </c>
      <c r="J41" s="71">
        <f>IFERROR('1. Mixture Model Inputs'!X41/'1. Mixture Model Inputs'!AF41, 0)</f>
        <v>0.18121212121212121</v>
      </c>
      <c r="K41" s="23">
        <f>IFERROR('1. Mixture Model Inputs'!Y41/'1. Mixture Model Inputs'!AG41, 0)</f>
        <v>0.66981450252951102</v>
      </c>
      <c r="L41" s="76">
        <f>C41*'2. Salmon Passage by Bin'!C41</f>
        <v>321.11887014515492</v>
      </c>
      <c r="M41" s="76">
        <f>D41*'2. Salmon Passage by Bin'!D41</f>
        <v>928.98104265402856</v>
      </c>
      <c r="N41" s="76">
        <f>F41*'2. Salmon Passage by Bin'!F41</f>
        <v>1569.645654518712</v>
      </c>
      <c r="O41" s="76">
        <f>G41*'2. Salmon Passage by Bin'!G41</f>
        <v>902.31578592092569</v>
      </c>
      <c r="P41" s="76">
        <f>$G41*'2. Salmon Passage by Bin'!H41</f>
        <v>772.17135969141759</v>
      </c>
      <c r="Q41" s="76">
        <f>$G41*'2. Salmon Passage by Bin'!I41</f>
        <v>673.78330761812913</v>
      </c>
      <c r="R41" s="76">
        <f>$G41*'2. Salmon Passage by Bin'!J41</f>
        <v>0</v>
      </c>
      <c r="S41" s="56">
        <f>'2. Salmon Passage by Bin'!K41*H41</f>
        <v>0</v>
      </c>
      <c r="T41" s="25">
        <f>K41*'2. Salmon Passage by Bin'!L41</f>
        <v>104.81257335581788</v>
      </c>
      <c r="U41" s="25">
        <f>K41*'2. Salmon Passage by Bin'!M41</f>
        <v>303.18483642495784</v>
      </c>
      <c r="V41" s="25">
        <f>J41*'2. Salmon Passage by Bin'!N41</f>
        <v>47.926981818181822</v>
      </c>
      <c r="W41" s="25">
        <f>I41*'2. Salmon Passage by Bin'!O41</f>
        <v>248.95462387161481</v>
      </c>
      <c r="X41" s="76">
        <f>E41*'2. Salmon Passage by Bin'!E41</f>
        <v>1404.1067680608364</v>
      </c>
      <c r="Y41" s="41">
        <f t="shared" si="0"/>
        <v>5872.895036018941</v>
      </c>
      <c r="Z41" s="42">
        <f>Y41/'[1]Passage Estimates'!$D41</f>
        <v>0.23769666223153682</v>
      </c>
      <c r="AA41" s="43">
        <f>IFERROR(SUMIF(L41:O41, "&lt;&gt;#N/A")/SUMIF('2. Salmon Passage by Bin'!E41:J41, "&lt;&gt;#N/A"), NA())</f>
        <v>0.28627893917317532</v>
      </c>
      <c r="AB41" s="42">
        <f>IFERROR(IF(ISNA(S41), NA(), S41/'2. Salmon Passage by Bin'!K41), NA())</f>
        <v>0</v>
      </c>
      <c r="AC41" s="44">
        <f>IFERROR(SUMIF(T41:W41, "&lt;&gt;#N/A")/SUMIF('2. Salmon Passage by Bin'!L41:N41, "&lt;&gt;#N/A"), NA())</f>
        <v>0.80686700488847563</v>
      </c>
    </row>
    <row r="42" spans="1:29" x14ac:dyDescent="0.3">
      <c r="A42" s="5">
        <f>'1. Mixture Model Inputs'!A42</f>
        <v>45144</v>
      </c>
      <c r="B42" s="13" t="str">
        <f>IF(ISBLANK('[1]Passage Estimates'!$C42), "", '[1]Passage Estimates'!$C42)</f>
        <v>A1+S1+M2+A2</v>
      </c>
      <c r="C42" s="71">
        <f>IFERROR('1. Mixture Model Inputs'!R42/'1. Mixture Model Inputs'!Z42,0)</f>
        <v>0.12618416066691929</v>
      </c>
      <c r="D42" s="71">
        <f>IFERROR('1. Mixture Model Inputs'!S42/'1. Mixture Model Inputs'!AA42,0)</f>
        <v>0.33141308031175876</v>
      </c>
      <c r="E42" s="71">
        <f>IFERROR('1. Mixture Model Inputs'!T42/'1. Mixture Model Inputs'!AB42,0)</f>
        <v>0.22449712643678163</v>
      </c>
      <c r="F42" s="71">
        <f>IFERROR('1. Mixture Model Inputs'!U42/'1. Mixture Model Inputs'!AC42,0)</f>
        <v>3.2496561210453918E-2</v>
      </c>
      <c r="G42" s="71">
        <f>IFERROR('1. Mixture Model Inputs'!V42/'1. Mixture Model Inputs'!AD42,0)</f>
        <v>2.4146852285327092E-2</v>
      </c>
      <c r="H42" s="24">
        <f>WhonSpComp!AR57</f>
        <v>0</v>
      </c>
      <c r="I42" s="70">
        <f>IFERROR('1. Mixture Model Inputs'!W42/'1. Mixture Model Inputs'!AE42, 0)</f>
        <v>0.7632898696088265</v>
      </c>
      <c r="J42" s="71">
        <f>IFERROR('1. Mixture Model Inputs'!X42/'1. Mixture Model Inputs'!AF42, 0)</f>
        <v>0.18121212121212121</v>
      </c>
      <c r="K42" s="23">
        <f>IFERROR('1. Mixture Model Inputs'!Y42/'1. Mixture Model Inputs'!AG42, 0)</f>
        <v>0.66981450252951102</v>
      </c>
      <c r="L42" s="76">
        <f>C42*'2. Salmon Passage by Bin'!C42</f>
        <v>157.22546419098143</v>
      </c>
      <c r="M42" s="76">
        <f>D42*'2. Salmon Passage by Bin'!D42</f>
        <v>1089.3547949847509</v>
      </c>
      <c r="N42" s="76">
        <f>F42*'2. Salmon Passage by Bin'!F42</f>
        <v>86.500646492434669</v>
      </c>
      <c r="O42" s="76">
        <f>G42*'2. Salmon Passage by Bin'!G42</f>
        <v>98.165647406677337</v>
      </c>
      <c r="P42" s="76">
        <f>$G42*'2. Salmon Passage by Bin'!H42</f>
        <v>64.33300973265986</v>
      </c>
      <c r="Q42" s="76">
        <f>$G42*'2. Salmon Passage by Bin'!I42</f>
        <v>40.659435752125169</v>
      </c>
      <c r="R42" s="76">
        <f>$G42*'2. Salmon Passage by Bin'!J42</f>
        <v>0</v>
      </c>
      <c r="S42" s="56">
        <f>'2. Salmon Passage by Bin'!K42*H42</f>
        <v>0</v>
      </c>
      <c r="T42" s="25">
        <f>K42*'2. Salmon Passage by Bin'!L42</f>
        <v>148.85957504215853</v>
      </c>
      <c r="U42" s="25">
        <f>K42*'2. Salmon Passage by Bin'!M42</f>
        <v>314.27696458684659</v>
      </c>
      <c r="V42" s="25">
        <f>J42*'2. Salmon Passage by Bin'!N42</f>
        <v>42.490618181818178</v>
      </c>
      <c r="W42" s="25">
        <f>I42*'2. Salmon Passage by Bin'!O42</f>
        <v>293.65287863590777</v>
      </c>
      <c r="X42" s="76">
        <f>E42*'2. Salmon Passage by Bin'!E42</f>
        <v>1017.510775862069</v>
      </c>
      <c r="Y42" s="41">
        <f t="shared" si="0"/>
        <v>2335.5190350063604</v>
      </c>
      <c r="Z42" s="42">
        <f>Y42/'[1]Passage Estimates'!$D42</f>
        <v>7.8348933718662708E-2</v>
      </c>
      <c r="AA42" s="43">
        <f>IFERROR(SUMIF(L42:O42, "&lt;&gt;#N/A")/SUMIF('2. Salmon Passage by Bin'!E42:J42, "&lt;&gt;#N/A"), NA())</f>
        <v>9.170142859636056E-2</v>
      </c>
      <c r="AB42" s="42">
        <f>IFERROR(IF(ISNA(S42), NA(), S42/'2. Salmon Passage by Bin'!K42), NA())</f>
        <v>0</v>
      </c>
      <c r="AC42" s="44">
        <f>IFERROR(SUMIF(T42:W42, "&lt;&gt;#N/A")/SUMIF('2. Salmon Passage by Bin'!L42:N42, "&lt;&gt;#N/A"), NA())</f>
        <v>0.8632279640214392</v>
      </c>
    </row>
    <row r="43" spans="1:29" x14ac:dyDescent="0.3">
      <c r="A43" s="5">
        <f>'1. Mixture Model Inputs'!A43</f>
        <v>45145</v>
      </c>
      <c r="B43" s="13" t="str">
        <f>IF(ISBLANK('[1]Passage Estimates'!$C43), "", '[1]Passage Estimates'!$C43)</f>
        <v>A1+S1+M2+A2</v>
      </c>
      <c r="C43" s="71">
        <f>IFERROR('1. Mixture Model Inputs'!R43/'1. Mixture Model Inputs'!Z43,0)</f>
        <v>0.20795942255169725</v>
      </c>
      <c r="D43" s="71">
        <f>IFERROR('1. Mixture Model Inputs'!S43/'1. Mixture Model Inputs'!AA43,0)</f>
        <v>0.23829787234042554</v>
      </c>
      <c r="E43" s="71">
        <f>IFERROR('1. Mixture Model Inputs'!T43/'1. Mixture Model Inputs'!AB43,0)</f>
        <v>0.22936846183649751</v>
      </c>
      <c r="F43" s="71">
        <f>IFERROR('1. Mixture Model Inputs'!U43/'1. Mixture Model Inputs'!AC43,0)</f>
        <v>7.0708921047810958E-2</v>
      </c>
      <c r="G43" s="71">
        <f>IFERROR('1. Mixture Model Inputs'!V43/'1. Mixture Model Inputs'!AD43,0)</f>
        <v>0</v>
      </c>
      <c r="H43" s="24">
        <f>WhonSpComp!AR58</f>
        <v>0</v>
      </c>
      <c r="I43" s="70">
        <f>IFERROR('1. Mixture Model Inputs'!W43/'1. Mixture Model Inputs'!AE43, 0)</f>
        <v>0.85977157360406098</v>
      </c>
      <c r="J43" s="71">
        <f>IFERROR('1. Mixture Model Inputs'!X43/'1. Mixture Model Inputs'!AF43, 0)</f>
        <v>0.5968450479233226</v>
      </c>
      <c r="K43" s="23">
        <f>IFERROR('1. Mixture Model Inputs'!Y43/'1. Mixture Model Inputs'!AG43, 0)</f>
        <v>0.4306013702106064</v>
      </c>
      <c r="L43" s="76">
        <f>C43*'2. Salmon Passage by Bin'!C43</f>
        <v>353.73897776043702</v>
      </c>
      <c r="M43" s="76">
        <f>D43*'2. Salmon Passage by Bin'!D43</f>
        <v>566.43404255319149</v>
      </c>
      <c r="N43" s="76">
        <f>F43*'2. Salmon Passage by Bin'!F43</f>
        <v>285.72626488367837</v>
      </c>
      <c r="O43" s="76">
        <f>G43*'2. Salmon Passage by Bin'!G43</f>
        <v>0</v>
      </c>
      <c r="P43" s="76">
        <f>$G43*'2. Salmon Passage by Bin'!H43</f>
        <v>0</v>
      </c>
      <c r="Q43" s="76">
        <f>$G43*'2. Salmon Passage by Bin'!I43</f>
        <v>0</v>
      </c>
      <c r="R43" s="76">
        <f>$G43*'2. Salmon Passage by Bin'!J43</f>
        <v>0</v>
      </c>
      <c r="S43" s="56">
        <f>'2. Salmon Passage by Bin'!K43*H43</f>
        <v>0</v>
      </c>
      <c r="T43" s="25">
        <f>K43*'2. Salmon Passage by Bin'!L43</f>
        <v>88.979467140319699</v>
      </c>
      <c r="U43" s="25">
        <f>K43*'2. Salmon Passage by Bin'!M43</f>
        <v>182.19605176351178</v>
      </c>
      <c r="V43" s="25">
        <f>J43*'2. Salmon Passage by Bin'!N43</f>
        <v>418.26900958466445</v>
      </c>
      <c r="W43" s="25">
        <f>I43*'2. Salmon Passage by Bin'!O43</f>
        <v>410.62690355329948</v>
      </c>
      <c r="X43" s="76">
        <f>E43*'2. Salmon Passage by Bin'!E43</f>
        <v>935.38293684618372</v>
      </c>
      <c r="Y43" s="41">
        <f t="shared" si="0"/>
        <v>2305.9707172391022</v>
      </c>
      <c r="Z43" s="42">
        <f>Y43/'[1]Passage Estimates'!$D43</f>
        <v>7.28662100380673E-2</v>
      </c>
      <c r="AA43" s="43">
        <f>IFERROR(SUMIF(L43:O43, "&lt;&gt;#N/A")/SUMIF('2. Salmon Passage by Bin'!E43:J43, "&lt;&gt;#N/A"), NA())</f>
        <v>7.1891664949546852E-2</v>
      </c>
      <c r="AB43" s="42">
        <f>IFERROR(IF(ISNA(S43), NA(), S43/'2. Salmon Passage by Bin'!K43), NA())</f>
        <v>0</v>
      </c>
      <c r="AC43" s="44">
        <f>IFERROR(SUMIF(T43:W43, "&lt;&gt;#N/A")/SUMIF('2. Salmon Passage by Bin'!L43:N43, "&lt;&gt;#N/A"), NA())</f>
        <v>0.82677326241717441</v>
      </c>
    </row>
    <row r="44" spans="1:29" x14ac:dyDescent="0.3">
      <c r="A44" s="5">
        <f>'1. Mixture Model Inputs'!A44</f>
        <v>45146</v>
      </c>
      <c r="B44" s="13" t="str">
        <f>IF(ISBLANK('[1]Passage Estimates'!$C44), "", '[1]Passage Estimates'!$C44)</f>
        <v>A1+S1+M2+A2</v>
      </c>
      <c r="C44" s="71">
        <f>IFERROR('1. Mixture Model Inputs'!R44/'1. Mixture Model Inputs'!Z44,0)</f>
        <v>0.1198792583009918</v>
      </c>
      <c r="D44" s="71">
        <f>IFERROR('1. Mixture Model Inputs'!S44/'1. Mixture Model Inputs'!AA44,0)</f>
        <v>0.36519903498190592</v>
      </c>
      <c r="E44" s="71">
        <f>IFERROR('1. Mixture Model Inputs'!T44/'1. Mixture Model Inputs'!AB44,0)</f>
        <v>0.2519462137296532</v>
      </c>
      <c r="F44" s="71">
        <f>IFERROR('1. Mixture Model Inputs'!U44/'1. Mixture Model Inputs'!AC44,0)</f>
        <v>0.20219409282700421</v>
      </c>
      <c r="G44" s="71">
        <f>IFERROR('1. Mixture Model Inputs'!V44/'1. Mixture Model Inputs'!AD44,0)</f>
        <v>0.26651254953764864</v>
      </c>
      <c r="H44" s="24">
        <f>WhonSpComp!AR59</f>
        <v>0</v>
      </c>
      <c r="I44" s="70">
        <f>IFERROR('1. Mixture Model Inputs'!W44/'1. Mixture Model Inputs'!AE44, 0)</f>
        <v>0.85977157360406098</v>
      </c>
      <c r="J44" s="71">
        <f>IFERROR('1. Mixture Model Inputs'!X44/'1. Mixture Model Inputs'!AF44, 0)</f>
        <v>0.5968450479233226</v>
      </c>
      <c r="K44" s="23">
        <f>IFERROR('1. Mixture Model Inputs'!Y44/'1. Mixture Model Inputs'!AG44, 0)</f>
        <v>0.4306013702106064</v>
      </c>
      <c r="L44" s="76">
        <f>C44*'2. Salmon Passage by Bin'!C44</f>
        <v>145.05390254420007</v>
      </c>
      <c r="M44" s="76">
        <f>D44*'2. Salmon Passage by Bin'!D44</f>
        <v>1533.105548854041</v>
      </c>
      <c r="N44" s="76">
        <f>F44*'2. Salmon Passage by Bin'!F44</f>
        <v>829.70750379746823</v>
      </c>
      <c r="O44" s="76">
        <f>G44*'2. Salmon Passage by Bin'!G44</f>
        <v>1073.6191545574636</v>
      </c>
      <c r="P44" s="76">
        <f>$G44*'2. Salmon Passage by Bin'!H44</f>
        <v>593.44882430647306</v>
      </c>
      <c r="Q44" s="76">
        <f>$G44*'2. Salmon Passage by Bin'!I44</f>
        <v>475.43706737120226</v>
      </c>
      <c r="R44" s="76">
        <f>$G44*'2. Salmon Passage by Bin'!J44</f>
        <v>0</v>
      </c>
      <c r="S44" s="56">
        <f>'2. Salmon Passage by Bin'!K44*H44</f>
        <v>0</v>
      </c>
      <c r="T44" s="25">
        <f>K44*'2. Salmon Passage by Bin'!L44</f>
        <v>55.082527277340773</v>
      </c>
      <c r="U44" s="25">
        <f>K44*'2. Salmon Passage by Bin'!M44</f>
        <v>249.98993148946968</v>
      </c>
      <c r="V44" s="25">
        <f>J44*'2. Salmon Passage by Bin'!N44</f>
        <v>490.17690095846638</v>
      </c>
      <c r="W44" s="25">
        <f>I44*'2. Salmon Passage by Bin'!O44</f>
        <v>713.95431472081236</v>
      </c>
      <c r="X44" s="76">
        <f>E44*'2. Salmon Passage by Bin'!E44</f>
        <v>1362.5654352441611</v>
      </c>
      <c r="Y44" s="41">
        <f t="shared" si="0"/>
        <v>6159.5756758769376</v>
      </c>
      <c r="Z44" s="42">
        <f>Y44/'[1]Passage Estimates'!$D44</f>
        <v>0.16821720291988762</v>
      </c>
      <c r="AA44" s="43">
        <f>IFERROR(SUMIF(L44:O44, "&lt;&gt;#N/A")/SUMIF('2. Salmon Passage by Bin'!E44:J44, "&lt;&gt;#N/A"), NA())</f>
        <v>0.20406491071324553</v>
      </c>
      <c r="AB44" s="42">
        <f>IFERROR(IF(ISNA(S44), NA(), S44/'2. Salmon Passage by Bin'!K44), NA())</f>
        <v>0</v>
      </c>
      <c r="AC44" s="44">
        <f>IFERROR(SUMIF(T44:W44, "&lt;&gt;#N/A")/SUMIF('2. Salmon Passage by Bin'!L44:N44, "&lt;&gt;#N/A"), NA())</f>
        <v>0.98656238524088047</v>
      </c>
    </row>
    <row r="45" spans="1:29" x14ac:dyDescent="0.3">
      <c r="A45" s="5">
        <f>'1. Mixture Model Inputs'!A45</f>
        <v>45147</v>
      </c>
      <c r="B45" s="13" t="str">
        <f>IF(ISBLANK('[1]Passage Estimates'!$C45), "", '[1]Passage Estimates'!$C45)</f>
        <v>A1+S1+M2+A2</v>
      </c>
      <c r="C45" s="71">
        <f>IFERROR('1. Mixture Model Inputs'!R45/'1. Mixture Model Inputs'!Z45,0)</f>
        <v>0.47694595934556272</v>
      </c>
      <c r="D45" s="71">
        <f>IFERROR('1. Mixture Model Inputs'!S45/'1. Mixture Model Inputs'!AA45,0)</f>
        <v>0.3128183361629881</v>
      </c>
      <c r="E45" s="71">
        <f>IFERROR('1. Mixture Model Inputs'!T45/'1. Mixture Model Inputs'!AB45,0)</f>
        <v>0.38405132905591199</v>
      </c>
      <c r="F45" s="71">
        <f>IFERROR('1. Mixture Model Inputs'!U45/'1. Mixture Model Inputs'!AC45,0)</f>
        <v>0.49171446781389416</v>
      </c>
      <c r="G45" s="71">
        <f>IFERROR('1. Mixture Model Inputs'!V45/'1. Mixture Model Inputs'!AD45,0)</f>
        <v>0.41173773498395239</v>
      </c>
      <c r="H45" s="24">
        <f>WhonSpComp!AR60</f>
        <v>0</v>
      </c>
      <c r="I45" s="70">
        <f>IFERROR('1. Mixture Model Inputs'!W45/'1. Mixture Model Inputs'!AE45, 0)</f>
        <v>0.74299835255354207</v>
      </c>
      <c r="J45" s="71">
        <f>IFERROR('1. Mixture Model Inputs'!X45/'1. Mixture Model Inputs'!AF45, 0)</f>
        <v>0.67040530206474647</v>
      </c>
      <c r="K45" s="23">
        <f>IFERROR('1. Mixture Model Inputs'!Y45/'1. Mixture Model Inputs'!AG45, 0)</f>
        <v>0.60775339884237445</v>
      </c>
      <c r="L45" s="76">
        <f>C45*'2. Salmon Passage by Bin'!C45</f>
        <v>465.02231036192364</v>
      </c>
      <c r="M45" s="76">
        <f>D45*'2. Salmon Passage by Bin'!D45</f>
        <v>510.83234295415957</v>
      </c>
      <c r="N45" s="76">
        <f>F45*'2. Salmon Passage by Bin'!F45</f>
        <v>1322.2005353728489</v>
      </c>
      <c r="O45" s="76">
        <f>G45*'2. Salmon Passage by Bin'!G45</f>
        <v>1231.0628885832189</v>
      </c>
      <c r="P45" s="76">
        <f>$G45*'2. Salmon Passage by Bin'!H45</f>
        <v>864.55042640990382</v>
      </c>
      <c r="Q45" s="76">
        <f>$G45*'2. Salmon Passage by Bin'!I45</f>
        <v>520.96352132049526</v>
      </c>
      <c r="R45" s="76">
        <f>$G45*'2. Salmon Passage by Bin'!J45</f>
        <v>0</v>
      </c>
      <c r="S45" s="56">
        <f>'2. Salmon Passage by Bin'!K45*H45</f>
        <v>0</v>
      </c>
      <c r="T45" s="25">
        <f>K45*'2. Salmon Passage by Bin'!L45</f>
        <v>-193.70316327904158</v>
      </c>
      <c r="U45" s="25">
        <f>K45*'2. Salmon Passage by Bin'!M45</f>
        <v>332.85438147799169</v>
      </c>
      <c r="V45" s="25">
        <f>J45*'2. Salmon Passage by Bin'!N45</f>
        <v>234.5882232984961</v>
      </c>
      <c r="W45" s="25">
        <f>I45*'2. Salmon Passage by Bin'!O45</f>
        <v>396.93943986820432</v>
      </c>
      <c r="X45" s="76">
        <f>E45*'2. Salmon Passage by Bin'!E45</f>
        <v>1001.3600733272227</v>
      </c>
      <c r="Y45" s="41">
        <f t="shared" si="0"/>
        <v>5685.3109063682004</v>
      </c>
      <c r="Z45" s="42">
        <f>Y45/'[1]Passage Estimates'!$D45</f>
        <v>0.2301536583875875</v>
      </c>
      <c r="AA45" s="43">
        <f>IFERROR(SUMIF(L45:O45, "&lt;&gt;#N/A")/SUMIF('2. Salmon Passage by Bin'!E45:J45, "&lt;&gt;#N/A"), NA())</f>
        <v>0.30289531083899374</v>
      </c>
      <c r="AB45" s="42">
        <f>IFERROR(IF(ISNA(S45), NA(), S45/'2. Salmon Passage by Bin'!K45), NA())</f>
        <v>0</v>
      </c>
      <c r="AC45" s="44">
        <f>IFERROR(SUMIF(T45:W45, "&lt;&gt;#N/A")/SUMIF('2. Salmon Passage by Bin'!L45:N45, "&lt;&gt;#N/A"), NA())</f>
        <v>1.331327531380684</v>
      </c>
    </row>
    <row r="46" spans="1:29" x14ac:dyDescent="0.3">
      <c r="A46" s="5">
        <f>'1. Mixture Model Inputs'!A46</f>
        <v>45148</v>
      </c>
      <c r="B46" s="13" t="str">
        <f>IF(ISBLANK('[1]Passage Estimates'!$C46), "", '[1]Passage Estimates'!$C46)</f>
        <v>A1+S1+M2+A2</v>
      </c>
      <c r="C46" s="71">
        <f>IFERROR('1. Mixture Model Inputs'!R46/'1. Mixture Model Inputs'!Z46,0)</f>
        <v>0.45191082802547772</v>
      </c>
      <c r="D46" s="71">
        <f>IFERROR('1. Mixture Model Inputs'!S46/'1. Mixture Model Inputs'!AA46,0)</f>
        <v>0.27770723743878106</v>
      </c>
      <c r="E46" s="71">
        <f>IFERROR('1. Mixture Model Inputs'!T46/'1. Mixture Model Inputs'!AB46,0)</f>
        <v>0.32626239335946505</v>
      </c>
      <c r="F46" s="71">
        <f>IFERROR('1. Mixture Model Inputs'!U46/'1. Mixture Model Inputs'!AC46,0)</f>
        <v>0.13734009172097514</v>
      </c>
      <c r="G46" s="71">
        <f>IFERROR('1. Mixture Model Inputs'!V46/'1. Mixture Model Inputs'!AD46,0)</f>
        <v>0.40002335902826447</v>
      </c>
      <c r="H46" s="24">
        <f>WhonSpComp!AR61</f>
        <v>0</v>
      </c>
      <c r="I46" s="70">
        <f>IFERROR('1. Mixture Model Inputs'!W46/'1. Mixture Model Inputs'!AE46, 0)</f>
        <v>0.74299835255354207</v>
      </c>
      <c r="J46" s="71">
        <f>IFERROR('1. Mixture Model Inputs'!X46/'1. Mixture Model Inputs'!AF46, 0)</f>
        <v>0.67040530206474647</v>
      </c>
      <c r="K46" s="23">
        <f>IFERROR('1. Mixture Model Inputs'!Y46/'1. Mixture Model Inputs'!AG46, 0)</f>
        <v>0.60775339884237445</v>
      </c>
      <c r="L46" s="76">
        <f>C46*'2. Salmon Passage by Bin'!C46</f>
        <v>796.26687898089176</v>
      </c>
      <c r="M46" s="76">
        <f>D46*'2. Salmon Passage by Bin'!D46</f>
        <v>1265.2341737710865</v>
      </c>
      <c r="N46" s="76">
        <f>F46*'2. Salmon Passage by Bin'!F46</f>
        <v>1059.6502244750181</v>
      </c>
      <c r="O46" s="76">
        <f>G46*'2. Salmon Passage by Bin'!G46</f>
        <v>2159.2620882971273</v>
      </c>
      <c r="P46" s="76">
        <f>$G46*'2. Salmon Passage by Bin'!H46</f>
        <v>1034.0763840224247</v>
      </c>
      <c r="Q46" s="76">
        <f>$G46*'2. Salmon Passage by Bin'!I46</f>
        <v>774.86124737210946</v>
      </c>
      <c r="R46" s="76">
        <f>$G46*'2. Salmon Passage by Bin'!J46</f>
        <v>0</v>
      </c>
      <c r="S46" s="56">
        <f>'2. Salmon Passage by Bin'!K46*H46</f>
        <v>0</v>
      </c>
      <c r="T46" s="25">
        <f>K46*'2. Salmon Passage by Bin'!L46</f>
        <v>-59.365351998923138</v>
      </c>
      <c r="U46" s="25">
        <f>K46*'2. Salmon Passage by Bin'!M46</f>
        <v>118.87656481356845</v>
      </c>
      <c r="V46" s="25">
        <f>J46*'2. Salmon Passage by Bin'!N46</f>
        <v>179.07866428753508</v>
      </c>
      <c r="W46" s="25">
        <f>I46*'2. Salmon Passage by Bin'!O46</f>
        <v>58.66714991762769</v>
      </c>
      <c r="X46" s="76">
        <f>E46*'2. Salmon Passage by Bin'!E46</f>
        <v>2061.4041042195063</v>
      </c>
      <c r="Y46" s="41">
        <f t="shared" si="0"/>
        <v>7386.6080239384664</v>
      </c>
      <c r="Z46" s="42">
        <f>Y46/'[1]Passage Estimates'!$D46</f>
        <v>0.19096553554723611</v>
      </c>
      <c r="AA46" s="43">
        <f>IFERROR(SUMIF(L46:O46, "&lt;&gt;#N/A")/SUMIF('2. Salmon Passage by Bin'!E46:J46, "&lt;&gt;#N/A"), NA())</f>
        <v>0.22044267793191374</v>
      </c>
      <c r="AB46" s="42">
        <f>IFERROR(IF(ISNA(S46), NA(), S46/'2. Salmon Passage by Bin'!K46), NA())</f>
        <v>0</v>
      </c>
      <c r="AC46" s="44">
        <f>IFERROR(SUMIF(T46:W46, "&lt;&gt;#N/A")/SUMIF('2. Salmon Passage by Bin'!L46:N46, "&lt;&gt;#N/A"), NA())</f>
        <v>0.8143135739091828</v>
      </c>
    </row>
    <row r="47" spans="1:29" x14ac:dyDescent="0.3">
      <c r="A47" s="5">
        <f>'1. Mixture Model Inputs'!A47</f>
        <v>45149</v>
      </c>
      <c r="B47" s="13" t="str">
        <f>IF(ISBLANK('[1]Passage Estimates'!$C47), "", '[1]Passage Estimates'!$C47)</f>
        <v>A1+S1+M2+A2</v>
      </c>
      <c r="C47" s="71">
        <f>IFERROR('1. Mixture Model Inputs'!R47/'1. Mixture Model Inputs'!Z47,0)</f>
        <v>0.36038592508513057</v>
      </c>
      <c r="D47" s="71">
        <f>IFERROR('1. Mixture Model Inputs'!S47/'1. Mixture Model Inputs'!AA47,0)</f>
        <v>0.31551391567925047</v>
      </c>
      <c r="E47" s="71">
        <f>IFERROR('1. Mixture Model Inputs'!T47/'1. Mixture Model Inputs'!AB47,0)</f>
        <v>0.32372821060120949</v>
      </c>
      <c r="F47" s="71">
        <f>IFERROR('1. Mixture Model Inputs'!U47/'1. Mixture Model Inputs'!AC47,0)</f>
        <v>0.29973099249610646</v>
      </c>
      <c r="G47" s="71">
        <f>IFERROR('1. Mixture Model Inputs'!V47/'1. Mixture Model Inputs'!AD47,0)</f>
        <v>0.39592832149294876</v>
      </c>
      <c r="H47" s="24">
        <f>WhonSpComp!AR62</f>
        <v>0</v>
      </c>
      <c r="I47" s="70">
        <f>IFERROR('1. Mixture Model Inputs'!W47/'1. Mixture Model Inputs'!AE47, 0)</f>
        <v>0.10561660561660562</v>
      </c>
      <c r="J47" s="71">
        <f>IFERROR('1. Mixture Model Inputs'!X47/'1. Mixture Model Inputs'!AF47, 0)</f>
        <v>0.32655781406197937</v>
      </c>
      <c r="K47" s="23">
        <f>IFERROR('1. Mixture Model Inputs'!Y47/'1. Mixture Model Inputs'!AG47, 0)</f>
        <v>0.85004900359359692</v>
      </c>
      <c r="L47" s="76">
        <f>C47*'2. Salmon Passage by Bin'!C47</f>
        <v>410.4795686719637</v>
      </c>
      <c r="M47" s="76">
        <f>D47*'2. Salmon Passage by Bin'!D47</f>
        <v>1147.2085974097547</v>
      </c>
      <c r="N47" s="76">
        <f>F47*'2. Salmon Passage by Bin'!F47</f>
        <v>1840.5401217612914</v>
      </c>
      <c r="O47" s="76">
        <f>G47*'2. Salmon Passage by Bin'!G47</f>
        <v>2311.5245636729933</v>
      </c>
      <c r="P47" s="76">
        <f>$G47*'2. Salmon Passage by Bin'!H47</f>
        <v>2332.7146474392957</v>
      </c>
      <c r="Q47" s="76">
        <f>$G47*'2. Salmon Passage by Bin'!I47</f>
        <v>1183.4139158095641</v>
      </c>
      <c r="R47" s="76">
        <f>$G47*'2. Salmon Passage by Bin'!J47</f>
        <v>0</v>
      </c>
      <c r="S47" s="56">
        <f>'2. Salmon Passage by Bin'!K47*H47</f>
        <v>0</v>
      </c>
      <c r="T47" s="25">
        <f>K47*'2. Salmon Passage by Bin'!L47</f>
        <v>-73.648245671349244</v>
      </c>
      <c r="U47" s="25">
        <f>K47*'2. Salmon Passage by Bin'!M47</f>
        <v>522.4741195687684</v>
      </c>
      <c r="V47" s="25">
        <f>J47*'2. Salmon Passage by Bin'!N47</f>
        <v>135.74355214928357</v>
      </c>
      <c r="W47" s="25">
        <f>I47*'2. Salmon Passage by Bin'!O47</f>
        <v>59.060805860805864</v>
      </c>
      <c r="X47" s="76">
        <f>E47*'2. Salmon Passage by Bin'!E47</f>
        <v>1545.7374599786549</v>
      </c>
      <c r="Y47" s="41">
        <f t="shared" si="0"/>
        <v>9869.5116466723703</v>
      </c>
      <c r="Z47" s="42">
        <f>Y47/'[1]Passage Estimates'!$D47</f>
        <v>0.22499597966027732</v>
      </c>
      <c r="AA47" s="43">
        <f>IFERROR(SUMIF(L47:O47, "&lt;&gt;#N/A")/SUMIF('2. Salmon Passage by Bin'!E47:J47, "&lt;&gt;#N/A"), NA())</f>
        <v>0.22273791668679596</v>
      </c>
      <c r="AB47" s="42">
        <f>IFERROR(IF(ISNA(S47), NA(), S47/'2. Salmon Passage by Bin'!K47), NA())</f>
        <v>0</v>
      </c>
      <c r="AC47" s="44">
        <f>IFERROR(SUMIF(T47:W47, "&lt;&gt;#N/A")/SUMIF('2. Salmon Passage by Bin'!L47:N47, "&lt;&gt;#N/A"), NA())</f>
        <v>0.68204288732145291</v>
      </c>
    </row>
    <row r="48" spans="1:29" x14ac:dyDescent="0.3">
      <c r="A48" s="5">
        <f>'1. Mixture Model Inputs'!A48</f>
        <v>45150</v>
      </c>
      <c r="B48" s="13" t="str">
        <f>IF(ISBLANK('[1]Passage Estimates'!$C48), "", '[1]Passage Estimates'!$C48)</f>
        <v>Imputation</v>
      </c>
      <c r="C48" s="71">
        <f>IFERROR('1. Mixture Model Inputs'!R48/'1. Mixture Model Inputs'!Z48,0)</f>
        <v>0.42054054054054052</v>
      </c>
      <c r="D48" s="71">
        <f>IFERROR('1. Mixture Model Inputs'!S48/'1. Mixture Model Inputs'!AA48,0)</f>
        <v>0.36500144383482536</v>
      </c>
      <c r="E48" s="71">
        <f>IFERROR('1. Mixture Model Inputs'!T48/'1. Mixture Model Inputs'!AB48,0)</f>
        <v>0.36509980682549903</v>
      </c>
      <c r="F48" s="71">
        <f>IFERROR('1. Mixture Model Inputs'!U48/'1. Mixture Model Inputs'!AC48,0)</f>
        <v>0.33858716293201674</v>
      </c>
      <c r="G48" s="71">
        <f>IFERROR('1. Mixture Model Inputs'!V48/'1. Mixture Model Inputs'!AD48,0)</f>
        <v>0.44807299795893862</v>
      </c>
      <c r="H48" s="24">
        <f>WhonSpComp!AR63</f>
        <v>1.2987012987012988E-2</v>
      </c>
      <c r="I48" s="70">
        <f>IFERROR('1. Mixture Model Inputs'!W48/'1. Mixture Model Inputs'!AE48, 0)</f>
        <v>0.10561660561660562</v>
      </c>
      <c r="J48" s="71">
        <f>IFERROR('1. Mixture Model Inputs'!X48/'1. Mixture Model Inputs'!AF48, 0)</f>
        <v>0.32655781406197937</v>
      </c>
      <c r="K48" s="23">
        <f>IFERROR('1. Mixture Model Inputs'!Y48/'1. Mixture Model Inputs'!AG48, 0)</f>
        <v>0.85004900359359692</v>
      </c>
      <c r="L48" s="76">
        <f>C48*'2. Salmon Passage by Bin'!C48</f>
        <v>878.5091891891891</v>
      </c>
      <c r="M48" s="76">
        <f>D48*'2. Salmon Passage by Bin'!D48</f>
        <v>1028.9390701703726</v>
      </c>
      <c r="N48" s="76">
        <f>F48*'2. Salmon Passage by Bin'!F48</f>
        <v>1151.0609191036842</v>
      </c>
      <c r="O48" s="76">
        <f>G48*'2. Salmon Passage by Bin'!G48</f>
        <v>976.97836474966959</v>
      </c>
      <c r="P48" s="76">
        <f>$G48*'2. Salmon Passage by Bin'!H48</f>
        <v>976.97836474966959</v>
      </c>
      <c r="Q48" s="76">
        <f>$G48*'2. Salmon Passage by Bin'!I48</f>
        <v>918.47795413615086</v>
      </c>
      <c r="R48" s="76">
        <f>$G48*'2. Salmon Passage by Bin'!J48</f>
        <v>0</v>
      </c>
      <c r="S48" s="56">
        <f>'2. Salmon Passage by Bin'!K48*H48</f>
        <v>333.89992519480506</v>
      </c>
      <c r="T48" s="25">
        <f>K48*'2. Salmon Passage by Bin'!L48</f>
        <v>248.69033649134272</v>
      </c>
      <c r="U48" s="25">
        <f>K48*'2. Salmon Passage by Bin'!M48</f>
        <v>479.01961450506371</v>
      </c>
      <c r="V48" s="25">
        <f>J48*'2. Salmon Passage by Bin'!N48</f>
        <v>327.91629456847721</v>
      </c>
      <c r="W48" s="25">
        <f>I48*'2. Salmon Passage by Bin'!O48</f>
        <v>139.16043956043956</v>
      </c>
      <c r="X48" s="76">
        <f>E48*'2. Salmon Passage by Bin'!E48</f>
        <v>1791.9974758531873</v>
      </c>
      <c r="Y48" s="41">
        <f t="shared" si="0"/>
        <v>7344.1796889124907</v>
      </c>
      <c r="Z48" s="42">
        <f>Y48/'[1]Passage Estimates'!$D48</f>
        <v>0.16841893866127619</v>
      </c>
      <c r="AA48" s="43">
        <f>IFERROR(SUMIF(L48:O48, "&lt;&gt;#N/A")/SUMIF('2. Salmon Passage by Bin'!E48:J48, "&lt;&gt;#N/A"), NA())</f>
        <v>0.27417828085596579</v>
      </c>
      <c r="AB48" s="42">
        <f>IFERROR(IF(ISNA(S48), NA(), S48/'2. Salmon Passage by Bin'!K48), NA())</f>
        <v>1.2987012987012988E-2</v>
      </c>
      <c r="AC48" s="44">
        <f>IFERROR(SUMIF(T48:W48, "&lt;&gt;#N/A")/SUMIF('2. Salmon Passage by Bin'!L48:N48, "&lt;&gt;#N/A"), NA())</f>
        <v>0.64227555859745145</v>
      </c>
    </row>
    <row r="49" spans="1:29" x14ac:dyDescent="0.3">
      <c r="A49" s="5">
        <f>'1. Mixture Model Inputs'!A49</f>
        <v>45151</v>
      </c>
      <c r="B49" s="13" t="str">
        <f>IF(ISBLANK('[1]Passage Estimates'!$C49), "", '[1]Passage Estimates'!$C49)</f>
        <v>A1+S1+M2+A2</v>
      </c>
      <c r="C49" s="71">
        <f>IFERROR('1. Mixture Model Inputs'!R49/'1. Mixture Model Inputs'!Z49,0)</f>
        <v>0.63652802893309213</v>
      </c>
      <c r="D49" s="71">
        <f>IFERROR('1. Mixture Model Inputs'!S49/'1. Mixture Model Inputs'!AA49,0)</f>
        <v>0.25353356890459361</v>
      </c>
      <c r="E49" s="71">
        <f>IFERROR('1. Mixture Model Inputs'!T49/'1. Mixture Model Inputs'!AB49,0)</f>
        <v>0.36480686695278969</v>
      </c>
      <c r="F49" s="71">
        <f>IFERROR('1. Mixture Model Inputs'!U49/'1. Mixture Model Inputs'!AC49,0)</f>
        <v>0</v>
      </c>
      <c r="G49" s="71">
        <f>IFERROR('1. Mixture Model Inputs'!V49/'1. Mixture Model Inputs'!AD49,0)</f>
        <v>0.24784370778343551</v>
      </c>
      <c r="H49" s="24">
        <f>WhonSpComp!AR64</f>
        <v>0</v>
      </c>
      <c r="I49" s="70">
        <f>IFERROR('1. Mixture Model Inputs'!W49/'1. Mixture Model Inputs'!AE49, 0)</f>
        <v>0.2840417409009926</v>
      </c>
      <c r="J49" s="71">
        <f>IFERROR('1. Mixture Model Inputs'!X49/'1. Mixture Model Inputs'!AF49, 0)</f>
        <v>9.0115040477204936E-2</v>
      </c>
      <c r="K49" s="23">
        <f>IFERROR('1. Mixture Model Inputs'!Y49/'1. Mixture Model Inputs'!AG49, 0)</f>
        <v>0.40325050052997291</v>
      </c>
      <c r="L49" s="76">
        <f>C49*'2. Salmon Passage by Bin'!C49</f>
        <v>932.51356238697997</v>
      </c>
      <c r="M49" s="76">
        <f>D49*'2. Salmon Passage by Bin'!D49</f>
        <v>785.44699646643096</v>
      </c>
      <c r="N49" s="76">
        <f>F49*'2. Salmon Passage by Bin'!F49</f>
        <v>0</v>
      </c>
      <c r="O49" s="76">
        <f>G49*'2. Salmon Passage by Bin'!G49</f>
        <v>1174.6007274238802</v>
      </c>
      <c r="P49" s="76">
        <f>$G49*'2. Salmon Passage by Bin'!H49</f>
        <v>976.40507118362257</v>
      </c>
      <c r="Q49" s="76">
        <f>$G49*'2. Salmon Passage by Bin'!I49</f>
        <v>948.21037098617899</v>
      </c>
      <c r="R49" s="76">
        <f>$G49*'2. Salmon Passage by Bin'!J49</f>
        <v>0</v>
      </c>
      <c r="S49" s="56">
        <f>'2. Salmon Passage by Bin'!K49*H49</f>
        <v>0</v>
      </c>
      <c r="T49" s="25">
        <f>K49*'2. Salmon Passage by Bin'!L49</f>
        <v>254.53171593451893</v>
      </c>
      <c r="U49" s="25">
        <f>K49*'2. Salmon Passage by Bin'!M49</f>
        <v>456.41504651984451</v>
      </c>
      <c r="V49" s="25">
        <f>J49*'2. Salmon Passage by Bin'!N49</f>
        <v>71.262974009373664</v>
      </c>
      <c r="W49" s="25">
        <f>I49*'2. Salmon Passage by Bin'!O49</f>
        <v>412.08775769916014</v>
      </c>
      <c r="X49" s="76">
        <f>E49*'2. Salmon Passage by Bin'!E49</f>
        <v>1664.569957081545</v>
      </c>
      <c r="Y49" s="41">
        <f t="shared" si="0"/>
        <v>6011.4742226099897</v>
      </c>
      <c r="Z49" s="42">
        <f>Y49/'[1]Passage Estimates'!$D49</f>
        <v>0.14450353508411334</v>
      </c>
      <c r="AA49" s="43">
        <f>IFERROR(SUMIF(L49:O49, "&lt;&gt;#N/A")/SUMIF('2. Salmon Passage by Bin'!E49:J49, "&lt;&gt;#N/A"), NA())</f>
        <v>0.12986314426366311</v>
      </c>
      <c r="AB49" s="42">
        <f>IFERROR(IF(ISNA(S49), NA(), S49/'2. Salmon Passage by Bin'!K49), NA())</f>
        <v>0</v>
      </c>
      <c r="AC49" s="44">
        <f>IFERROR(SUMIF(T49:W49, "&lt;&gt;#N/A")/SUMIF('2. Salmon Passage by Bin'!L49:N49, "&lt;&gt;#N/A"), NA())</f>
        <v>0.46764773602218507</v>
      </c>
    </row>
    <row r="50" spans="1:29" x14ac:dyDescent="0.3">
      <c r="A50" s="5">
        <f>'1. Mixture Model Inputs'!A50</f>
        <v>45152</v>
      </c>
      <c r="B50" s="13" t="str">
        <f>IF(ISBLANK('[1]Passage Estimates'!$C50), "", '[1]Passage Estimates'!$C50)</f>
        <v>A1+S1+M2+A2</v>
      </c>
      <c r="C50" s="71">
        <f>IFERROR('1. Mixture Model Inputs'!R50/'1. Mixture Model Inputs'!Z50,0)</f>
        <v>0.31365416899832121</v>
      </c>
      <c r="D50" s="71">
        <f>IFERROR('1. Mixture Model Inputs'!S50/'1. Mixture Model Inputs'!AA50,0)</f>
        <v>1.970310391363023E-2</v>
      </c>
      <c r="E50" s="71">
        <f>IFERROR('1. Mixture Model Inputs'!T50/'1. Mixture Model Inputs'!AB50,0)</f>
        <v>0.14793388429752066</v>
      </c>
      <c r="F50" s="71">
        <f>IFERROR('1. Mixture Model Inputs'!U50/'1. Mixture Model Inputs'!AC50,0)</f>
        <v>0.30456166236321158</v>
      </c>
      <c r="G50" s="71">
        <f>IFERROR('1. Mixture Model Inputs'!V50/'1. Mixture Model Inputs'!AD50,0)</f>
        <v>0.26859243697478991</v>
      </c>
      <c r="H50" s="24">
        <f>WhonSpComp!AR65</f>
        <v>0</v>
      </c>
      <c r="I50" s="70">
        <f>IFERROR('1. Mixture Model Inputs'!W50/'1. Mixture Model Inputs'!AE50, 0)</f>
        <v>0.2840417409009926</v>
      </c>
      <c r="J50" s="71">
        <f>IFERROR('1. Mixture Model Inputs'!X50/'1. Mixture Model Inputs'!AF50, 0)</f>
        <v>9.0115040477204936E-2</v>
      </c>
      <c r="K50" s="23">
        <f>IFERROR('1. Mixture Model Inputs'!Y50/'1. Mixture Model Inputs'!AG50, 0)</f>
        <v>0.40325050052997291</v>
      </c>
      <c r="L50" s="76">
        <f>C50*'2. Salmon Passage by Bin'!C50</f>
        <v>865.37185226636825</v>
      </c>
      <c r="M50" s="76">
        <f>D50*'2. Salmon Passage by Bin'!D50</f>
        <v>113.52928475033738</v>
      </c>
      <c r="N50" s="76">
        <f>F50*'2. Salmon Passage by Bin'!F50</f>
        <v>1888.1848469199556</v>
      </c>
      <c r="O50" s="76">
        <f>G50*'2. Salmon Passage by Bin'!G50</f>
        <v>948.56105042016816</v>
      </c>
      <c r="P50" s="76">
        <f>$G50*'2. Salmon Passage by Bin'!H50</f>
        <v>626.0567394957983</v>
      </c>
      <c r="Q50" s="76">
        <f>$G50*'2. Salmon Passage by Bin'!I50</f>
        <v>528.46099159663868</v>
      </c>
      <c r="R50" s="76">
        <f>$G50*'2. Salmon Passage by Bin'!J50</f>
        <v>0</v>
      </c>
      <c r="S50" s="56">
        <f>'2. Salmon Passage by Bin'!K50*H50</f>
        <v>0</v>
      </c>
      <c r="T50" s="25">
        <f>K50*'2. Salmon Passage by Bin'!L50</f>
        <v>-57.100270875044174</v>
      </c>
      <c r="U50" s="25">
        <f>K50*'2. Salmon Passage by Bin'!M50</f>
        <v>215.04542692262393</v>
      </c>
      <c r="V50" s="25">
        <f>J50*'2. Salmon Passage by Bin'!N50</f>
        <v>65.942582019599485</v>
      </c>
      <c r="W50" s="25">
        <f>I50*'2. Salmon Passage by Bin'!O50</f>
        <v>184.12721812165944</v>
      </c>
      <c r="X50" s="76">
        <f>E50*'2. Salmon Passage by Bin'!E50</f>
        <v>1260.5387107438019</v>
      </c>
      <c r="Y50" s="41">
        <f>IF(B50="M",S50,IF(AND(ISNUMBER(SEARCH("A1*",B50)),SUMIF(L50:W50,"&lt;&gt;#N/A")&gt;0),SUMIF(L50:W50,"&lt;&gt;#N/A"),IF(SUMIF(N50:X50,"&lt;&gt;#N/A")&gt;0,SUMIF(N50:X50,"&lt;&gt;#N/A"),0)))</f>
        <v>5378.1797216381046</v>
      </c>
      <c r="Z50" s="42">
        <f>Y50/'[1]Passage Estimates'!$D50</f>
        <v>0.16255781284043216</v>
      </c>
      <c r="AA50" s="43">
        <f>IFERROR(SUMIF(L50:O50, "&lt;&gt;#N/A")/SUMIF('2. Salmon Passage by Bin'!E50:J50, "&lt;&gt;#N/A"), NA())</f>
        <v>0.169203491978801</v>
      </c>
      <c r="AB50" s="42">
        <f>IFERROR(IF(ISNA(S50), NA(), S50/'2. Salmon Passage by Bin'!K50), NA())</f>
        <v>0</v>
      </c>
      <c r="AC50" s="44">
        <f>IFERROR(SUMIF(T50:W50, "&lt;&gt;#N/A")/SUMIF('2. Salmon Passage by Bin'!L50:N50, "&lt;&gt;#N/A"), NA())</f>
        <v>0.36318357561493153</v>
      </c>
    </row>
    <row r="51" spans="1:29" x14ac:dyDescent="0.3">
      <c r="A51" s="5">
        <f>'1. Mixture Model Inputs'!A51</f>
        <v>45153</v>
      </c>
      <c r="B51" s="13" t="str">
        <f>IF(ISBLANK('[1]Passage Estimates'!$C51), "", '[1]Passage Estimates'!$C51)</f>
        <v>A1+S1+M2+A2</v>
      </c>
      <c r="C51" s="71">
        <f>IFERROR('1. Mixture Model Inputs'!R51/'1. Mixture Model Inputs'!Z51,0)</f>
        <v>0.27129540340726455</v>
      </c>
      <c r="D51" s="71">
        <f>IFERROR('1. Mixture Model Inputs'!S51/'1. Mixture Model Inputs'!AA51,0)</f>
        <v>0</v>
      </c>
      <c r="E51" s="71">
        <f>IFERROR('1. Mixture Model Inputs'!T51/'1. Mixture Model Inputs'!AB51,0)</f>
        <v>0.1076923076923077</v>
      </c>
      <c r="F51" s="71">
        <f>IFERROR('1. Mixture Model Inputs'!U51/'1. Mixture Model Inputs'!AC51,0)</f>
        <v>0.32677332578224549</v>
      </c>
      <c r="G51" s="71">
        <f>IFERROR('1. Mixture Model Inputs'!V51/'1. Mixture Model Inputs'!AD51,0)</f>
        <v>0.30696754681865768</v>
      </c>
      <c r="H51" s="24">
        <f>WhonSpComp!AR66</f>
        <v>8.4745762711864406E-3</v>
      </c>
      <c r="I51" s="70">
        <f>IFERROR('1. Mixture Model Inputs'!W51/'1. Mixture Model Inputs'!AE51, 0)</f>
        <v>0.26310632043116117</v>
      </c>
      <c r="J51" s="71">
        <f>IFERROR('1. Mixture Model Inputs'!X51/'1. Mixture Model Inputs'!AF51, 0)</f>
        <v>0.1269881343095178</v>
      </c>
      <c r="K51" s="23">
        <f>IFERROR('1. Mixture Model Inputs'!Y51/'1. Mixture Model Inputs'!AG51, 0)</f>
        <v>0.38131157635467983</v>
      </c>
      <c r="L51" s="76">
        <f>C51*'2. Salmon Passage by Bin'!C51</f>
        <v>607.4304082288653</v>
      </c>
      <c r="M51" s="76">
        <f>D51*'2. Salmon Passage by Bin'!D51</f>
        <v>0</v>
      </c>
      <c r="N51" s="76">
        <f>F51*'2. Salmon Passage by Bin'!F51</f>
        <v>2078.8273311623957</v>
      </c>
      <c r="O51" s="76">
        <f>G51*'2. Salmon Passage by Bin'!G51</f>
        <v>1106.6302849831336</v>
      </c>
      <c r="P51" s="76">
        <f>$G51*'2. Salmon Passage by Bin'!H51</f>
        <v>843.32580202396184</v>
      </c>
      <c r="Q51" s="76">
        <f>$G51*'2. Salmon Passage by Bin'!I51</f>
        <v>649.1995254158428</v>
      </c>
      <c r="R51" s="76">
        <f>$G51*'2. Salmon Passage by Bin'!J51</f>
        <v>0</v>
      </c>
      <c r="S51" s="56">
        <f>'2. Salmon Passage by Bin'!K51*H51</f>
        <v>106.54779661016943</v>
      </c>
      <c r="T51" s="25">
        <f>K51*'2. Salmon Passage by Bin'!L51</f>
        <v>194.65193349753696</v>
      </c>
      <c r="U51" s="25">
        <f>K51*'2. Salmon Passage by Bin'!M51</f>
        <v>95.358399014778328</v>
      </c>
      <c r="V51" s="25">
        <f>J51*'2. Salmon Passage by Bin'!N51</f>
        <v>62.539116384751331</v>
      </c>
      <c r="W51" s="25">
        <f>I51*'2. Salmon Passage by Bin'!O51</f>
        <v>132.22671239588436</v>
      </c>
      <c r="X51" s="76">
        <f>E51*'2. Salmon Passage by Bin'!E51</f>
        <v>1098.9784615384615</v>
      </c>
      <c r="Y51" s="41">
        <f t="shared" si="0"/>
        <v>5876.7373097173204</v>
      </c>
      <c r="Z51" s="42">
        <f>Y51/'[1]Passage Estimates'!$D51</f>
        <v>0.14930006741839119</v>
      </c>
      <c r="AA51" s="43">
        <f>IFERROR(SUMIF(L51:O51, "&lt;&gt;#N/A")/SUMIF('2. Salmon Passage by Bin'!E51:J51, "&lt;&gt;#N/A"), NA())</f>
        <v>0.1515114048104152</v>
      </c>
      <c r="AB51" s="42">
        <f>IFERROR(IF(ISNA(S51), NA(), S51/'2. Salmon Passage by Bin'!K51), NA())</f>
        <v>8.4745762711864406E-3</v>
      </c>
      <c r="AC51" s="44">
        <f>IFERROR(SUMIF(T51:W51, "&lt;&gt;#N/A")/SUMIF('2. Salmon Passage by Bin'!L51:N51, "&lt;&gt;#N/A"), NA())</f>
        <v>0.38688003678489991</v>
      </c>
    </row>
    <row r="52" spans="1:29" x14ac:dyDescent="0.3">
      <c r="A52" s="5">
        <f>'1. Mixture Model Inputs'!A52</f>
        <v>45154</v>
      </c>
      <c r="B52" s="13" t="str">
        <f>IF(ISBLANK('[1]Passage Estimates'!$C52), "", '[1]Passage Estimates'!$C52)</f>
        <v>A1+S1+M2+A2</v>
      </c>
      <c r="C52" s="71">
        <f>IFERROR('1. Mixture Model Inputs'!R52/'1. Mixture Model Inputs'!Z52,0)</f>
        <v>0</v>
      </c>
      <c r="D52" s="71">
        <f>IFERROR('1. Mixture Model Inputs'!S52/'1. Mixture Model Inputs'!AA52,0)</f>
        <v>0.25041538096368382</v>
      </c>
      <c r="E52" s="71">
        <f>IFERROR('1. Mixture Model Inputs'!T52/'1. Mixture Model Inputs'!AB52,0)</f>
        <v>8.7664370695053229E-2</v>
      </c>
      <c r="F52" s="71">
        <f>IFERROR('1. Mixture Model Inputs'!U52/'1. Mixture Model Inputs'!AC52,0)</f>
        <v>0.40834010289737338</v>
      </c>
      <c r="G52" s="71">
        <f>IFERROR('1. Mixture Model Inputs'!V52/'1. Mixture Model Inputs'!AD52,0)</f>
        <v>0.32648427744352371</v>
      </c>
      <c r="H52" s="24">
        <f>WhonSpComp!AR67</f>
        <v>2.1505376344086023E-2</v>
      </c>
      <c r="I52" s="70">
        <f>IFERROR('1. Mixture Model Inputs'!W52/'1. Mixture Model Inputs'!AE52, 0)</f>
        <v>0.26310632043116117</v>
      </c>
      <c r="J52" s="71">
        <f>IFERROR('1. Mixture Model Inputs'!X52/'1. Mixture Model Inputs'!AF52, 0)</f>
        <v>0.1269881343095178</v>
      </c>
      <c r="K52" s="23">
        <f>IFERROR('1. Mixture Model Inputs'!Y52/'1. Mixture Model Inputs'!AG52, 0)</f>
        <v>0.38131157635467983</v>
      </c>
      <c r="L52" s="76">
        <f>C52*'2. Salmon Passage by Bin'!C52</f>
        <v>0</v>
      </c>
      <c r="M52" s="76">
        <f>D52*'2. Salmon Passage by Bin'!D52</f>
        <v>2245.7251364823164</v>
      </c>
      <c r="N52" s="76">
        <f>F52*'2. Salmon Passage by Bin'!F52</f>
        <v>3388.4061738424043</v>
      </c>
      <c r="O52" s="76">
        <f>G52*'2. Salmon Passage by Bin'!G52</f>
        <v>1782.6825110682257</v>
      </c>
      <c r="P52" s="76">
        <f>$G52*'2. Salmon Passage by Bin'!H52</f>
        <v>1194.7757429901237</v>
      </c>
      <c r="Q52" s="76">
        <f>$G52*'2. Salmon Passage by Bin'!I52</f>
        <v>1145.1762515609039</v>
      </c>
      <c r="R52" s="76">
        <f>$G52*'2. Salmon Passage by Bin'!J52</f>
        <v>0</v>
      </c>
      <c r="S52" s="56">
        <f>'2. Salmon Passage by Bin'!K52*H52</f>
        <v>285.42451612903193</v>
      </c>
      <c r="T52" s="25">
        <f>K52*'2. Salmon Passage by Bin'!L52</f>
        <v>129.76795566502463</v>
      </c>
      <c r="U52" s="25">
        <f>K52*'2. Salmon Passage by Bin'!M52</f>
        <v>106.88926108374385</v>
      </c>
      <c r="V52" s="25">
        <f>J52*'2. Salmon Passage by Bin'!N52</f>
        <v>88.505650088361534</v>
      </c>
      <c r="W52" s="25">
        <f>I52*'2. Salmon Passage by Bin'!O52</f>
        <v>105.83188633023028</v>
      </c>
      <c r="X52" s="76">
        <f>E52*'2. Salmon Passage by Bin'!E52</f>
        <v>975.03118346900442</v>
      </c>
      <c r="Y52" s="41">
        <f t="shared" si="0"/>
        <v>10473.18508524037</v>
      </c>
      <c r="Z52" s="42">
        <f>Y52/'[1]Passage Estimates'!$D52</f>
        <v>0.22264537670346049</v>
      </c>
      <c r="AA52" s="43">
        <f>IFERROR(SUMIF(L52:O52, "&lt;&gt;#N/A")/SUMIF('2. Salmon Passage by Bin'!E52:J52, "&lt;&gt;#N/A"), NA())</f>
        <v>0.23143060032404675</v>
      </c>
      <c r="AB52" s="42">
        <f>IFERROR(IF(ISNA(S52), NA(), S52/'2. Salmon Passage by Bin'!K52), NA())</f>
        <v>2.1505376344086023E-2</v>
      </c>
      <c r="AC52" s="44">
        <f>IFERROR(SUMIF(T52:W52, "&lt;&gt;#N/A")/SUMIF('2. Salmon Passage by Bin'!L52:N52, "&lt;&gt;#N/A"), NA())</f>
        <v>0.32710591466860983</v>
      </c>
    </row>
    <row r="53" spans="1:29" x14ac:dyDescent="0.3">
      <c r="A53" s="5">
        <f>'1. Mixture Model Inputs'!A53</f>
        <v>45155</v>
      </c>
      <c r="B53" s="13" t="str">
        <f>IF(ISBLANK('[1]Passage Estimates'!$C53), "", '[1]Passage Estimates'!$C53)</f>
        <v>A1+S1+M2+A2</v>
      </c>
      <c r="C53" s="71">
        <f>IFERROR('1. Mixture Model Inputs'!R53/'1. Mixture Model Inputs'!Z53,0)</f>
        <v>0.23614226209548222</v>
      </c>
      <c r="D53" s="71">
        <f>IFERROR('1. Mixture Model Inputs'!S53/'1. Mixture Model Inputs'!AA53,0)</f>
        <v>0.2902242543000218</v>
      </c>
      <c r="E53" s="71">
        <f>IFERROR('1. Mixture Model Inputs'!T53/'1. Mixture Model Inputs'!AB53,0)</f>
        <v>0.29149999999999998</v>
      </c>
      <c r="F53" s="71">
        <f>IFERROR('1. Mixture Model Inputs'!U53/'1. Mixture Model Inputs'!AC53,0)</f>
        <v>0.46880269814502529</v>
      </c>
      <c r="G53" s="71">
        <f>IFERROR('1. Mixture Model Inputs'!V53/'1. Mixture Model Inputs'!AD53,0)</f>
        <v>0.43868467902398156</v>
      </c>
      <c r="H53" s="24">
        <f>WhonSpComp!AR68</f>
        <v>8.9285714285714281E-3</v>
      </c>
      <c r="I53" s="70">
        <f>IFERROR('1. Mixture Model Inputs'!W53/'1. Mixture Model Inputs'!AE53, 0)</f>
        <v>0.68690926275992437</v>
      </c>
      <c r="J53" s="71">
        <f>IFERROR('1. Mixture Model Inputs'!X53/'1. Mixture Model Inputs'!AF53, 0)</f>
        <v>0.58778396268993538</v>
      </c>
      <c r="K53" s="23">
        <f>IFERROR('1. Mixture Model Inputs'!Y53/'1. Mixture Model Inputs'!AG53, 0)</f>
        <v>0.61490177844937821</v>
      </c>
      <c r="L53" s="76">
        <f>C53*'2. Salmon Passage by Bin'!C53</f>
        <v>684.81256007689842</v>
      </c>
      <c r="M53" s="76">
        <f>D53*'2. Salmon Passage by Bin'!D53</f>
        <v>3136.4535162203356</v>
      </c>
      <c r="N53" s="76">
        <f>F53*'2. Salmon Passage by Bin'!F53</f>
        <v>3824.9799662731866</v>
      </c>
      <c r="O53" s="76">
        <f>G53*'2. Salmon Passage by Bin'!G53</f>
        <v>2636.1088784165881</v>
      </c>
      <c r="P53" s="76">
        <f>$G53*'2. Salmon Passage by Bin'!H53</f>
        <v>1735.0856424756521</v>
      </c>
      <c r="Q53" s="76">
        <f>$G53*'2. Salmon Passage by Bin'!I53</f>
        <v>1746.1404963870564</v>
      </c>
      <c r="R53" s="76">
        <f>$G53*'2. Salmon Passage by Bin'!J53</f>
        <v>0</v>
      </c>
      <c r="S53" s="56">
        <f>'2. Salmon Passage by Bin'!K53*H53</f>
        <v>226.2128571428571</v>
      </c>
      <c r="T53" s="25">
        <f>K53*'2. Salmon Passage by Bin'!L53</f>
        <v>322.45449261885398</v>
      </c>
      <c r="U53" s="25">
        <f>K53*'2. Salmon Passage by Bin'!M53</f>
        <v>603.8827385795654</v>
      </c>
      <c r="V53" s="25">
        <f>J53*'2. Salmon Passage by Bin'!N53</f>
        <v>841.33045283586603</v>
      </c>
      <c r="W53" s="25">
        <f>I53*'2. Salmon Passage by Bin'!O53</f>
        <v>620.6912098298676</v>
      </c>
      <c r="X53" s="76">
        <f>E53*'2. Salmon Passage by Bin'!E53</f>
        <v>3995.4855599999996</v>
      </c>
      <c r="Y53" s="41">
        <f t="shared" si="0"/>
        <v>16378.152810856724</v>
      </c>
      <c r="Z53" s="42">
        <f>Y53/'[1]Passage Estimates'!$D53</f>
        <v>0.2520193490651878</v>
      </c>
      <c r="AA53" s="43">
        <f>IFERROR(SUMIF(L53:O53, "&lt;&gt;#N/A")/SUMIF('2. Salmon Passage by Bin'!E53:J53, "&lt;&gt;#N/A"), NA())</f>
        <v>0.28713320490659161</v>
      </c>
      <c r="AB53" s="42">
        <f>IFERROR(IF(ISNA(S53), NA(), S53/'2. Salmon Passage by Bin'!K53), NA())</f>
        <v>8.9285714285714281E-3</v>
      </c>
      <c r="AC53" s="44">
        <f>IFERROR(SUMIF(T53:W53, "&lt;&gt;#N/A")/SUMIF('2. Salmon Passage by Bin'!L53:N53, "&lt;&gt;#N/A"), NA())</f>
        <v>0.81296425055964694</v>
      </c>
    </row>
    <row r="54" spans="1:29" x14ac:dyDescent="0.3">
      <c r="A54" s="5">
        <f>'1. Mixture Model Inputs'!A54</f>
        <v>45156</v>
      </c>
      <c r="B54" s="13" t="str">
        <f>IF(ISBLANK('[1]Passage Estimates'!$C54), "", '[1]Passage Estimates'!$C54)</f>
        <v>A1+S1+M2+A2</v>
      </c>
      <c r="C54" s="71">
        <f>IFERROR('1. Mixture Model Inputs'!R54/'1. Mixture Model Inputs'!Z54,0)</f>
        <v>0.38341708542713571</v>
      </c>
      <c r="D54" s="71">
        <f>IFERROR('1. Mixture Model Inputs'!S54/'1. Mixture Model Inputs'!AA54,0)</f>
        <v>0.32196878751500602</v>
      </c>
      <c r="E54" s="71">
        <f>IFERROR('1. Mixture Model Inputs'!T54/'1. Mixture Model Inputs'!AB54,0)</f>
        <v>0.34385707293196283</v>
      </c>
      <c r="F54" s="71">
        <f>IFERROR('1. Mixture Model Inputs'!U54/'1. Mixture Model Inputs'!AC54,0)</f>
        <v>0.2040107983031238</v>
      </c>
      <c r="G54" s="71">
        <f>IFERROR('1. Mixture Model Inputs'!V54/'1. Mixture Model Inputs'!AD54,0)</f>
        <v>0</v>
      </c>
      <c r="H54" s="24">
        <f>WhonSpComp!AR69</f>
        <v>2.0833333333333332E-2</v>
      </c>
      <c r="I54" s="70">
        <f>IFERROR('1. Mixture Model Inputs'!W54/'1. Mixture Model Inputs'!AE54, 0)</f>
        <v>0.68690926275992437</v>
      </c>
      <c r="J54" s="71">
        <f>IFERROR('1. Mixture Model Inputs'!X54/'1. Mixture Model Inputs'!AF54, 0)</f>
        <v>0.58778396268993538</v>
      </c>
      <c r="K54" s="23">
        <f>IFERROR('1. Mixture Model Inputs'!Y54/'1. Mixture Model Inputs'!AG54, 0)</f>
        <v>0.61490177844937821</v>
      </c>
      <c r="L54" s="76">
        <f>C54*'2. Salmon Passage by Bin'!C54</f>
        <v>1367.6487437185931</v>
      </c>
      <c r="M54" s="76">
        <f>D54*'2. Salmon Passage by Bin'!D54</f>
        <v>4202.980552220889</v>
      </c>
      <c r="N54" s="76">
        <f>F54*'2. Salmon Passage by Bin'!F54</f>
        <v>3591.1612803702283</v>
      </c>
      <c r="O54" s="76">
        <f>G54*'2. Salmon Passage by Bin'!G54</f>
        <v>0</v>
      </c>
      <c r="P54" s="76">
        <f>$G54*'2. Salmon Passage by Bin'!H54</f>
        <v>0</v>
      </c>
      <c r="Q54" s="76">
        <f>$G54*'2. Salmon Passage by Bin'!I54</f>
        <v>0</v>
      </c>
      <c r="R54" s="76">
        <f>$G54*'2. Salmon Passage by Bin'!J54</f>
        <v>0</v>
      </c>
      <c r="S54" s="56">
        <f>'2. Salmon Passage by Bin'!K54*H54</f>
        <v>484.31000000000063</v>
      </c>
      <c r="T54" s="25">
        <f>K54*'2. Salmon Passage by Bin'!L54</f>
        <v>609.19548994536797</v>
      </c>
      <c r="U54" s="25">
        <f>K54*'2. Salmon Passage by Bin'!M54</f>
        <v>537.030617226549</v>
      </c>
      <c r="V54" s="25">
        <f>J54*'2. Salmon Passage by Bin'!N54</f>
        <v>767.55180983902517</v>
      </c>
      <c r="W54" s="25">
        <f>I54*'2. Salmon Passage by Bin'!O54</f>
        <v>864.68137996219286</v>
      </c>
      <c r="X54" s="76">
        <f>E54*'2. Salmon Passage by Bin'!E54</f>
        <v>5715.069603524229</v>
      </c>
      <c r="Y54" s="41">
        <f t="shared" si="0"/>
        <v>12424.559873282848</v>
      </c>
      <c r="Z54" s="42">
        <f>Y54/'[1]Passage Estimates'!$D54</f>
        <v>0.14615299771043766</v>
      </c>
      <c r="AA54" s="43">
        <f>IFERROR(SUMIF(L54:O54, "&lt;&gt;#N/A")/SUMIF('2. Salmon Passage by Bin'!E54:J54, "&lt;&gt;#N/A"), NA())</f>
        <v>0.15979391618650152</v>
      </c>
      <c r="AB54" s="42">
        <f>IFERROR(IF(ISNA(S54), NA(), S54/'2. Salmon Passage by Bin'!K54), NA())</f>
        <v>2.0833333333333332E-2</v>
      </c>
      <c r="AC54" s="44">
        <f>IFERROR(SUMIF(T54:W54, "&lt;&gt;#N/A")/SUMIF('2. Salmon Passage by Bin'!L54:N54, "&lt;&gt;#N/A"), NA())</f>
        <v>0.87650770270957457</v>
      </c>
    </row>
    <row r="55" spans="1:29" x14ac:dyDescent="0.3">
      <c r="A55" s="5">
        <f>'1. Mixture Model Inputs'!A55</f>
        <v>45157</v>
      </c>
      <c r="B55" s="13" t="str">
        <f>IF(ISBLANK('[1]Passage Estimates'!$C55), "", '[1]Passage Estimates'!$C55)</f>
        <v>Imputation</v>
      </c>
      <c r="C55" s="71">
        <f>IFERROR('1. Mixture Model Inputs'!R55/'1. Mixture Model Inputs'!Z55,0)</f>
        <v>0.57252708843061861</v>
      </c>
      <c r="D55" s="71">
        <f>IFERROR('1. Mixture Model Inputs'!S55/'1. Mixture Model Inputs'!AA55,0)</f>
        <v>0.4544981799271971</v>
      </c>
      <c r="E55" s="71">
        <f>IFERROR('1. Mixture Model Inputs'!T55/'1. Mixture Model Inputs'!AB55,0)</f>
        <v>0.50869304556354911</v>
      </c>
      <c r="F55" s="71">
        <f>IFERROR('1. Mixture Model Inputs'!U55/'1. Mixture Model Inputs'!AC55,0)</f>
        <v>0.1608679839980604</v>
      </c>
      <c r="G55" s="71">
        <f>IFERROR('1. Mixture Model Inputs'!V55/'1. Mixture Model Inputs'!AD55,0)</f>
        <v>0.14636688505062537</v>
      </c>
      <c r="H55" s="24">
        <f>WhonSpComp!AR70</f>
        <v>0.10833333333333334</v>
      </c>
      <c r="I55" s="70">
        <f>IFERROR('1. Mixture Model Inputs'!W55/'1. Mixture Model Inputs'!AE55, 0)</f>
        <v>0.34672703263535182</v>
      </c>
      <c r="J55" s="71">
        <f>IFERROR('1. Mixture Model Inputs'!X55/'1. Mixture Model Inputs'!AF55, 0)</f>
        <v>0.28385626173236794</v>
      </c>
      <c r="K55" s="23">
        <f>IFERROR('1. Mixture Model Inputs'!Y55/'1. Mixture Model Inputs'!AG55, 0)</f>
        <v>0.44400889924780168</v>
      </c>
      <c r="L55" s="76">
        <f>C55*'2. Salmon Passage by Bin'!C55</f>
        <v>1551.5484096469766</v>
      </c>
      <c r="M55" s="76">
        <f>D55*'2. Salmon Passage by Bin'!D55</f>
        <v>3830.510660426417</v>
      </c>
      <c r="N55" s="76">
        <f>F55*'2. Salmon Passage by Bin'!F55</f>
        <v>2712.2728185234578</v>
      </c>
      <c r="O55" s="76">
        <f>G55*'2. Salmon Passage by Bin'!G55</f>
        <v>1521.9228707564025</v>
      </c>
      <c r="P55" s="76">
        <f>$G55*'2. Salmon Passage by Bin'!H55</f>
        <v>884.62974389517569</v>
      </c>
      <c r="Q55" s="76">
        <f>$G55*'2. Salmon Passage by Bin'!I55</f>
        <v>386.02216795711735</v>
      </c>
      <c r="R55" s="76">
        <f>$G55*'2. Salmon Passage by Bin'!J55</f>
        <v>0</v>
      </c>
      <c r="S55" s="56">
        <f>'2. Salmon Passage by Bin'!K55*H55</f>
        <v>2867.2586799999945</v>
      </c>
      <c r="T55" s="25">
        <f>K55*'2. Salmon Passage by Bin'!L55</f>
        <v>789.19917787901261</v>
      </c>
      <c r="U55" s="25">
        <f>K55*'2. Salmon Passage by Bin'!M55</f>
        <v>1757.8489924780167</v>
      </c>
      <c r="V55" s="25">
        <f>J55*'2. Salmon Passage by Bin'!N55</f>
        <v>1166.2404827031376</v>
      </c>
      <c r="W55" s="25">
        <f>I55*'2. Salmon Passage by Bin'!O55</f>
        <v>1187.1378834182231</v>
      </c>
      <c r="X55" s="76">
        <f>E55*'2. Salmon Passage by Bin'!E55</f>
        <v>5665.7824460431648</v>
      </c>
      <c r="Y55" s="41">
        <f t="shared" si="0"/>
        <v>18938.315263653705</v>
      </c>
      <c r="Z55" s="42">
        <f>Y55/'[1]Passage Estimates'!$D55</f>
        <v>0.21814987107478589</v>
      </c>
      <c r="AA55" s="43">
        <f>IFERROR(SUMIF(L55:O55, "&lt;&gt;#N/A")/SUMIF('2. Salmon Passage by Bin'!E55:J55, "&lt;&gt;#N/A"), NA())</f>
        <v>0.20426460655790238</v>
      </c>
      <c r="AB55" s="42">
        <f>IFERROR(IF(ISNA(S55), NA(), S55/'2. Salmon Passage by Bin'!K55), NA())</f>
        <v>0.10833333333333334</v>
      </c>
      <c r="AC55" s="44">
        <f>IFERROR(SUMIF(T55:W55, "&lt;&gt;#N/A")/SUMIF('2. Salmon Passage by Bin'!L55:N55, "&lt;&gt;#N/A"), NA())</f>
        <v>0.4977558787448696</v>
      </c>
    </row>
    <row r="56" spans="1:29" x14ac:dyDescent="0.3">
      <c r="A56" s="5">
        <f>'1. Mixture Model Inputs'!A56</f>
        <v>45158</v>
      </c>
      <c r="B56" s="13" t="str">
        <f>IF(ISBLANK('[1]Passage Estimates'!$C56), "", '[1]Passage Estimates'!$C56)</f>
        <v>A1+S1+M2+A2</v>
      </c>
      <c r="C56" s="71">
        <f>IFERROR('1. Mixture Model Inputs'!R56/'1. Mixture Model Inputs'!Z56,0)</f>
        <v>0.37040618955512572</v>
      </c>
      <c r="D56" s="71">
        <f>IFERROR('1. Mixture Model Inputs'!S56/'1. Mixture Model Inputs'!AA56,0)</f>
        <v>0.35434736619420354</v>
      </c>
      <c r="E56" s="71">
        <f>IFERROR('1. Mixture Model Inputs'!T56/'1. Mixture Model Inputs'!AB56,0)</f>
        <v>0.35881294964028776</v>
      </c>
      <c r="F56" s="71">
        <f>IFERROR('1. Mixture Model Inputs'!U56/'1. Mixture Model Inputs'!AC56,0)</f>
        <v>0.42099410652729902</v>
      </c>
      <c r="G56" s="71">
        <f>IFERROR('1. Mixture Model Inputs'!V56/'1. Mixture Model Inputs'!AD56,0)</f>
        <v>0.11082206035379813</v>
      </c>
      <c r="H56" s="24">
        <f>WhonSpComp!AR71</f>
        <v>0.14917127071823205</v>
      </c>
      <c r="I56" s="70">
        <f>IFERROR('1. Mixture Model Inputs'!W56/'1. Mixture Model Inputs'!AE56, 0)</f>
        <v>0</v>
      </c>
      <c r="J56" s="71">
        <f>IFERROR('1. Mixture Model Inputs'!X56/'1. Mixture Model Inputs'!AF56, 0)</f>
        <v>4.0334481062469257E-2</v>
      </c>
      <c r="K56" s="23">
        <f>IFERROR('1. Mixture Model Inputs'!Y56/'1. Mixture Model Inputs'!AG56, 0)</f>
        <v>0.27908992416034667</v>
      </c>
      <c r="L56" s="76">
        <f>C56*'2. Salmon Passage by Bin'!C56</f>
        <v>1853.5125725338492</v>
      </c>
      <c r="M56" s="76">
        <f>D56*'2. Salmon Passage by Bin'!D56</f>
        <v>4093.0664269092449</v>
      </c>
      <c r="N56" s="76">
        <f>F56*'2. Salmon Passage by Bin'!F56</f>
        <v>10469.719274991661</v>
      </c>
      <c r="O56" s="76">
        <f>G56*'2. Salmon Passage by Bin'!G56</f>
        <v>1644.031966701353</v>
      </c>
      <c r="P56" s="76">
        <f>$G56*'2. Salmon Passage by Bin'!H56</f>
        <v>1000.4838293444329</v>
      </c>
      <c r="Q56" s="76">
        <f>$G56*'2. Salmon Passage by Bin'!I56</f>
        <v>666.23562955254943</v>
      </c>
      <c r="R56" s="76">
        <f>$G56*'2. Salmon Passage by Bin'!J56</f>
        <v>0</v>
      </c>
      <c r="S56" s="56">
        <f>'2. Salmon Passage by Bin'!K56*H56</f>
        <v>3806.0870718232122</v>
      </c>
      <c r="T56" s="25">
        <f>K56*'2. Salmon Passage by Bin'!L56</f>
        <v>628.89007150595876</v>
      </c>
      <c r="U56" s="25">
        <f>K56*'2. Salmon Passage by Bin'!M56</f>
        <v>786.96660455037909</v>
      </c>
      <c r="V56" s="25">
        <f>J56*'2. Salmon Passage by Bin'!N56</f>
        <v>184.67061485489427</v>
      </c>
      <c r="W56" s="25">
        <f>I56*'2. Salmon Passage by Bin'!O56</f>
        <v>0</v>
      </c>
      <c r="X56" s="76">
        <f>E56*'2. Salmon Passage by Bin'!E56</f>
        <v>5940.2201438848906</v>
      </c>
      <c r="Y56" s="41">
        <f t="shared" si="0"/>
        <v>25133.664062767533</v>
      </c>
      <c r="Z56" s="42">
        <f>Y56/'[1]Passage Estimates'!$D56</f>
        <v>0.22790127866139007</v>
      </c>
      <c r="AA56" s="43">
        <f>IFERROR(SUMIF(L56:O56, "&lt;&gt;#N/A")/SUMIF('2. Salmon Passage by Bin'!E56:J56, "&lt;&gt;#N/A"), NA())</f>
        <v>0.25330511180475768</v>
      </c>
      <c r="AB56" s="42">
        <f>IFERROR(IF(ISNA(S56), NA(), S56/'2. Salmon Passage by Bin'!K56), NA())</f>
        <v>0.14917127071823205</v>
      </c>
      <c r="AC56" s="44">
        <f>IFERROR(SUMIF(T56:W56, "&lt;&gt;#N/A")/SUMIF('2. Salmon Passage by Bin'!L56:N56, "&lt;&gt;#N/A"), NA())</f>
        <v>0.16583025518165195</v>
      </c>
    </row>
    <row r="57" spans="1:29" x14ac:dyDescent="0.3">
      <c r="A57" s="5">
        <f>'1. Mixture Model Inputs'!A57</f>
        <v>45159</v>
      </c>
      <c r="B57" s="13" t="str">
        <f>IF(ISBLANK('[1]Passage Estimates'!$C57), "", '[1]Passage Estimates'!$C57)</f>
        <v>A1+S1+M2+A2</v>
      </c>
      <c r="C57" s="71">
        <f>IFERROR('1. Mixture Model Inputs'!R57/'1. Mixture Model Inputs'!Z57,0)</f>
        <v>0.32139430764310845</v>
      </c>
      <c r="D57" s="71">
        <f>IFERROR('1. Mixture Model Inputs'!S57/'1. Mixture Model Inputs'!AA57,0)</f>
        <v>0.49829893399863917</v>
      </c>
      <c r="E57" s="71">
        <f>IFERROR('1. Mixture Model Inputs'!T57/'1. Mixture Model Inputs'!AB57,0)</f>
        <v>0.42606848951420234</v>
      </c>
      <c r="F57" s="71">
        <f>IFERROR('1. Mixture Model Inputs'!U57/'1. Mixture Model Inputs'!AC57,0)</f>
        <v>0.52315835906484331</v>
      </c>
      <c r="G57" s="71">
        <f>IFERROR('1. Mixture Model Inputs'!V57/'1. Mixture Model Inputs'!AD57,0)</f>
        <v>0.20121642169285353</v>
      </c>
      <c r="H57" s="24">
        <f>WhonSpComp!AR72</f>
        <v>0.125</v>
      </c>
      <c r="I57" s="70">
        <f>IFERROR('1. Mixture Model Inputs'!W57/'1. Mixture Model Inputs'!AE57, 0)</f>
        <v>0.32139430764310845</v>
      </c>
      <c r="J57" s="71">
        <f>IFERROR('1. Mixture Model Inputs'!X57/'1. Mixture Model Inputs'!AF57, 0)</f>
        <v>0.36425365404534471</v>
      </c>
      <c r="K57" s="23">
        <f>IFERROR('1. Mixture Model Inputs'!Y57/'1. Mixture Model Inputs'!AG57, 0)</f>
        <v>0.14175798554441596</v>
      </c>
      <c r="L57" s="76">
        <f>C57*'2. Salmon Passage by Bin'!C57</f>
        <v>1400.3149984010236</v>
      </c>
      <c r="M57" s="76">
        <f>D57*'2. Salmon Passage by Bin'!D57</f>
        <v>6069.2810161034249</v>
      </c>
      <c r="N57" s="76">
        <f>F57*'2. Salmon Passage by Bin'!F57</f>
        <v>19264.490445522715</v>
      </c>
      <c r="O57" s="76">
        <f>G57*'2. Salmon Passage by Bin'!G57</f>
        <v>3647.8283628991389</v>
      </c>
      <c r="P57" s="76">
        <f>$G57*'2. Salmon Passage by Bin'!H57</f>
        <v>2682.0861226558541</v>
      </c>
      <c r="Q57" s="76">
        <f>$G57*'2. Salmon Passage by Bin'!I57</f>
        <v>1296.6386213887481</v>
      </c>
      <c r="R57" s="76">
        <f>$G57*'2. Salmon Passage by Bin'!J57</f>
        <v>0</v>
      </c>
      <c r="S57" s="56">
        <f>'2. Salmon Passage by Bin'!K57*H57</f>
        <v>4561.2000000000044</v>
      </c>
      <c r="T57" s="25">
        <f>K57*'2. Salmon Passage by Bin'!L57</f>
        <v>304.12191186756826</v>
      </c>
      <c r="U57" s="25">
        <f>K57*'2. Salmon Passage by Bin'!M57</f>
        <v>506.34818372581026</v>
      </c>
      <c r="V57" s="25">
        <f>J57*'2. Salmon Passage by Bin'!N57</f>
        <v>2162.0057083669012</v>
      </c>
      <c r="W57" s="25">
        <f>I57*'2. Salmon Passage by Bin'!O57</f>
        <v>1014.4747041893191</v>
      </c>
      <c r="X57" s="76">
        <f>E57*'2. Salmon Passage by Bin'!E57</f>
        <v>7045.9798247942654</v>
      </c>
      <c r="Y57" s="41">
        <f t="shared" si="0"/>
        <v>42908.790075120502</v>
      </c>
      <c r="Z57" s="42">
        <f>Y57/'[1]Passage Estimates'!$D57</f>
        <v>0.30098403775208382</v>
      </c>
      <c r="AA57" s="43">
        <f>IFERROR(SUMIF(L57:O57, "&lt;&gt;#N/A")/SUMIF('2. Salmon Passage by Bin'!E57:J57, "&lt;&gt;#N/A"), NA())</f>
        <v>0.33290550137061531</v>
      </c>
      <c r="AB57" s="42">
        <f>IFERROR(IF(ISNA(S57), NA(), S57/'2. Salmon Passage by Bin'!K57), NA())</f>
        <v>0.125</v>
      </c>
      <c r="AC57" s="44">
        <f>IFERROR(SUMIF(T57:W57, "&lt;&gt;#N/A")/SUMIF('2. Salmon Passage by Bin'!L57:N57, "&lt;&gt;#N/A"), NA())</f>
        <v>0.3421476280344502</v>
      </c>
    </row>
    <row r="58" spans="1:29" x14ac:dyDescent="0.3">
      <c r="A58" s="5">
        <f>'1. Mixture Model Inputs'!A58</f>
        <v>45160</v>
      </c>
      <c r="B58" s="13" t="str">
        <f>IF(ISBLANK('[1]Passage Estimates'!$C58), "", '[1]Passage Estimates'!$C58)</f>
        <v>A1+S1+M2+A2</v>
      </c>
      <c r="C58" s="71">
        <f>IFERROR('1. Mixture Model Inputs'!R58/'1. Mixture Model Inputs'!Z58,0)</f>
        <v>0.91070033845352771</v>
      </c>
      <c r="D58" s="71">
        <f>IFERROR('1. Mixture Model Inputs'!S58/'1. Mixture Model Inputs'!AA58,0)</f>
        <v>0.43685185185185182</v>
      </c>
      <c r="E58" s="71">
        <f>IFERROR('1. Mixture Model Inputs'!T58/'1. Mixture Model Inputs'!AB58,0)</f>
        <v>0.58432904411764719</v>
      </c>
      <c r="F58" s="71">
        <f>IFERROR('1. Mixture Model Inputs'!U58/'1. Mixture Model Inputs'!AC58,0)</f>
        <v>0.28915167095115679</v>
      </c>
      <c r="G58" s="71">
        <f>IFERROR('1. Mixture Model Inputs'!V58/'1. Mixture Model Inputs'!AD58,0)</f>
        <v>0.15885311871227364</v>
      </c>
      <c r="H58" s="24">
        <f>WhonSpComp!AR73</f>
        <v>9.1836734693877556E-2</v>
      </c>
      <c r="I58" s="70">
        <f>IFERROR('1. Mixture Model Inputs'!W58/'1. Mixture Model Inputs'!AE58, 0)</f>
        <v>0.83961031246287277</v>
      </c>
      <c r="J58" s="71">
        <f>IFERROR('1. Mixture Model Inputs'!X58/'1. Mixture Model Inputs'!AF58, 0)</f>
        <v>0.42041144696011956</v>
      </c>
      <c r="K58" s="23">
        <f>IFERROR('1. Mixture Model Inputs'!Y58/'1. Mixture Model Inputs'!AG58, 0)</f>
        <v>0.1601123595505618</v>
      </c>
      <c r="L58" s="76">
        <f>C58*'2. Salmon Passage by Bin'!C58</f>
        <v>6862.1270502473317</v>
      </c>
      <c r="M58" s="76">
        <f>D58*'2. Salmon Passage by Bin'!D58</f>
        <v>9512.8859259259261</v>
      </c>
      <c r="N58" s="76">
        <f>F58*'2. Salmon Passage by Bin'!F58</f>
        <v>14449.094054498713</v>
      </c>
      <c r="O58" s="76">
        <f>G58*'2. Salmon Passage by Bin'!G58</f>
        <v>5322.138639839035</v>
      </c>
      <c r="P58" s="76">
        <f>$G58*'2. Salmon Passage by Bin'!H58</f>
        <v>3205.4144788732392</v>
      </c>
      <c r="Q58" s="76">
        <f>$G58*'2. Salmon Passage by Bin'!I58</f>
        <v>2049.1671066398389</v>
      </c>
      <c r="R58" s="76">
        <f>$G58*'2. Salmon Passage by Bin'!J58</f>
        <v>0</v>
      </c>
      <c r="S58" s="56">
        <f>'2. Salmon Passage by Bin'!K58*H58</f>
        <v>3944.7330612244955</v>
      </c>
      <c r="T58" s="25">
        <f>K58*'2. Salmon Passage by Bin'!L58</f>
        <v>433.49460674157302</v>
      </c>
      <c r="U58" s="25">
        <f>K58*'2. Salmon Passage by Bin'!M58</f>
        <v>911.37235955056178</v>
      </c>
      <c r="V58" s="25">
        <f>J58*'2. Salmon Passage by Bin'!N58</f>
        <v>2663.1215354556948</v>
      </c>
      <c r="W58" s="25">
        <f>I58*'2. Salmon Passage by Bin'!O58</f>
        <v>5152.7220719971483</v>
      </c>
      <c r="X58" s="76">
        <f>E58*'2. Salmon Passage by Bin'!E58</f>
        <v>17127.105000000003</v>
      </c>
      <c r="Y58" s="41">
        <f t="shared" si="0"/>
        <v>54506.270890993561</v>
      </c>
      <c r="Z58" s="42">
        <f>Y58/'[1]Passage Estimates'!$D58</f>
        <v>0.25993986728374319</v>
      </c>
      <c r="AA58" s="43">
        <f>IFERROR(SUMIF(L58:O58, "&lt;&gt;#N/A")/SUMIF('2. Salmon Passage by Bin'!E58:J58, "&lt;&gt;#N/A"), NA())</f>
        <v>0.24780935489732431</v>
      </c>
      <c r="AB58" s="42">
        <f>IFERROR(IF(ISNA(S58), NA(), S58/'2. Salmon Passage by Bin'!K58), NA())</f>
        <v>9.1836734693877556E-2</v>
      </c>
      <c r="AC58" s="44">
        <f>IFERROR(SUMIF(T58:W58, "&lt;&gt;#N/A")/SUMIF('2. Salmon Passage by Bin'!L58:N58, "&lt;&gt;#N/A"), NA())</f>
        <v>0.62173617719904994</v>
      </c>
    </row>
    <row r="59" spans="1:29" x14ac:dyDescent="0.3">
      <c r="A59" s="5">
        <f>'1. Mixture Model Inputs'!A59</f>
        <v>45161</v>
      </c>
      <c r="B59" s="13" t="str">
        <f>IF(ISBLANK('[1]Passage Estimates'!$C59), "", '[1]Passage Estimates'!$C59)</f>
        <v>Imputation</v>
      </c>
      <c r="C59" s="71">
        <f>IFERROR('1. Mixture Model Inputs'!R59/'1. Mixture Model Inputs'!Z59,0)</f>
        <v>0.50382165605095541</v>
      </c>
      <c r="D59" s="71">
        <f>IFERROR('1. Mixture Model Inputs'!S59/'1. Mixture Model Inputs'!AA59,0)</f>
        <v>0.72043828945365995</v>
      </c>
      <c r="E59" s="71">
        <f>IFERROR('1. Mixture Model Inputs'!T59/'1. Mixture Model Inputs'!AB59,0)</f>
        <v>0.6147217235188509</v>
      </c>
      <c r="F59" s="71">
        <f>IFERROR('1. Mixture Model Inputs'!U59/'1. Mixture Model Inputs'!AC59,0)</f>
        <v>0.51757022908676276</v>
      </c>
      <c r="G59" s="71">
        <f>IFERROR('1. Mixture Model Inputs'!V59/'1. Mixture Model Inputs'!AD59,0)</f>
        <v>8.7696335078534027E-2</v>
      </c>
      <c r="H59" s="24">
        <f>WhonSpComp!AR74</f>
        <v>0.23287671232876711</v>
      </c>
      <c r="I59" s="70">
        <f>IFERROR('1. Mixture Model Inputs'!W59/'1. Mixture Model Inputs'!AE59, 0)</f>
        <v>0.79995081765646125</v>
      </c>
      <c r="J59" s="71">
        <f>IFERROR('1. Mixture Model Inputs'!X59/'1. Mixture Model Inputs'!AF59, 0)</f>
        <v>0.35752659854629726</v>
      </c>
      <c r="K59" s="23">
        <f>IFERROR('1. Mixture Model Inputs'!Y59/'1. Mixture Model Inputs'!AG59, 0)</f>
        <v>0.20642995218231763</v>
      </c>
      <c r="L59" s="76">
        <f>C59*'2. Salmon Passage by Bin'!C59</f>
        <v>3975.1528662420383</v>
      </c>
      <c r="M59" s="76">
        <f>D59*'2. Salmon Passage by Bin'!D59</f>
        <v>21494.276365849946</v>
      </c>
      <c r="N59" s="76">
        <f>F59*'2. Salmon Passage by Bin'!F59</f>
        <v>23523.939562558309</v>
      </c>
      <c r="O59" s="76">
        <f>G59*'2. Salmon Passage by Bin'!G59</f>
        <v>2001.5811518324606</v>
      </c>
      <c r="P59" s="76">
        <f>$G59*'2. Salmon Passage by Bin'!H59</f>
        <v>1176.5340314136124</v>
      </c>
      <c r="Q59" s="76">
        <f>$G59*'2. Salmon Passage by Bin'!I59</f>
        <v>565.80973821989528</v>
      </c>
      <c r="R59" s="76">
        <f>$G59*'2. Salmon Passage by Bin'!J59</f>
        <v>0</v>
      </c>
      <c r="S59" s="56">
        <f>'2. Salmon Passage by Bin'!K59*H59</f>
        <v>13326.844931506848</v>
      </c>
      <c r="T59" s="25">
        <f>K59*'2. Salmon Passage by Bin'!L59</f>
        <v>934.13681961542386</v>
      </c>
      <c r="U59" s="25">
        <f>K59*'2. Salmon Passage by Bin'!M59</f>
        <v>2183.7646637501271</v>
      </c>
      <c r="V59" s="25">
        <f>J59*'2. Salmon Passage by Bin'!N59</f>
        <v>4819.7445696829245</v>
      </c>
      <c r="W59" s="25">
        <f>I59*'2. Salmon Passage by Bin'!O59</f>
        <v>12704.434909627444</v>
      </c>
      <c r="X59" s="76">
        <f>E59*'2. Salmon Passage by Bin'!E59</f>
        <v>23190.598319569119</v>
      </c>
      <c r="Y59" s="41">
        <f t="shared" si="0"/>
        <v>84427.388697776158</v>
      </c>
      <c r="Z59" s="42">
        <f>Y59/'[1]Passage Estimates'!$D59</f>
        <v>0.37100946478142577</v>
      </c>
      <c r="AA59" s="43">
        <f>IFERROR(SUMIF(L59:O59, "&lt;&gt;#N/A")/SUMIF('2. Salmon Passage by Bin'!E59:J59, "&lt;&gt;#N/A"), NA())</f>
        <v>0.40514626391523462</v>
      </c>
      <c r="AB59" s="42">
        <f>IFERROR(IF(ISNA(S59), NA(), S59/'2. Salmon Passage by Bin'!K59), NA())</f>
        <v>0.23287671232876711</v>
      </c>
      <c r="AC59" s="44">
        <f>IFERROR(SUMIF(T59:W59, "&lt;&gt;#N/A")/SUMIF('2. Salmon Passage by Bin'!L59:N59, "&lt;&gt;#N/A"), NA())</f>
        <v>0.72213689560981942</v>
      </c>
    </row>
    <row r="60" spans="1:29" x14ac:dyDescent="0.3">
      <c r="A60" s="5">
        <f>'1. Mixture Model Inputs'!A60</f>
        <v>45162</v>
      </c>
      <c r="B60" s="13" t="str">
        <f>IF(ISBLANK('[1]Passage Estimates'!$C60), "", '[1]Passage Estimates'!$C60)</f>
        <v>A1+S1+M2+A2</v>
      </c>
      <c r="C60" s="71">
        <f>IFERROR('1. Mixture Model Inputs'!R60/'1. Mixture Model Inputs'!Z60,0)</f>
        <v>0.79333333333333333</v>
      </c>
      <c r="D60" s="71">
        <f>IFERROR('1. Mixture Model Inputs'!S60/'1. Mixture Model Inputs'!AA60,0)</f>
        <v>0.91890155773245541</v>
      </c>
      <c r="E60" s="71">
        <f>IFERROR('1. Mixture Model Inputs'!T60/'1. Mixture Model Inputs'!AB60,0)</f>
        <v>0.88178838951310856</v>
      </c>
      <c r="F60" s="71">
        <f>IFERROR('1. Mixture Model Inputs'!U60/'1. Mixture Model Inputs'!AC60,0)</f>
        <v>0.59282286212914481</v>
      </c>
      <c r="G60" s="71">
        <f>IFERROR('1. Mixture Model Inputs'!V60/'1. Mixture Model Inputs'!AD60,0)</f>
        <v>0.25788572004434146</v>
      </c>
      <c r="H60" s="24">
        <f>WhonSpComp!AR75</f>
        <v>0.31818181818181818</v>
      </c>
      <c r="I60" s="70">
        <f>IFERROR('1. Mixture Model Inputs'!W60/'1. Mixture Model Inputs'!AE60, 0)</f>
        <v>0.79995081765646125</v>
      </c>
      <c r="J60" s="71">
        <f>IFERROR('1. Mixture Model Inputs'!X60/'1. Mixture Model Inputs'!AF60, 0)</f>
        <v>0.35752659854629726</v>
      </c>
      <c r="K60" s="23">
        <f>IFERROR('1. Mixture Model Inputs'!Y60/'1. Mixture Model Inputs'!AG60, 0)</f>
        <v>0.20642995218231763</v>
      </c>
      <c r="L60" s="76">
        <f>C60*'2. Salmon Passage by Bin'!C60</f>
        <v>3373.2533333333336</v>
      </c>
      <c r="M60" s="76">
        <f>D60*'2. Salmon Passage by Bin'!D60</f>
        <v>22036.178255982013</v>
      </c>
      <c r="N60" s="76">
        <f>F60*'2. Salmon Passage by Bin'!F60</f>
        <v>20040.068586387431</v>
      </c>
      <c r="O60" s="76">
        <f>G60*'2. Salmon Passage by Bin'!G60</f>
        <v>5656.9811548926746</v>
      </c>
      <c r="P60" s="76">
        <f>$G60*'2. Salmon Passage by Bin'!H60</f>
        <v>3905.4213443515073</v>
      </c>
      <c r="Q60" s="76">
        <f>$G60*'2. Salmon Passage by Bin'!I60</f>
        <v>2727.4200060465582</v>
      </c>
      <c r="R60" s="76">
        <f>$G60*'2. Salmon Passage by Bin'!J60</f>
        <v>0</v>
      </c>
      <c r="S60" s="56">
        <f>'2. Salmon Passage by Bin'!K60*H60</f>
        <v>17133.861818181827</v>
      </c>
      <c r="T60" s="25">
        <f>K60*'2. Salmon Passage by Bin'!L60</f>
        <v>845.40496896937623</v>
      </c>
      <c r="U60" s="25">
        <f>K60*'2. Salmon Passage by Bin'!M60</f>
        <v>1454.1916695492928</v>
      </c>
      <c r="V60" s="25">
        <f>J60*'2. Salmon Passage by Bin'!N60</f>
        <v>3100.8710923838612</v>
      </c>
      <c r="W60" s="25">
        <f>I60*'2. Salmon Passage by Bin'!O60</f>
        <v>5902.6770933234957</v>
      </c>
      <c r="X60" s="76">
        <f>E60*'2. Salmon Passage by Bin'!E60</f>
        <v>24895.849044943818</v>
      </c>
      <c r="Y60" s="41">
        <f t="shared" si="0"/>
        <v>86176.329323401384</v>
      </c>
      <c r="Z60" s="42">
        <f>Y60/'[1]Passage Estimates'!$D60</f>
        <v>0.45181192437611528</v>
      </c>
      <c r="AA60" s="43">
        <f>IFERROR(SUMIF(L60:O60, "&lt;&gt;#N/A")/SUMIF('2. Salmon Passage by Bin'!E60:J60, "&lt;&gt;#N/A"), NA())</f>
        <v>0.46590076579080641</v>
      </c>
      <c r="AB60" s="42">
        <f>IFERROR(IF(ISNA(S60), NA(), S60/'2. Salmon Passage by Bin'!K60), NA())</f>
        <v>0.31818181818181818</v>
      </c>
      <c r="AC60" s="44">
        <f>IFERROR(SUMIF(T60:W60, "&lt;&gt;#N/A")/SUMIF('2. Salmon Passage by Bin'!L60:N60, "&lt;&gt;#N/A"), NA())</f>
        <v>0.5704924869492507</v>
      </c>
    </row>
    <row r="61" spans="1:29" x14ac:dyDescent="0.3">
      <c r="A61" s="5">
        <f>'1. Mixture Model Inputs'!A61</f>
        <v>45163</v>
      </c>
      <c r="B61" s="13" t="str">
        <f>IF(ISBLANK('[1]Passage Estimates'!$C61), "", '[1]Passage Estimates'!$C61)</f>
        <v>A1+S1+M2+A2</v>
      </c>
      <c r="C61" s="71">
        <f>IFERROR('1. Mixture Model Inputs'!R61/'1. Mixture Model Inputs'!Z61,0)</f>
        <v>0.85226264418811004</v>
      </c>
      <c r="D61" s="71">
        <f>IFERROR('1. Mixture Model Inputs'!S61/'1. Mixture Model Inputs'!AA61,0)</f>
        <v>0.98238965670976364</v>
      </c>
      <c r="E61" s="71">
        <f>IFERROR('1. Mixture Model Inputs'!T61/'1. Mixture Model Inputs'!AB61,0)</f>
        <v>0.98795180722891562</v>
      </c>
      <c r="F61" s="71">
        <f>IFERROR('1. Mixture Model Inputs'!U61/'1. Mixture Model Inputs'!AC61,0)</f>
        <v>0.48820179007323022</v>
      </c>
      <c r="G61" s="71">
        <f>IFERROR('1. Mixture Model Inputs'!V61/'1. Mixture Model Inputs'!AD61,0)</f>
        <v>0.36025680853267061</v>
      </c>
      <c r="H61" s="24">
        <f>WhonSpComp!AR76</f>
        <v>0.19298245614035087</v>
      </c>
      <c r="I61" s="70">
        <f>IFERROR('1. Mixture Model Inputs'!W61/'1. Mixture Model Inputs'!AE61, 0)</f>
        <v>0.79977544910179643</v>
      </c>
      <c r="J61" s="71">
        <f>IFERROR('1. Mixture Model Inputs'!X61/'1. Mixture Model Inputs'!AF61, 0)</f>
        <v>0.42357665957949442</v>
      </c>
      <c r="K61" s="23">
        <f>IFERROR('1. Mixture Model Inputs'!Y61/'1. Mixture Model Inputs'!AG61, 0)</f>
        <v>0.35734959685755635</v>
      </c>
      <c r="L61" s="76">
        <f>C61*'2. Salmon Passage by Bin'!C61</f>
        <v>1651.6850044365572</v>
      </c>
      <c r="M61" s="76">
        <f>D61*'2. Salmon Passage by Bin'!D61</f>
        <v>7858.1348640213992</v>
      </c>
      <c r="N61" s="76">
        <f>F61*'2. Salmon Passage by Bin'!F61</f>
        <v>9494.8608624898279</v>
      </c>
      <c r="O61" s="76">
        <f>G61*'2. Salmon Passage by Bin'!G61</f>
        <v>4474.3895619757686</v>
      </c>
      <c r="P61" s="76">
        <f>$G61*'2. Salmon Passage by Bin'!H61</f>
        <v>2831.6185150667911</v>
      </c>
      <c r="Q61" s="76">
        <f>$G61*'2. Salmon Passage by Bin'!I61</f>
        <v>2496.1473749611678</v>
      </c>
      <c r="R61" s="76">
        <f>$G61*'2. Salmon Passage by Bin'!J61</f>
        <v>0</v>
      </c>
      <c r="S61" s="56">
        <f>'2. Salmon Passage by Bin'!K61*H61</f>
        <v>9240.1852631578859</v>
      </c>
      <c r="T61" s="25">
        <f>K61*'2. Salmon Passage by Bin'!L61</f>
        <v>1240.4033326442009</v>
      </c>
      <c r="U61" s="25">
        <f>K61*'2. Salmon Passage by Bin'!M61</f>
        <v>2092.8965309075875</v>
      </c>
      <c r="V61" s="25">
        <f>J61*'2. Salmon Passage by Bin'!N61</f>
        <v>2482.1931112686038</v>
      </c>
      <c r="W61" s="25">
        <f>I61*'2. Salmon Passage by Bin'!O61</f>
        <v>3317.9804191616772</v>
      </c>
      <c r="X61" s="76">
        <f>E61*'2. Salmon Passage by Bin'!E61</f>
        <v>9817.2375903614466</v>
      </c>
      <c r="Y61" s="41">
        <f t="shared" si="0"/>
        <v>47180.494840091473</v>
      </c>
      <c r="Z61" s="42">
        <f>Y61/'[1]Passage Estimates'!$D61</f>
        <v>0.38106585246470209</v>
      </c>
      <c r="AA61" s="43">
        <f>IFERROR(SUMIF(L61:O61, "&lt;&gt;#N/A")/SUMIF('2. Salmon Passage by Bin'!E61:J61, "&lt;&gt;#N/A"), NA())</f>
        <v>0.4148656102533741</v>
      </c>
      <c r="AB61" s="42">
        <f>IFERROR(IF(ISNA(S61), NA(), S61/'2. Salmon Passage by Bin'!K61), NA())</f>
        <v>0.19298245614035087</v>
      </c>
      <c r="AC61" s="44">
        <f>IFERROR(SUMIF(T61:W61, "&lt;&gt;#N/A")/SUMIF('2. Salmon Passage by Bin'!L61:N61, "&lt;&gt;#N/A"), NA())</f>
        <v>0.60136433389049115</v>
      </c>
    </row>
    <row r="62" spans="1:29" x14ac:dyDescent="0.3">
      <c r="A62" s="5">
        <f>'1. Mixture Model Inputs'!A62</f>
        <v>45164</v>
      </c>
      <c r="B62" s="13" t="str">
        <f>IF(ISBLANK('[1]Passage Estimates'!$C62), "", '[1]Passage Estimates'!$C62)</f>
        <v>Imputation</v>
      </c>
      <c r="C62" s="71">
        <f>IFERROR('1. Mixture Model Inputs'!R62/'1. Mixture Model Inputs'!Z62,0)</f>
        <v>0.90041841004184109</v>
      </c>
      <c r="D62" s="71">
        <f>IFERROR('1. Mixture Model Inputs'!S62/'1. Mixture Model Inputs'!AA62,0)</f>
        <v>0.99003436426116853</v>
      </c>
      <c r="E62" s="71">
        <f>IFERROR('1. Mixture Model Inputs'!T62/'1. Mixture Model Inputs'!AB62,0)</f>
        <v>0.95086271567891978</v>
      </c>
      <c r="F62" s="71">
        <f>IFERROR('1. Mixture Model Inputs'!U62/'1. Mixture Model Inputs'!AC62,0)</f>
        <v>0.11621454993834771</v>
      </c>
      <c r="G62" s="71">
        <f>IFERROR('1. Mixture Model Inputs'!V62/'1. Mixture Model Inputs'!AD62,0)</f>
        <v>0.1785028790786948</v>
      </c>
      <c r="H62" s="24">
        <f>WhonSpComp!AR77</f>
        <v>0.35051546391752575</v>
      </c>
      <c r="I62" s="70">
        <f>IFERROR('1. Mixture Model Inputs'!W62/'1. Mixture Model Inputs'!AE62, 0)</f>
        <v>0.79977544910179643</v>
      </c>
      <c r="J62" s="71">
        <f>IFERROR('1. Mixture Model Inputs'!X62/'1. Mixture Model Inputs'!AF62, 0)</f>
        <v>0.42357665957949442</v>
      </c>
      <c r="K62" s="23">
        <f>IFERROR('1. Mixture Model Inputs'!Y62/'1. Mixture Model Inputs'!AG62, 0)</f>
        <v>0.35734959685755635</v>
      </c>
      <c r="L62" s="76">
        <f>C62*'2. Salmon Passage by Bin'!C62</f>
        <v>1480.2878661087868</v>
      </c>
      <c r="M62" s="76">
        <f>D62*'2. Salmon Passage by Bin'!D62</f>
        <v>7649.0054982817883</v>
      </c>
      <c r="N62" s="76">
        <f>F62*'2. Salmon Passage by Bin'!F62</f>
        <v>1571.0719605425397</v>
      </c>
      <c r="O62" s="76">
        <f>G62*'2. Salmon Passage by Bin'!G62</f>
        <v>1743.6161228406909</v>
      </c>
      <c r="P62" s="76">
        <f>$G62*'2. Salmon Passage by Bin'!H62</f>
        <v>1214.5335892514395</v>
      </c>
      <c r="Q62" s="76">
        <f>$G62*'2. Salmon Passage by Bin'!I62</f>
        <v>1150.0583493282152</v>
      </c>
      <c r="R62" s="76">
        <f>$G62*'2. Salmon Passage by Bin'!J62</f>
        <v>0</v>
      </c>
      <c r="S62" s="56">
        <f>'2. Salmon Passage by Bin'!K62*H62</f>
        <v>19407.087835051549</v>
      </c>
      <c r="T62" s="25">
        <f>K62*'2. Salmon Passage by Bin'!L62</f>
        <v>849.06264213355394</v>
      </c>
      <c r="U62" s="25">
        <f>K62*'2. Salmon Passage by Bin'!M62</f>
        <v>1464.5901757287577</v>
      </c>
      <c r="V62" s="25">
        <f>J62*'2. Salmon Passage by Bin'!N62</f>
        <v>1731.5474982282069</v>
      </c>
      <c r="W62" s="25">
        <f>I62*'2. Salmon Passage by Bin'!O62</f>
        <v>2339.8230538922157</v>
      </c>
      <c r="X62" s="76">
        <f>E62*'2. Salmon Passage by Bin'!E62</f>
        <v>8909.8879219804949</v>
      </c>
      <c r="Y62" s="41">
        <f t="shared" si="0"/>
        <v>40381.279148977657</v>
      </c>
      <c r="Z62" s="42">
        <f>Y62/'[1]Passage Estimates'!$D62</f>
        <v>0.35187860580472952</v>
      </c>
      <c r="AA62" s="43">
        <f>IFERROR(SUMIF(L62:O62, "&lt;&gt;#N/A")/SUMIF('2. Salmon Passage by Bin'!E62:J62, "&lt;&gt;#N/A"), NA())</f>
        <v>0.27108802766334589</v>
      </c>
      <c r="AB62" s="42">
        <f>IFERROR(IF(ISNA(S62), NA(), S62/'2. Salmon Passage by Bin'!K62), NA())</f>
        <v>0.35051546391752575</v>
      </c>
      <c r="AC62" s="44">
        <f>IFERROR(SUMIF(T62:W62, "&lt;&gt;#N/A")/SUMIF('2. Salmon Passage by Bin'!L62:N62, "&lt;&gt;#N/A"), NA())</f>
        <v>0.60450497708690587</v>
      </c>
    </row>
    <row r="63" spans="1:29" x14ac:dyDescent="0.3">
      <c r="A63" s="5">
        <f>'1. Mixture Model Inputs'!A63</f>
        <v>45165</v>
      </c>
      <c r="B63" s="13" t="str">
        <f>IF(ISBLANK('[1]Passage Estimates'!$C63), "", '[1]Passage Estimates'!$C63)</f>
        <v>Imputation</v>
      </c>
      <c r="C63" s="71">
        <f>IFERROR('1. Mixture Model Inputs'!R63/'1. Mixture Model Inputs'!Z63,0)</f>
        <v>0.83444890673806338</v>
      </c>
      <c r="D63" s="71">
        <f>IFERROR('1. Mixture Model Inputs'!S63/'1. Mixture Model Inputs'!AA63,0)</f>
        <v>0.81533018867924534</v>
      </c>
      <c r="E63" s="71">
        <f>IFERROR('1. Mixture Model Inputs'!T63/'1. Mixture Model Inputs'!AB63,0)</f>
        <v>0.8074238578680204</v>
      </c>
      <c r="F63" s="71">
        <f>IFERROR('1. Mixture Model Inputs'!U63/'1. Mixture Model Inputs'!AC63,0)</f>
        <v>0.58742700103057377</v>
      </c>
      <c r="G63" s="71">
        <f>IFERROR('1. Mixture Model Inputs'!V63/'1. Mixture Model Inputs'!AD63,0)</f>
        <v>0.1177422617843415</v>
      </c>
      <c r="H63" s="24">
        <f>WhonSpComp!AR78</f>
        <v>0.47727272727272729</v>
      </c>
      <c r="I63" s="70">
        <f>IFERROR('1. Mixture Model Inputs'!W63/'1. Mixture Model Inputs'!AE63, 0)</f>
        <v>0.89422377418885501</v>
      </c>
      <c r="J63" s="71">
        <f>IFERROR('1. Mixture Model Inputs'!X63/'1. Mixture Model Inputs'!AF63, 0)</f>
        <v>0.53734462655373449</v>
      </c>
      <c r="K63" s="23">
        <f>IFERROR('1. Mixture Model Inputs'!Y63/'1. Mixture Model Inputs'!AG63, 0)</f>
        <v>0.28914494938617274</v>
      </c>
      <c r="L63" s="76">
        <f>C63*'2. Salmon Passage by Bin'!C63</f>
        <v>2162.0164833246031</v>
      </c>
      <c r="M63" s="76">
        <f>D63*'2. Salmon Passage by Bin'!D63</f>
        <v>4929.1219036095163</v>
      </c>
      <c r="N63" s="76">
        <f>F63*'2. Salmon Passage by Bin'!F63</f>
        <v>13830.503905724914</v>
      </c>
      <c r="O63" s="76">
        <f>G63*'2. Salmon Passage by Bin'!G63</f>
        <v>1839.0251918831198</v>
      </c>
      <c r="P63" s="76">
        <f>$G63*'2. Salmon Passage by Bin'!H63</f>
        <v>1291.9739619488253</v>
      </c>
      <c r="Q63" s="76">
        <f>$G63*'2. Salmon Passage by Bin'!I63</f>
        <v>770.92882372085262</v>
      </c>
      <c r="R63" s="76">
        <f>$G63*'2. Salmon Passage by Bin'!J63</f>
        <v>0</v>
      </c>
      <c r="S63" s="56">
        <f>'2. Salmon Passage by Bin'!K63*H63</f>
        <v>10166.894181818163</v>
      </c>
      <c r="T63" s="25">
        <f>K63*'2. Salmon Passage by Bin'!L63</f>
        <v>572.57639457247478</v>
      </c>
      <c r="U63" s="25">
        <f>K63*'2. Salmon Passage by Bin'!M63</f>
        <v>987.7654102950678</v>
      </c>
      <c r="V63" s="25">
        <f>J63*'2. Salmon Passage by Bin'!N63</f>
        <v>2223.3171268287319</v>
      </c>
      <c r="W63" s="25">
        <f>I63*'2. Salmon Passage by Bin'!O63</f>
        <v>2519.1356787429072</v>
      </c>
      <c r="X63" s="76">
        <f>E63*'2. Salmon Passage by Bin'!E63</f>
        <v>6973.3196590156722</v>
      </c>
      <c r="Y63" s="41">
        <f t="shared" si="0"/>
        <v>41175.440334550738</v>
      </c>
      <c r="Z63" s="42">
        <f>Y63/'[1]Passage Estimates'!$D63</f>
        <v>0.38615621654599047</v>
      </c>
      <c r="AA63" s="43">
        <f>IFERROR(SUMIF(L63:O63, "&lt;&gt;#N/A")/SUMIF('2. Salmon Passage by Bin'!E63:J63, "&lt;&gt;#N/A"), NA())</f>
        <v>0.34844716330903691</v>
      </c>
      <c r="AB63" s="42">
        <f>IFERROR(IF(ISNA(S63), NA(), S63/'2. Salmon Passage by Bin'!K63), NA())</f>
        <v>0.47727272727272729</v>
      </c>
      <c r="AC63" s="44">
        <f>IFERROR(SUMIF(T63:W63, "&lt;&gt;#N/A")/SUMIF('2. Salmon Passage by Bin'!L63:N63, "&lt;&gt;#N/A"), NA())</f>
        <v>0.66108607199907499</v>
      </c>
    </row>
    <row r="64" spans="1:29" x14ac:dyDescent="0.3">
      <c r="A64" s="5">
        <f>'1. Mixture Model Inputs'!A64</f>
        <v>45166</v>
      </c>
      <c r="B64" s="13" t="str">
        <f>IF(ISBLANK('[1]Passage Estimates'!$C64), "", '[1]Passage Estimates'!$C64)</f>
        <v>A1+S1+M2+A2</v>
      </c>
      <c r="C64" s="71">
        <f>IFERROR('1. Mixture Model Inputs'!R64/'1. Mixture Model Inputs'!Z64,0)</f>
        <v>0.95692948940604383</v>
      </c>
      <c r="D64" s="71">
        <f>IFERROR('1. Mixture Model Inputs'!S64/'1. Mixture Model Inputs'!AA64,0)</f>
        <v>0.9920852359208524</v>
      </c>
      <c r="E64" s="71">
        <f>IFERROR('1. Mixture Model Inputs'!T64/'1. Mixture Model Inputs'!AB64,0)</f>
        <v>0.98648943124863808</v>
      </c>
      <c r="F64" s="71">
        <f>IFERROR('1. Mixture Model Inputs'!U64/'1. Mixture Model Inputs'!AC64,0)</f>
        <v>0.66141405764047279</v>
      </c>
      <c r="G64" s="71">
        <f>IFERROR('1. Mixture Model Inputs'!V64/'1. Mixture Model Inputs'!AD64,0)</f>
        <v>0.18964296551026599</v>
      </c>
      <c r="H64" s="24">
        <f>WhonSpComp!AR79</f>
        <v>0.5</v>
      </c>
      <c r="I64" s="70">
        <f>IFERROR('1. Mixture Model Inputs'!W64/'1. Mixture Model Inputs'!AE64, 0)</f>
        <v>0.89422377418885501</v>
      </c>
      <c r="J64" s="71">
        <f>IFERROR('1. Mixture Model Inputs'!X64/'1. Mixture Model Inputs'!AF64, 0)</f>
        <v>0.53734462655373449</v>
      </c>
      <c r="K64" s="23">
        <f>IFERROR('1. Mixture Model Inputs'!Y64/'1. Mixture Model Inputs'!AG64, 0)</f>
        <v>0.28914494938617274</v>
      </c>
      <c r="L64" s="76">
        <f>C64*'2. Salmon Passage by Bin'!C64</f>
        <v>5948.2737061479684</v>
      </c>
      <c r="M64" s="76">
        <f>D64*'2. Salmon Passage by Bin'!D64</f>
        <v>35050.371385083716</v>
      </c>
      <c r="N64" s="76">
        <f>F64*'2. Salmon Passage by Bin'!F64</f>
        <v>58157.185652083768</v>
      </c>
      <c r="O64" s="76">
        <f>G64*'2. Salmon Passage by Bin'!G64</f>
        <v>4780.0040457165969</v>
      </c>
      <c r="P64" s="76">
        <f>$G64*'2. Salmon Passage by Bin'!H64</f>
        <v>1589.5418225953272</v>
      </c>
      <c r="Q64" s="76">
        <f>$G64*'2. Salmon Passage by Bin'!I64</f>
        <v>817.02740972994832</v>
      </c>
      <c r="R64" s="76">
        <f>$G64*'2. Salmon Passage by Bin'!J64</f>
        <v>0</v>
      </c>
      <c r="S64" s="56">
        <f>'2. Salmon Passage by Bin'!K64*H64</f>
        <v>6098.9999999999891</v>
      </c>
      <c r="T64" s="25">
        <f>K64*'2. Salmon Passage by Bin'!L64</f>
        <v>234.34619857850529</v>
      </c>
      <c r="U64" s="25">
        <f>K64*'2. Salmon Passage by Bin'!M64</f>
        <v>589.30053844497093</v>
      </c>
      <c r="V64" s="25">
        <f>J64*'2. Salmon Passage by Bin'!N64</f>
        <v>2069.4646133538663</v>
      </c>
      <c r="W64" s="25">
        <f>I64*'2. Salmon Passage by Bin'!O64</f>
        <v>4546.5913574858141</v>
      </c>
      <c r="X64" s="76">
        <f>E64*'2. Salmon Passage by Bin'!E64</f>
        <v>40984.610991501417</v>
      </c>
      <c r="Y64" s="41">
        <f t="shared" si="0"/>
        <v>119881.10672922048</v>
      </c>
      <c r="Z64" s="42">
        <f>Y64/'[1]Passage Estimates'!$D64</f>
        <v>0.62649518546563654</v>
      </c>
      <c r="AA64" s="43">
        <f>IFERROR(SUMIF(L64:O64, "&lt;&gt;#N/A")/SUMIF('2. Salmon Passage by Bin'!E64:J64, "&lt;&gt;#N/A"), NA())</f>
        <v>0.62099530278965598</v>
      </c>
      <c r="AB64" s="42">
        <f>IFERROR(IF(ISNA(S64), NA(), S64/'2. Salmon Passage by Bin'!K64), NA())</f>
        <v>0.5</v>
      </c>
      <c r="AC64" s="44">
        <f>IFERROR(SUMIF(T64:W64, "&lt;&gt;#N/A")/SUMIF('2. Salmon Passage by Bin'!L64:N64, "&lt;&gt;#N/A"), NA())</f>
        <v>1.1104299069624284</v>
      </c>
    </row>
    <row r="65" spans="1:29" x14ac:dyDescent="0.3">
      <c r="A65" s="5">
        <f>'1. Mixture Model Inputs'!A65</f>
        <v>45167</v>
      </c>
      <c r="B65" s="13" t="str">
        <f>IF(ISBLANK('[1]Passage Estimates'!$C65), "", '[1]Passage Estimates'!$C65)</f>
        <v>A1+S1+M2+A2</v>
      </c>
      <c r="C65" s="71">
        <f>IFERROR('1. Mixture Model Inputs'!R65/'1. Mixture Model Inputs'!Z65,0)</f>
        <v>0.92048643592142199</v>
      </c>
      <c r="D65" s="71">
        <f>IFERROR('1. Mixture Model Inputs'!S65/'1. Mixture Model Inputs'!AA65,0)</f>
        <v>0.96994902066004829</v>
      </c>
      <c r="E65" s="71">
        <f>IFERROR('1. Mixture Model Inputs'!T65/'1. Mixture Model Inputs'!AB65,0)</f>
        <v>0.97274497079818301</v>
      </c>
      <c r="F65" s="71">
        <f>IFERROR('1. Mixture Model Inputs'!U65/'1. Mixture Model Inputs'!AC65,0)</f>
        <v>0.8960481976922291</v>
      </c>
      <c r="G65" s="71">
        <f>IFERROR('1. Mixture Model Inputs'!V65/'1. Mixture Model Inputs'!AD65,0)</f>
        <v>0.45518507188742735</v>
      </c>
      <c r="H65" s="24">
        <f>WhonSpComp!AR80</f>
        <v>0.57407407407407407</v>
      </c>
      <c r="I65" s="70">
        <f>IFERROR('1. Mixture Model Inputs'!W65/'1. Mixture Model Inputs'!AE65, 0)</f>
        <v>0.98049016446307646</v>
      </c>
      <c r="J65" s="71">
        <f>IFERROR('1. Mixture Model Inputs'!X65/'1. Mixture Model Inputs'!AF65, 0)</f>
        <v>0.5913055517098158</v>
      </c>
      <c r="K65" s="23">
        <f>IFERROR('1. Mixture Model Inputs'!Y65/'1. Mixture Model Inputs'!AG65, 0)</f>
        <v>0.32448123857649713</v>
      </c>
      <c r="L65" s="76">
        <f>C65*'2. Salmon Passage by Bin'!C65</f>
        <v>12542.548175865297</v>
      </c>
      <c r="M65" s="76">
        <f>D65*'2. Salmon Passage by Bin'!D65</f>
        <v>127674.38958948216</v>
      </c>
      <c r="N65" s="76">
        <f>F65*'2. Salmon Passage by Bin'!F65</f>
        <v>57235.114469519045</v>
      </c>
      <c r="O65" s="76">
        <f>G65*'2. Salmon Passage by Bin'!G65</f>
        <v>9073.9505414499854</v>
      </c>
      <c r="P65" s="76">
        <f>$G65*'2. Salmon Passage by Bin'!H65</f>
        <v>3887.2440991128788</v>
      </c>
      <c r="Q65" s="76">
        <f>$G65*'2. Salmon Passage by Bin'!I65</f>
        <v>1698.6414438666259</v>
      </c>
      <c r="R65" s="76">
        <f>$G65*'2. Salmon Passage by Bin'!J65</f>
        <v>0</v>
      </c>
      <c r="S65" s="56">
        <f>'2. Salmon Passage by Bin'!K65*H65</f>
        <v>5060.1644444444</v>
      </c>
      <c r="T65" s="25">
        <f>K65*'2. Salmon Passage by Bin'!L65</f>
        <v>348.10347274486617</v>
      </c>
      <c r="U65" s="25">
        <f>K65*'2. Salmon Passage by Bin'!M65</f>
        <v>603.61297924954306</v>
      </c>
      <c r="V65" s="25">
        <f>J65*'2. Salmon Passage by Bin'!N65</f>
        <v>1840.0482680326734</v>
      </c>
      <c r="W65" s="25">
        <f>I65*'2. Salmon Passage by Bin'!O65</f>
        <v>7421.4477136407613</v>
      </c>
      <c r="X65" s="76">
        <f>E65*'2. Salmon Passage by Bin'!E65</f>
        <v>141297.19911745621</v>
      </c>
      <c r="Y65" s="41">
        <f t="shared" si="0"/>
        <v>227385.26519740818</v>
      </c>
      <c r="Z65" s="42">
        <f>Y65/'[1]Passage Estimates'!$D65</f>
        <v>0.86207193192984799</v>
      </c>
      <c r="AA65" s="43">
        <f>IFERROR(SUMIF(L65:O65, "&lt;&gt;#N/A")/SUMIF('2. Salmon Passage by Bin'!E65:J65, "&lt;&gt;#N/A"), NA())</f>
        <v>0.85575588402630642</v>
      </c>
      <c r="AB65" s="42">
        <f>IFERROR(IF(ISNA(S65), NA(), S65/'2. Salmon Passage by Bin'!K65), NA())</f>
        <v>0.57407407407407407</v>
      </c>
      <c r="AC65" s="44">
        <f>IFERROR(SUMIF(T65:W65, "&lt;&gt;#N/A")/SUMIF('2. Salmon Passage by Bin'!L65:N65, "&lt;&gt;#N/A"), NA())</f>
        <v>1.6895641325663773</v>
      </c>
    </row>
    <row r="66" spans="1:29" x14ac:dyDescent="0.3">
      <c r="A66" s="5">
        <f>'1. Mixture Model Inputs'!A66</f>
        <v>45168</v>
      </c>
      <c r="B66" s="13" t="str">
        <f>IF(ISBLANK('[1]Passage Estimates'!$C66), "", '[1]Passage Estimates'!$C66)</f>
        <v>Imputation</v>
      </c>
      <c r="C66" s="71">
        <f>IFERROR('1. Mixture Model Inputs'!R66/'1. Mixture Model Inputs'!Z66,0)</f>
        <v>0.96459663377829352</v>
      </c>
      <c r="D66" s="71">
        <f>IFERROR('1. Mixture Model Inputs'!S66/'1. Mixture Model Inputs'!AA66,0)</f>
        <v>0.98924731182795711</v>
      </c>
      <c r="E66" s="71">
        <f>IFERROR('1. Mixture Model Inputs'!T66/'1. Mixture Model Inputs'!AB66,0)</f>
        <v>0.98743386243386244</v>
      </c>
      <c r="F66" s="71">
        <f>IFERROR('1. Mixture Model Inputs'!U66/'1. Mixture Model Inputs'!AC66,0)</f>
        <v>0.92384140600481224</v>
      </c>
      <c r="G66" s="71">
        <f>IFERROR('1. Mixture Model Inputs'!V66/'1. Mixture Model Inputs'!AD66,0)</f>
        <v>0.72450859950859947</v>
      </c>
      <c r="H66" s="24">
        <f>WhonSpComp!AR81</f>
        <v>0.67164179104477617</v>
      </c>
      <c r="I66" s="70">
        <f>IFERROR('1. Mixture Model Inputs'!W66/'1. Mixture Model Inputs'!AE66, 0)</f>
        <v>0.98049016446307646</v>
      </c>
      <c r="J66" s="71">
        <f>IFERROR('1. Mixture Model Inputs'!X66/'1. Mixture Model Inputs'!AF66, 0)</f>
        <v>0.5913055517098158</v>
      </c>
      <c r="K66" s="23">
        <f>IFERROR('1. Mixture Model Inputs'!Y66/'1. Mixture Model Inputs'!AG66, 0)</f>
        <v>0.32448123857649713</v>
      </c>
      <c r="L66" s="76">
        <f>C66*'2. Salmon Passage by Bin'!C66</f>
        <v>4257.7295414973878</v>
      </c>
      <c r="M66" s="76">
        <f>D66*'2. Salmon Passage by Bin'!D66</f>
        <v>125944.04301075271</v>
      </c>
      <c r="N66" s="76">
        <f>F66*'2. Salmon Passage by Bin'!F66</f>
        <v>115989.3971335914</v>
      </c>
      <c r="O66" s="76">
        <f>G66*'2. Salmon Passage by Bin'!G66</f>
        <v>16513.75348894349</v>
      </c>
      <c r="P66" s="76">
        <f>$G66*'2. Salmon Passage by Bin'!H66</f>
        <v>6130.0382800982807</v>
      </c>
      <c r="Q66" s="76">
        <f>$G66*'2. Salmon Passage by Bin'!I66</f>
        <v>5191.9445454545457</v>
      </c>
      <c r="R66" s="76">
        <f>$G66*'2. Salmon Passage by Bin'!J66</f>
        <v>0</v>
      </c>
      <c r="S66" s="56">
        <f>'2. Salmon Passage by Bin'!K66*H66</f>
        <v>13771.144477611944</v>
      </c>
      <c r="T66" s="25">
        <f>K66*'2. Salmon Passage by Bin'!L66</f>
        <v>174.05173637243308</v>
      </c>
      <c r="U66" s="25">
        <f>K66*'2. Salmon Passage by Bin'!M66</f>
        <v>733.19780668745307</v>
      </c>
      <c r="V66" s="25">
        <f>J66*'2. Salmon Passage by Bin'!N66</f>
        <v>2535.9912501730578</v>
      </c>
      <c r="W66" s="25">
        <f>I66*'2. Salmon Passage by Bin'!O66</f>
        <v>8280.8277329893572</v>
      </c>
      <c r="X66" s="76">
        <f>E66*'2. Salmon Passage by Bin'!E66</f>
        <v>130071.81888888888</v>
      </c>
      <c r="Y66" s="41">
        <f t="shared" si="0"/>
        <v>299392.16534081084</v>
      </c>
      <c r="Z66" s="42">
        <f>Y66/'[1]Passage Estimates'!$D66</f>
        <v>0.90251057562922676</v>
      </c>
      <c r="AA66" s="43">
        <f>IFERROR(SUMIF(L66:O66, "&lt;&gt;#N/A")/SUMIF('2. Salmon Passage by Bin'!E66:J66, "&lt;&gt;#N/A"), NA())</f>
        <v>0.88842162183175577</v>
      </c>
      <c r="AB66" s="42">
        <f>IFERROR(IF(ISNA(S66), NA(), S66/'2. Salmon Passage by Bin'!K66), NA())</f>
        <v>0.67164179104477617</v>
      </c>
      <c r="AC66" s="44">
        <f>IFERROR(SUMIF(T66:W66, "&lt;&gt;#N/A")/SUMIF('2. Salmon Passage by Bin'!L66:N66, "&lt;&gt;#N/A"), NA())</f>
        <v>1.654819970390456</v>
      </c>
    </row>
    <row r="67" spans="1:29" x14ac:dyDescent="0.3">
      <c r="A67" s="5">
        <f>'1. Mixture Model Inputs'!A67</f>
        <v>45169</v>
      </c>
      <c r="B67" s="13" t="str">
        <f>IF(ISBLANK('[1]Passage Estimates'!$C67), "", '[1]Passage Estimates'!$C67)</f>
        <v>A1+S1+M2+A2</v>
      </c>
      <c r="C67" s="71">
        <f>IFERROR('1. Mixture Model Inputs'!R67/'1. Mixture Model Inputs'!Z67,0)</f>
        <v>0.85263157894736852</v>
      </c>
      <c r="D67" s="71">
        <f>IFERROR('1. Mixture Model Inputs'!S67/'1. Mixture Model Inputs'!AA67,0)</f>
        <v>0.99580645161290315</v>
      </c>
      <c r="E67" s="71">
        <f>IFERROR('1. Mixture Model Inputs'!T67/'1. Mixture Model Inputs'!AB67,0)</f>
        <v>0.97976754197158844</v>
      </c>
      <c r="F67" s="71">
        <f>IFERROR('1. Mixture Model Inputs'!U67/'1. Mixture Model Inputs'!AC67,0)</f>
        <v>0.89223766760979206</v>
      </c>
      <c r="G67" s="71">
        <f>IFERROR('1. Mixture Model Inputs'!V67/'1. Mixture Model Inputs'!AD67,0)</f>
        <v>0.5909512521900443</v>
      </c>
      <c r="H67" s="24">
        <f>WhonSpComp!AR82</f>
        <v>0.44736842105263158</v>
      </c>
      <c r="I67" s="70">
        <f>IFERROR('1. Mixture Model Inputs'!W67/'1. Mixture Model Inputs'!AE67, 0)</f>
        <v>0.97218315361775276</v>
      </c>
      <c r="J67" s="71">
        <f>IFERROR('1. Mixture Model Inputs'!X67/'1. Mixture Model Inputs'!AF67, 0)</f>
        <v>0.77464788732394374</v>
      </c>
      <c r="K67" s="23">
        <f>IFERROR('1. Mixture Model Inputs'!Y67/'1. Mixture Model Inputs'!AG67, 0)</f>
        <v>0.51035014314027749</v>
      </c>
      <c r="L67" s="76">
        <f>C67*'2. Salmon Passage by Bin'!C67</f>
        <v>2547.6631578947372</v>
      </c>
      <c r="M67" s="76">
        <f>D67*'2. Salmon Passage by Bin'!D67</f>
        <v>69930.508064516122</v>
      </c>
      <c r="N67" s="76">
        <f>F67*'2. Salmon Passage by Bin'!F67</f>
        <v>90225.571214171476</v>
      </c>
      <c r="O67" s="76">
        <f>G67*'2. Salmon Passage by Bin'!G67</f>
        <v>17162.217161702567</v>
      </c>
      <c r="P67" s="76">
        <f>$G67*'2. Salmon Passage by Bin'!H67</f>
        <v>7863.1028094403791</v>
      </c>
      <c r="Q67" s="76">
        <f>$G67*'2. Salmon Passage by Bin'!I67</f>
        <v>6724.5052128207763</v>
      </c>
      <c r="R67" s="76">
        <f>$G67*'2. Salmon Passage by Bin'!J67</f>
        <v>0</v>
      </c>
      <c r="S67" s="56">
        <f>'2. Salmon Passage by Bin'!K67*H67</f>
        <v>6298.0168421052231</v>
      </c>
      <c r="T67" s="25">
        <f>K67*'2. Salmon Passage by Bin'!L67</f>
        <v>1361.4100418410044</v>
      </c>
      <c r="U67" s="25">
        <f>K67*'2. Salmon Passage by Bin'!M67</f>
        <v>2728.8218013653382</v>
      </c>
      <c r="V67" s="25">
        <f>J67*'2. Salmon Passage by Bin'!N67</f>
        <v>4820.6028169014098</v>
      </c>
      <c r="W67" s="25">
        <f>I67*'2. Salmon Passage by Bin'!O67</f>
        <v>7882.8498827941867</v>
      </c>
      <c r="X67" s="76">
        <f>E67*'2. Salmon Passage by Bin'!E67</f>
        <v>71731.446715454149</v>
      </c>
      <c r="Y67" s="41">
        <f t="shared" si="0"/>
        <v>217545.26900555321</v>
      </c>
      <c r="Z67" s="42">
        <f>Y67/'[1]Passage Estimates'!$D67</f>
        <v>0.82252092362375817</v>
      </c>
      <c r="AA67" s="43">
        <f>IFERROR(SUMIF(L67:O67, "&lt;&gt;#N/A")/SUMIF('2. Salmon Passage by Bin'!E67:J67, "&lt;&gt;#N/A"), NA())</f>
        <v>0.78867077115416662</v>
      </c>
      <c r="AB67" s="42">
        <f>IFERROR(IF(ISNA(S67), NA(), S67/'2. Salmon Passage by Bin'!K67), NA())</f>
        <v>0.44736842105263158</v>
      </c>
      <c r="AC67" s="44">
        <f>IFERROR(SUMIF(T67:W67, "&lt;&gt;#N/A")/SUMIF('2. Salmon Passage by Bin'!L67:N67, "&lt;&gt;#N/A"), NA())</f>
        <v>1.1795372047169688</v>
      </c>
    </row>
    <row r="68" spans="1:29" x14ac:dyDescent="0.3">
      <c r="A68" s="5">
        <f>'1. Mixture Model Inputs'!A68</f>
        <v>45170</v>
      </c>
      <c r="B68" s="13" t="str">
        <f>IF(ISBLANK('[1]Passage Estimates'!$C68), "", '[1]Passage Estimates'!$C68)</f>
        <v>A1+S1+M2+A2</v>
      </c>
      <c r="C68" s="71">
        <f>IFERROR('1. Mixture Model Inputs'!R68/'1. Mixture Model Inputs'!Z68,0)</f>
        <v>0.99761620977353982</v>
      </c>
      <c r="D68" s="71">
        <f>IFERROR('1. Mixture Model Inputs'!S68/'1. Mixture Model Inputs'!AA68,0)</f>
        <v>0.71814504478474428</v>
      </c>
      <c r="E68" s="71">
        <f>IFERROR('1. Mixture Model Inputs'!T68/'1. Mixture Model Inputs'!AB68,0)</f>
        <v>0.75818260120585712</v>
      </c>
      <c r="F68" s="71">
        <f>IFERROR('1. Mixture Model Inputs'!U68/'1. Mixture Model Inputs'!AC68,0)</f>
        <v>0.90997229916897504</v>
      </c>
      <c r="G68" s="71">
        <f>IFERROR('1. Mixture Model Inputs'!V68/'1. Mixture Model Inputs'!AD68,0)</f>
        <v>0.59916230366492151</v>
      </c>
      <c r="H68" s="24">
        <f>WhonSpComp!AR83</f>
        <v>0.6518518518518519</v>
      </c>
      <c r="I68" s="70">
        <f>IFERROR('1. Mixture Model Inputs'!W68/'1. Mixture Model Inputs'!AE68, 0)</f>
        <v>0.99761620977353982</v>
      </c>
      <c r="J68" s="71">
        <f>IFERROR('1. Mixture Model Inputs'!X68/'1. Mixture Model Inputs'!AF68, 0)</f>
        <v>0.71026011560693636</v>
      </c>
      <c r="K68" s="23">
        <f>IFERROR('1. Mixture Model Inputs'!Y68/'1. Mixture Model Inputs'!AG68, 0)</f>
        <v>0.55436852126084202</v>
      </c>
      <c r="L68" s="76">
        <f>C68*'2. Salmon Passage by Bin'!C68</f>
        <v>1943.3563766388556</v>
      </c>
      <c r="M68" s="76">
        <f>D68*'2. Salmon Passage by Bin'!D68</f>
        <v>30055.088269286334</v>
      </c>
      <c r="N68" s="76">
        <f>F68*'2. Salmon Passage by Bin'!F68</f>
        <v>76538.570858725769</v>
      </c>
      <c r="O68" s="76">
        <f>G68*'2. Salmon Passage by Bin'!G68</f>
        <v>24835.085754973825</v>
      </c>
      <c r="P68" s="76">
        <f>$G68*'2. Salmon Passage by Bin'!H68</f>
        <v>9956.9270952879579</v>
      </c>
      <c r="Q68" s="76">
        <f>$G68*'2. Salmon Passage by Bin'!I68</f>
        <v>9411.2100691099495</v>
      </c>
      <c r="R68" s="76">
        <f>$G68*'2. Salmon Passage by Bin'!J68</f>
        <v>0</v>
      </c>
      <c r="S68" s="56">
        <f>'2. Salmon Passage by Bin'!K68*H68</f>
        <v>18391.452444444334</v>
      </c>
      <c r="T68" s="25">
        <f>K68*'2. Salmon Passage by Bin'!L68</f>
        <v>350.58265284535656</v>
      </c>
      <c r="U68" s="25">
        <f>K68*'2. Salmon Passage by Bin'!M68</f>
        <v>1110.2892743812145</v>
      </c>
      <c r="V68" s="25">
        <f>J68*'2. Salmon Passage by Bin'!N68</f>
        <v>3503.8552023121388</v>
      </c>
      <c r="W68" s="25">
        <f>I68*'2. Salmon Passage by Bin'!O68</f>
        <v>1963.5481287246723</v>
      </c>
      <c r="X68" s="76">
        <f>E68*'2. Salmon Passage by Bin'!E68</f>
        <v>33207.852041343671</v>
      </c>
      <c r="Y68" s="41">
        <f t="shared" si="0"/>
        <v>178059.9661267304</v>
      </c>
      <c r="Z68" s="42">
        <f>Y68/'[1]Passage Estimates'!$D68</f>
        <v>0.74366413624822725</v>
      </c>
      <c r="AA68" s="43">
        <f>IFERROR(SUMIF(L68:O68, "&lt;&gt;#N/A")/SUMIF('2. Salmon Passage by Bin'!E68:J68, "&lt;&gt;#N/A"), NA())</f>
        <v>0.66128848948571739</v>
      </c>
      <c r="AB68" s="42">
        <f>IFERROR(IF(ISNA(S68), NA(), S68/'2. Salmon Passage by Bin'!K68), NA())</f>
        <v>0.6518518518518519</v>
      </c>
      <c r="AC68" s="44">
        <f>IFERROR(SUMIF(T68:W68, "&lt;&gt;#N/A")/SUMIF('2. Salmon Passage by Bin'!L68:N68, "&lt;&gt;#N/A"), NA())</f>
        <v>0.9154213913460415</v>
      </c>
    </row>
    <row r="69" spans="1:29" x14ac:dyDescent="0.3">
      <c r="A69" s="5">
        <f>'1. Mixture Model Inputs'!A69</f>
        <v>45171</v>
      </c>
      <c r="B69" s="13" t="str">
        <f>IF(ISBLANK('[1]Passage Estimates'!$C69), "", '[1]Passage Estimates'!$C69)</f>
        <v>Imputation</v>
      </c>
      <c r="C69" s="71">
        <f>IFERROR('1. Mixture Model Inputs'!R69/'1. Mixture Model Inputs'!Z69,0)</f>
        <v>0.9791827293754819</v>
      </c>
      <c r="D69" s="71">
        <f>IFERROR('1. Mixture Model Inputs'!S69/'1. Mixture Model Inputs'!AA69,0)</f>
        <v>0.75685645549318359</v>
      </c>
      <c r="E69" s="71">
        <f>IFERROR('1. Mixture Model Inputs'!T69/'1. Mixture Model Inputs'!AB69,0)</f>
        <v>0.99811003779924401</v>
      </c>
      <c r="F69" s="71">
        <f>IFERROR('1. Mixture Model Inputs'!U69/'1. Mixture Model Inputs'!AC69,0)</f>
        <v>0.86161512905698956</v>
      </c>
      <c r="G69" s="71">
        <f>IFERROR('1. Mixture Model Inputs'!V69/'1. Mixture Model Inputs'!AD69,0)</f>
        <v>0.76889913775817131</v>
      </c>
      <c r="H69" s="24">
        <f>WhonSpComp!AR84</f>
        <v>0.76351351351351349</v>
      </c>
      <c r="I69" s="70">
        <f>IFERROR('1. Mixture Model Inputs'!W69/'1. Mixture Model Inputs'!AE69, 0)</f>
        <v>0.99761620977353982</v>
      </c>
      <c r="J69" s="71">
        <f>IFERROR('1. Mixture Model Inputs'!X69/'1. Mixture Model Inputs'!AF69, 0)</f>
        <v>0.71026011560693636</v>
      </c>
      <c r="K69" s="23">
        <f>IFERROR('1. Mixture Model Inputs'!Y69/'1. Mixture Model Inputs'!AG69, 0)</f>
        <v>0.55436852126084202</v>
      </c>
      <c r="L69" s="76">
        <f>C69*'2. Salmon Passage by Bin'!C69</f>
        <v>20402.251349267543</v>
      </c>
      <c r="M69" s="76">
        <f>D69*'2. Salmon Passage by Bin'!D69</f>
        <v>71600.89125902165</v>
      </c>
      <c r="N69" s="76">
        <f>F69*'2. Salmon Passage by Bin'!F69</f>
        <v>162854.15125990289</v>
      </c>
      <c r="O69" s="76">
        <f>G69*'2. Salmon Passage by Bin'!G69</f>
        <v>109477.88912773209</v>
      </c>
      <c r="P69" s="76">
        <f>$G69*'2. Salmon Passage by Bin'!H69</f>
        <v>53914.715444154805</v>
      </c>
      <c r="Q69" s="76">
        <f>$G69*'2. Salmon Passage by Bin'!I69</f>
        <v>15947.214164828556</v>
      </c>
      <c r="R69" s="76">
        <f>$G69*'2. Salmon Passage by Bin'!J69</f>
        <v>0</v>
      </c>
      <c r="S69" s="56">
        <f>'2. Salmon Passage by Bin'!K69*H69</f>
        <v>28680.455481080888</v>
      </c>
      <c r="T69" s="25">
        <f>K69*'2. Salmon Passage by Bin'!L69</f>
        <v>818.11488893590024</v>
      </c>
      <c r="U69" s="25">
        <f>K69*'2. Salmon Passage by Bin'!M69</f>
        <v>2603.6250222128201</v>
      </c>
      <c r="V69" s="25">
        <f>J69*'2. Salmon Passage by Bin'!N69</f>
        <v>5595.5996531791898</v>
      </c>
      <c r="W69" s="25">
        <f>I69*'2. Salmon Passage by Bin'!O69</f>
        <v>3910.0968772348028</v>
      </c>
      <c r="X69" s="76">
        <f>E69*'2. Salmon Passage by Bin'!E69</f>
        <v>115220.14593868123</v>
      </c>
      <c r="Y69" s="41">
        <f t="shared" si="0"/>
        <v>499022.00785794307</v>
      </c>
      <c r="Z69" s="42">
        <f>Y69/'[1]Passage Estimates'!$D69</f>
        <v>0.84120228336912872</v>
      </c>
      <c r="AA69" s="43">
        <f>IFERROR(SUMIF(L69:O69, "&lt;&gt;#N/A")/SUMIF('2. Salmon Passage by Bin'!E69:J69, "&lt;&gt;#N/A"), NA())</f>
        <v>0.6775921674337323</v>
      </c>
      <c r="AB69" s="42">
        <f>IFERROR(IF(ISNA(S69), NA(), S69/'2. Salmon Passage by Bin'!K69), NA())</f>
        <v>0.76351351351351349</v>
      </c>
      <c r="AC69" s="44">
        <f>IFERROR(SUMIF(T69:W69, "&lt;&gt;#N/A")/SUMIF('2. Salmon Passage by Bin'!L69:N69, "&lt;&gt;#N/A"), NA())</f>
        <v>0.92006556618118518</v>
      </c>
    </row>
    <row r="70" spans="1:29" x14ac:dyDescent="0.3">
      <c r="A70" s="5">
        <f>'1. Mixture Model Inputs'!A70</f>
        <v>45172</v>
      </c>
      <c r="B70" s="13" t="str">
        <f>IF(ISBLANK('[1]Passage Estimates'!$C70), "", '[1]Passage Estimates'!$C70)</f>
        <v>Imputation</v>
      </c>
      <c r="C70" s="71">
        <f>IFERROR('1. Mixture Model Inputs'!R70/'1. Mixture Model Inputs'!Z70,0)</f>
        <v>0.82450959713140692</v>
      </c>
      <c r="D70" s="71">
        <f>IFERROR('1. Mixture Model Inputs'!S70/'1. Mixture Model Inputs'!AA70,0)</f>
        <v>0.81349039405412982</v>
      </c>
      <c r="E70" s="71">
        <f>IFERROR('1. Mixture Model Inputs'!T70/'1. Mixture Model Inputs'!AB70,0)</f>
        <v>0.78680800942285034</v>
      </c>
      <c r="F70" s="71">
        <f>IFERROR('1. Mixture Model Inputs'!U70/'1. Mixture Model Inputs'!AC70,0)</f>
        <v>0.75535880708294489</v>
      </c>
      <c r="G70" s="71">
        <f>IFERROR('1. Mixture Model Inputs'!V70/'1. Mixture Model Inputs'!AD70,0)</f>
        <v>0.43911055694098083</v>
      </c>
      <c r="H70" s="24">
        <f>WhonSpComp!AR85</f>
        <v>0.47887323943661969</v>
      </c>
      <c r="I70" s="70">
        <f>IFERROR('1. Mixture Model Inputs'!W70/'1. Mixture Model Inputs'!AE70, 0)</f>
        <v>0.97907419150285357</v>
      </c>
      <c r="J70" s="71">
        <f>IFERROR('1. Mixture Model Inputs'!X70/'1. Mixture Model Inputs'!AF70, 0)</f>
        <v>0.61324200913242011</v>
      </c>
      <c r="K70" s="23">
        <f>IFERROR('1. Mixture Model Inputs'!Y70/'1. Mixture Model Inputs'!AG70, 0)</f>
        <v>0.34776334776334777</v>
      </c>
      <c r="L70" s="76">
        <f>C70*'2. Salmon Passage by Bin'!C70</f>
        <v>41865.299303944317</v>
      </c>
      <c r="M70" s="76">
        <f>D70*'2. Salmon Passage by Bin'!D70</f>
        <v>127001.3068293367</v>
      </c>
      <c r="N70" s="76">
        <f>F70*'2. Salmon Passage by Bin'!F70</f>
        <v>199760.98154706429</v>
      </c>
      <c r="O70" s="76">
        <f>G70*'2. Salmon Passage by Bin'!G70</f>
        <v>53505.902394014949</v>
      </c>
      <c r="P70" s="76">
        <f>$G70*'2. Salmon Passage by Bin'!H70</f>
        <v>18573.533466334164</v>
      </c>
      <c r="Q70" s="76">
        <f>$G70*'2. Salmon Passage by Bin'!I70</f>
        <v>10513.149825436409</v>
      </c>
      <c r="R70" s="76">
        <f>$G70*'2. Salmon Passage by Bin'!J70</f>
        <v>0</v>
      </c>
      <c r="S70" s="56">
        <f>'2. Salmon Passage by Bin'!K70*H70</f>
        <v>11242.711233802765</v>
      </c>
      <c r="T70" s="25">
        <f>K70*'2. Salmon Passage by Bin'!L70</f>
        <v>1011.0732467532468</v>
      </c>
      <c r="U70" s="25">
        <f>K70*'2. Salmon Passage by Bin'!M70</f>
        <v>2874.9735064935062</v>
      </c>
      <c r="V70" s="25">
        <f>J70*'2. Salmon Passage by Bin'!N70</f>
        <v>15230.723835616438</v>
      </c>
      <c r="W70" s="25">
        <f>I70*'2. Salmon Passage by Bin'!O70</f>
        <v>57676.712339885868</v>
      </c>
      <c r="X70" s="76">
        <f>E70*'2. Salmon Passage by Bin'!E70</f>
        <v>162786.5486925795</v>
      </c>
      <c r="Y70" s="41">
        <f t="shared" si="0"/>
        <v>533176.31008798117</v>
      </c>
      <c r="Z70" s="42">
        <f>Y70/'[1]Passage Estimates'!$D70</f>
        <v>0.68545616409585841</v>
      </c>
      <c r="AA70" s="43">
        <f>IFERROR(SUMIF(L70:O70, "&lt;&gt;#N/A")/SUMIF('2. Salmon Passage by Bin'!E70:J70, "&lt;&gt;#N/A"), NA())</f>
        <v>0.64013554037219755</v>
      </c>
      <c r="AB70" s="42">
        <f>IFERROR(IF(ISNA(S70), NA(), S70/'2. Salmon Passage by Bin'!K70), NA())</f>
        <v>0.47887323943661969</v>
      </c>
      <c r="AC70" s="44">
        <f>IFERROR(SUMIF(T70:W70, "&lt;&gt;#N/A")/SUMIF('2. Salmon Passage by Bin'!L70:N70, "&lt;&gt;#N/A"), NA())</f>
        <v>2.1325125498114197</v>
      </c>
    </row>
    <row r="71" spans="1:29" x14ac:dyDescent="0.3">
      <c r="A71" s="5">
        <f>'1. Mixture Model Inputs'!A71</f>
        <v>45173</v>
      </c>
      <c r="B71" s="13" t="str">
        <f>IF(ISBLANK('[1]Passage Estimates'!$C71), "", '[1]Passage Estimates'!$C71)</f>
        <v>A1+S1+M2+A2</v>
      </c>
      <c r="C71" s="71">
        <f>IFERROR('1. Mixture Model Inputs'!R71/'1. Mixture Model Inputs'!Z71,0)</f>
        <v>0.98158379373848981</v>
      </c>
      <c r="D71" s="71">
        <f>IFERROR('1. Mixture Model Inputs'!S71/'1. Mixture Model Inputs'!AA71,0)</f>
        <v>0.97958154776909501</v>
      </c>
      <c r="E71" s="71">
        <f>IFERROR('1. Mixture Model Inputs'!T71/'1. Mixture Model Inputs'!AB71,0)</f>
        <v>0.98127824402840536</v>
      </c>
      <c r="F71" s="71">
        <f>IFERROR('1. Mixture Model Inputs'!U71/'1. Mixture Model Inputs'!AC71,0)</f>
        <v>0.7768518518518519</v>
      </c>
      <c r="G71" s="71">
        <f>IFERROR('1. Mixture Model Inputs'!V71/'1. Mixture Model Inputs'!AD71,0)</f>
        <v>0.57167218376968598</v>
      </c>
      <c r="H71" s="24">
        <f>WhonSpComp!AR86</f>
        <v>0.8375634517766497</v>
      </c>
      <c r="I71" s="70">
        <f>IFERROR('1. Mixture Model Inputs'!W71/'1. Mixture Model Inputs'!AE71, 0)</f>
        <v>0.97907419150285357</v>
      </c>
      <c r="J71" s="71">
        <f>IFERROR('1. Mixture Model Inputs'!X71/'1. Mixture Model Inputs'!AF71, 0)</f>
        <v>0.61324200913242011</v>
      </c>
      <c r="K71" s="23">
        <f>IFERROR('1. Mixture Model Inputs'!Y71/'1. Mixture Model Inputs'!AG71, 0)</f>
        <v>0.34776334776334777</v>
      </c>
      <c r="L71" s="76">
        <f>C71*'2. Salmon Passage by Bin'!C71</f>
        <v>12173.602209944751</v>
      </c>
      <c r="M71" s="76">
        <f>D71*'2. Salmon Passage by Bin'!D71</f>
        <v>60671.362742626668</v>
      </c>
      <c r="N71" s="76">
        <f>F71*'2. Salmon Passage by Bin'!F71</f>
        <v>134729.23022222225</v>
      </c>
      <c r="O71" s="76">
        <f>G71*'2. Salmon Passage by Bin'!G71</f>
        <v>78101.853746614492</v>
      </c>
      <c r="P71" s="76">
        <f>$G71*'2. Salmon Passage by Bin'!H71</f>
        <v>31535.724345470957</v>
      </c>
      <c r="Q71" s="76">
        <f>$G71*'2. Salmon Passage by Bin'!I71</f>
        <v>19924.239085164005</v>
      </c>
      <c r="R71" s="76">
        <f>$G71*'2. Salmon Passage by Bin'!J71</f>
        <v>0</v>
      </c>
      <c r="S71" s="56">
        <f>'2. Salmon Passage by Bin'!K71*H71</f>
        <v>30220.227411167751</v>
      </c>
      <c r="T71" s="25">
        <f>K71*'2. Salmon Passage by Bin'!L71</f>
        <v>1406.2715151515154</v>
      </c>
      <c r="U71" s="25">
        <f>K71*'2. Salmon Passage by Bin'!M71</f>
        <v>2155.1868398268402</v>
      </c>
      <c r="V71" s="25">
        <f>J71*'2. Salmon Passage by Bin'!N71</f>
        <v>8853.3503561643829</v>
      </c>
      <c r="W71" s="25">
        <f>I71*'2. Salmon Passage by Bin'!O71</f>
        <v>55774.332022828152</v>
      </c>
      <c r="X71" s="76">
        <f>E71*'2. Salmon Passage by Bin'!E71</f>
        <v>72946.811620400258</v>
      </c>
      <c r="Y71" s="41">
        <f t="shared" ref="Y71:Y128" si="1">IF(B71="M",S71,IF(AND(ISNUMBER(SEARCH("A1*",B71)),SUMIF(L71:W71,"&lt;&gt;#N/A")&gt;0),SUMIF(L71:W71,"&lt;&gt;#N/A"),IF(SUMIF(N71:X71,"&lt;&gt;#N/A")&gt;0,SUMIF(N71:X71,"&lt;&gt;#N/A"),0)))</f>
        <v>435545.38049718173</v>
      </c>
      <c r="Z71" s="42">
        <f>Y71/'[1]Passage Estimates'!$D71</f>
        <v>0.73555652690215123</v>
      </c>
      <c r="AA71" s="43">
        <f>IFERROR(SUMIF(L71:O71, "&lt;&gt;#N/A")/SUMIF('2. Salmon Passage by Bin'!E71:J71, "&lt;&gt;#N/A"), NA())</f>
        <v>0.60217771984429869</v>
      </c>
      <c r="AB71" s="42">
        <f>IFERROR(IF(ISNA(S71), NA(), S71/'2. Salmon Passage by Bin'!K71), NA())</f>
        <v>0.8375634517766497</v>
      </c>
      <c r="AC71" s="44">
        <f>IFERROR(SUMIF(T71:W71, "&lt;&gt;#N/A")/SUMIF('2. Salmon Passage by Bin'!L71:N71, "&lt;&gt;#N/A"), NA())</f>
        <v>2.7631550666168603</v>
      </c>
    </row>
    <row r="72" spans="1:29" x14ac:dyDescent="0.3">
      <c r="A72" s="5">
        <f>'1. Mixture Model Inputs'!A72</f>
        <v>45174</v>
      </c>
      <c r="B72" s="13" t="str">
        <f>IF(ISBLANK('[1]Passage Estimates'!$C72), "", '[1]Passage Estimates'!$C72)</f>
        <v>A1+S1+M2+A2</v>
      </c>
      <c r="C72" s="71">
        <f>IFERROR('1. Mixture Model Inputs'!R72/'1. Mixture Model Inputs'!Z72,0)</f>
        <v>0.93847566574839303</v>
      </c>
      <c r="D72" s="71">
        <f>IFERROR('1. Mixture Model Inputs'!S72/'1. Mixture Model Inputs'!AA72,0)</f>
        <v>0.99806908388757776</v>
      </c>
      <c r="E72" s="71">
        <f>IFERROR('1. Mixture Model Inputs'!T72/'1. Mixture Model Inputs'!AB72,0)</f>
        <v>0.97901010624514129</v>
      </c>
      <c r="F72" s="71">
        <f>IFERROR('1. Mixture Model Inputs'!U72/'1. Mixture Model Inputs'!AC72,0)</f>
        <v>0.91291043897846291</v>
      </c>
      <c r="G72" s="71">
        <f>IFERROR('1. Mixture Model Inputs'!V72/'1. Mixture Model Inputs'!AD72,0)</f>
        <v>0.37362192778395875</v>
      </c>
      <c r="H72" s="24">
        <f>WhonSpComp!AR87</f>
        <v>0.3888888888888889</v>
      </c>
      <c r="I72" s="70">
        <f>IFERROR('1. Mixture Model Inputs'!W72/'1. Mixture Model Inputs'!AE72, 0)</f>
        <v>0.96575106309619596</v>
      </c>
      <c r="J72" s="71">
        <f>IFERROR('1. Mixture Model Inputs'!X72/'1. Mixture Model Inputs'!AF72, 0)</f>
        <v>0.75768279759802182</v>
      </c>
      <c r="K72" s="23">
        <f>IFERROR('1. Mixture Model Inputs'!Y72/'1. Mixture Model Inputs'!AG72, 0)</f>
        <v>0.50861041914870575</v>
      </c>
      <c r="L72" s="76">
        <f>C72*'2. Salmon Passage by Bin'!C72</f>
        <v>11795.700642791551</v>
      </c>
      <c r="M72" s="76">
        <f>D72*'2. Salmon Passage by Bin'!D72</f>
        <v>35084.124436816135</v>
      </c>
      <c r="N72" s="76">
        <f>F72*'2. Salmon Passage by Bin'!F72</f>
        <v>82486.424394492176</v>
      </c>
      <c r="O72" s="76">
        <f>G72*'2. Salmon Passage by Bin'!G72</f>
        <v>24961.142979670276</v>
      </c>
      <c r="P72" s="76">
        <f>$G72*'2. Salmon Passage by Bin'!H72</f>
        <v>11636.738893496511</v>
      </c>
      <c r="Q72" s="76">
        <f>$G72*'2. Salmon Passage by Bin'!I72</f>
        <v>6679.8220532011737</v>
      </c>
      <c r="R72" s="76">
        <f>$G72*'2. Salmon Passage by Bin'!J72</f>
        <v>0</v>
      </c>
      <c r="S72" s="56">
        <f>'2. Salmon Passage by Bin'!K72*H72</f>
        <v>20619.573333333366</v>
      </c>
      <c r="T72" s="25">
        <f>K72*'2. Salmon Passage by Bin'!L72</f>
        <v>695.04665439185533</v>
      </c>
      <c r="U72" s="25">
        <f>K72*'2. Salmon Passage by Bin'!M72</f>
        <v>2843.9053308783709</v>
      </c>
      <c r="V72" s="25">
        <f>J72*'2. Salmon Passage by Bin'!N72</f>
        <v>7848.017802896502</v>
      </c>
      <c r="W72" s="25">
        <f>I72*'2. Salmon Passage by Bin'!O72</f>
        <v>29850.97905987818</v>
      </c>
      <c r="X72" s="76">
        <f>E72*'2. Salmon Passage by Bin'!E72</f>
        <v>46719.223798911633</v>
      </c>
      <c r="Y72" s="41">
        <f t="shared" si="1"/>
        <v>234501.47558184611</v>
      </c>
      <c r="Z72" s="42">
        <f>Y72/'[1]Passage Estimates'!$D72</f>
        <v>0.66027634568215787</v>
      </c>
      <c r="AA72" s="43">
        <f>IFERROR(SUMIF(L72:O72, "&lt;&gt;#N/A")/SUMIF('2. Salmon Passage by Bin'!E72:J72, "&lt;&gt;#N/A"), NA())</f>
        <v>0.60780543774613183</v>
      </c>
      <c r="AB72" s="42">
        <f>IFERROR(IF(ISNA(S72), NA(), S72/'2. Salmon Passage by Bin'!K72), NA())</f>
        <v>0.3888888888888889</v>
      </c>
      <c r="AC72" s="44">
        <f>IFERROR(SUMIF(T72:W72, "&lt;&gt;#N/A")/SUMIF('2. Salmon Passage by Bin'!L72:N72, "&lt;&gt;#N/A"), NA())</f>
        <v>2.381493927468521</v>
      </c>
    </row>
    <row r="73" spans="1:29" x14ac:dyDescent="0.3">
      <c r="A73" s="5">
        <f>'1. Mixture Model Inputs'!A73</f>
        <v>45175</v>
      </c>
      <c r="B73" s="13" t="str">
        <f>IF(ISBLANK('[1]Passage Estimates'!$C73), "", '[1]Passage Estimates'!$C73)</f>
        <v>A1+S1+M2+A2</v>
      </c>
      <c r="C73" s="71">
        <f>IFERROR('1. Mixture Model Inputs'!R73/'1. Mixture Model Inputs'!Z73,0)</f>
        <v>0.88431677018633548</v>
      </c>
      <c r="D73" s="71">
        <f>IFERROR('1. Mixture Model Inputs'!S73/'1. Mixture Model Inputs'!AA73,0)</f>
        <v>0.99601654665236716</v>
      </c>
      <c r="E73" s="71">
        <f>IFERROR('1. Mixture Model Inputs'!T73/'1. Mixture Model Inputs'!AB73,0)</f>
        <v>0.9884726224783863</v>
      </c>
      <c r="F73" s="71">
        <f>IFERROR('1. Mixture Model Inputs'!U73/'1. Mixture Model Inputs'!AC73,0)</f>
        <v>0.76921439216521181</v>
      </c>
      <c r="G73" s="71">
        <f>IFERROR('1. Mixture Model Inputs'!V73/'1. Mixture Model Inputs'!AD73,0)</f>
        <v>0.50184653262207635</v>
      </c>
      <c r="H73" s="24">
        <f>WhonSpComp!AR88</f>
        <v>0.57692307692307687</v>
      </c>
      <c r="I73" s="70">
        <f>IFERROR('1. Mixture Model Inputs'!W73/'1. Mixture Model Inputs'!AE73, 0)</f>
        <v>0.96575106309619596</v>
      </c>
      <c r="J73" s="71">
        <f>IFERROR('1. Mixture Model Inputs'!X73/'1. Mixture Model Inputs'!AF73, 0)</f>
        <v>0.75768279759802182</v>
      </c>
      <c r="K73" s="23">
        <f>IFERROR('1. Mixture Model Inputs'!Y73/'1. Mixture Model Inputs'!AG73, 0)</f>
        <v>0.50861041914870575</v>
      </c>
      <c r="L73" s="76">
        <f>C73*'2. Salmon Passage by Bin'!C73</f>
        <v>5003.4642857142862</v>
      </c>
      <c r="M73" s="76">
        <f>D73*'2. Salmon Passage by Bin'!D73</f>
        <v>40272.933047341816</v>
      </c>
      <c r="N73" s="76">
        <f>F73*'2. Salmon Passage by Bin'!F73</f>
        <v>49423.993885458804</v>
      </c>
      <c r="O73" s="76">
        <f>G73*'2. Salmon Passage by Bin'!G73</f>
        <v>24326.027049651213</v>
      </c>
      <c r="P73" s="76">
        <f>$G73*'2. Salmon Passage by Bin'!H73</f>
        <v>8459.2054493229389</v>
      </c>
      <c r="Q73" s="76">
        <f>$G73*'2. Salmon Passage by Bin'!I73</f>
        <v>6675.8034632745175</v>
      </c>
      <c r="R73" s="76">
        <f>$G73*'2. Salmon Passage by Bin'!J73</f>
        <v>0</v>
      </c>
      <c r="S73" s="56">
        <f>'2. Salmon Passage by Bin'!K73*H73</f>
        <v>16337.215384615305</v>
      </c>
      <c r="T73" s="25">
        <f>K73*'2. Salmon Passage by Bin'!L73</f>
        <v>725.31914653958631</v>
      </c>
      <c r="U73" s="25">
        <f>K73*'2. Salmon Passage by Bin'!M73</f>
        <v>1401.6896263403012</v>
      </c>
      <c r="V73" s="25">
        <f>J73*'2. Salmon Passage by Bin'!N73</f>
        <v>5025.8009184033908</v>
      </c>
      <c r="W73" s="25">
        <f>I73*'2. Salmon Passage by Bin'!O73</f>
        <v>17180.943192736468</v>
      </c>
      <c r="X73" s="76">
        <f>E73*'2. Salmon Passage by Bin'!E73</f>
        <v>45561.154582132564</v>
      </c>
      <c r="Y73" s="41">
        <f t="shared" si="1"/>
        <v>174832.39544939861</v>
      </c>
      <c r="Z73" s="42">
        <f>Y73/'[1]Passage Estimates'!$D73</f>
        <v>0.71099004606995686</v>
      </c>
      <c r="AA73" s="43">
        <f>IFERROR(SUMIF(L73:O73, "&lt;&gt;#N/A")/SUMIF('2. Salmon Passage by Bin'!E73:J73, "&lt;&gt;#N/A"), NA())</f>
        <v>0.6298469899793272</v>
      </c>
      <c r="AB73" s="42">
        <f>IFERROR(IF(ISNA(S73), NA(), S73/'2. Salmon Passage by Bin'!K73), NA())</f>
        <v>0.57692307692307687</v>
      </c>
      <c r="AC73" s="44">
        <f>IFERROR(SUMIF(T73:W73, "&lt;&gt;#N/A")/SUMIF('2. Salmon Passage by Bin'!L73:N73, "&lt;&gt;#N/A"), NA())</f>
        <v>2.2499753016166024</v>
      </c>
    </row>
    <row r="74" spans="1:29" x14ac:dyDescent="0.3">
      <c r="A74" s="5">
        <f>'1. Mixture Model Inputs'!A74</f>
        <v>45176</v>
      </c>
      <c r="B74" s="13" t="str">
        <f>IF(ISBLANK('[1]Passage Estimates'!$C74), "", '[1]Passage Estimates'!$C74)</f>
        <v>A1+S1+M2+A2</v>
      </c>
      <c r="C74" s="71">
        <f>IFERROR('1. Mixture Model Inputs'!R74/'1. Mixture Model Inputs'!Z74,0)</f>
        <v>0.99433320740460895</v>
      </c>
      <c r="D74" s="71">
        <f>IFERROR('1. Mixture Model Inputs'!S74/'1. Mixture Model Inputs'!AA74,0)</f>
        <v>0.98979591836734693</v>
      </c>
      <c r="E74" s="71">
        <f>IFERROR('1. Mixture Model Inputs'!T74/'1. Mixture Model Inputs'!AB74,0)</f>
        <v>0.9918973666441594</v>
      </c>
      <c r="F74" s="71">
        <f>IFERROR('1. Mixture Model Inputs'!U74/'1. Mixture Model Inputs'!AC74,0)</f>
        <v>0.83508152456122142</v>
      </c>
      <c r="G74" s="71">
        <f>IFERROR('1. Mixture Model Inputs'!V74/'1. Mixture Model Inputs'!AD74,0)</f>
        <v>0.54677419354838708</v>
      </c>
      <c r="H74" s="24">
        <f>WhonSpComp!AR89</f>
        <v>0.68</v>
      </c>
      <c r="I74" s="70">
        <f>IFERROR('1. Mixture Model Inputs'!W74/'1. Mixture Model Inputs'!AE74, 0)</f>
        <v>0.97124247265577002</v>
      </c>
      <c r="J74" s="71">
        <f>IFERROR('1. Mixture Model Inputs'!X74/'1. Mixture Model Inputs'!AF74, 0)</f>
        <v>0.77352158315009834</v>
      </c>
      <c r="K74" s="23">
        <f>IFERROR('1. Mixture Model Inputs'!Y74/'1. Mixture Model Inputs'!AG74, 0)</f>
        <v>0.5703227103649342</v>
      </c>
      <c r="L74" s="76">
        <f>C74*'2. Salmon Passage by Bin'!C74</f>
        <v>4735.0147336607479</v>
      </c>
      <c r="M74" s="76">
        <f>D74*'2. Salmon Passage by Bin'!D74</f>
        <v>37226.224489795917</v>
      </c>
      <c r="N74" s="76">
        <f>F74*'2. Salmon Passage by Bin'!F74</f>
        <v>66244.07785647524</v>
      </c>
      <c r="O74" s="76">
        <f>G74*'2. Salmon Passage by Bin'!G74</f>
        <v>65655.289161290319</v>
      </c>
      <c r="P74" s="76">
        <f>$G74*'2. Salmon Passage by Bin'!H74</f>
        <v>8479.1554838709671</v>
      </c>
      <c r="Q74" s="76">
        <f>$G74*'2. Salmon Passage by Bin'!I74</f>
        <v>6510.768387096773</v>
      </c>
      <c r="R74" s="76">
        <f>$G74*'2. Salmon Passage by Bin'!J74</f>
        <v>0</v>
      </c>
      <c r="S74" s="56">
        <f>'2. Salmon Passage by Bin'!K74*H74</f>
        <v>15849.168000000054</v>
      </c>
      <c r="T74" s="25">
        <f>K74*'2. Salmon Passage by Bin'!L74</f>
        <v>869.17181059615973</v>
      </c>
      <c r="U74" s="25">
        <f>K74*'2. Salmon Passage by Bin'!M74</f>
        <v>1909.4404343017998</v>
      </c>
      <c r="V74" s="25">
        <f>J74*'2. Salmon Passage by Bin'!N74</f>
        <v>5034.3259900474477</v>
      </c>
      <c r="W74" s="25">
        <f>I74*'2. Salmon Passage by Bin'!O74</f>
        <v>11145.823217401992</v>
      </c>
      <c r="X74" s="76">
        <f>E74*'2. Salmon Passage by Bin'!E74</f>
        <v>42029.151330182307</v>
      </c>
      <c r="Y74" s="41">
        <f t="shared" si="1"/>
        <v>223658.45956453742</v>
      </c>
      <c r="Z74" s="42">
        <f>Y74/'[1]Passage Estimates'!$D74</f>
        <v>0.70922657799889988</v>
      </c>
      <c r="AA74" s="43">
        <f>IFERROR(SUMIF(L74:O74, "&lt;&gt;#N/A")/SUMIF('2. Salmon Passage by Bin'!E74:J74, "&lt;&gt;#N/A"), NA())</f>
        <v>0.64586173778187439</v>
      </c>
      <c r="AB74" s="42">
        <f>IFERROR(IF(ISNA(S74), NA(), S74/'2. Salmon Passage by Bin'!K74), NA())</f>
        <v>0.68</v>
      </c>
      <c r="AC74" s="44">
        <f>IFERROR(SUMIF(T74:W74, "&lt;&gt;#N/A")/SUMIF('2. Salmon Passage by Bin'!L74:N74, "&lt;&gt;#N/A"), NA())</f>
        <v>1.6659251631190863</v>
      </c>
    </row>
    <row r="75" spans="1:29" x14ac:dyDescent="0.3">
      <c r="A75" s="5">
        <f>'1. Mixture Model Inputs'!A75</f>
        <v>45177</v>
      </c>
      <c r="B75" s="13" t="str">
        <f>IF(ISBLANK('[1]Passage Estimates'!$C75), "", '[1]Passage Estimates'!$C75)</f>
        <v>A1+S1+M2+A2</v>
      </c>
      <c r="C75" s="71">
        <f>IFERROR('1. Mixture Model Inputs'!R75/'1. Mixture Model Inputs'!Z75,0)</f>
        <v>0.99051683262209578</v>
      </c>
      <c r="D75" s="71">
        <f>IFERROR('1. Mixture Model Inputs'!S75/'1. Mixture Model Inputs'!AA75,0)</f>
        <v>0.71163835462585989</v>
      </c>
      <c r="E75" s="71">
        <f>IFERROR('1. Mixture Model Inputs'!T75/'1. Mixture Model Inputs'!AB75,0)</f>
        <v>0.74648760330578512</v>
      </c>
      <c r="F75" s="71">
        <f>IFERROR('1. Mixture Model Inputs'!U75/'1. Mixture Model Inputs'!AC75,0)</f>
        <v>0.49537976109984222</v>
      </c>
      <c r="G75" s="71">
        <f>IFERROR('1. Mixture Model Inputs'!V75/'1. Mixture Model Inputs'!AD75,0)</f>
        <v>0.38179959100204502</v>
      </c>
      <c r="H75" s="24">
        <f>WhonSpComp!AR90</f>
        <v>0.93288590604026844</v>
      </c>
      <c r="I75" s="70">
        <f>IFERROR('1. Mixture Model Inputs'!W75/'1. Mixture Model Inputs'!AE75, 0)</f>
        <v>0.97124247265577002</v>
      </c>
      <c r="J75" s="71">
        <f>IFERROR('1. Mixture Model Inputs'!X75/'1. Mixture Model Inputs'!AF75, 0)</f>
        <v>0.77352158315009834</v>
      </c>
      <c r="K75" s="23">
        <f>IFERROR('1. Mixture Model Inputs'!Y75/'1. Mixture Model Inputs'!AG75, 0)</f>
        <v>0.5703227103649342</v>
      </c>
      <c r="L75" s="76">
        <f>C75*'2. Salmon Passage by Bin'!C75</f>
        <v>5932.2053105737314</v>
      </c>
      <c r="M75" s="76">
        <f>D75*'2. Salmon Passage by Bin'!D75</f>
        <v>28934.503860732839</v>
      </c>
      <c r="N75" s="76">
        <f>F75*'2. Salmon Passage by Bin'!F75</f>
        <v>45933.474077079103</v>
      </c>
      <c r="O75" s="76">
        <f>G75*'2. Salmon Passage by Bin'!G75</f>
        <v>23163.26193865031</v>
      </c>
      <c r="P75" s="76">
        <f>$G75*'2. Salmon Passage by Bin'!H75</f>
        <v>7066.3773742331286</v>
      </c>
      <c r="Q75" s="76">
        <f>$G75*'2. Salmon Passage by Bin'!I75</f>
        <v>8499.9584785276093</v>
      </c>
      <c r="R75" s="76">
        <f>$G75*'2. Salmon Passage by Bin'!J75</f>
        <v>0</v>
      </c>
      <c r="S75" s="56">
        <f>'2. Salmon Passage by Bin'!K75*H75</f>
        <v>23844.115973154432</v>
      </c>
      <c r="T75" s="25">
        <f>K75*'2. Salmon Passage by Bin'!L75</f>
        <v>663.85563486478338</v>
      </c>
      <c r="U75" s="25">
        <f>K75*'2. Salmon Passage by Bin'!M75</f>
        <v>1984.7230320699709</v>
      </c>
      <c r="V75" s="25">
        <f>J75*'2. Salmon Passage by Bin'!N75</f>
        <v>4735.2516051382945</v>
      </c>
      <c r="W75" s="25">
        <f>I75*'2. Salmon Passage by Bin'!O75</f>
        <v>12719.469121297774</v>
      </c>
      <c r="X75" s="76">
        <f>E75*'2. Salmon Passage by Bin'!E75</f>
        <v>34822.21343801653</v>
      </c>
      <c r="Y75" s="41">
        <f t="shared" si="1"/>
        <v>163477.19640632195</v>
      </c>
      <c r="Z75" s="42">
        <f>Y75/'[1]Passage Estimates'!$D75</f>
        <v>0.56326246195233221</v>
      </c>
      <c r="AA75" s="43">
        <f>IFERROR(SUMIF(L75:O75, "&lt;&gt;#N/A")/SUMIF('2. Salmon Passage by Bin'!E75:J75, "&lt;&gt;#N/A"), NA())</f>
        <v>0.43172137165508412</v>
      </c>
      <c r="AB75" s="42">
        <f>IFERROR(IF(ISNA(S75), NA(), S75/'2. Salmon Passage by Bin'!K75), NA())</f>
        <v>0.93288590604026833</v>
      </c>
      <c r="AC75" s="44">
        <f>IFERROR(SUMIF(T75:W75, "&lt;&gt;#N/A")/SUMIF('2. Salmon Passage by Bin'!L75:N75, "&lt;&gt;#N/A"), NA())</f>
        <v>1.8673506358512257</v>
      </c>
    </row>
    <row r="76" spans="1:29" x14ac:dyDescent="0.3">
      <c r="A76" s="5">
        <f>'1. Mixture Model Inputs'!A76</f>
        <v>45178</v>
      </c>
      <c r="B76" s="13" t="str">
        <f>IF(ISBLANK('[1]Passage Estimates'!$C76), "", '[1]Passage Estimates'!$C76)</f>
        <v>A1+S1+M2+A2</v>
      </c>
      <c r="C76" s="71">
        <f>IFERROR('1. Mixture Model Inputs'!R76/'1. Mixture Model Inputs'!Z76,0)</f>
        <v>0.99549211119459058</v>
      </c>
      <c r="D76" s="71">
        <f>IFERROR('1. Mixture Model Inputs'!S76/'1. Mixture Model Inputs'!AA76,0)</f>
        <v>0.75808870794943217</v>
      </c>
      <c r="E76" s="71">
        <f>IFERROR('1. Mixture Model Inputs'!T76/'1. Mixture Model Inputs'!AB76,0)</f>
        <v>0.85857763300760048</v>
      </c>
      <c r="F76" s="71">
        <f>IFERROR('1. Mixture Model Inputs'!U76/'1. Mixture Model Inputs'!AC76,0)</f>
        <v>0.94967381174277732</v>
      </c>
      <c r="G76" s="71">
        <f>IFERROR('1. Mixture Model Inputs'!V76/'1. Mixture Model Inputs'!AD76,0)</f>
        <v>0.78510770505385252</v>
      </c>
      <c r="H76" s="24">
        <f>WhonSpComp!AR91</f>
        <v>0.94468085106382982</v>
      </c>
      <c r="I76" s="70">
        <f>IFERROR('1. Mixture Model Inputs'!W76/'1. Mixture Model Inputs'!AE76, 0)</f>
        <v>0.98428952167204375</v>
      </c>
      <c r="J76" s="71">
        <f>IFERROR('1. Mixture Model Inputs'!X76/'1. Mixture Model Inputs'!AF76, 0)</f>
        <v>0.84340729405763837</v>
      </c>
      <c r="K76" s="23">
        <f>IFERROR('1. Mixture Model Inputs'!Y76/'1. Mixture Model Inputs'!AG76, 0)</f>
        <v>0.48768579798198985</v>
      </c>
      <c r="L76" s="76">
        <f>C76*'2. Salmon Passage by Bin'!C76</f>
        <v>4870.9429000751315</v>
      </c>
      <c r="M76" s="76">
        <f>D76*'2. Salmon Passage by Bin'!D76</f>
        <v>25533.185772444824</v>
      </c>
      <c r="N76" s="76">
        <f>F76*'2. Salmon Passage by Bin'!F76</f>
        <v>58766.195340167753</v>
      </c>
      <c r="O76" s="76">
        <f>G76*'2. Salmon Passage by Bin'!G76</f>
        <v>41606.311764705875</v>
      </c>
      <c r="P76" s="76">
        <f>$G76*'2. Salmon Passage by Bin'!H76</f>
        <v>18003.336188898094</v>
      </c>
      <c r="Q76" s="76">
        <f>$G76*'2. Salmon Passage by Bin'!I76</f>
        <v>14400.633951946975</v>
      </c>
      <c r="R76" s="76">
        <f>$G76*'2. Salmon Passage by Bin'!J76</f>
        <v>0</v>
      </c>
      <c r="S76" s="56">
        <f>'2. Salmon Passage by Bin'!K76*H76</f>
        <v>35200.168851063776</v>
      </c>
      <c r="T76" s="25">
        <f>K76*'2. Salmon Passage by Bin'!L76</f>
        <v>858.99025713355775</v>
      </c>
      <c r="U76" s="25">
        <f>K76*'2. Salmon Passage by Bin'!M76</f>
        <v>3336.3560811543894</v>
      </c>
      <c r="V76" s="25">
        <f>J76*'2. Salmon Passage by Bin'!N76</f>
        <v>8169.1755776587606</v>
      </c>
      <c r="W76" s="25">
        <f>I76*'2. Salmon Passage by Bin'!O76</f>
        <v>9871.5577275915257</v>
      </c>
      <c r="X76" s="76">
        <f>E76*'2. Salmon Passage by Bin'!E76</f>
        <v>33118.773615635182</v>
      </c>
      <c r="Y76" s="41">
        <f t="shared" si="1"/>
        <v>220616.85441284068</v>
      </c>
      <c r="Z76" s="42">
        <f>Y76/'[1]Passage Estimates'!$D76</f>
        <v>0.8475447758843323</v>
      </c>
      <c r="AA76" s="43">
        <f>IFERROR(SUMIF(L76:O76, "&lt;&gt;#N/A")/SUMIF('2. Salmon Passage by Bin'!E76:J76, "&lt;&gt;#N/A"), NA())</f>
        <v>0.67160660864650579</v>
      </c>
      <c r="AB76" s="42">
        <f>IFERROR(IF(ISNA(S76), NA(), S76/'2. Salmon Passage by Bin'!K76), NA())</f>
        <v>0.94468085106382971</v>
      </c>
      <c r="AC76" s="44">
        <f>IFERROR(SUMIF(T76:W76, "&lt;&gt;#N/A")/SUMIF('2. Salmon Passage by Bin'!L76:N76, "&lt;&gt;#N/A"), NA())</f>
        <v>1.2158517079351718</v>
      </c>
    </row>
    <row r="77" spans="1:29" x14ac:dyDescent="0.3">
      <c r="A77" s="5">
        <f>'1. Mixture Model Inputs'!A77</f>
        <v>45179</v>
      </c>
      <c r="B77" s="13" t="str">
        <f>IF(ISBLANK('[1]Passage Estimates'!$C77), "", '[1]Passage Estimates'!$C77)</f>
        <v>A1+S1+M2+A2</v>
      </c>
      <c r="C77" s="71">
        <f>IFERROR('1. Mixture Model Inputs'!R77/'1. Mixture Model Inputs'!Z77,0)</f>
        <v>0.88793368130181149</v>
      </c>
      <c r="D77" s="71">
        <f>IFERROR('1. Mixture Model Inputs'!S77/'1. Mixture Model Inputs'!AA77,0)</f>
        <v>0.74837662337662336</v>
      </c>
      <c r="E77" s="71">
        <f>IFERROR('1. Mixture Model Inputs'!T77/'1. Mixture Model Inputs'!AB77,0)</f>
        <v>0.80004498425551063</v>
      </c>
      <c r="F77" s="71">
        <f>IFERROR('1. Mixture Model Inputs'!U77/'1. Mixture Model Inputs'!AC77,0)</f>
        <v>0.87262311067771814</v>
      </c>
      <c r="G77" s="71">
        <f>IFERROR('1. Mixture Model Inputs'!V77/'1. Mixture Model Inputs'!AD77,0)</f>
        <v>0.59907072792978833</v>
      </c>
      <c r="H77" s="24">
        <f>WhonSpComp!AR92</f>
        <v>0.97058823529411764</v>
      </c>
      <c r="I77" s="70">
        <f>IFERROR('1. Mixture Model Inputs'!W77/'1. Mixture Model Inputs'!AE77, 0)</f>
        <v>0.98428952167204375</v>
      </c>
      <c r="J77" s="71">
        <f>IFERROR('1. Mixture Model Inputs'!X77/'1. Mixture Model Inputs'!AF77, 0)</f>
        <v>0.84340729405763837</v>
      </c>
      <c r="K77" s="23">
        <f>IFERROR('1. Mixture Model Inputs'!Y77/'1. Mixture Model Inputs'!AG77, 0)</f>
        <v>0.48768579798198985</v>
      </c>
      <c r="L77" s="76">
        <f>C77*'2. Salmon Passage by Bin'!C77</f>
        <v>9939.5296284924771</v>
      </c>
      <c r="M77" s="76">
        <f>D77*'2. Salmon Passage by Bin'!D77</f>
        <v>21864.571428571428</v>
      </c>
      <c r="N77" s="76">
        <f>F77*'2. Salmon Passage by Bin'!F77</f>
        <v>70634.093739639196</v>
      </c>
      <c r="O77" s="76">
        <f>G77*'2. Salmon Passage by Bin'!G77</f>
        <v>50091.322878678373</v>
      </c>
      <c r="P77" s="76">
        <f>$G77*'2. Salmon Passage by Bin'!H77</f>
        <v>20133.521098606092</v>
      </c>
      <c r="Q77" s="76">
        <f>$G77*'2. Salmon Passage by Bin'!I77</f>
        <v>6743.427667527103</v>
      </c>
      <c r="R77" s="76">
        <f>$G77*'2. Salmon Passage by Bin'!J77</f>
        <v>0</v>
      </c>
      <c r="S77" s="56">
        <f>'2. Salmon Passage by Bin'!K77*H77</f>
        <v>49720.595294117586</v>
      </c>
      <c r="T77" s="25">
        <f>K77*'2. Salmon Passage by Bin'!L77</f>
        <v>1773.4596506455466</v>
      </c>
      <c r="U77" s="25">
        <f>K77*'2. Salmon Passage by Bin'!M77</f>
        <v>5292.6393837474234</v>
      </c>
      <c r="V77" s="25">
        <f>J77*'2. Salmon Passage by Bin'!N77</f>
        <v>11383.569456771231</v>
      </c>
      <c r="W77" s="25">
        <f>I77*'2. Salmon Passage by Bin'!O77</f>
        <v>24591.253179969142</v>
      </c>
      <c r="X77" s="76">
        <f>E77*'2. Salmon Passage by Bin'!E77</f>
        <v>32329.817813765185</v>
      </c>
      <c r="Y77" s="41">
        <f t="shared" si="1"/>
        <v>272167.98340676556</v>
      </c>
      <c r="Z77" s="42">
        <f>Y77/'[1]Passage Estimates'!$D77</f>
        <v>0.76876835546348909</v>
      </c>
      <c r="AA77" s="43">
        <f>IFERROR(SUMIF(L77:O77, "&lt;&gt;#N/A")/SUMIF('2. Salmon Passage by Bin'!E77:J77, "&lt;&gt;#N/A"), NA())</f>
        <v>0.61052345827782228</v>
      </c>
      <c r="AB77" s="42">
        <f>IFERROR(IF(ISNA(S77), NA(), S77/'2. Salmon Passage by Bin'!K77), NA())</f>
        <v>0.97058823529411753</v>
      </c>
      <c r="AC77" s="44">
        <f>IFERROR(SUMIF(T77:W77, "&lt;&gt;#N/A")/SUMIF('2. Salmon Passage by Bin'!L77:N77, "&lt;&gt;#N/A"), NA())</f>
        <v>1.5379359537404682</v>
      </c>
    </row>
    <row r="78" spans="1:29" x14ac:dyDescent="0.3">
      <c r="A78" s="5">
        <f>'1. Mixture Model Inputs'!A78</f>
        <v>45180</v>
      </c>
      <c r="B78" s="13" t="str">
        <f>IF(ISBLANK('[1]Passage Estimates'!$C78), "", '[1]Passage Estimates'!$C78)</f>
        <v>A1+S1+M2+A2</v>
      </c>
      <c r="C78" s="71">
        <f>IFERROR('1. Mixture Model Inputs'!R78/'1. Mixture Model Inputs'!Z78,0)</f>
        <v>0.81665107577174934</v>
      </c>
      <c r="D78" s="71">
        <f>IFERROR('1. Mixture Model Inputs'!S78/'1. Mixture Model Inputs'!AA78,0)</f>
        <v>0.70197164738471562</v>
      </c>
      <c r="E78" s="71">
        <f>IFERROR('1. Mixture Model Inputs'!T78/'1. Mixture Model Inputs'!AB78,0)</f>
        <v>0.73813305099700022</v>
      </c>
      <c r="F78" s="71">
        <f>IFERROR('1. Mixture Model Inputs'!U78/'1. Mixture Model Inputs'!AC78,0)</f>
        <v>0.6556291390728477</v>
      </c>
      <c r="G78" s="71">
        <f>IFERROR('1. Mixture Model Inputs'!V78/'1. Mixture Model Inputs'!AD78,0)</f>
        <v>0.3465703971119134</v>
      </c>
      <c r="H78" s="24">
        <f>WhonSpComp!AR93</f>
        <v>0.96219931271477666</v>
      </c>
      <c r="I78" s="70">
        <f>IFERROR('1. Mixture Model Inputs'!W78/'1. Mixture Model Inputs'!AE78, 0)</f>
        <v>0.74599086971789774</v>
      </c>
      <c r="J78" s="71">
        <f>IFERROR('1. Mixture Model Inputs'!X78/'1. Mixture Model Inputs'!AF78, 0)</f>
        <v>0.81498037505451382</v>
      </c>
      <c r="K78" s="23">
        <f>IFERROR('1. Mixture Model Inputs'!Y78/'1. Mixture Model Inputs'!AG78, 0)</f>
        <v>0.42474271012006865</v>
      </c>
      <c r="L78" s="76">
        <f>C78*'2. Salmon Passage by Bin'!C78</f>
        <v>23944.20954162769</v>
      </c>
      <c r="M78" s="76">
        <f>D78*'2. Salmon Passage by Bin'!D78</f>
        <v>72527.008636141429</v>
      </c>
      <c r="N78" s="76">
        <f>F78*'2. Salmon Passage by Bin'!F78</f>
        <v>113223.00874172185</v>
      </c>
      <c r="O78" s="76">
        <f>G78*'2. Salmon Passage by Bin'!G78</f>
        <v>46832.750902527085</v>
      </c>
      <c r="P78" s="76">
        <f>$G78*'2. Salmon Passage by Bin'!H78</f>
        <v>15926.54555956679</v>
      </c>
      <c r="Q78" s="76">
        <f>$G78*'2. Salmon Passage by Bin'!I78</f>
        <v>4864.2680144404349</v>
      </c>
      <c r="R78" s="76">
        <f>$G78*'2. Salmon Passage by Bin'!J78</f>
        <v>0</v>
      </c>
      <c r="S78" s="56">
        <f>'2. Salmon Passage by Bin'!K78*H78</f>
        <v>68900.090721649627</v>
      </c>
      <c r="T78" s="25">
        <f>K78*'2. Salmon Passage by Bin'!L78</f>
        <v>1299.2030017152661</v>
      </c>
      <c r="U78" s="25">
        <f>K78*'2. Salmon Passage by Bin'!M78</f>
        <v>3645.9234648370502</v>
      </c>
      <c r="V78" s="25">
        <f>J78*'2. Salmon Passage by Bin'!N78</f>
        <v>10817.788704753599</v>
      </c>
      <c r="W78" s="25">
        <f>I78*'2. Salmon Passage by Bin'!O78</f>
        <v>22852.923020016387</v>
      </c>
      <c r="X78" s="76">
        <f>E78*'2. Salmon Passage by Bin'!E78</f>
        <v>97904.964023292749</v>
      </c>
      <c r="Y78" s="41">
        <f t="shared" si="1"/>
        <v>384833.72030899726</v>
      </c>
      <c r="Z78" s="42">
        <f>Y78/'[1]Passage Estimates'!$D78</f>
        <v>0.61317138663536885</v>
      </c>
      <c r="AA78" s="43">
        <f>IFERROR(SUMIF(L78:O78, "&lt;&gt;#N/A")/SUMIF('2. Salmon Passage by Bin'!E78:J78, "&lt;&gt;#N/A"), NA())</f>
        <v>0.51258803362499239</v>
      </c>
      <c r="AB78" s="42">
        <f>IFERROR(IF(ISNA(S78), NA(), S78/'2. Salmon Passage by Bin'!K78), NA())</f>
        <v>0.96219931271477666</v>
      </c>
      <c r="AC78" s="44">
        <f>IFERROR(SUMIF(T78:W78, "&lt;&gt;#N/A")/SUMIF('2. Salmon Passage by Bin'!L78:N78, "&lt;&gt;#N/A"), NA())</f>
        <v>1.5498210888013277</v>
      </c>
    </row>
    <row r="79" spans="1:29" x14ac:dyDescent="0.3">
      <c r="A79" s="5">
        <f>'1. Mixture Model Inputs'!A79</f>
        <v>45181</v>
      </c>
      <c r="B79" s="13" t="str">
        <f>IF(ISBLANK('[1]Passage Estimates'!$C79), "", '[1]Passage Estimates'!$C79)</f>
        <v>A1+S1+M2+A2</v>
      </c>
      <c r="C79" s="71">
        <f>IFERROR('1. Mixture Model Inputs'!R79/'1. Mixture Model Inputs'!Z79,0)</f>
        <v>0.80712788259958057</v>
      </c>
      <c r="D79" s="71">
        <f>IFERROR('1. Mixture Model Inputs'!S79/'1. Mixture Model Inputs'!AA79,0)</f>
        <v>0.98160073597056119</v>
      </c>
      <c r="E79" s="71">
        <f>IFERROR('1. Mixture Model Inputs'!T79/'1. Mixture Model Inputs'!AB79,0)</f>
        <v>0.98247809762202754</v>
      </c>
      <c r="F79" s="71">
        <f>IFERROR('1. Mixture Model Inputs'!U79/'1. Mixture Model Inputs'!AC79,0)</f>
        <v>0.74120267260579065</v>
      </c>
      <c r="G79" s="71">
        <f>IFERROR('1. Mixture Model Inputs'!V79/'1. Mixture Model Inputs'!AD79,0)</f>
        <v>0.30593280914939242</v>
      </c>
      <c r="H79" s="24">
        <f>WhonSpComp!AR94</f>
        <v>0.94615384615384612</v>
      </c>
      <c r="I79" s="70">
        <f>IFERROR('1. Mixture Model Inputs'!W79/'1. Mixture Model Inputs'!AE79, 0)</f>
        <v>0.74599086971789774</v>
      </c>
      <c r="J79" s="71">
        <f>IFERROR('1. Mixture Model Inputs'!X79/'1. Mixture Model Inputs'!AF79, 0)</f>
        <v>0.81498037505451382</v>
      </c>
      <c r="K79" s="23">
        <f>IFERROR('1. Mixture Model Inputs'!Y79/'1. Mixture Model Inputs'!AG79, 0)</f>
        <v>0.42474271012006865</v>
      </c>
      <c r="L79" s="76">
        <f>C79*'2. Salmon Passage by Bin'!C79</f>
        <v>69356.498951781963</v>
      </c>
      <c r="M79" s="76">
        <f>D79*'2. Salmon Passage by Bin'!D79</f>
        <v>115943.73413063478</v>
      </c>
      <c r="N79" s="76">
        <f>F79*'2. Salmon Passage by Bin'!F79</f>
        <v>152021.14252115815</v>
      </c>
      <c r="O79" s="76">
        <f>G79*'2. Salmon Passage by Bin'!G79</f>
        <v>41958.072909220871</v>
      </c>
      <c r="P79" s="76">
        <f>$G79*'2. Salmon Passage by Bin'!H79</f>
        <v>9471.6797712651896</v>
      </c>
      <c r="Q79" s="76">
        <f>$G79*'2. Salmon Passage by Bin'!I79</f>
        <v>3946.0192709077915</v>
      </c>
      <c r="R79" s="76">
        <f>$G79*'2. Salmon Passage by Bin'!J79</f>
        <v>0</v>
      </c>
      <c r="S79" s="56">
        <f>'2. Salmon Passage by Bin'!K79*H79</f>
        <v>41067.315692307951</v>
      </c>
      <c r="T79" s="25">
        <f>K79*'2. Salmon Passage by Bin'!L79</f>
        <v>288.99493996569475</v>
      </c>
      <c r="U79" s="25">
        <f>K79*'2. Salmon Passage by Bin'!M79</f>
        <v>662.08893653516304</v>
      </c>
      <c r="V79" s="25">
        <f>J79*'2. Salmon Passage by Bin'!N79</f>
        <v>7320.936109899696</v>
      </c>
      <c r="W79" s="25">
        <f>I79*'2. Salmon Passage by Bin'!O79</f>
        <v>20138.888877443518</v>
      </c>
      <c r="X79" s="76">
        <f>E79*'2. Salmon Passage by Bin'!E79</f>
        <v>200471.2760951189</v>
      </c>
      <c r="Y79" s="41">
        <f t="shared" si="1"/>
        <v>462175.37211112084</v>
      </c>
      <c r="Z79" s="42">
        <f>Y79/'[1]Passage Estimates'!$D79</f>
        <v>0.68798997278010732</v>
      </c>
      <c r="AA79" s="43">
        <f>IFERROR(SUMIF(L79:O79, "&lt;&gt;#N/A")/SUMIF('2. Salmon Passage by Bin'!E79:J79, "&lt;&gt;#N/A"), NA())</f>
        <v>0.64267929557176218</v>
      </c>
      <c r="AB79" s="42">
        <f>IFERROR(IF(ISNA(S79), NA(), S79/'2. Salmon Passage by Bin'!K79), NA())</f>
        <v>0.94615384615384623</v>
      </c>
      <c r="AC79" s="44">
        <f>IFERROR(SUMIF(T79:W79, "&lt;&gt;#N/A")/SUMIF('2. Salmon Passage by Bin'!L79:N79, "&lt;&gt;#N/A"), NA())</f>
        <v>2.5316791833162307</v>
      </c>
    </row>
    <row r="80" spans="1:29" x14ac:dyDescent="0.3">
      <c r="A80" s="5">
        <f>'1. Mixture Model Inputs'!A80</f>
        <v>45182</v>
      </c>
      <c r="B80" s="13" t="str">
        <f>IF(ISBLANK('[1]Passage Estimates'!$C80), "", '[1]Passage Estimates'!$C80)</f>
        <v>A1+S1+M2+A2</v>
      </c>
      <c r="C80" s="71">
        <f>IFERROR('1. Mixture Model Inputs'!R80/'1. Mixture Model Inputs'!Z80,0)</f>
        <v>0.83787128712871284</v>
      </c>
      <c r="D80" s="71">
        <f>IFERROR('1. Mixture Model Inputs'!S80/'1. Mixture Model Inputs'!AA80,0)</f>
        <v>0.70274702747027462</v>
      </c>
      <c r="E80" s="71">
        <f>IFERROR('1. Mixture Model Inputs'!T80/'1. Mixture Model Inputs'!AB80,0)</f>
        <v>0.7767674471470789</v>
      </c>
      <c r="F80" s="71">
        <f>IFERROR('1. Mixture Model Inputs'!U80/'1. Mixture Model Inputs'!AC80,0)</f>
        <v>0.71214745175655614</v>
      </c>
      <c r="G80" s="71">
        <f>IFERROR('1. Mixture Model Inputs'!V80/'1. Mixture Model Inputs'!AD80,0)</f>
        <v>0.67027322404371581</v>
      </c>
      <c r="H80" s="24">
        <f>WhonSpComp!AR95</f>
        <v>0.85057471264367812</v>
      </c>
      <c r="I80" s="70">
        <f>IFERROR('1. Mixture Model Inputs'!W80/'1. Mixture Model Inputs'!AE80, 0)</f>
        <v>0.99511780938229666</v>
      </c>
      <c r="J80" s="71">
        <f>IFERROR('1. Mixture Model Inputs'!X80/'1. Mixture Model Inputs'!AF80, 0)</f>
        <v>0.79340166559897496</v>
      </c>
      <c r="K80" s="23">
        <f>IFERROR('1. Mixture Model Inputs'!Y80/'1. Mixture Model Inputs'!AG80, 0)</f>
        <v>0.35434264674030758</v>
      </c>
      <c r="L80" s="76">
        <f>C80*'2. Salmon Passage by Bin'!C80</f>
        <v>30795.959158415841</v>
      </c>
      <c r="M80" s="76">
        <f>D80*'2. Salmon Passage by Bin'!D80</f>
        <v>38165.488314883143</v>
      </c>
      <c r="N80" s="76">
        <f>F80*'2. Salmon Passage by Bin'!F80</f>
        <v>106656.67166749133</v>
      </c>
      <c r="O80" s="76">
        <f>G80*'2. Salmon Passage by Bin'!G80</f>
        <v>66241.065101639339</v>
      </c>
      <c r="P80" s="76">
        <f>$G80*'2. Salmon Passage by Bin'!H80</f>
        <v>21347.66596721311</v>
      </c>
      <c r="Q80" s="76">
        <f>$G80*'2. Salmon Passage by Bin'!I80</f>
        <v>8065.6390032786885</v>
      </c>
      <c r="R80" s="76">
        <f>$G80*'2. Salmon Passage by Bin'!J80</f>
        <v>0</v>
      </c>
      <c r="S80" s="56">
        <f>'2. Salmon Passage by Bin'!K80*H80</f>
        <v>99086.918620689685</v>
      </c>
      <c r="T80" s="25">
        <f>K80*'2. Salmon Passage by Bin'!L80</f>
        <v>-284.63636127355426</v>
      </c>
      <c r="U80" s="25">
        <f>K80*'2. Salmon Passage by Bin'!M80</f>
        <v>465.43615334632881</v>
      </c>
      <c r="V80" s="25">
        <f>J80*'2. Salmon Passage by Bin'!N80</f>
        <v>8027.7649967969246</v>
      </c>
      <c r="W80" s="25">
        <f>I80*'2. Salmon Passage by Bin'!O80</f>
        <v>29751.793436637658</v>
      </c>
      <c r="X80" s="76">
        <f>E80*'2. Salmon Passage by Bin'!E80</f>
        <v>70734.929393043887</v>
      </c>
      <c r="Y80" s="41">
        <f t="shared" si="1"/>
        <v>408319.7660591185</v>
      </c>
      <c r="Z80" s="42">
        <f>Y80/'[1]Passage Estimates'!$D80</f>
        <v>0.7553634797737373</v>
      </c>
      <c r="AA80" s="43">
        <f>IFERROR(SUMIF(L80:O80, "&lt;&gt;#N/A")/SUMIF('2. Salmon Passage by Bin'!E80:J80, "&lt;&gt;#N/A"), NA())</f>
        <v>0.63059637066246388</v>
      </c>
      <c r="AB80" s="42">
        <f>IFERROR(IF(ISNA(S80), NA(), S80/'2. Salmon Passage by Bin'!K80), NA())</f>
        <v>0.85057471264367812</v>
      </c>
      <c r="AC80" s="44">
        <f>IFERROR(SUMIF(T80:W80, "&lt;&gt;#N/A")/SUMIF('2. Salmon Passage by Bin'!L80:N80, "&lt;&gt;#N/A"), NA())</f>
        <v>3.5715966867550484</v>
      </c>
    </row>
    <row r="81" spans="1:29" x14ac:dyDescent="0.3">
      <c r="A81" s="5">
        <f>'1. Mixture Model Inputs'!A81</f>
        <v>45183</v>
      </c>
      <c r="B81" s="13" t="str">
        <f>IF(ISBLANK('[1]Passage Estimates'!$C81), "", '[1]Passage Estimates'!$C81)</f>
        <v>A1+S1+M2+A2</v>
      </c>
      <c r="C81" s="71">
        <f>IFERROR('1. Mixture Model Inputs'!R81/'1. Mixture Model Inputs'!Z81,0)</f>
        <v>0.98566207478211976</v>
      </c>
      <c r="D81" s="71">
        <f>IFERROR('1. Mixture Model Inputs'!S81/'1. Mixture Model Inputs'!AA81,0)</f>
        <v>0.99508297480024599</v>
      </c>
      <c r="E81" s="71">
        <f>IFERROR('1. Mixture Model Inputs'!T81/'1. Mixture Model Inputs'!AB81,0)</f>
        <v>0.97576932396413862</v>
      </c>
      <c r="F81" s="71">
        <f>IFERROR('1. Mixture Model Inputs'!U81/'1. Mixture Model Inputs'!AC81,0)</f>
        <v>0.70629629629629631</v>
      </c>
      <c r="G81" s="71">
        <f>IFERROR('1. Mixture Model Inputs'!V81/'1. Mixture Model Inputs'!AD81,0)</f>
        <v>0.65525434712171948</v>
      </c>
      <c r="H81" s="24">
        <f>WhonSpComp!AR96</f>
        <v>0.57377049180327866</v>
      </c>
      <c r="I81" s="70">
        <f>IFERROR('1. Mixture Model Inputs'!W81/'1. Mixture Model Inputs'!AE81, 0)</f>
        <v>0.99511780938229666</v>
      </c>
      <c r="J81" s="71">
        <f>IFERROR('1. Mixture Model Inputs'!X81/'1. Mixture Model Inputs'!AF81, 0)</f>
        <v>0.79340166559897496</v>
      </c>
      <c r="K81" s="23">
        <f>IFERROR('1. Mixture Model Inputs'!Y81/'1. Mixture Model Inputs'!AG81, 0)</f>
        <v>0.35434264674030758</v>
      </c>
      <c r="L81" s="76">
        <f>C81*'2. Salmon Passage by Bin'!C81</f>
        <v>9095.6896260894009</v>
      </c>
      <c r="M81" s="76">
        <f>D81*'2. Salmon Passage by Bin'!D81</f>
        <v>34690.582667486175</v>
      </c>
      <c r="N81" s="76">
        <f>F81*'2. Salmon Passage by Bin'!F81</f>
        <v>35473.759733333332</v>
      </c>
      <c r="O81" s="76">
        <f>G81*'2. Salmon Passage by Bin'!G81</f>
        <v>27768.054200237613</v>
      </c>
      <c r="P81" s="76">
        <f>$G81*'2. Salmon Passage by Bin'!H81</f>
        <v>11177.643175288909</v>
      </c>
      <c r="Q81" s="76">
        <f>$G81*'2. Salmon Passage by Bin'!I81</f>
        <v>6912.4091586564427</v>
      </c>
      <c r="R81" s="76">
        <f>$G81*'2. Salmon Passage by Bin'!J81</f>
        <v>0</v>
      </c>
      <c r="S81" s="56">
        <f>'2. Salmon Passage by Bin'!K81*H81</f>
        <v>38539.33770491794</v>
      </c>
      <c r="T81" s="25">
        <f>K81*'2. Salmon Passage by Bin'!L81</f>
        <v>80.705081221572456</v>
      </c>
      <c r="U81" s="25">
        <f>K81*'2. Salmon Passage by Bin'!M81</f>
        <v>641.38853801169591</v>
      </c>
      <c r="V81" s="25">
        <f>J81*'2. Salmon Passage by Bin'!N81</f>
        <v>4536.2898910954509</v>
      </c>
      <c r="W81" s="25">
        <f>I81*'2. Salmon Passage by Bin'!O81</f>
        <v>24610.059520271705</v>
      </c>
      <c r="X81" s="76">
        <f>E81*'2. Salmon Passage by Bin'!E81</f>
        <v>43020.888878119695</v>
      </c>
      <c r="Y81" s="41">
        <f t="shared" si="1"/>
        <v>193525.91929661023</v>
      </c>
      <c r="Z81" s="42">
        <f>Y81/'[1]Passage Estimates'!$D81</f>
        <v>0.73318003132290233</v>
      </c>
      <c r="AA81" s="43">
        <f>IFERROR(SUMIF(L81:O81, "&lt;&gt;#N/A")/SUMIF('2. Salmon Passage by Bin'!E81:J81, "&lt;&gt;#N/A"), NA())</f>
        <v>0.65142088267097265</v>
      </c>
      <c r="AB81" s="42">
        <f>IFERROR(IF(ISNA(S81), NA(), S81/'2. Salmon Passage by Bin'!K81), NA())</f>
        <v>0.57377049180327866</v>
      </c>
      <c r="AC81" s="44">
        <f>IFERROR(SUMIF(T81:W81, "&lt;&gt;#N/A")/SUMIF('2. Salmon Passage by Bin'!L81:N81, "&lt;&gt;#N/A"), NA())</f>
        <v>3.8513290202647492</v>
      </c>
    </row>
    <row r="82" spans="1:29" x14ac:dyDescent="0.3">
      <c r="A82" s="5">
        <f>'1. Mixture Model Inputs'!A82</f>
        <v>45184</v>
      </c>
      <c r="B82" s="13" t="str">
        <f>IF(ISBLANK('[1]Passage Estimates'!$C82), "", '[1]Passage Estimates'!$C82)</f>
        <v>A1+S1+M2+A2</v>
      </c>
      <c r="C82" s="71">
        <f>IFERROR('1. Mixture Model Inputs'!R82/'1. Mixture Model Inputs'!Z82,0)</f>
        <v>0.97868638538495001</v>
      </c>
      <c r="D82" s="71">
        <f>IFERROR('1. Mixture Model Inputs'!S82/'1. Mixture Model Inputs'!AA82,0)</f>
        <v>0.76462395543175488</v>
      </c>
      <c r="E82" s="71">
        <f>IFERROR('1. Mixture Model Inputs'!T82/'1. Mixture Model Inputs'!AB82,0)</f>
        <v>0.99684741488020179</v>
      </c>
      <c r="F82" s="71">
        <f>IFERROR('1. Mixture Model Inputs'!U82/'1. Mixture Model Inputs'!AC82,0)</f>
        <v>0.83085523968121799</v>
      </c>
      <c r="G82" s="71">
        <f>IFERROR('1. Mixture Model Inputs'!V82/'1. Mixture Model Inputs'!AD82,0)</f>
        <v>0.51866471185293783</v>
      </c>
      <c r="H82" s="24">
        <f>WhonSpComp!AR97</f>
        <v>0.9135802469135802</v>
      </c>
      <c r="I82" s="70">
        <f>IFERROR('1. Mixture Model Inputs'!W82/'1. Mixture Model Inputs'!AE82, 0)</f>
        <v>0.68275958578225582</v>
      </c>
      <c r="J82" s="71">
        <f>IFERROR('1. Mixture Model Inputs'!X82/'1. Mixture Model Inputs'!AF82, 0)</f>
        <v>0.59821311260018395</v>
      </c>
      <c r="K82" s="23">
        <f>IFERROR('1. Mixture Model Inputs'!Y82/'1. Mixture Model Inputs'!AG82, 0)</f>
        <v>0.44423812124522122</v>
      </c>
      <c r="L82" s="76">
        <f>C82*'2. Salmon Passage by Bin'!C82</f>
        <v>3665.1805132666377</v>
      </c>
      <c r="M82" s="76">
        <f>D82*'2. Salmon Passage by Bin'!D82</f>
        <v>16431.768802228413</v>
      </c>
      <c r="N82" s="76">
        <f>F82*'2. Salmon Passage by Bin'!F82</f>
        <v>30893.45773759962</v>
      </c>
      <c r="O82" s="76">
        <f>G82*'2. Salmon Passage by Bin'!G82</f>
        <v>19203.332743881805</v>
      </c>
      <c r="P82" s="76">
        <f>$G82*'2. Salmon Passage by Bin'!H82</f>
        <v>9842.9699424833652</v>
      </c>
      <c r="Q82" s="76">
        <f>$G82*'2. Salmon Passage by Bin'!I82</f>
        <v>5343.0349024472762</v>
      </c>
      <c r="R82" s="76">
        <f>$G82*'2. Salmon Passage by Bin'!J82</f>
        <v>0</v>
      </c>
      <c r="S82" s="56">
        <f>'2. Salmon Passage by Bin'!K82*H82</f>
        <v>60861.54666666664</v>
      </c>
      <c r="T82" s="25">
        <f>K82*'2. Salmon Passage by Bin'!L82</f>
        <v>213.76738394320046</v>
      </c>
      <c r="U82" s="25">
        <f>K82*'2. Salmon Passage by Bin'!M82</f>
        <v>1037.4914778809396</v>
      </c>
      <c r="V82" s="25">
        <f>J82*'2. Salmon Passage by Bin'!N82</f>
        <v>2400.5095782420181</v>
      </c>
      <c r="W82" s="25">
        <f>I82*'2. Salmon Passage by Bin'!O82</f>
        <v>4450.5000839630566</v>
      </c>
      <c r="X82" s="76">
        <f>E82*'2. Salmon Passage by Bin'!E82</f>
        <v>25155.962875157631</v>
      </c>
      <c r="Y82" s="41">
        <f t="shared" si="1"/>
        <v>154343.559832603</v>
      </c>
      <c r="Z82" s="42">
        <f>Y82/'[1]Passage Estimates'!$D82</f>
        <v>0.73958859156811319</v>
      </c>
      <c r="AA82" s="43">
        <f>IFERROR(SUMIF(L82:O82, "&lt;&gt;#N/A")/SUMIF('2. Salmon Passage by Bin'!E82:J82, "&lt;&gt;#N/A"), NA())</f>
        <v>0.54531336560273269</v>
      </c>
      <c r="AB82" s="42">
        <f>IFERROR(IF(ISNA(S82), NA(), S82/'2. Salmon Passage by Bin'!K82), NA())</f>
        <v>0.9135802469135802</v>
      </c>
      <c r="AC82" s="44">
        <f>IFERROR(SUMIF(T82:W82, "&lt;&gt;#N/A")/SUMIF('2. Salmon Passage by Bin'!L82:N82, "&lt;&gt;#N/A"), NA())</f>
        <v>1.1863737764778979</v>
      </c>
    </row>
    <row r="83" spans="1:29" x14ac:dyDescent="0.3">
      <c r="A83" s="5">
        <f>'1. Mixture Model Inputs'!A83</f>
        <v>45185</v>
      </c>
      <c r="B83" s="13" t="str">
        <f>IF(ISBLANK('[1]Passage Estimates'!$C83), "", '[1]Passage Estimates'!$C83)</f>
        <v>A1+S1+M2+A2</v>
      </c>
      <c r="C83" s="71">
        <f>IFERROR('1. Mixture Model Inputs'!R83/'1. Mixture Model Inputs'!Z83,0)</f>
        <v>0.98750000000000004</v>
      </c>
      <c r="D83" s="71">
        <f>IFERROR('1. Mixture Model Inputs'!S83/'1. Mixture Model Inputs'!AA83,0)</f>
        <v>0.77601303196904914</v>
      </c>
      <c r="E83" s="71">
        <f>IFERROR('1. Mixture Model Inputs'!T83/'1. Mixture Model Inputs'!AB83,0)</f>
        <v>0.99571275455519836</v>
      </c>
      <c r="F83" s="71">
        <f>IFERROR('1. Mixture Model Inputs'!U83/'1. Mixture Model Inputs'!AC83,0)</f>
        <v>0.82596175996314214</v>
      </c>
      <c r="G83" s="71">
        <f>IFERROR('1. Mixture Model Inputs'!V83/'1. Mixture Model Inputs'!AD83,0)</f>
        <v>0.78053787723260115</v>
      </c>
      <c r="H83" s="24">
        <f>WhonSpComp!AR98</f>
        <v>0.81538461538461537</v>
      </c>
      <c r="I83" s="70">
        <f>IFERROR('1. Mixture Model Inputs'!W83/'1. Mixture Model Inputs'!AE83, 0)</f>
        <v>0.68275958578225582</v>
      </c>
      <c r="J83" s="71">
        <f>IFERROR('1. Mixture Model Inputs'!X83/'1. Mixture Model Inputs'!AF83, 0)</f>
        <v>0.59821311260018395</v>
      </c>
      <c r="K83" s="23">
        <f>IFERROR('1. Mixture Model Inputs'!Y83/'1. Mixture Model Inputs'!AG83, 0)</f>
        <v>0.44423812124522122</v>
      </c>
      <c r="L83" s="76">
        <f>C83*'2. Salmon Passage by Bin'!C83</f>
        <v>5708.7375000000002</v>
      </c>
      <c r="M83" s="76">
        <f>D83*'2. Salmon Passage by Bin'!D83</f>
        <v>10568.521482386481</v>
      </c>
      <c r="N83" s="76">
        <f>F83*'2. Salmon Passage by Bin'!F83</f>
        <v>42626.564892881819</v>
      </c>
      <c r="O83" s="76">
        <f>G83*'2. Salmon Passage by Bin'!G83</f>
        <v>33049.909455963869</v>
      </c>
      <c r="P83" s="76">
        <f>$G83*'2. Salmon Passage by Bin'!H83</f>
        <v>18843.24588790803</v>
      </c>
      <c r="Q83" s="76">
        <f>$G83*'2. Salmon Passage by Bin'!I83</f>
        <v>8541.2698829809069</v>
      </c>
      <c r="R83" s="76">
        <f>$G83*'2. Salmon Passage by Bin'!J83</f>
        <v>0</v>
      </c>
      <c r="S83" s="56">
        <f>'2. Salmon Passage by Bin'!K83*H83</f>
        <v>44001.611076923029</v>
      </c>
      <c r="T83" s="25">
        <f>K83*'2. Salmon Passage by Bin'!L83</f>
        <v>229.44010486073185</v>
      </c>
      <c r="U83" s="25">
        <f>K83*'2. Salmon Passage by Bin'!M83</f>
        <v>912.32294483888586</v>
      </c>
      <c r="V83" s="25">
        <f>J83*'2. Salmon Passage by Bin'!N83</f>
        <v>2858.9322506897911</v>
      </c>
      <c r="W83" s="25">
        <f>I83*'2. Salmon Passage by Bin'!O83</f>
        <v>3390.3109991603696</v>
      </c>
      <c r="X83" s="76">
        <f>E83*'2. Salmon Passage by Bin'!E83</f>
        <v>19317.464694533763</v>
      </c>
      <c r="Y83" s="41">
        <f t="shared" si="1"/>
        <v>170730.8664785939</v>
      </c>
      <c r="Z83" s="42">
        <f>Y83/'[1]Passage Estimates'!$D83</f>
        <v>0.79515183153929725</v>
      </c>
      <c r="AA83" s="43">
        <f>IFERROR(SUMIF(L83:O83, "&lt;&gt;#N/A")/SUMIF('2. Salmon Passage by Bin'!E83:J83, "&lt;&gt;#N/A"), NA())</f>
        <v>0.61948537798480907</v>
      </c>
      <c r="AB83" s="42">
        <f>IFERROR(IF(ISNA(S83), NA(), S83/'2. Salmon Passage by Bin'!K83), NA())</f>
        <v>0.81538461538461537</v>
      </c>
      <c r="AC83" s="44">
        <f>IFERROR(SUMIF(T83:W83, "&lt;&gt;#N/A")/SUMIF('2. Salmon Passage by Bin'!L83:N83, "&lt;&gt;#N/A"), NA())</f>
        <v>1.0056776037312198</v>
      </c>
    </row>
    <row r="84" spans="1:29" x14ac:dyDescent="0.3">
      <c r="A84" s="5">
        <f>'1. Mixture Model Inputs'!A84</f>
        <v>45186</v>
      </c>
      <c r="B84" s="13" t="str">
        <f>IF(ISBLANK('[1]Passage Estimates'!$C84), "", '[1]Passage Estimates'!$C84)</f>
        <v>A1+S1+M2+A2</v>
      </c>
      <c r="C84" s="71">
        <f>IFERROR('1. Mixture Model Inputs'!R84/'1. Mixture Model Inputs'!Z84,0)</f>
        <v>0.80323325635103937</v>
      </c>
      <c r="D84" s="71">
        <f>IFERROR('1. Mixture Model Inputs'!S84/'1. Mixture Model Inputs'!AA84,0)</f>
        <v>0.72523034204215575</v>
      </c>
      <c r="E84" s="71">
        <f>IFERROR('1. Mixture Model Inputs'!T84/'1. Mixture Model Inputs'!AB84,0)</f>
        <v>0.76765981256119731</v>
      </c>
      <c r="F84" s="71">
        <f>IFERROR('1. Mixture Model Inputs'!U84/'1. Mixture Model Inputs'!AC84,0)</f>
        <v>0.71253100271642844</v>
      </c>
      <c r="G84" s="71">
        <f>IFERROR('1. Mixture Model Inputs'!V84/'1. Mixture Model Inputs'!AD84,0)</f>
        <v>0.3169309462915601</v>
      </c>
      <c r="H84" s="24">
        <f>WhonSpComp!AR99</f>
        <v>0.78723404255319152</v>
      </c>
      <c r="I84" s="70">
        <f>IFERROR('1. Mixture Model Inputs'!W84/'1. Mixture Model Inputs'!AE84, 0)</f>
        <v>0.91943828529194382</v>
      </c>
      <c r="J84" s="71">
        <f>IFERROR('1. Mixture Model Inputs'!X84/'1. Mixture Model Inputs'!AF84, 0)</f>
        <v>0.48834694858241223</v>
      </c>
      <c r="K84" s="23">
        <f>IFERROR('1. Mixture Model Inputs'!Y84/'1. Mixture Model Inputs'!AG84, 0)</f>
        <v>0.4704861111111111</v>
      </c>
      <c r="L84" s="76">
        <f>C84*'2. Salmon Passage by Bin'!C84</f>
        <v>18845.458660508084</v>
      </c>
      <c r="M84" s="76">
        <f>D84*'2. Salmon Passage by Bin'!D84</f>
        <v>15951.441373217216</v>
      </c>
      <c r="N84" s="76">
        <f>F84*'2. Salmon Passage by Bin'!F84</f>
        <v>51068.807039092942</v>
      </c>
      <c r="O84" s="76">
        <f>G84*'2. Salmon Passage by Bin'!G84</f>
        <v>13820.952896163682</v>
      </c>
      <c r="P84" s="76">
        <f>$G84*'2. Salmon Passage by Bin'!H84</f>
        <v>6615.616572890026</v>
      </c>
      <c r="Q84" s="76">
        <f>$G84*'2. Salmon Passage by Bin'!I84</f>
        <v>2405.2016286445014</v>
      </c>
      <c r="R84" s="76">
        <f>$G84*'2. Salmon Passage by Bin'!J84</f>
        <v>0</v>
      </c>
      <c r="S84" s="56">
        <f>'2. Salmon Passage by Bin'!K84*H84</f>
        <v>39162.878297872296</v>
      </c>
      <c r="T84" s="25">
        <f>K84*'2. Salmon Passage by Bin'!L84</f>
        <v>271.11291666666665</v>
      </c>
      <c r="U84" s="25">
        <f>K84*'2. Salmon Passage by Bin'!M84</f>
        <v>1203.0141666666666</v>
      </c>
      <c r="V84" s="25">
        <f>J84*'2. Salmon Passage by Bin'!N84</f>
        <v>2299.0592984142236</v>
      </c>
      <c r="W84" s="25">
        <f>I84*'2. Salmon Passage by Bin'!O84</f>
        <v>5859.7640798226166</v>
      </c>
      <c r="X84" s="76">
        <f>E84*'2. Salmon Passage by Bin'!E84</f>
        <v>34895.112916491809</v>
      </c>
      <c r="Y84" s="41">
        <f t="shared" si="1"/>
        <v>157503.3069299589</v>
      </c>
      <c r="Z84" s="42">
        <f>Y84/'[1]Passage Estimates'!$D84</f>
        <v>0.62214355963383072</v>
      </c>
      <c r="AA84" s="43">
        <f>IFERROR(SUMIF(L84:O84, "&lt;&gt;#N/A")/SUMIF('2. Salmon Passage by Bin'!E84:J84, "&lt;&gt;#N/A"), NA())</f>
        <v>0.52688331270434352</v>
      </c>
      <c r="AB84" s="42">
        <f>IFERROR(IF(ISNA(S84), NA(), S84/'2. Salmon Passage by Bin'!K84), NA())</f>
        <v>0.78723404255319152</v>
      </c>
      <c r="AC84" s="44">
        <f>IFERROR(SUMIF(T84:W84, "&lt;&gt;#N/A")/SUMIF('2. Salmon Passage by Bin'!L84:N84, "&lt;&gt;#N/A"), NA())</f>
        <v>1.2285296926900224</v>
      </c>
    </row>
    <row r="85" spans="1:29" x14ac:dyDescent="0.3">
      <c r="A85" s="5">
        <f>'1. Mixture Model Inputs'!A85</f>
        <v>45187</v>
      </c>
      <c r="B85" s="13" t="str">
        <f>IF(ISBLANK('[1]Passage Estimates'!$C85), "", '[1]Passage Estimates'!$C85)</f>
        <v>A1+S1+M2+A2</v>
      </c>
      <c r="C85" s="71">
        <f>IFERROR('1. Mixture Model Inputs'!R85/'1. Mixture Model Inputs'!Z85,0)</f>
        <v>0.79865341455594741</v>
      </c>
      <c r="D85" s="71">
        <f>IFERROR('1. Mixture Model Inputs'!S85/'1. Mixture Model Inputs'!AA85,0)</f>
        <v>0.70818223028105176</v>
      </c>
      <c r="E85" s="71">
        <f>IFERROR('1. Mixture Model Inputs'!T85/'1. Mixture Model Inputs'!AB85,0)</f>
        <v>0.73758389261744961</v>
      </c>
      <c r="F85" s="71">
        <f>IFERROR('1. Mixture Model Inputs'!U85/'1. Mixture Model Inputs'!AC85,0)</f>
        <v>0.53343465045592708</v>
      </c>
      <c r="G85" s="71">
        <f>IFERROR('1. Mixture Model Inputs'!V85/'1. Mixture Model Inputs'!AD85,0)</f>
        <v>0.27719991678801748</v>
      </c>
      <c r="H85" s="24">
        <f>WhonSpComp!AR100</f>
        <v>0.81415929203539827</v>
      </c>
      <c r="I85" s="70">
        <f>IFERROR('1. Mixture Model Inputs'!W85/'1. Mixture Model Inputs'!AE85, 0)</f>
        <v>0.91943828529194382</v>
      </c>
      <c r="J85" s="71">
        <f>IFERROR('1. Mixture Model Inputs'!X85/'1. Mixture Model Inputs'!AF85, 0)</f>
        <v>0.48834694858241223</v>
      </c>
      <c r="K85" s="23">
        <f>IFERROR('1. Mixture Model Inputs'!Y85/'1. Mixture Model Inputs'!AG85, 0)</f>
        <v>0.4704861111111111</v>
      </c>
      <c r="L85" s="76">
        <f>C85*'2. Salmon Passage by Bin'!C85</f>
        <v>24352.539916639947</v>
      </c>
      <c r="M85" s="76">
        <f>D85*'2. Salmon Passage by Bin'!D85</f>
        <v>42302.557343608343</v>
      </c>
      <c r="N85" s="76">
        <f>F85*'2. Salmon Passage by Bin'!F85</f>
        <v>40113.090820668695</v>
      </c>
      <c r="O85" s="76">
        <f>G85*'2. Salmon Passage by Bin'!G85</f>
        <v>14462.31799459122</v>
      </c>
      <c r="P85" s="76">
        <f>$G85*'2. Salmon Passage by Bin'!H85</f>
        <v>6470.7774495527356</v>
      </c>
      <c r="Q85" s="76">
        <f>$G85*'2. Salmon Passage by Bin'!I85</f>
        <v>1300.8215935094652</v>
      </c>
      <c r="R85" s="76">
        <f>$G85*'2. Salmon Passage by Bin'!J85</f>
        <v>0</v>
      </c>
      <c r="S85" s="56">
        <f>'2. Salmon Passage by Bin'!K85*H85</f>
        <v>38939.154690265372</v>
      </c>
      <c r="T85" s="25">
        <f>K85*'2. Salmon Passage by Bin'!L85</f>
        <v>84.6875</v>
      </c>
      <c r="U85" s="25">
        <f>K85*'2. Salmon Passage by Bin'!M85</f>
        <v>739.83</v>
      </c>
      <c r="V85" s="25">
        <f>J85*'2. Salmon Passage by Bin'!N85</f>
        <v>1666.9820759250356</v>
      </c>
      <c r="W85" s="25">
        <f>I85*'2. Salmon Passage by Bin'!O85</f>
        <v>6102.0544567627485</v>
      </c>
      <c r="X85" s="76">
        <f>E85*'2. Salmon Passage by Bin'!E85</f>
        <v>66549.303302013417</v>
      </c>
      <c r="Y85" s="41">
        <f t="shared" si="1"/>
        <v>176534.81384152357</v>
      </c>
      <c r="Z85" s="42">
        <f>Y85/'[1]Passage Estimates'!$D85</f>
        <v>0.57830407541590911</v>
      </c>
      <c r="AA85" s="43">
        <f>IFERROR(SUMIF(L85:O85, "&lt;&gt;#N/A")/SUMIF('2. Salmon Passage by Bin'!E85:J85, "&lt;&gt;#N/A"), NA())</f>
        <v>0.49354363943051666</v>
      </c>
      <c r="AB85" s="42">
        <f>IFERROR(IF(ISNA(S85), NA(), S85/'2. Salmon Passage by Bin'!K85), NA())</f>
        <v>0.81415929203539827</v>
      </c>
      <c r="AC85" s="44">
        <f>IFERROR(SUMIF(T85:W85, "&lt;&gt;#N/A")/SUMIF('2. Salmon Passage by Bin'!L85:N85, "&lt;&gt;#N/A"), NA())</f>
        <v>1.6634831654447897</v>
      </c>
    </row>
    <row r="86" spans="1:29" x14ac:dyDescent="0.3">
      <c r="A86" s="5">
        <f>'1. Mixture Model Inputs'!A86</f>
        <v>45188</v>
      </c>
      <c r="B86" s="13" t="str">
        <f>IF(ISBLANK('[1]Passage Estimates'!$C86), "", '[1]Passage Estimates'!$C86)</f>
        <v>A1+S1+M2+A2</v>
      </c>
      <c r="C86" s="71">
        <f>IFERROR('1. Mixture Model Inputs'!R86/'1. Mixture Model Inputs'!Z86,0)</f>
        <v>0.74021543985637339</v>
      </c>
      <c r="D86" s="71">
        <f>IFERROR('1. Mixture Model Inputs'!S86/'1. Mixture Model Inputs'!AA86,0)</f>
        <v>0.87164024810475538</v>
      </c>
      <c r="E86" s="71">
        <f>IFERROR('1. Mixture Model Inputs'!T86/'1. Mixture Model Inputs'!AB86,0)</f>
        <v>0.90202571094663042</v>
      </c>
      <c r="F86" s="71">
        <f>IFERROR('1. Mixture Model Inputs'!U86/'1. Mixture Model Inputs'!AC86,0)</f>
        <v>0.93616742969260958</v>
      </c>
      <c r="G86" s="71">
        <f>IFERROR('1. Mixture Model Inputs'!V86/'1. Mixture Model Inputs'!AD86,0)</f>
        <v>0.63928086129403161</v>
      </c>
      <c r="H86" s="24">
        <f>WhonSpComp!AR101</f>
        <v>0.83333333333333337</v>
      </c>
      <c r="I86" s="70">
        <f>IFERROR('1. Mixture Model Inputs'!W86/'1. Mixture Model Inputs'!AE86, 0)</f>
        <v>0.81107068607068611</v>
      </c>
      <c r="J86" s="71">
        <f>IFERROR('1. Mixture Model Inputs'!X86/'1. Mixture Model Inputs'!AF86, 0)</f>
        <v>0.64205787781350487</v>
      </c>
      <c r="K86" s="23">
        <f>IFERROR('1. Mixture Model Inputs'!Y86/'1. Mixture Model Inputs'!AG86, 0)</f>
        <v>0.46602816901408456</v>
      </c>
      <c r="L86" s="76">
        <f>C86*'2. Salmon Passage by Bin'!C86</f>
        <v>44666.080071813281</v>
      </c>
      <c r="M86" s="76">
        <f>D86*'2. Salmon Passage by Bin'!D86</f>
        <v>36790.191592005518</v>
      </c>
      <c r="N86" s="76">
        <f>F86*'2. Salmon Passage by Bin'!F86</f>
        <v>54857.239471550041</v>
      </c>
      <c r="O86" s="76">
        <f>G86*'2. Salmon Passage by Bin'!G86</f>
        <v>26069.157529005959</v>
      </c>
      <c r="P86" s="76">
        <f>$G86*'2. Salmon Passage by Bin'!H86</f>
        <v>11130.237792411415</v>
      </c>
      <c r="Q86" s="76">
        <f>$G86*'2. Salmon Passage by Bin'!I86</f>
        <v>4830.6619002822208</v>
      </c>
      <c r="R86" s="76">
        <f>$G86*'2. Salmon Passage by Bin'!J86</f>
        <v>0</v>
      </c>
      <c r="S86" s="56">
        <f>'2. Salmon Passage by Bin'!K86*H86</f>
        <v>59365.59999999994</v>
      </c>
      <c r="T86" s="25">
        <f>K86*'2. Salmon Passage by Bin'!L86</f>
        <v>148.42065126760565</v>
      </c>
      <c r="U86" s="25">
        <f>K86*'2. Salmon Passage by Bin'!M86</f>
        <v>896.00439887323944</v>
      </c>
      <c r="V86" s="25">
        <f>J86*'2. Salmon Passage by Bin'!N86</f>
        <v>2540.8541633440514</v>
      </c>
      <c r="W86" s="25">
        <f>I86*'2. Salmon Passage by Bin'!O86</f>
        <v>4851.2408731808728</v>
      </c>
      <c r="X86" s="76">
        <f>E86*'2. Salmon Passage by Bin'!E86</f>
        <v>92502.808819633821</v>
      </c>
      <c r="Y86" s="41">
        <f t="shared" si="1"/>
        <v>246145.68844373417</v>
      </c>
      <c r="Z86" s="42">
        <f>Y86/'[1]Passage Estimates'!$D86</f>
        <v>0.79321980776170298</v>
      </c>
      <c r="AA86" s="43">
        <f>IFERROR(SUMIF(L86:O86, "&lt;&gt;#N/A")/SUMIF('2. Salmon Passage by Bin'!E86:J86, "&lt;&gt;#N/A"), NA())</f>
        <v>0.71567760687994197</v>
      </c>
      <c r="AB86" s="42">
        <f>IFERROR(IF(ISNA(S86), NA(), S86/'2. Salmon Passage by Bin'!K86), NA())</f>
        <v>0.83333333333333337</v>
      </c>
      <c r="AC86" s="44">
        <f>IFERROR(SUMIF(T86:W86, "&lt;&gt;#N/A")/SUMIF('2. Salmon Passage by Bin'!L86:N86, "&lt;&gt;#N/A"), NA())</f>
        <v>1.3610627261305626</v>
      </c>
    </row>
    <row r="87" spans="1:29" x14ac:dyDescent="0.3">
      <c r="A87" s="5">
        <f>'1. Mixture Model Inputs'!A87</f>
        <v>45189</v>
      </c>
      <c r="B87" s="13" t="str">
        <f>IF(ISBLANK('[1]Passage Estimates'!$C87), "", '[1]Passage Estimates'!$C87)</f>
        <v>A1+S1+M2+A2</v>
      </c>
      <c r="C87" s="71">
        <f>IFERROR('1. Mixture Model Inputs'!R87/'1. Mixture Model Inputs'!Z87,0)</f>
        <v>0.97477324263038545</v>
      </c>
      <c r="D87" s="71">
        <f>IFERROR('1. Mixture Model Inputs'!S87/'1. Mixture Model Inputs'!AA87,0)</f>
        <v>0.94427660288687476</v>
      </c>
      <c r="E87" s="71">
        <f>IFERROR('1. Mixture Model Inputs'!T87/'1. Mixture Model Inputs'!AB87,0)</f>
        <v>0.95944671486953803</v>
      </c>
      <c r="F87" s="71">
        <f>IFERROR('1. Mixture Model Inputs'!U87/'1. Mixture Model Inputs'!AC87,0)</f>
        <v>0.75213131441659231</v>
      </c>
      <c r="G87" s="71">
        <f>IFERROR('1. Mixture Model Inputs'!V87/'1. Mixture Model Inputs'!AD87,0)</f>
        <v>0.56075655114116651</v>
      </c>
      <c r="H87" s="24">
        <f>WhonSpComp!AR102</f>
        <v>0.67213114754098358</v>
      </c>
      <c r="I87" s="70">
        <f>IFERROR('1. Mixture Model Inputs'!W87/'1. Mixture Model Inputs'!AE87, 0)</f>
        <v>0.81107068607068611</v>
      </c>
      <c r="J87" s="71">
        <f>IFERROR('1. Mixture Model Inputs'!X87/'1. Mixture Model Inputs'!AF87, 0)</f>
        <v>0.64205787781350487</v>
      </c>
      <c r="K87" s="23">
        <f>IFERROR('1. Mixture Model Inputs'!Y87/'1. Mixture Model Inputs'!AG87, 0)</f>
        <v>0.46602816901408456</v>
      </c>
      <c r="L87" s="76">
        <f>C87*'2. Salmon Passage by Bin'!C87</f>
        <v>11737.24461451247</v>
      </c>
      <c r="M87" s="76">
        <f>D87*'2. Salmon Passage by Bin'!D87</f>
        <v>2626.9775092312857</v>
      </c>
      <c r="N87" s="76">
        <f>F87*'2. Salmon Passage by Bin'!F87</f>
        <v>26567.323822369253</v>
      </c>
      <c r="O87" s="76">
        <f>G87*'2. Salmon Passage by Bin'!G87</f>
        <v>17966.236153846152</v>
      </c>
      <c r="P87" s="76">
        <f>$G87*'2. Salmon Passage by Bin'!H87</f>
        <v>8726.4037278106516</v>
      </c>
      <c r="Q87" s="76">
        <f>$G87*'2. Salmon Passage by Bin'!I87</f>
        <v>5797.5049704142011</v>
      </c>
      <c r="R87" s="76">
        <f>$G87*'2. Salmon Passage by Bin'!J87</f>
        <v>0</v>
      </c>
      <c r="S87" s="56">
        <f>'2. Salmon Passage by Bin'!K87*H87</f>
        <v>30772.422295081986</v>
      </c>
      <c r="T87" s="25">
        <f>K87*'2. Salmon Passage by Bin'!L87</f>
        <v>694.45653633802829</v>
      </c>
      <c r="U87" s="25">
        <f>K87*'2. Salmon Passage by Bin'!M87</f>
        <v>689.19973859154936</v>
      </c>
      <c r="V87" s="25">
        <f>J87*'2. Salmon Passage by Bin'!N87</f>
        <v>2275.6585774919618</v>
      </c>
      <c r="W87" s="25">
        <f>I87*'2. Salmon Passage by Bin'!O87</f>
        <v>4425.1367775467779</v>
      </c>
      <c r="X87" s="76">
        <f>E87*'2. Salmon Passage by Bin'!E87</f>
        <v>14221.302986482242</v>
      </c>
      <c r="Y87" s="41">
        <f t="shared" si="1"/>
        <v>112278.56472323432</v>
      </c>
      <c r="Z87" s="42">
        <f>Y87/'[1]Passage Estimates'!$D87</f>
        <v>0.67703925239652707</v>
      </c>
      <c r="AA87" s="43">
        <f>IFERROR(SUMIF(L87:O87, "&lt;&gt;#N/A")/SUMIF('2. Salmon Passage by Bin'!E87:J87, "&lt;&gt;#N/A"), NA())</f>
        <v>0.54492116294403192</v>
      </c>
      <c r="AB87" s="42">
        <f>IFERROR(IF(ISNA(S87), NA(), S87/'2. Salmon Passage by Bin'!K87), NA())</f>
        <v>0.67213114754098358</v>
      </c>
      <c r="AC87" s="44">
        <f>IFERROR(SUMIF(T87:W87, "&lt;&gt;#N/A")/SUMIF('2. Salmon Passage by Bin'!L87:N87, "&lt;&gt;#N/A"), NA())</f>
        <v>1.2412106240048633</v>
      </c>
    </row>
    <row r="88" spans="1:29" x14ac:dyDescent="0.3">
      <c r="A88" s="5">
        <f>'1. Mixture Model Inputs'!A88</f>
        <v>45190</v>
      </c>
      <c r="B88" s="13" t="str">
        <f>IF(ISBLANK('[1]Passage Estimates'!$C88), "", '[1]Passage Estimates'!$C88)</f>
        <v>A1+S1+M2+A2</v>
      </c>
      <c r="C88" s="71">
        <f>IFERROR('1. Mixture Model Inputs'!R88/'1. Mixture Model Inputs'!Z88,0)</f>
        <v>0.99556999409332547</v>
      </c>
      <c r="D88" s="71">
        <f>IFERROR('1. Mixture Model Inputs'!S88/'1. Mixture Model Inputs'!AA88,0)</f>
        <v>0.98557362033432572</v>
      </c>
      <c r="E88" s="71">
        <f>IFERROR('1. Mixture Model Inputs'!T88/'1. Mixture Model Inputs'!AB88,0)</f>
        <v>0.99247311827956985</v>
      </c>
      <c r="F88" s="71">
        <f>IFERROR('1. Mixture Model Inputs'!U88/'1. Mixture Model Inputs'!AC88,0)</f>
        <v>0.67324899722307929</v>
      </c>
      <c r="G88" s="71">
        <f>IFERROR('1. Mixture Model Inputs'!V88/'1. Mixture Model Inputs'!AD88,0)</f>
        <v>0.62681762681762676</v>
      </c>
      <c r="H88" s="24">
        <f>WhonSpComp!AR103</f>
        <v>0.88888888888888884</v>
      </c>
      <c r="I88" s="70">
        <f>IFERROR('1. Mixture Model Inputs'!W88/'1. Mixture Model Inputs'!AE88, 0)</f>
        <v>0.94681003584229384</v>
      </c>
      <c r="J88" s="71">
        <f>IFERROR('1. Mixture Model Inputs'!X88/'1. Mixture Model Inputs'!AF88, 0)</f>
        <v>0.55678501945525283</v>
      </c>
      <c r="K88" s="23">
        <f>IFERROR('1. Mixture Model Inputs'!Y88/'1. Mixture Model Inputs'!AG88, 0)</f>
        <v>0.58099618577518519</v>
      </c>
      <c r="L88" s="76">
        <f>C88*'2. Salmon Passage by Bin'!C88</f>
        <v>14748.373892498523</v>
      </c>
      <c r="M88" s="76">
        <f>D88*'2. Salmon Passage by Bin'!D88</f>
        <v>6502.8147469658807</v>
      </c>
      <c r="N88" s="76">
        <f>F88*'2. Salmon Passage by Bin'!F88</f>
        <v>10033.456735575441</v>
      </c>
      <c r="O88" s="76">
        <f>G88*'2. Salmon Passage by Bin'!G88</f>
        <v>11791.342177822176</v>
      </c>
      <c r="P88" s="76">
        <f>$G88*'2. Salmon Passage by Bin'!H88</f>
        <v>5930.7979487179482</v>
      </c>
      <c r="Q88" s="76">
        <f>$G88*'2. Salmon Passage by Bin'!I88</f>
        <v>4294.8039427239428</v>
      </c>
      <c r="R88" s="76">
        <f>$G88*'2. Salmon Passage by Bin'!J88</f>
        <v>0</v>
      </c>
      <c r="S88" s="56">
        <f>'2. Salmon Passage by Bin'!K88*H88</f>
        <v>40061.226666666626</v>
      </c>
      <c r="T88" s="25">
        <f>K88*'2. Salmon Passage by Bin'!L88</f>
        <v>26.911743325106578</v>
      </c>
      <c r="U88" s="25">
        <f>K88*'2. Salmon Passage by Bin'!M88</f>
        <v>1474.9866367511784</v>
      </c>
      <c r="V88" s="25">
        <f>J88*'2. Salmon Passage by Bin'!N88</f>
        <v>1746.5232490272369</v>
      </c>
      <c r="W88" s="25">
        <f>I88*'2. Salmon Passage by Bin'!O88</f>
        <v>5452.9441032258055</v>
      </c>
      <c r="X88" s="76">
        <f>E88*'2. Salmon Passage by Bin'!E88</f>
        <v>21251.151999999998</v>
      </c>
      <c r="Y88" s="41">
        <f t="shared" si="1"/>
        <v>102064.18184329986</v>
      </c>
      <c r="Z88" s="42">
        <f>Y88/'[1]Passage Estimates'!$D88</f>
        <v>0.79743672680324496</v>
      </c>
      <c r="AA88" s="43">
        <f>IFERROR(SUMIF(L88:O88, "&lt;&gt;#N/A")/SUMIF('2. Salmon Passage by Bin'!E88:J88, "&lt;&gt;#N/A"), NA())</f>
        <v>0.60296465011441736</v>
      </c>
      <c r="AB88" s="42">
        <f>IFERROR(IF(ISNA(S88), NA(), S88/'2. Salmon Passage by Bin'!K88), NA())</f>
        <v>0.88888888888888884</v>
      </c>
      <c r="AC88" s="44">
        <f>IFERROR(SUMIF(T88:W88, "&lt;&gt;#N/A")/SUMIF('2. Salmon Passage by Bin'!L88:N88, "&lt;&gt;#N/A"), NA())</f>
        <v>1.5207285999485001</v>
      </c>
    </row>
    <row r="89" spans="1:29" x14ac:dyDescent="0.3">
      <c r="A89" s="5">
        <f>'1. Mixture Model Inputs'!A89</f>
        <v>45191</v>
      </c>
      <c r="B89" s="13" t="str">
        <f>IF(ISBLANK('[1]Passage Estimates'!$C89), "", '[1]Passage Estimates'!$C89)</f>
        <v>A1+S1+M2+A2</v>
      </c>
      <c r="C89" s="71">
        <f>IFERROR('1. Mixture Model Inputs'!R89/'1. Mixture Model Inputs'!Z89,0)</f>
        <v>0.87014388489208627</v>
      </c>
      <c r="D89" s="71">
        <f>IFERROR('1. Mixture Model Inputs'!S89/'1. Mixture Model Inputs'!AA89,0)</f>
        <v>0.99707602339181289</v>
      </c>
      <c r="E89" s="71">
        <f>IFERROR('1. Mixture Model Inputs'!T89/'1. Mixture Model Inputs'!AB89,0)</f>
        <v>0.83985102420856617</v>
      </c>
      <c r="F89" s="71">
        <f>IFERROR('1. Mixture Model Inputs'!U89/'1. Mixture Model Inputs'!AC89,0)</f>
        <v>0.22978806907378332</v>
      </c>
      <c r="G89" s="71">
        <f>IFERROR('1. Mixture Model Inputs'!V89/'1. Mixture Model Inputs'!AD89,0)</f>
        <v>0.69036234194028268</v>
      </c>
      <c r="H89" s="24">
        <f>WhonSpComp!AR104</f>
        <v>0.45</v>
      </c>
      <c r="I89" s="70">
        <f>IFERROR('1. Mixture Model Inputs'!W89/'1. Mixture Model Inputs'!AE89, 0)</f>
        <v>0.7505189888875321</v>
      </c>
      <c r="J89" s="71">
        <f>IFERROR('1. Mixture Model Inputs'!X89/'1. Mixture Model Inputs'!AF89, 0)</f>
        <v>0.36953193350831143</v>
      </c>
      <c r="K89" s="23">
        <f>IFERROR('1. Mixture Model Inputs'!Y89/'1. Mixture Model Inputs'!AG89, 0)</f>
        <v>0.49093733816675295</v>
      </c>
      <c r="L89" s="76">
        <f>C89*'2. Salmon Passage by Bin'!C89</f>
        <v>10136.306115107913</v>
      </c>
      <c r="M89" s="76">
        <f>D89*'2. Salmon Passage by Bin'!D89</f>
        <v>6709.3245614035086</v>
      </c>
      <c r="N89" s="76">
        <f>F89*'2. Salmon Passage by Bin'!F89</f>
        <v>3677.7856200941906</v>
      </c>
      <c r="O89" s="76">
        <f>G89*'2. Salmon Passage by Bin'!G89</f>
        <v>11393.79532036978</v>
      </c>
      <c r="P89" s="76">
        <f>$G89*'2. Salmon Passage by Bin'!H89</f>
        <v>4658.2889384762511</v>
      </c>
      <c r="Q89" s="76">
        <f>$G89*'2. Salmon Passage by Bin'!I89</f>
        <v>2457.3033343959196</v>
      </c>
      <c r="R89" s="76">
        <f>$G89*'2. Salmon Passage by Bin'!J89</f>
        <v>0</v>
      </c>
      <c r="S89" s="56">
        <f>'2. Salmon Passage by Bin'!K89*H89</f>
        <v>9925.5240000000067</v>
      </c>
      <c r="T89" s="25">
        <f>K89*'2. Salmon Passage by Bin'!L89</f>
        <v>65.039378560331429</v>
      </c>
      <c r="U89" s="25">
        <f>K89*'2. Salmon Passage by Bin'!M89</f>
        <v>149.04857586742619</v>
      </c>
      <c r="V89" s="25">
        <f>J89*'2. Salmon Passage by Bin'!N89</f>
        <v>1237.9911023622046</v>
      </c>
      <c r="W89" s="25">
        <f>I89*'2. Salmon Passage by Bin'!O89</f>
        <v>1464.4126511173524</v>
      </c>
      <c r="X89" s="76">
        <f>E89*'2. Salmon Passage by Bin'!E89</f>
        <v>15434.78212290503</v>
      </c>
      <c r="Y89" s="41">
        <f t="shared" si="1"/>
        <v>51874.819597754875</v>
      </c>
      <c r="Z89" s="42">
        <f>Y89/'[1]Passage Estimates'!$D89</f>
        <v>0.5829391201297569</v>
      </c>
      <c r="AA89" s="43">
        <f>IFERROR(SUMIF(L89:O89, "&lt;&gt;#N/A")/SUMIF('2. Salmon Passage by Bin'!E89:J89, "&lt;&gt;#N/A"), NA())</f>
        <v>0.52157215478083219</v>
      </c>
      <c r="AB89" s="42">
        <f>IFERROR(IF(ISNA(S89), NA(), S89/'2. Salmon Passage by Bin'!K89), NA())</f>
        <v>0.45</v>
      </c>
      <c r="AC89" s="44">
        <f>IFERROR(SUMIF(T89:W89, "&lt;&gt;#N/A")/SUMIF('2. Salmon Passage by Bin'!L89:N89, "&lt;&gt;#N/A"), NA())</f>
        <v>0.77028706788458068</v>
      </c>
    </row>
    <row r="90" spans="1:29" x14ac:dyDescent="0.3">
      <c r="A90" s="5">
        <f>'1. Mixture Model Inputs'!A90</f>
        <v>45192</v>
      </c>
      <c r="B90" s="13" t="str">
        <f>IF(ISBLANK('[1]Passage Estimates'!$C90), "", '[1]Passage Estimates'!$C90)</f>
        <v>Imputation</v>
      </c>
      <c r="C90" s="71">
        <f>IFERROR('1. Mixture Model Inputs'!R90/'1. Mixture Model Inputs'!Z90,0)</f>
        <v>0.97276132107592783</v>
      </c>
      <c r="D90" s="71">
        <f>IFERROR('1. Mixture Model Inputs'!S90/'1. Mixture Model Inputs'!AA90,0)</f>
        <v>0.9876899403731485</v>
      </c>
      <c r="E90" s="71">
        <f>IFERROR('1. Mixture Model Inputs'!T90/'1. Mixture Model Inputs'!AB90,0)</f>
        <v>0.97786357786357792</v>
      </c>
      <c r="F90" s="71">
        <f>IFERROR('1. Mixture Model Inputs'!U90/'1. Mixture Model Inputs'!AC90,0)</f>
        <v>0.58927186080017724</v>
      </c>
      <c r="G90" s="71">
        <f>IFERROR('1. Mixture Model Inputs'!V90/'1. Mixture Model Inputs'!AD90,0)</f>
        <v>0.46325530756668482</v>
      </c>
      <c r="H90" s="24">
        <f>WhonSpComp!AR105</f>
        <v>0.375</v>
      </c>
      <c r="I90" s="70">
        <f>IFERROR('1. Mixture Model Inputs'!W90/'1. Mixture Model Inputs'!AE90, 0)</f>
        <v>0.95216624191335042</v>
      </c>
      <c r="J90" s="71">
        <f>IFERROR('1. Mixture Model Inputs'!X90/'1. Mixture Model Inputs'!AF90, 0)</f>
        <v>0.42464246424642471</v>
      </c>
      <c r="K90" s="23">
        <f>IFERROR('1. Mixture Model Inputs'!Y90/'1. Mixture Model Inputs'!AG90, 0)</f>
        <v>0.45382644536036532</v>
      </c>
      <c r="L90" s="76">
        <f>C90*'2. Salmon Passage by Bin'!C90</f>
        <v>5372.560776302349</v>
      </c>
      <c r="M90" s="76">
        <f>D90*'2. Salmon Passage by Bin'!D90</f>
        <v>8385.4875937680299</v>
      </c>
      <c r="N90" s="76">
        <f>F90*'2. Salmon Passage by Bin'!F90</f>
        <v>10667.282074697992</v>
      </c>
      <c r="O90" s="76">
        <f>G90*'2. Salmon Passage by Bin'!G90</f>
        <v>4149.9522264561783</v>
      </c>
      <c r="P90" s="76">
        <f>$G90*'2. Salmon Passage by Bin'!H90</f>
        <v>1251.345236799129</v>
      </c>
      <c r="Q90" s="76">
        <f>$G90*'2. Salmon Passage by Bin'!I90</f>
        <v>498.20328796951554</v>
      </c>
      <c r="R90" s="76">
        <f>$G90*'2. Salmon Passage by Bin'!J90</f>
        <v>0</v>
      </c>
      <c r="S90" s="56">
        <f>'2. Salmon Passage by Bin'!K90*H90</f>
        <v>7563.9825000000128</v>
      </c>
      <c r="T90" s="25">
        <f>K90*'2. Salmon Passage by Bin'!L90</f>
        <v>222.30234599532136</v>
      </c>
      <c r="U90" s="25">
        <f>K90*'2. Salmon Passage by Bin'!M90</f>
        <v>804.57982845048446</v>
      </c>
      <c r="V90" s="25">
        <f>J90*'2. Salmon Passage by Bin'!N90</f>
        <v>1417.3206600660067</v>
      </c>
      <c r="W90" s="25">
        <f>I90*'2. Salmon Passage by Bin'!O90</f>
        <v>2178.7087080964516</v>
      </c>
      <c r="X90" s="76">
        <f>E90*'2. Salmon Passage by Bin'!E90</f>
        <v>13703.389034749034</v>
      </c>
      <c r="Y90" s="41">
        <f t="shared" si="1"/>
        <v>42457.065903280127</v>
      </c>
      <c r="Z90" s="42">
        <f>Y90/'[1]Passage Estimates'!$D90</f>
        <v>0.58232045505988739</v>
      </c>
      <c r="AA90" s="43">
        <f>IFERROR(SUMIF(L90:O90, "&lt;&gt;#N/A")/SUMIF('2. Salmon Passage by Bin'!E90:J90, "&lt;&gt;#N/A"), NA())</f>
        <v>0.63711641113645168</v>
      </c>
      <c r="AB90" s="42">
        <f>IFERROR(IF(ISNA(S90), NA(), S90/'2. Salmon Passage by Bin'!K90), NA())</f>
        <v>0.375</v>
      </c>
      <c r="AC90" s="44">
        <f>IFERROR(SUMIF(T90:W90, "&lt;&gt;#N/A")/SUMIF('2. Salmon Passage by Bin'!L90:N90, "&lt;&gt;#N/A"), NA())</f>
        <v>0.8254609568259883</v>
      </c>
    </row>
    <row r="91" spans="1:29" x14ac:dyDescent="0.3">
      <c r="A91" s="5">
        <f>'1. Mixture Model Inputs'!A91</f>
        <v>45193</v>
      </c>
      <c r="B91" s="13" t="str">
        <f>IF(ISBLANK('[1]Passage Estimates'!$C91), "", '[1]Passage Estimates'!$C91)</f>
        <v>Imputation</v>
      </c>
      <c r="C91" s="71">
        <f>IFERROR('1. Mixture Model Inputs'!R91/'1. Mixture Model Inputs'!Z91,0)</f>
        <v>0.90035358405657351</v>
      </c>
      <c r="D91" s="71">
        <f>IFERROR('1. Mixture Model Inputs'!S91/'1. Mixture Model Inputs'!AA91,0)</f>
        <v>0.85217149220489974</v>
      </c>
      <c r="E91" s="71">
        <f>IFERROR('1. Mixture Model Inputs'!T91/'1. Mixture Model Inputs'!AB91,0)</f>
        <v>0.94023649728347714</v>
      </c>
      <c r="F91" s="71">
        <f>IFERROR('1. Mixture Model Inputs'!U91/'1. Mixture Model Inputs'!AC91,0)</f>
        <v>0.86954524575103354</v>
      </c>
      <c r="G91" s="71">
        <f>IFERROR('1. Mixture Model Inputs'!V91/'1. Mixture Model Inputs'!AD91,0)</f>
        <v>0.70391616105901822</v>
      </c>
      <c r="H91" s="24">
        <f>WhonSpComp!AR106</f>
        <v>0.35714285714285715</v>
      </c>
      <c r="I91" s="70">
        <f>IFERROR('1. Mixture Model Inputs'!W91/'1. Mixture Model Inputs'!AE91, 0)</f>
        <v>0.95216624191335042</v>
      </c>
      <c r="J91" s="71">
        <f>IFERROR('1. Mixture Model Inputs'!X91/'1. Mixture Model Inputs'!AF91, 0)</f>
        <v>0.42464246424642471</v>
      </c>
      <c r="K91" s="23">
        <f>IFERROR('1. Mixture Model Inputs'!Y91/'1. Mixture Model Inputs'!AG91, 0)</f>
        <v>0.45382644536036532</v>
      </c>
      <c r="L91" s="76">
        <f>C91*'2. Salmon Passage by Bin'!C91</f>
        <v>6674.3211186113795</v>
      </c>
      <c r="M91" s="76">
        <f>D91*'2. Salmon Passage by Bin'!D91</f>
        <v>2290.6369710467707</v>
      </c>
      <c r="N91" s="76">
        <f>F91*'2. Salmon Passage by Bin'!F91</f>
        <v>12025.602057877813</v>
      </c>
      <c r="O91" s="76">
        <f>G91*'2. Salmon Passage by Bin'!G91</f>
        <v>6139.7820099282953</v>
      </c>
      <c r="P91" s="76">
        <f>$G91*'2. Salmon Passage by Bin'!H91</f>
        <v>3016.5904732487593</v>
      </c>
      <c r="Q91" s="76">
        <f>$G91*'2. Salmon Passage by Bin'!I91</f>
        <v>685.38908769994487</v>
      </c>
      <c r="R91" s="76">
        <f>$G91*'2. Salmon Passage by Bin'!J91</f>
        <v>0</v>
      </c>
      <c r="S91" s="56">
        <f>'2. Salmon Passage by Bin'!K91*H91</f>
        <v>5017.911428571424</v>
      </c>
      <c r="T91" s="25">
        <f>K91*'2. Salmon Passage by Bin'!L91</f>
        <v>287.76227247410048</v>
      </c>
      <c r="U91" s="25">
        <f>K91*'2. Salmon Passage by Bin'!M91</f>
        <v>349.41005681185243</v>
      </c>
      <c r="V91" s="25">
        <f>J91*'2. Salmon Passage by Bin'!N91</f>
        <v>254.68356435643568</v>
      </c>
      <c r="W91" s="25">
        <f>I91*'2. Salmon Passage by Bin'!O91</f>
        <v>1204.9854224661833</v>
      </c>
      <c r="X91" s="76">
        <f>E91*'2. Salmon Passage by Bin'!E91</f>
        <v>9497.4416874400758</v>
      </c>
      <c r="Y91" s="41">
        <f t="shared" si="1"/>
        <v>38479.558060874886</v>
      </c>
      <c r="Z91" s="42">
        <f>Y91/'[1]Passage Estimates'!$D91</f>
        <v>0.69669269337816586</v>
      </c>
      <c r="AA91" s="43">
        <f>IFERROR(SUMIF(L91:O91, "&lt;&gt;#N/A")/SUMIF('2. Salmon Passage by Bin'!E91:J91, "&lt;&gt;#N/A"), NA())</f>
        <v>0.71560754281099814</v>
      </c>
      <c r="AB91" s="42">
        <f>IFERROR(IF(ISNA(S91), NA(), S91/'2. Salmon Passage by Bin'!K91), NA())</f>
        <v>0.35714285714285715</v>
      </c>
      <c r="AC91" s="44">
        <f>IFERROR(SUMIF(T91:W91, "&lt;&gt;#N/A")/SUMIF('2. Salmon Passage by Bin'!L91:N91, "&lt;&gt;#N/A"), NA())</f>
        <v>1.0464533258017785</v>
      </c>
    </row>
    <row r="92" spans="1:29" x14ac:dyDescent="0.3">
      <c r="A92" s="5">
        <f>'1. Mixture Model Inputs'!A92</f>
        <v>45194</v>
      </c>
      <c r="B92" s="13" t="str">
        <f>IF(ISBLANK('[1]Passage Estimates'!$C92), "", '[1]Passage Estimates'!$C92)</f>
        <v>A1+S1+M2+A2</v>
      </c>
      <c r="C92" s="71">
        <f>IFERROR('1. Mixture Model Inputs'!R92/'1. Mixture Model Inputs'!Z92,0)</f>
        <v>0.95625184747265746</v>
      </c>
      <c r="D92" s="71">
        <f>IFERROR('1. Mixture Model Inputs'!S92/'1. Mixture Model Inputs'!AA92,0)</f>
        <v>0.68508287292817682</v>
      </c>
      <c r="E92" s="71">
        <f>IFERROR('1. Mixture Model Inputs'!T92/'1. Mixture Model Inputs'!AB92,0)</f>
        <v>0.95943097997892524</v>
      </c>
      <c r="F92" s="71">
        <f>IFERROR('1. Mixture Model Inputs'!U92/'1. Mixture Model Inputs'!AC92,0)</f>
        <v>0.47932449494949497</v>
      </c>
      <c r="G92" s="71">
        <f>IFERROR('1. Mixture Model Inputs'!V92/'1. Mixture Model Inputs'!AD92,0)</f>
        <v>0.3707233065442021</v>
      </c>
      <c r="H92" s="24">
        <f>WhonSpComp!AR107</f>
        <v>0.45833333333333331</v>
      </c>
      <c r="I92" s="70">
        <f>IFERROR('1. Mixture Model Inputs'!W92/'1. Mixture Model Inputs'!AE92, 0)</f>
        <v>0.6027346637102734</v>
      </c>
      <c r="J92" s="71">
        <f>IFERROR('1. Mixture Model Inputs'!X92/'1. Mixture Model Inputs'!AF92, 0)</f>
        <v>0.47073456248170908</v>
      </c>
      <c r="K92" s="23">
        <f>IFERROR('1. Mixture Model Inputs'!Y92/'1. Mixture Model Inputs'!AG92, 0)</f>
        <v>0.25523255813953488</v>
      </c>
      <c r="L92" s="76">
        <f>C92*'2. Salmon Passage by Bin'!C92</f>
        <v>6043.5116760271949</v>
      </c>
      <c r="M92" s="76">
        <f>D92*'2. Salmon Passage by Bin'!D92</f>
        <v>4009.104972375691</v>
      </c>
      <c r="N92" s="76">
        <f>F92*'2. Salmon Passage by Bin'!F92</f>
        <v>2875.7168939393937</v>
      </c>
      <c r="O92" s="76">
        <f>G92*'2. Salmon Passage by Bin'!G92</f>
        <v>1938.111788748565</v>
      </c>
      <c r="P92" s="76">
        <f>$G92*'2. Salmon Passage by Bin'!H92</f>
        <v>641.85550401836974</v>
      </c>
      <c r="Q92" s="76">
        <f>$G92*'2. Salmon Passage by Bin'!I92</f>
        <v>385.96744890929966</v>
      </c>
      <c r="R92" s="76">
        <f>$G92*'2. Salmon Passage by Bin'!J92</f>
        <v>0</v>
      </c>
      <c r="S92" s="56">
        <f>'2. Salmon Passage by Bin'!K92*H92</f>
        <v>5771.5900000000029</v>
      </c>
      <c r="T92" s="25">
        <f>K92*'2. Salmon Passage by Bin'!L92</f>
        <v>98.683116279069765</v>
      </c>
      <c r="U92" s="25">
        <f>K92*'2. Salmon Passage by Bin'!M92</f>
        <v>323.06316279069767</v>
      </c>
      <c r="V92" s="25">
        <f>J92*'2. Salmon Passage by Bin'!N92</f>
        <v>1394.8053380158033</v>
      </c>
      <c r="W92" s="25">
        <f>I92*'2. Salmon Passage by Bin'!O92</f>
        <v>1207.1569844789358</v>
      </c>
      <c r="X92" s="76">
        <f>E92*'2. Salmon Passage by Bin'!E92</f>
        <v>11678.961433087461</v>
      </c>
      <c r="Y92" s="41">
        <f t="shared" si="1"/>
        <v>24689.566885583023</v>
      </c>
      <c r="Z92" s="42">
        <f>Y92/'[1]Passage Estimates'!$D92</f>
        <v>0.54402053621188962</v>
      </c>
      <c r="AA92" s="43">
        <f>IFERROR(SUMIF(L92:O92, "&lt;&gt;#N/A")/SUMIF('2. Salmon Passage by Bin'!E92:J92, "&lt;&gt;#N/A"), NA())</f>
        <v>0.56801300480388917</v>
      </c>
      <c r="AB92" s="42">
        <f>IFERROR(IF(ISNA(S92), NA(), S92/'2. Salmon Passage by Bin'!K92), NA())</f>
        <v>0.45833333333333331</v>
      </c>
      <c r="AC92" s="44">
        <f>IFERROR(SUMIF(T92:W92, "&lt;&gt;#N/A")/SUMIF('2. Salmon Passage by Bin'!L92:N92, "&lt;&gt;#N/A"), NA())</f>
        <v>0.65512900212428415</v>
      </c>
    </row>
    <row r="93" spans="1:29" x14ac:dyDescent="0.3">
      <c r="A93" s="5">
        <f>'1. Mixture Model Inputs'!A93</f>
        <v>45195</v>
      </c>
      <c r="B93" s="13" t="str">
        <f>IF(ISBLANK('[1]Passage Estimates'!$C93), "", '[1]Passage Estimates'!$C93)</f>
        <v>A1+S1+M2+A2</v>
      </c>
      <c r="C93" s="71">
        <f>IFERROR('1. Mixture Model Inputs'!R93/'1. Mixture Model Inputs'!Z93,0)</f>
        <v>0.83052577845839726</v>
      </c>
      <c r="D93" s="71">
        <f>IFERROR('1. Mixture Model Inputs'!S93/'1. Mixture Model Inputs'!AA93,0)</f>
        <v>0.69162377164248945</v>
      </c>
      <c r="E93" s="71">
        <f>IFERROR('1. Mixture Model Inputs'!T93/'1. Mixture Model Inputs'!AB93,0)</f>
        <v>0.81956649091974221</v>
      </c>
      <c r="F93" s="71">
        <f>IFERROR('1. Mixture Model Inputs'!U93/'1. Mixture Model Inputs'!AC93,0)</f>
        <v>0.50187144019528074</v>
      </c>
      <c r="G93" s="71">
        <f>IFERROR('1. Mixture Model Inputs'!V93/'1. Mixture Model Inputs'!AD93,0)</f>
        <v>0.58194319206492329</v>
      </c>
      <c r="H93" s="24">
        <f>WhonSpComp!AR108</f>
        <v>0.5</v>
      </c>
      <c r="I93" s="70">
        <f>IFERROR('1. Mixture Model Inputs'!W93/'1. Mixture Model Inputs'!AE93, 0)</f>
        <v>0.6027346637102734</v>
      </c>
      <c r="J93" s="71">
        <f>IFERROR('1. Mixture Model Inputs'!X93/'1. Mixture Model Inputs'!AF93, 0)</f>
        <v>0.47073456248170908</v>
      </c>
      <c r="K93" s="23">
        <f>IFERROR('1. Mixture Model Inputs'!Y93/'1. Mixture Model Inputs'!AG93, 0)</f>
        <v>0.25523255813953488</v>
      </c>
      <c r="L93" s="76">
        <f>C93*'2. Salmon Passage by Bin'!C93</f>
        <v>6610.9851965288426</v>
      </c>
      <c r="M93" s="76">
        <f>D93*'2. Salmon Passage by Bin'!D93</f>
        <v>3234.0327562002808</v>
      </c>
      <c r="N93" s="76">
        <f>F93*'2. Salmon Passage by Bin'!F93</f>
        <v>7209.9654092758346</v>
      </c>
      <c r="O93" s="76">
        <f>G93*'2. Salmon Passage by Bin'!G93</f>
        <v>4772.9583949504049</v>
      </c>
      <c r="P93" s="76">
        <f>$G93*'2. Salmon Passage by Bin'!H93</f>
        <v>982.83221821460768</v>
      </c>
      <c r="Q93" s="76">
        <f>$G93*'2. Salmon Passage by Bin'!I93</f>
        <v>668.30356176735779</v>
      </c>
      <c r="R93" s="76">
        <f>$G93*'2. Salmon Passage by Bin'!J93</f>
        <v>0</v>
      </c>
      <c r="S93" s="56">
        <f>'2. Salmon Passage by Bin'!K93*H93</f>
        <v>9083.6399999999958</v>
      </c>
      <c r="T93" s="25">
        <f>K93*'2. Salmon Passage by Bin'!L93</f>
        <v>65.849999999999994</v>
      </c>
      <c r="U93" s="25">
        <f>K93*'2. Salmon Passage by Bin'!M93</f>
        <v>84.287999999999997</v>
      </c>
      <c r="V93" s="25">
        <f>J93*'2. Salmon Passage by Bin'!N93</f>
        <v>663.62275680421419</v>
      </c>
      <c r="W93" s="25">
        <f>I93*'2. Salmon Passage by Bin'!O93</f>
        <v>845.22687361419059</v>
      </c>
      <c r="X93" s="76">
        <f>E93*'2. Salmon Passage by Bin'!E93</f>
        <v>10355.845483304041</v>
      </c>
      <c r="Y93" s="41">
        <f t="shared" si="1"/>
        <v>34221.705167355729</v>
      </c>
      <c r="Z93" s="42">
        <f>Y93/'[1]Passage Estimates'!$D93</f>
        <v>0.57410722834699812</v>
      </c>
      <c r="AA93" s="43">
        <f>IFERROR(SUMIF(L93:O93, "&lt;&gt;#N/A")/SUMIF('2. Salmon Passage by Bin'!E93:J93, "&lt;&gt;#N/A"), NA())</f>
        <v>0.57380102281738854</v>
      </c>
      <c r="AB93" s="42">
        <f>IFERROR(IF(ISNA(S93), NA(), S93/'2. Salmon Passage by Bin'!K93), NA())</f>
        <v>0.5</v>
      </c>
      <c r="AC93" s="44">
        <f>IFERROR(SUMIF(T93:W93, "&lt;&gt;#N/A")/SUMIF('2. Salmon Passage by Bin'!L93:N93, "&lt;&gt;#N/A"), NA())</f>
        <v>0.83032413934855098</v>
      </c>
    </row>
    <row r="94" spans="1:29" x14ac:dyDescent="0.3">
      <c r="A94" s="5">
        <f>'1. Mixture Model Inputs'!A94</f>
        <v>45196</v>
      </c>
      <c r="B94" s="13" t="str">
        <f>IF(ISBLANK('[1]Passage Estimates'!$C94), "", '[1]Passage Estimates'!$C94)</f>
        <v>A1+S1+M2+A2</v>
      </c>
      <c r="C94" s="71">
        <f>IFERROR('1. Mixture Model Inputs'!R94/'1. Mixture Model Inputs'!Z94,0)</f>
        <v>0.82352941176470584</v>
      </c>
      <c r="D94" s="71">
        <f>IFERROR('1. Mixture Model Inputs'!S94/'1. Mixture Model Inputs'!AA94,0)</f>
        <v>0.67740336967294346</v>
      </c>
      <c r="E94" s="71">
        <f>IFERROR('1. Mixture Model Inputs'!T94/'1. Mixture Model Inputs'!AB94,0)</f>
        <v>0.85782108945527236</v>
      </c>
      <c r="F94" s="71">
        <f>IFERROR('1. Mixture Model Inputs'!U94/'1. Mixture Model Inputs'!AC94,0)</f>
        <v>0.75026729799908365</v>
      </c>
      <c r="G94" s="71">
        <f>IFERROR('1. Mixture Model Inputs'!V94/'1. Mixture Model Inputs'!AD94,0)</f>
        <v>0.59985142998638108</v>
      </c>
      <c r="H94" s="24">
        <f>WhonSpComp!AR109</f>
        <v>0.1111111111111111</v>
      </c>
      <c r="I94" s="70">
        <f>IFERROR('1. Mixture Model Inputs'!W94/'1. Mixture Model Inputs'!AE94, 0)</f>
        <v>0.6622287069122742</v>
      </c>
      <c r="J94" s="71">
        <f>IFERROR('1. Mixture Model Inputs'!X94/'1. Mixture Model Inputs'!AF94, 0)</f>
        <v>0.56999249812453112</v>
      </c>
      <c r="K94" s="23">
        <f>IFERROR('1. Mixture Model Inputs'!Y94/'1. Mixture Model Inputs'!AG94, 0)</f>
        <v>0.51607118223203197</v>
      </c>
      <c r="L94" s="76">
        <f>C94*'2. Salmon Passage by Bin'!C94</f>
        <v>6423.5294117647054</v>
      </c>
      <c r="M94" s="76">
        <f>D94*'2. Salmon Passage by Bin'!D94</f>
        <v>7186.5723488602571</v>
      </c>
      <c r="N94" s="76">
        <f>F94*'2. Salmon Passage by Bin'!F94</f>
        <v>10494.138750572782</v>
      </c>
      <c r="O94" s="76">
        <f>G94*'2. Salmon Passage by Bin'!G94</f>
        <v>4220.4586851553795</v>
      </c>
      <c r="P94" s="76">
        <f>$G94*'2. Salmon Passage by Bin'!H94</f>
        <v>1323.0323139779623</v>
      </c>
      <c r="Q94" s="76">
        <f>$G94*'2. Salmon Passage by Bin'!I94</f>
        <v>704.99338863439391</v>
      </c>
      <c r="R94" s="76">
        <f>$G94*'2. Salmon Passage by Bin'!J94</f>
        <v>0</v>
      </c>
      <c r="S94" s="56">
        <f>'2. Salmon Passage by Bin'!K94*H94</f>
        <v>1656.9599999999978</v>
      </c>
      <c r="T94" s="25">
        <f>K94*'2. Salmon Passage by Bin'!L94</f>
        <v>539.39759966891972</v>
      </c>
      <c r="U94" s="25">
        <f>K94*'2. Salmon Passage by Bin'!M94</f>
        <v>66.01582563112153</v>
      </c>
      <c r="V94" s="25">
        <f>J94*'2. Salmon Passage by Bin'!N94</f>
        <v>1322.0178004501126</v>
      </c>
      <c r="W94" s="25">
        <f>I94*'2. Salmon Passage by Bin'!O94</f>
        <v>2240.9819441911359</v>
      </c>
      <c r="X94" s="76">
        <f>E94*'2. Salmon Passage by Bin'!E94</f>
        <v>15791.59412293853</v>
      </c>
      <c r="Y94" s="41">
        <f t="shared" si="1"/>
        <v>36178.098068906766</v>
      </c>
      <c r="Z94" s="42">
        <f>Y94/'[1]Passage Estimates'!$D94</f>
        <v>0.56001513991682572</v>
      </c>
      <c r="AA94" s="43">
        <f>IFERROR(SUMIF(L94:O94, "&lt;&gt;#N/A")/SUMIF('2. Salmon Passage by Bin'!E94:J94, "&lt;&gt;#N/A"), NA())</f>
        <v>0.66159294110447897</v>
      </c>
      <c r="AB94" s="42">
        <f>IFERROR(IF(ISNA(S94), NA(), S94/'2. Salmon Passage by Bin'!K94), NA())</f>
        <v>0.1111111111111111</v>
      </c>
      <c r="AC94" s="44">
        <f>IFERROR(SUMIF(T94:W94, "&lt;&gt;#N/A")/SUMIF('2. Salmon Passage by Bin'!L94:N94, "&lt;&gt;#N/A"), NA())</f>
        <v>1.1935395964876794</v>
      </c>
    </row>
    <row r="95" spans="1:29" x14ac:dyDescent="0.3">
      <c r="A95" s="5">
        <f>'1. Mixture Model Inputs'!A95</f>
        <v>45197</v>
      </c>
      <c r="B95" s="13" t="str">
        <f>IF(ISBLANK('[1]Passage Estimates'!$C95), "", '[1]Passage Estimates'!$C95)</f>
        <v>A1+S1+M2+A2</v>
      </c>
      <c r="C95" s="71">
        <f>IFERROR('1. Mixture Model Inputs'!R95/'1. Mixture Model Inputs'!Z95,0)</f>
        <v>0.66536421992743511</v>
      </c>
      <c r="D95" s="71">
        <f>IFERROR('1. Mixture Model Inputs'!S95/'1. Mixture Model Inputs'!AA95,0)</f>
        <v>0.87588720506426243</v>
      </c>
      <c r="E95" s="71">
        <f>IFERROR('1. Mixture Model Inputs'!T95/'1. Mixture Model Inputs'!AB95,0)</f>
        <v>0.76283735371387629</v>
      </c>
      <c r="F95" s="71">
        <f>IFERROR('1. Mixture Model Inputs'!U95/'1. Mixture Model Inputs'!AC95,0)</f>
        <v>0.34258808248092221</v>
      </c>
      <c r="G95" s="71">
        <f>IFERROR('1. Mixture Model Inputs'!V95/'1. Mixture Model Inputs'!AD95,0)</f>
        <v>0.50835460663727083</v>
      </c>
      <c r="H95" s="24">
        <f>WhonSpComp!AR110</f>
        <v>0.25</v>
      </c>
      <c r="I95" s="70">
        <f>IFERROR('1. Mixture Model Inputs'!W95/'1. Mixture Model Inputs'!AE95, 0)</f>
        <v>0.6622287069122742</v>
      </c>
      <c r="J95" s="71">
        <f>IFERROR('1. Mixture Model Inputs'!X95/'1. Mixture Model Inputs'!AF95, 0)</f>
        <v>0.56999249812453112</v>
      </c>
      <c r="K95" s="23">
        <f>IFERROR('1. Mixture Model Inputs'!Y95/'1. Mixture Model Inputs'!AG95, 0)</f>
        <v>0.51607118223203197</v>
      </c>
      <c r="L95" s="76">
        <f>C95*'2. Salmon Passage by Bin'!C95</f>
        <v>7835.9944180854036</v>
      </c>
      <c r="M95" s="76">
        <f>D95*'2. Salmon Passage by Bin'!D95</f>
        <v>7100.8175714559757</v>
      </c>
      <c r="N95" s="76">
        <f>F95*'2. Salmon Passage by Bin'!F95</f>
        <v>2587.0059425231366</v>
      </c>
      <c r="O95" s="76">
        <f>G95*'2. Salmon Passage by Bin'!G95</f>
        <v>1989.1712415873753</v>
      </c>
      <c r="P95" s="76">
        <f>$G95*'2. Salmon Passage by Bin'!H95</f>
        <v>645.89502900905086</v>
      </c>
      <c r="Q95" s="76">
        <f>$G95*'2. Salmon Passage by Bin'!I95</f>
        <v>267.19118124854953</v>
      </c>
      <c r="R95" s="76">
        <f>$G95*'2. Salmon Passage by Bin'!J95</f>
        <v>0</v>
      </c>
      <c r="S95" s="56">
        <f>'2. Salmon Passage by Bin'!K95*H95</f>
        <v>1998.8399999999992</v>
      </c>
      <c r="T95" s="25">
        <f>K95*'2. Salmon Passage by Bin'!L95</f>
        <v>-11.023280452476202</v>
      </c>
      <c r="U95" s="25">
        <f>K95*'2. Salmon Passage by Bin'!M95</f>
        <v>654.46083045937371</v>
      </c>
      <c r="V95" s="25">
        <f>J95*'2. Salmon Passage by Bin'!N95</f>
        <v>1395.4784336084022</v>
      </c>
      <c r="W95" s="25">
        <f>I95*'2. Salmon Passage by Bin'!O95</f>
        <v>1810.7451978843696</v>
      </c>
      <c r="X95" s="76">
        <f>E95*'2. Salmon Passage by Bin'!E95</f>
        <v>15168.624103176498</v>
      </c>
      <c r="Y95" s="41">
        <f t="shared" si="1"/>
        <v>26274.576565409163</v>
      </c>
      <c r="Z95" s="42">
        <f>Y95/'[1]Passage Estimates'!$D95</f>
        <v>0.55233872848018251</v>
      </c>
      <c r="AA95" s="43">
        <f>IFERROR(SUMIF(L95:O95, "&lt;&gt;#N/A")/SUMIF('2. Salmon Passage by Bin'!E95:J95, "&lt;&gt;#N/A"), NA())</f>
        <v>0.58871663063258761</v>
      </c>
      <c r="AB95" s="42">
        <f>IFERROR(IF(ISNA(S95), NA(), S95/'2. Salmon Passage by Bin'!K95), NA())</f>
        <v>0.25</v>
      </c>
      <c r="AC95" s="44">
        <f>IFERROR(SUMIF(T95:W95, "&lt;&gt;#N/A")/SUMIF('2. Salmon Passage by Bin'!L95:N95, "&lt;&gt;#N/A"), NA())</f>
        <v>1.0418456042423543</v>
      </c>
    </row>
    <row r="96" spans="1:29" x14ac:dyDescent="0.3">
      <c r="A96" s="5">
        <f>'1. Mixture Model Inputs'!A96</f>
        <v>45198</v>
      </c>
      <c r="B96" s="13" t="str">
        <f>IF(ISBLANK('[1]Passage Estimates'!$C96), "", '[1]Passage Estimates'!$C96)</f>
        <v>A1+S1+M2+A2</v>
      </c>
      <c r="C96" s="71">
        <f>IFERROR('1. Mixture Model Inputs'!R96/'1. Mixture Model Inputs'!Z96,0)</f>
        <v>0.71815500134084198</v>
      </c>
      <c r="D96" s="71">
        <f>IFERROR('1. Mixture Model Inputs'!S96/'1. Mixture Model Inputs'!AA96,0)</f>
        <v>0.72656493304266589</v>
      </c>
      <c r="E96" s="71">
        <f>IFERROR('1. Mixture Model Inputs'!T96/'1. Mixture Model Inputs'!AB96,0)</f>
        <v>0.7201010668163953</v>
      </c>
      <c r="F96" s="71">
        <f>IFERROR('1. Mixture Model Inputs'!U96/'1. Mixture Model Inputs'!AC96,0)</f>
        <v>0.42517770295548074</v>
      </c>
      <c r="G96" s="71">
        <f>IFERROR('1. Mixture Model Inputs'!V96/'1. Mixture Model Inputs'!AD96,0)</f>
        <v>0.53687127024722936</v>
      </c>
      <c r="H96" s="24">
        <f>WhonSpComp!AR111</f>
        <v>0</v>
      </c>
      <c r="I96" s="70">
        <f>IFERROR('1. Mixture Model Inputs'!W96/'1. Mixture Model Inputs'!AE96, 0)</f>
        <v>0</v>
      </c>
      <c r="J96" s="71">
        <f>IFERROR('1. Mixture Model Inputs'!X96/'1. Mixture Model Inputs'!AF96, 0)</f>
        <v>0</v>
      </c>
      <c r="K96" s="23">
        <f>IFERROR('1. Mixture Model Inputs'!Y96/'1. Mixture Model Inputs'!AG96, 0)</f>
        <v>0</v>
      </c>
      <c r="L96" s="76">
        <f>C96*'2. Salmon Passage by Bin'!C96</f>
        <v>9800.6613032984696</v>
      </c>
      <c r="M96" s="76">
        <f>D96*'2. Salmon Passage by Bin'!D96</f>
        <v>2612.0009342883841</v>
      </c>
      <c r="N96" s="76">
        <f>F96*'2. Salmon Passage by Bin'!F96</f>
        <v>4322.6286419753087</v>
      </c>
      <c r="O96" s="76">
        <f>G96*'2. Salmon Passage by Bin'!G96</f>
        <v>4116.3423529411775</v>
      </c>
      <c r="P96" s="76">
        <f>$G96*'2. Salmon Passage by Bin'!H96</f>
        <v>1684.5731969309466</v>
      </c>
      <c r="Q96" s="76">
        <f>$G96*'2. Salmon Passage by Bin'!I96</f>
        <v>1321.8629667519181</v>
      </c>
      <c r="R96" s="76">
        <f>$G96*'2. Salmon Passage by Bin'!J96</f>
        <v>0</v>
      </c>
      <c r="S96" s="56">
        <f>'2. Salmon Passage by Bin'!K96*H96</f>
        <v>0</v>
      </c>
      <c r="T96" s="25">
        <f>K96*'2. Salmon Passage by Bin'!L96</f>
        <v>0</v>
      </c>
      <c r="U96" s="25">
        <f>K96*'2. Salmon Passage by Bin'!M96</f>
        <v>0</v>
      </c>
      <c r="V96" s="25">
        <f>J96*'2. Salmon Passage by Bin'!N96</f>
        <v>0</v>
      </c>
      <c r="W96" s="25">
        <f>I96*'2. Salmon Passage by Bin'!O96</f>
        <v>0</v>
      </c>
      <c r="X96" s="76">
        <f>E96*'2. Salmon Passage by Bin'!E96</f>
        <v>12415.867377877597</v>
      </c>
      <c r="Y96" s="41">
        <f t="shared" si="1"/>
        <v>23858.069396186205</v>
      </c>
      <c r="Z96" s="42">
        <f>Y96/'[1]Passage Estimates'!$D96</f>
        <v>0.37325636990518885</v>
      </c>
      <c r="AA96" s="43">
        <f>IFERROR(SUMIF(L96:O96, "&lt;&gt;#N/A")/SUMIF('2. Salmon Passage by Bin'!E96:J96, "&lt;&gt;#N/A"), NA())</f>
        <v>0.51263146018710282</v>
      </c>
      <c r="AB96" s="42">
        <f>IFERROR(IF(ISNA(S96), NA(), S96/'2. Salmon Passage by Bin'!K96), NA())</f>
        <v>0</v>
      </c>
      <c r="AC96" s="44" t="e">
        <f>IFERROR(SUMIF(T96:W96, "&lt;&gt;#N/A")/SUMIF('2. Salmon Passage by Bin'!L96:N96, "&lt;&gt;#N/A"), NA())</f>
        <v>#N/A</v>
      </c>
    </row>
    <row r="97" spans="1:29" x14ac:dyDescent="0.3">
      <c r="A97" s="5">
        <f>'1. Mixture Model Inputs'!A97</f>
        <v>45199</v>
      </c>
      <c r="B97" s="13" t="str">
        <f>IF(ISBLANK('[1]Passage Estimates'!$C97), "", '[1]Passage Estimates'!$C97)</f>
        <v>A1+S1+M2+A2</v>
      </c>
      <c r="C97" s="71">
        <f>IFERROR('1. Mixture Model Inputs'!R97/'1. Mixture Model Inputs'!Z97,0)</f>
        <v>0.80088052831699019</v>
      </c>
      <c r="D97" s="71">
        <f>IFERROR('1. Mixture Model Inputs'!S97/'1. Mixture Model Inputs'!AA97,0)</f>
        <v>0.81147724725397896</v>
      </c>
      <c r="E97" s="71">
        <f>IFERROR('1. Mixture Model Inputs'!T97/'1. Mixture Model Inputs'!AB97,0)</f>
        <v>0.80649214659685864</v>
      </c>
      <c r="F97" s="71">
        <f>IFERROR('1. Mixture Model Inputs'!U97/'1. Mixture Model Inputs'!AC97,0)</f>
        <v>0.61332914177931463</v>
      </c>
      <c r="G97" s="71">
        <f>IFERROR('1. Mixture Model Inputs'!V97/'1. Mixture Model Inputs'!AD97,0)</f>
        <v>0.5413092020213891</v>
      </c>
      <c r="H97" s="24">
        <f>WhonSpComp!AR112</f>
        <v>9.5238095238095233E-2</v>
      </c>
      <c r="I97" s="70">
        <f>IFERROR('1. Mixture Model Inputs'!W97/'1. Mixture Model Inputs'!AE97, 0)</f>
        <v>0</v>
      </c>
      <c r="J97" s="71">
        <f>IFERROR('1. Mixture Model Inputs'!X97/'1. Mixture Model Inputs'!AF97, 0)</f>
        <v>0</v>
      </c>
      <c r="K97" s="23">
        <f>IFERROR('1. Mixture Model Inputs'!Y97/'1. Mixture Model Inputs'!AG97, 0)</f>
        <v>0</v>
      </c>
      <c r="L97" s="76">
        <f>C97*'2. Salmon Passage by Bin'!C97</f>
        <v>5888.073644186512</v>
      </c>
      <c r="M97" s="76">
        <f>D97*'2. Salmon Passage by Bin'!D97</f>
        <v>1635.1266532167676</v>
      </c>
      <c r="N97" s="76">
        <f>F97*'2. Salmon Passage by Bin'!F97</f>
        <v>6586.2717887456765</v>
      </c>
      <c r="O97" s="76">
        <f>G97*'2. Salmon Passage by Bin'!G97</f>
        <v>3475.3349911858031</v>
      </c>
      <c r="P97" s="76">
        <f>$G97*'2. Salmon Passage by Bin'!H97</f>
        <v>1422.3007544952402</v>
      </c>
      <c r="Q97" s="76">
        <f>$G97*'2. Salmon Passage by Bin'!I97</f>
        <v>617.61214713832408</v>
      </c>
      <c r="R97" s="76">
        <f>$G97*'2. Salmon Passage by Bin'!J97</f>
        <v>0</v>
      </c>
      <c r="S97" s="56">
        <f>'2. Salmon Passage by Bin'!K97*H97</f>
        <v>2460.2285714285713</v>
      </c>
      <c r="T97" s="25">
        <f>K97*'2. Salmon Passage by Bin'!L97</f>
        <v>0</v>
      </c>
      <c r="U97" s="25">
        <f>K97*'2. Salmon Passage by Bin'!M97</f>
        <v>0</v>
      </c>
      <c r="V97" s="25">
        <f>J97*'2. Salmon Passage by Bin'!N97</f>
        <v>0</v>
      </c>
      <c r="W97" s="25">
        <f>I97*'2. Salmon Passage by Bin'!O97</f>
        <v>0</v>
      </c>
      <c r="X97" s="76">
        <f>E97*'2. Salmon Passage by Bin'!E97</f>
        <v>7554.5732356020944</v>
      </c>
      <c r="Y97" s="41">
        <f t="shared" si="1"/>
        <v>22084.948550396894</v>
      </c>
      <c r="Z97" s="42">
        <f>Y97/'[1]Passage Estimates'!$D97</f>
        <v>0.39348256219474331</v>
      </c>
      <c r="AA97" s="43">
        <f>IFERROR(SUMIF(L97:O97, "&lt;&gt;#N/A")/SUMIF('2. Salmon Passage by Bin'!E97:J97, "&lt;&gt;#N/A"), NA())</f>
        <v>0.58046241682757904</v>
      </c>
      <c r="AB97" s="42">
        <f>IFERROR(IF(ISNA(S97), NA(), S97/'2. Salmon Passage by Bin'!K97), NA())</f>
        <v>9.5238095238095247E-2</v>
      </c>
      <c r="AC97" s="44" t="e">
        <f>IFERROR(SUMIF(T97:W97, "&lt;&gt;#N/A")/SUMIF('2. Salmon Passage by Bin'!L97:N97, "&lt;&gt;#N/A"), NA())</f>
        <v>#N/A</v>
      </c>
    </row>
    <row r="98" spans="1:29" x14ac:dyDescent="0.3">
      <c r="A98" s="5">
        <f>'1. Mixture Model Inputs'!A98</f>
        <v>45200</v>
      </c>
      <c r="B98" s="13" t="str">
        <f>IF(ISBLANK('[1]Passage Estimates'!$C98), "", '[1]Passage Estimates'!$C98)</f>
        <v>A1+S1+M2+A2</v>
      </c>
      <c r="C98" s="71">
        <f>IFERROR('1. Mixture Model Inputs'!R98/'1. Mixture Model Inputs'!Z98,0)</f>
        <v>0.78558528977179443</v>
      </c>
      <c r="D98" s="71">
        <f>IFERROR('1. Mixture Model Inputs'!S98/'1. Mixture Model Inputs'!AA98,0)</f>
        <v>0.62450107460853543</v>
      </c>
      <c r="E98" s="71">
        <f>IFERROR('1. Mixture Model Inputs'!T98/'1. Mixture Model Inputs'!AB98,0)</f>
        <v>0.7199620072819376</v>
      </c>
      <c r="F98" s="71">
        <f>IFERROR('1. Mixture Model Inputs'!U98/'1. Mixture Model Inputs'!AC98,0)</f>
        <v>0.55508410365206851</v>
      </c>
      <c r="G98" s="71">
        <f>IFERROR('1. Mixture Model Inputs'!V98/'1. Mixture Model Inputs'!AD98,0)</f>
        <v>0.54245719574271167</v>
      </c>
      <c r="H98" s="24">
        <f>WhonSpComp!AR113</f>
        <v>0</v>
      </c>
      <c r="I98" s="70">
        <f>IFERROR('1. Mixture Model Inputs'!W98/'1. Mixture Model Inputs'!AE98, 0)</f>
        <v>0</v>
      </c>
      <c r="J98" s="71">
        <f>IFERROR('1. Mixture Model Inputs'!X98/'1. Mixture Model Inputs'!AF98, 0)</f>
        <v>0</v>
      </c>
      <c r="K98" s="23">
        <f>IFERROR('1. Mixture Model Inputs'!Y98/'1. Mixture Model Inputs'!AG98, 0)</f>
        <v>0</v>
      </c>
      <c r="L98" s="76">
        <f>C98*'2. Salmon Passage by Bin'!C98</f>
        <v>6377.3813823674272</v>
      </c>
      <c r="M98" s="76">
        <f>D98*'2. Salmon Passage by Bin'!D98</f>
        <v>1388.2658888547742</v>
      </c>
      <c r="N98" s="76">
        <f>F98*'2. Salmon Passage by Bin'!F98</f>
        <v>4708.8006546446431</v>
      </c>
      <c r="O98" s="76">
        <f>G98*'2. Salmon Passage by Bin'!G98</f>
        <v>2136.8039888940302</v>
      </c>
      <c r="P98" s="76">
        <f>$G98*'2. Salmon Passage by Bin'!H98</f>
        <v>1881.3717445627021</v>
      </c>
      <c r="Q98" s="76">
        <f>$G98*'2. Salmon Passage by Bin'!I98</f>
        <v>2517.4787505784357</v>
      </c>
      <c r="R98" s="76">
        <f>$G98*'2. Salmon Passage by Bin'!J98</f>
        <v>0</v>
      </c>
      <c r="S98" s="56">
        <f>'2. Salmon Passage by Bin'!K98*H98</f>
        <v>0</v>
      </c>
      <c r="T98" s="25">
        <f>K98*'2. Salmon Passage by Bin'!L98</f>
        <v>0</v>
      </c>
      <c r="U98" s="25">
        <f>K98*'2. Salmon Passage by Bin'!M98</f>
        <v>0</v>
      </c>
      <c r="V98" s="25">
        <f>J98*'2. Salmon Passage by Bin'!N98</f>
        <v>0</v>
      </c>
      <c r="W98" s="25">
        <f>I98*'2. Salmon Passage by Bin'!O98</f>
        <v>0</v>
      </c>
      <c r="X98" s="76">
        <f>E98*'2. Salmon Passage by Bin'!E98</f>
        <v>7445.5590945068852</v>
      </c>
      <c r="Y98" s="41">
        <f t="shared" si="1"/>
        <v>19010.102409902011</v>
      </c>
      <c r="Z98" s="42">
        <f>Y98/'[1]Passage Estimates'!$D98</f>
        <v>0.36971457663148077</v>
      </c>
      <c r="AA98" s="43">
        <f>IFERROR(SUMIF(L98:O98, "&lt;&gt;#N/A")/SUMIF('2. Salmon Passage by Bin'!E98:J98, "&lt;&gt;#N/A"), NA())</f>
        <v>0.47327142510711251</v>
      </c>
      <c r="AB98" s="42">
        <f>IFERROR(IF(ISNA(S98), NA(), S98/'2. Salmon Passage by Bin'!K98), NA())</f>
        <v>0</v>
      </c>
      <c r="AC98" s="44" t="e">
        <f>IFERROR(SUMIF(T98:W98, "&lt;&gt;#N/A")/SUMIF('2. Salmon Passage by Bin'!L98:N98, "&lt;&gt;#N/A"), NA())</f>
        <v>#N/A</v>
      </c>
    </row>
    <row r="99" spans="1:29" x14ac:dyDescent="0.3">
      <c r="A99" s="5">
        <f>'1. Mixture Model Inputs'!A99</f>
        <v>45201</v>
      </c>
      <c r="B99" s="13" t="str">
        <f>IF(ISBLANK('[1]Passage Estimates'!$C99), "", '[1]Passage Estimates'!$C99)</f>
        <v>A1+S1+M2+A2</v>
      </c>
      <c r="C99" s="71">
        <f>IFERROR('1. Mixture Model Inputs'!R99/'1. Mixture Model Inputs'!Z99,0)</f>
        <v>0.80411954765751215</v>
      </c>
      <c r="D99" s="71">
        <f>IFERROR('1. Mixture Model Inputs'!S99/'1. Mixture Model Inputs'!AA99,0)</f>
        <v>0.62088485029048113</v>
      </c>
      <c r="E99" s="71">
        <f>IFERROR('1. Mixture Model Inputs'!T99/'1. Mixture Model Inputs'!AB99,0)</f>
        <v>0.70709020709020709</v>
      </c>
      <c r="F99" s="71">
        <f>IFERROR('1. Mixture Model Inputs'!U99/'1. Mixture Model Inputs'!AC99,0)</f>
        <v>0.53287841191066998</v>
      </c>
      <c r="G99" s="71">
        <f>IFERROR('1. Mixture Model Inputs'!V99/'1. Mixture Model Inputs'!AD99,0)</f>
        <v>0</v>
      </c>
      <c r="H99" s="24">
        <f>WhonSpComp!AR114</f>
        <v>0</v>
      </c>
      <c r="I99" s="70">
        <f>IFERROR('1. Mixture Model Inputs'!W99/'1. Mixture Model Inputs'!AE99, 0)</f>
        <v>0</v>
      </c>
      <c r="J99" s="71">
        <f>IFERROR('1. Mixture Model Inputs'!X99/'1. Mixture Model Inputs'!AF99, 0)</f>
        <v>0</v>
      </c>
      <c r="K99" s="23">
        <f>IFERROR('1. Mixture Model Inputs'!Y99/'1. Mixture Model Inputs'!AG99, 0)</f>
        <v>0</v>
      </c>
      <c r="L99" s="76">
        <f>C99*'2. Salmon Passage by Bin'!C99</f>
        <v>6836.6243941841685</v>
      </c>
      <c r="M99" s="76">
        <f>D99*'2. Salmon Passage by Bin'!D99</f>
        <v>2479.8140920601818</v>
      </c>
      <c r="N99" s="76">
        <f>F99*'2. Salmon Passage by Bin'!F99</f>
        <v>2795.181736972705</v>
      </c>
      <c r="O99" s="76">
        <f>G99*'2. Salmon Passage by Bin'!G99</f>
        <v>0</v>
      </c>
      <c r="P99" s="76">
        <f>$G99*'2. Salmon Passage by Bin'!H99</f>
        <v>0</v>
      </c>
      <c r="Q99" s="76">
        <f>$G99*'2. Salmon Passage by Bin'!I99</f>
        <v>0</v>
      </c>
      <c r="R99" s="76">
        <f>$G99*'2. Salmon Passage by Bin'!J99</f>
        <v>0</v>
      </c>
      <c r="S99" s="56">
        <f>'2. Salmon Passage by Bin'!K99*H99</f>
        <v>0</v>
      </c>
      <c r="T99" s="25">
        <f>K99*'2. Salmon Passage by Bin'!L99</f>
        <v>0</v>
      </c>
      <c r="U99" s="25">
        <f>K99*'2. Salmon Passage by Bin'!M99</f>
        <v>0</v>
      </c>
      <c r="V99" s="25">
        <f>J99*'2. Salmon Passage by Bin'!N99</f>
        <v>0</v>
      </c>
      <c r="W99" s="25">
        <f>I99*'2. Salmon Passage by Bin'!O99</f>
        <v>0</v>
      </c>
      <c r="X99" s="76">
        <f>E99*'2. Salmon Passage by Bin'!E99</f>
        <v>8835.8557950157938</v>
      </c>
      <c r="Y99" s="41">
        <f t="shared" si="1"/>
        <v>12111.620223217056</v>
      </c>
      <c r="Z99" s="42">
        <f>Y99/'[1]Passage Estimates'!$D99</f>
        <v>0.37114047835529385</v>
      </c>
      <c r="AA99" s="43">
        <f>IFERROR(SUMIF(L99:O99, "&lt;&gt;#N/A")/SUMIF('2. Salmon Passage by Bin'!E99:J99, "&lt;&gt;#N/A"), NA())</f>
        <v>0.58546218851473253</v>
      </c>
      <c r="AB99" s="42">
        <f>IFERROR(IF(ISNA(S99), NA(), S99/'2. Salmon Passage by Bin'!K99), NA())</f>
        <v>0</v>
      </c>
      <c r="AC99" s="44" t="e">
        <f>IFERROR(SUMIF(T99:W99, "&lt;&gt;#N/A")/SUMIF('2. Salmon Passage by Bin'!L99:N99, "&lt;&gt;#N/A"), NA())</f>
        <v>#N/A</v>
      </c>
    </row>
    <row r="100" spans="1:29" x14ac:dyDescent="0.3">
      <c r="A100" s="5">
        <f>'1. Mixture Model Inputs'!A100</f>
        <v>45202</v>
      </c>
      <c r="B100" s="13" t="str">
        <f>IF(ISBLANK('[1]Passage Estimates'!$C100), "", '[1]Passage Estimates'!$C100)</f>
        <v/>
      </c>
      <c r="C100" s="71">
        <f>IFERROR('1. Mixture Model Inputs'!R100/'1. Mixture Model Inputs'!Z100,0)</f>
        <v>0</v>
      </c>
      <c r="D100" s="71">
        <f>IFERROR('1. Mixture Model Inputs'!S100/'1. Mixture Model Inputs'!AA100,0)</f>
        <v>0</v>
      </c>
      <c r="E100" s="71">
        <f>IFERROR('1. Mixture Model Inputs'!T100/'1. Mixture Model Inputs'!AB100,0)</f>
        <v>0</v>
      </c>
      <c r="F100" s="71">
        <f>IFERROR('1. Mixture Model Inputs'!U100/'1. Mixture Model Inputs'!AC100,0)</f>
        <v>0</v>
      </c>
      <c r="G100" s="71">
        <f>IFERROR('1. Mixture Model Inputs'!V100/'1. Mixture Model Inputs'!AD100,0)</f>
        <v>0</v>
      </c>
      <c r="H100" s="24" t="str">
        <f>WhonSpComp!AR115</f>
        <v/>
      </c>
      <c r="I100" s="70">
        <f>IFERROR('1. Mixture Model Inputs'!W100/'1. Mixture Model Inputs'!AE100, 0)</f>
        <v>0</v>
      </c>
      <c r="J100" s="71">
        <f>IFERROR('1. Mixture Model Inputs'!X100/'1. Mixture Model Inputs'!AF100, 0)</f>
        <v>0</v>
      </c>
      <c r="K100" s="23">
        <f>IFERROR('1. Mixture Model Inputs'!Y100/'1. Mixture Model Inputs'!AG100, 0)</f>
        <v>0</v>
      </c>
      <c r="L100" s="76">
        <f>C100*'2. Salmon Passage by Bin'!C100</f>
        <v>0</v>
      </c>
      <c r="M100" s="76">
        <f>D100*'2. Salmon Passage by Bin'!D100</f>
        <v>0</v>
      </c>
      <c r="N100" s="76" t="e">
        <f>F100*'2. Salmon Passage by Bin'!F100</f>
        <v>#N/A</v>
      </c>
      <c r="O100" s="76" t="e">
        <f>G100*'2. Salmon Passage by Bin'!G100</f>
        <v>#N/A</v>
      </c>
      <c r="P100" s="76" t="e">
        <f>$G100*'2. Salmon Passage by Bin'!H100</f>
        <v>#N/A</v>
      </c>
      <c r="Q100" s="76" t="e">
        <f>$G100*'2. Salmon Passage by Bin'!I100</f>
        <v>#N/A</v>
      </c>
      <c r="R100" s="76" t="e">
        <f>$G100*'2. Salmon Passage by Bin'!J100</f>
        <v>#N/A</v>
      </c>
      <c r="S100" s="56" t="e">
        <f>'2. Salmon Passage by Bin'!K100*H100</f>
        <v>#N/A</v>
      </c>
      <c r="T100" s="25" t="e">
        <f>K100*'2. Salmon Passage by Bin'!L100</f>
        <v>#N/A</v>
      </c>
      <c r="U100" s="25" t="e">
        <f>K100*'2. Salmon Passage by Bin'!M100</f>
        <v>#N/A</v>
      </c>
      <c r="V100" s="25" t="e">
        <f>J100*'2. Salmon Passage by Bin'!N100</f>
        <v>#N/A</v>
      </c>
      <c r="W100" s="25" t="e">
        <f>I100*'2. Salmon Passage by Bin'!O100</f>
        <v>#N/A</v>
      </c>
      <c r="X100" s="76" t="e">
        <f>E100*'2. Salmon Passage by Bin'!E100</f>
        <v>#N/A</v>
      </c>
      <c r="Y100" s="41">
        <f t="shared" si="1"/>
        <v>0</v>
      </c>
      <c r="Z100" s="42" t="e">
        <f>Y100/'[1]Passage Estimates'!$D100</f>
        <v>#N/A</v>
      </c>
      <c r="AA100" s="43" t="e">
        <f>IFERROR(SUMIF(L100:O100, "&lt;&gt;#N/A")/SUMIF('2. Salmon Passage by Bin'!E100:J100, "&lt;&gt;#N/A"), NA())</f>
        <v>#N/A</v>
      </c>
      <c r="AB100" s="42" t="e">
        <f>IFERROR(IF(ISNA(S100), NA(), S100/'2. Salmon Passage by Bin'!K100), NA())</f>
        <v>#N/A</v>
      </c>
      <c r="AC100" s="44" t="e">
        <f>IFERROR(SUMIF(T100:W100, "&lt;&gt;#N/A")/SUMIF('2. Salmon Passage by Bin'!L100:N100, "&lt;&gt;#N/A"), NA())</f>
        <v>#N/A</v>
      </c>
    </row>
    <row r="101" spans="1:29" x14ac:dyDescent="0.3">
      <c r="A101" s="5">
        <f>'1. Mixture Model Inputs'!A101</f>
        <v>45203</v>
      </c>
      <c r="B101" s="13" t="str">
        <f>IF(ISBLANK('[1]Passage Estimates'!$C101), "", '[1]Passage Estimates'!$C101)</f>
        <v/>
      </c>
      <c r="C101" s="71">
        <f>IFERROR('1. Mixture Model Inputs'!R101/'1. Mixture Model Inputs'!Z101,0)</f>
        <v>0</v>
      </c>
      <c r="D101" s="71">
        <f>IFERROR('1. Mixture Model Inputs'!S101/'1. Mixture Model Inputs'!AA101,0)</f>
        <v>0</v>
      </c>
      <c r="E101" s="71">
        <f>IFERROR('1. Mixture Model Inputs'!T101/'1. Mixture Model Inputs'!AB101,0)</f>
        <v>0</v>
      </c>
      <c r="F101" s="71">
        <f>IFERROR('1. Mixture Model Inputs'!U101/'1. Mixture Model Inputs'!AC101,0)</f>
        <v>0</v>
      </c>
      <c r="G101" s="71">
        <f>IFERROR('1. Mixture Model Inputs'!V101/'1. Mixture Model Inputs'!AD101,0)</f>
        <v>0</v>
      </c>
      <c r="H101" s="24" t="str">
        <f>WhonSpComp!AR116</f>
        <v/>
      </c>
      <c r="I101" s="70">
        <f>IFERROR('1. Mixture Model Inputs'!W101/'1. Mixture Model Inputs'!AE101, 0)</f>
        <v>0</v>
      </c>
      <c r="J101" s="71">
        <f>IFERROR('1. Mixture Model Inputs'!X101/'1. Mixture Model Inputs'!AF101, 0)</f>
        <v>0</v>
      </c>
      <c r="K101" s="23">
        <f>IFERROR('1. Mixture Model Inputs'!Y101/'1. Mixture Model Inputs'!AG101, 0)</f>
        <v>0</v>
      </c>
      <c r="L101" s="76">
        <f>C101*'2. Salmon Passage by Bin'!C101</f>
        <v>0</v>
      </c>
      <c r="M101" s="76">
        <f>D101*'2. Salmon Passage by Bin'!D101</f>
        <v>0</v>
      </c>
      <c r="N101" s="76" t="e">
        <f>F101*'2. Salmon Passage by Bin'!F101</f>
        <v>#N/A</v>
      </c>
      <c r="O101" s="76" t="e">
        <f>G101*'2. Salmon Passage by Bin'!G101</f>
        <v>#N/A</v>
      </c>
      <c r="P101" s="76" t="e">
        <f>$G101*'2. Salmon Passage by Bin'!H101</f>
        <v>#N/A</v>
      </c>
      <c r="Q101" s="76" t="e">
        <f>$G101*'2. Salmon Passage by Bin'!I101</f>
        <v>#N/A</v>
      </c>
      <c r="R101" s="76" t="e">
        <f>$G101*'2. Salmon Passage by Bin'!J101</f>
        <v>#N/A</v>
      </c>
      <c r="S101" s="56" t="e">
        <f>'2. Salmon Passage by Bin'!K101*H101</f>
        <v>#N/A</v>
      </c>
      <c r="T101" s="25" t="e">
        <f>K101*'2. Salmon Passage by Bin'!L101</f>
        <v>#N/A</v>
      </c>
      <c r="U101" s="25" t="e">
        <f>K101*'2. Salmon Passage by Bin'!M101</f>
        <v>#N/A</v>
      </c>
      <c r="V101" s="25" t="e">
        <f>J101*'2. Salmon Passage by Bin'!N101</f>
        <v>#N/A</v>
      </c>
      <c r="W101" s="25" t="e">
        <f>I101*'2. Salmon Passage by Bin'!O101</f>
        <v>#N/A</v>
      </c>
      <c r="X101" s="76" t="e">
        <f>E101*'2. Salmon Passage by Bin'!E101</f>
        <v>#N/A</v>
      </c>
      <c r="Y101" s="41">
        <f t="shared" si="1"/>
        <v>0</v>
      </c>
      <c r="Z101" s="42" t="e">
        <f>Y101/'[1]Passage Estimates'!$D101</f>
        <v>#N/A</v>
      </c>
      <c r="AA101" s="43" t="e">
        <f>IFERROR(SUMIF(L101:O101, "&lt;&gt;#N/A")/SUMIF('2. Salmon Passage by Bin'!E101:J101, "&lt;&gt;#N/A"), NA())</f>
        <v>#N/A</v>
      </c>
      <c r="AB101" s="42" t="e">
        <f>IFERROR(IF(ISNA(S101), NA(), S101/'2. Salmon Passage by Bin'!K101), NA())</f>
        <v>#N/A</v>
      </c>
      <c r="AC101" s="44" t="e">
        <f>IFERROR(SUMIF(T101:W101, "&lt;&gt;#N/A")/SUMIF('2. Salmon Passage by Bin'!L101:N101, "&lt;&gt;#N/A"), NA())</f>
        <v>#N/A</v>
      </c>
    </row>
    <row r="102" spans="1:29" x14ac:dyDescent="0.3">
      <c r="A102" s="5">
        <f>'1. Mixture Model Inputs'!A102</f>
        <v>45204</v>
      </c>
      <c r="B102" s="13" t="str">
        <f>IF(ISBLANK('[1]Passage Estimates'!$C102), "", '[1]Passage Estimates'!$C102)</f>
        <v/>
      </c>
      <c r="C102" s="71">
        <f>IFERROR('1. Mixture Model Inputs'!R102/'1. Mixture Model Inputs'!Z102,0)</f>
        <v>0</v>
      </c>
      <c r="D102" s="71">
        <f>IFERROR('1. Mixture Model Inputs'!S102/'1. Mixture Model Inputs'!AA102,0)</f>
        <v>0</v>
      </c>
      <c r="E102" s="71">
        <f>IFERROR('1. Mixture Model Inputs'!T102/'1. Mixture Model Inputs'!AB102,0)</f>
        <v>0</v>
      </c>
      <c r="F102" s="71">
        <f>IFERROR('1. Mixture Model Inputs'!U102/'1. Mixture Model Inputs'!AC102,0)</f>
        <v>0</v>
      </c>
      <c r="G102" s="71">
        <f>IFERROR('1. Mixture Model Inputs'!V102/'1. Mixture Model Inputs'!AD102,0)</f>
        <v>0</v>
      </c>
      <c r="H102" s="24" t="str">
        <f>WhonSpComp!AR117</f>
        <v/>
      </c>
      <c r="I102" s="70">
        <f>IFERROR('1. Mixture Model Inputs'!W102/'1. Mixture Model Inputs'!AE102, 0)</f>
        <v>0</v>
      </c>
      <c r="J102" s="71">
        <f>IFERROR('1. Mixture Model Inputs'!X102/'1. Mixture Model Inputs'!AF102, 0)</f>
        <v>0</v>
      </c>
      <c r="K102" s="23">
        <f>IFERROR('1. Mixture Model Inputs'!Y102/'1. Mixture Model Inputs'!AG102, 0)</f>
        <v>0</v>
      </c>
      <c r="L102" s="76">
        <f>C102*'2. Salmon Passage by Bin'!C102</f>
        <v>0</v>
      </c>
      <c r="M102" s="76">
        <f>D102*'2. Salmon Passage by Bin'!D102</f>
        <v>0</v>
      </c>
      <c r="N102" s="76" t="e">
        <f>F102*'2. Salmon Passage by Bin'!F102</f>
        <v>#N/A</v>
      </c>
      <c r="O102" s="76" t="e">
        <f>G102*'2. Salmon Passage by Bin'!G102</f>
        <v>#N/A</v>
      </c>
      <c r="P102" s="76" t="e">
        <f>$G102*'2. Salmon Passage by Bin'!H102</f>
        <v>#N/A</v>
      </c>
      <c r="Q102" s="76" t="e">
        <f>$G102*'2. Salmon Passage by Bin'!I102</f>
        <v>#N/A</v>
      </c>
      <c r="R102" s="76" t="e">
        <f>$G102*'2. Salmon Passage by Bin'!J102</f>
        <v>#N/A</v>
      </c>
      <c r="S102" s="56" t="e">
        <f>'2. Salmon Passage by Bin'!K102*H102</f>
        <v>#N/A</v>
      </c>
      <c r="T102" s="25" t="e">
        <f>K102*'2. Salmon Passage by Bin'!L102</f>
        <v>#N/A</v>
      </c>
      <c r="U102" s="25" t="e">
        <f>K102*'2. Salmon Passage by Bin'!M102</f>
        <v>#N/A</v>
      </c>
      <c r="V102" s="25" t="e">
        <f>J102*'2. Salmon Passage by Bin'!N102</f>
        <v>#N/A</v>
      </c>
      <c r="W102" s="25" t="e">
        <f>I102*'2. Salmon Passage by Bin'!O102</f>
        <v>#N/A</v>
      </c>
      <c r="X102" s="76" t="e">
        <f>E102*'2. Salmon Passage by Bin'!E102</f>
        <v>#N/A</v>
      </c>
      <c r="Y102" s="41">
        <f t="shared" si="1"/>
        <v>0</v>
      </c>
      <c r="Z102" s="42" t="e">
        <f>Y102/'[1]Passage Estimates'!$D102</f>
        <v>#N/A</v>
      </c>
      <c r="AA102" s="43" t="e">
        <f>IFERROR(SUMIF(L102:O102, "&lt;&gt;#N/A")/SUMIF('2. Salmon Passage by Bin'!E102:J102, "&lt;&gt;#N/A"), NA())</f>
        <v>#N/A</v>
      </c>
      <c r="AB102" s="42" t="e">
        <f>IFERROR(IF(ISNA(S102), NA(), S102/'2. Salmon Passage by Bin'!K102), NA())</f>
        <v>#N/A</v>
      </c>
      <c r="AC102" s="44" t="e">
        <f>IFERROR(SUMIF(T102:W102, "&lt;&gt;#N/A")/SUMIF('2. Salmon Passage by Bin'!L102:N102, "&lt;&gt;#N/A"), NA())</f>
        <v>#N/A</v>
      </c>
    </row>
    <row r="103" spans="1:29" x14ac:dyDescent="0.3">
      <c r="A103" s="5">
        <f>'1. Mixture Model Inputs'!A103</f>
        <v>45205</v>
      </c>
      <c r="B103" s="13" t="str">
        <f>IF(ISBLANK('[1]Passage Estimates'!$C103), "", '[1]Passage Estimates'!$C103)</f>
        <v/>
      </c>
      <c r="C103" s="71">
        <f>IFERROR('1. Mixture Model Inputs'!R103/'1. Mixture Model Inputs'!Z103,0)</f>
        <v>0</v>
      </c>
      <c r="D103" s="71">
        <f>IFERROR('1. Mixture Model Inputs'!S103/'1. Mixture Model Inputs'!AA103,0)</f>
        <v>0</v>
      </c>
      <c r="E103" s="71">
        <f>IFERROR('1. Mixture Model Inputs'!T103/'1. Mixture Model Inputs'!AB103,0)</f>
        <v>0</v>
      </c>
      <c r="F103" s="71">
        <f>IFERROR('1. Mixture Model Inputs'!U103/'1. Mixture Model Inputs'!AC103,0)</f>
        <v>0</v>
      </c>
      <c r="G103" s="71">
        <f>IFERROR('1. Mixture Model Inputs'!V103/'1. Mixture Model Inputs'!AD103,0)</f>
        <v>0</v>
      </c>
      <c r="H103" s="24" t="str">
        <f>WhonSpComp!AR118</f>
        <v/>
      </c>
      <c r="I103" s="70">
        <f>IFERROR('1. Mixture Model Inputs'!W103/'1. Mixture Model Inputs'!AE103, 0)</f>
        <v>0</v>
      </c>
      <c r="J103" s="71">
        <f>IFERROR('1. Mixture Model Inputs'!X103/'1. Mixture Model Inputs'!AF103, 0)</f>
        <v>0</v>
      </c>
      <c r="K103" s="23">
        <f>IFERROR('1. Mixture Model Inputs'!Y103/'1. Mixture Model Inputs'!AG103, 0)</f>
        <v>0</v>
      </c>
      <c r="L103" s="76">
        <f>C103*'2. Salmon Passage by Bin'!C103</f>
        <v>0</v>
      </c>
      <c r="M103" s="76">
        <f>D103*'2. Salmon Passage by Bin'!D103</f>
        <v>0</v>
      </c>
      <c r="N103" s="76" t="e">
        <f>F103*'2. Salmon Passage by Bin'!F103</f>
        <v>#N/A</v>
      </c>
      <c r="O103" s="76" t="e">
        <f>G103*'2. Salmon Passage by Bin'!G103</f>
        <v>#N/A</v>
      </c>
      <c r="P103" s="76" t="e">
        <f>$G103*'2. Salmon Passage by Bin'!H103</f>
        <v>#N/A</v>
      </c>
      <c r="Q103" s="76" t="e">
        <f>$G103*'2. Salmon Passage by Bin'!I103</f>
        <v>#N/A</v>
      </c>
      <c r="R103" s="76" t="e">
        <f>$G103*'2. Salmon Passage by Bin'!J103</f>
        <v>#N/A</v>
      </c>
      <c r="S103" s="56" t="e">
        <f>'2. Salmon Passage by Bin'!K103*H103</f>
        <v>#N/A</v>
      </c>
      <c r="T103" s="25" t="e">
        <f>K103*'2. Salmon Passage by Bin'!L103</f>
        <v>#N/A</v>
      </c>
      <c r="U103" s="25" t="e">
        <f>K103*'2. Salmon Passage by Bin'!M103</f>
        <v>#N/A</v>
      </c>
      <c r="V103" s="25" t="e">
        <f>J103*'2. Salmon Passage by Bin'!N103</f>
        <v>#N/A</v>
      </c>
      <c r="W103" s="25" t="e">
        <f>I103*'2. Salmon Passage by Bin'!O103</f>
        <v>#N/A</v>
      </c>
      <c r="X103" s="76" t="e">
        <f>E103*'2. Salmon Passage by Bin'!E103</f>
        <v>#N/A</v>
      </c>
      <c r="Y103" s="41">
        <f t="shared" si="1"/>
        <v>0</v>
      </c>
      <c r="Z103" s="42" t="e">
        <f>Y103/'[1]Passage Estimates'!$D103</f>
        <v>#N/A</v>
      </c>
      <c r="AA103" s="43" t="e">
        <f>IFERROR(SUMIF(L103:O103, "&lt;&gt;#N/A")/SUMIF('2. Salmon Passage by Bin'!E103:J103, "&lt;&gt;#N/A"), NA())</f>
        <v>#N/A</v>
      </c>
      <c r="AB103" s="42" t="e">
        <f>IFERROR(IF(ISNA(S103), NA(), S103/'2. Salmon Passage by Bin'!K103), NA())</f>
        <v>#N/A</v>
      </c>
      <c r="AC103" s="44" t="e">
        <f>IFERROR(SUMIF(T103:W103, "&lt;&gt;#N/A")/SUMIF('2. Salmon Passage by Bin'!L103:N103, "&lt;&gt;#N/A"), NA())</f>
        <v>#N/A</v>
      </c>
    </row>
    <row r="104" spans="1:29" x14ac:dyDescent="0.3">
      <c r="A104" s="5">
        <f>'1. Mixture Model Inputs'!A104</f>
        <v>45206</v>
      </c>
      <c r="B104" s="13" t="str">
        <f>IF(ISBLANK('[1]Passage Estimates'!$C104), "", '[1]Passage Estimates'!$C104)</f>
        <v/>
      </c>
      <c r="C104" s="71">
        <f>IFERROR('1. Mixture Model Inputs'!R104/'1. Mixture Model Inputs'!Z104,0)</f>
        <v>0</v>
      </c>
      <c r="D104" s="71">
        <f>IFERROR('1. Mixture Model Inputs'!S104/'1. Mixture Model Inputs'!AA104,0)</f>
        <v>0</v>
      </c>
      <c r="E104" s="71">
        <f>IFERROR('1. Mixture Model Inputs'!T104/'1. Mixture Model Inputs'!AB104,0)</f>
        <v>0</v>
      </c>
      <c r="F104" s="71">
        <f>IFERROR('1. Mixture Model Inputs'!U104/'1. Mixture Model Inputs'!AC104,0)</f>
        <v>0</v>
      </c>
      <c r="G104" s="71">
        <f>IFERROR('1. Mixture Model Inputs'!V104/'1. Mixture Model Inputs'!AD104,0)</f>
        <v>0</v>
      </c>
      <c r="H104" s="24" t="str">
        <f>WhonSpComp!AR119</f>
        <v/>
      </c>
      <c r="I104" s="70">
        <f>IFERROR('1. Mixture Model Inputs'!W104/'1. Mixture Model Inputs'!AE104, 0)</f>
        <v>0</v>
      </c>
      <c r="J104" s="71">
        <f>IFERROR('1. Mixture Model Inputs'!X104/'1. Mixture Model Inputs'!AF104, 0)</f>
        <v>0</v>
      </c>
      <c r="K104" s="23">
        <f>IFERROR('1. Mixture Model Inputs'!Y104/'1. Mixture Model Inputs'!AG104, 0)</f>
        <v>0</v>
      </c>
      <c r="L104" s="76">
        <f>C104*'2. Salmon Passage by Bin'!C104</f>
        <v>0</v>
      </c>
      <c r="M104" s="76">
        <f>D104*'2. Salmon Passage by Bin'!D104</f>
        <v>0</v>
      </c>
      <c r="N104" s="76" t="e">
        <f>F104*'2. Salmon Passage by Bin'!F104</f>
        <v>#N/A</v>
      </c>
      <c r="O104" s="76" t="e">
        <f>G104*'2. Salmon Passage by Bin'!G104</f>
        <v>#N/A</v>
      </c>
      <c r="P104" s="76" t="e">
        <f>$G104*'2. Salmon Passage by Bin'!H104</f>
        <v>#N/A</v>
      </c>
      <c r="Q104" s="76" t="e">
        <f>$G104*'2. Salmon Passage by Bin'!I104</f>
        <v>#N/A</v>
      </c>
      <c r="R104" s="76" t="e">
        <f>$G104*'2. Salmon Passage by Bin'!J104</f>
        <v>#N/A</v>
      </c>
      <c r="S104" s="56" t="e">
        <f>'2. Salmon Passage by Bin'!K104*H104</f>
        <v>#N/A</v>
      </c>
      <c r="T104" s="25" t="e">
        <f>K104*'2. Salmon Passage by Bin'!L104</f>
        <v>#N/A</v>
      </c>
      <c r="U104" s="25" t="e">
        <f>K104*'2. Salmon Passage by Bin'!M104</f>
        <v>#N/A</v>
      </c>
      <c r="V104" s="25" t="e">
        <f>J104*'2. Salmon Passage by Bin'!N104</f>
        <v>#N/A</v>
      </c>
      <c r="W104" s="25" t="e">
        <f>I104*'2. Salmon Passage by Bin'!O104</f>
        <v>#N/A</v>
      </c>
      <c r="X104" s="76" t="e">
        <f>E104*'2. Salmon Passage by Bin'!E104</f>
        <v>#N/A</v>
      </c>
      <c r="Y104" s="41">
        <f t="shared" si="1"/>
        <v>0</v>
      </c>
      <c r="Z104" s="42" t="e">
        <f>Y104/'[1]Passage Estimates'!$D104</f>
        <v>#N/A</v>
      </c>
      <c r="AA104" s="43" t="e">
        <f>IFERROR(SUMIF(L104:O104, "&lt;&gt;#N/A")/SUMIF('2. Salmon Passage by Bin'!E104:J104, "&lt;&gt;#N/A"), NA())</f>
        <v>#N/A</v>
      </c>
      <c r="AB104" s="42" t="e">
        <f>IFERROR(IF(ISNA(S104), NA(), S104/'2. Salmon Passage by Bin'!K104), NA())</f>
        <v>#N/A</v>
      </c>
      <c r="AC104" s="44" t="e">
        <f>IFERROR(SUMIF(T104:W104, "&lt;&gt;#N/A")/SUMIF('2. Salmon Passage by Bin'!L104:N104, "&lt;&gt;#N/A"), NA())</f>
        <v>#N/A</v>
      </c>
    </row>
    <row r="105" spans="1:29" x14ac:dyDescent="0.3">
      <c r="A105" s="5">
        <f>'1. Mixture Model Inputs'!A105</f>
        <v>45207</v>
      </c>
      <c r="B105" s="13" t="str">
        <f>IF(ISBLANK('[1]Passage Estimates'!$C105), "", '[1]Passage Estimates'!$C105)</f>
        <v/>
      </c>
      <c r="C105" s="71">
        <f>IFERROR('1. Mixture Model Inputs'!R105/'1. Mixture Model Inputs'!Z105,0)</f>
        <v>0</v>
      </c>
      <c r="D105" s="71">
        <f>IFERROR('1. Mixture Model Inputs'!S105/'1. Mixture Model Inputs'!AA105,0)</f>
        <v>0</v>
      </c>
      <c r="E105" s="71">
        <f>IFERROR('1. Mixture Model Inputs'!T105/'1. Mixture Model Inputs'!AB105,0)</f>
        <v>0</v>
      </c>
      <c r="F105" s="71">
        <f>IFERROR('1. Mixture Model Inputs'!U105/'1. Mixture Model Inputs'!AC105,0)</f>
        <v>0</v>
      </c>
      <c r="G105" s="71">
        <f>IFERROR('1. Mixture Model Inputs'!V105/'1. Mixture Model Inputs'!AD105,0)</f>
        <v>0</v>
      </c>
      <c r="H105" s="24" t="str">
        <f>WhonSpComp!AR120</f>
        <v/>
      </c>
      <c r="I105" s="70">
        <f>IFERROR('1. Mixture Model Inputs'!W105/'1. Mixture Model Inputs'!AE105, 0)</f>
        <v>0</v>
      </c>
      <c r="J105" s="71">
        <f>IFERROR('1. Mixture Model Inputs'!X105/'1. Mixture Model Inputs'!AF105, 0)</f>
        <v>0</v>
      </c>
      <c r="K105" s="23">
        <f>IFERROR('1. Mixture Model Inputs'!Y105/'1. Mixture Model Inputs'!AG105, 0)</f>
        <v>0</v>
      </c>
      <c r="L105" s="76">
        <f>C105*'2. Salmon Passage by Bin'!C105</f>
        <v>0</v>
      </c>
      <c r="M105" s="76">
        <f>D105*'2. Salmon Passage by Bin'!D105</f>
        <v>0</v>
      </c>
      <c r="N105" s="76" t="e">
        <f>F105*'2. Salmon Passage by Bin'!F105</f>
        <v>#N/A</v>
      </c>
      <c r="O105" s="76" t="e">
        <f>G105*'2. Salmon Passage by Bin'!G105</f>
        <v>#N/A</v>
      </c>
      <c r="P105" s="76" t="e">
        <f>$G105*'2. Salmon Passage by Bin'!H105</f>
        <v>#N/A</v>
      </c>
      <c r="Q105" s="76" t="e">
        <f>$G105*'2. Salmon Passage by Bin'!I105</f>
        <v>#N/A</v>
      </c>
      <c r="R105" s="76" t="e">
        <f>$G105*'2. Salmon Passage by Bin'!J105</f>
        <v>#N/A</v>
      </c>
      <c r="S105" s="56" t="e">
        <f>'2. Salmon Passage by Bin'!K105*H105</f>
        <v>#N/A</v>
      </c>
      <c r="T105" s="25" t="e">
        <f>K105*'2. Salmon Passage by Bin'!L105</f>
        <v>#N/A</v>
      </c>
      <c r="U105" s="25" t="e">
        <f>K105*'2. Salmon Passage by Bin'!M105</f>
        <v>#N/A</v>
      </c>
      <c r="V105" s="25" t="e">
        <f>J105*'2. Salmon Passage by Bin'!N105</f>
        <v>#N/A</v>
      </c>
      <c r="W105" s="25" t="e">
        <f>I105*'2. Salmon Passage by Bin'!O105</f>
        <v>#N/A</v>
      </c>
      <c r="X105" s="76" t="e">
        <f>E105*'2. Salmon Passage by Bin'!E105</f>
        <v>#N/A</v>
      </c>
      <c r="Y105" s="41">
        <f t="shared" si="1"/>
        <v>0</v>
      </c>
      <c r="Z105" s="42" t="e">
        <f>Y105/'[1]Passage Estimates'!$D105</f>
        <v>#N/A</v>
      </c>
      <c r="AA105" s="43" t="e">
        <f>IFERROR(SUMIF(L105:O105, "&lt;&gt;#N/A")/SUMIF('2. Salmon Passage by Bin'!E105:J105, "&lt;&gt;#N/A"), NA())</f>
        <v>#N/A</v>
      </c>
      <c r="AB105" s="42" t="e">
        <f>IFERROR(IF(ISNA(S105), NA(), S105/'2. Salmon Passage by Bin'!K105), NA())</f>
        <v>#N/A</v>
      </c>
      <c r="AC105" s="44" t="e">
        <f>IFERROR(SUMIF(T105:W105, "&lt;&gt;#N/A")/SUMIF('2. Salmon Passage by Bin'!L105:N105, "&lt;&gt;#N/A"), NA())</f>
        <v>#N/A</v>
      </c>
    </row>
    <row r="106" spans="1:29" x14ac:dyDescent="0.3">
      <c r="A106" s="5">
        <f>'1. Mixture Model Inputs'!A106</f>
        <v>45208</v>
      </c>
      <c r="B106" s="13" t="str">
        <f>IF(ISBLANK('[1]Passage Estimates'!$C106), "", '[1]Passage Estimates'!$C106)</f>
        <v/>
      </c>
      <c r="C106" s="71">
        <f>IFERROR('1. Mixture Model Inputs'!R106/'1. Mixture Model Inputs'!Z106,0)</f>
        <v>0</v>
      </c>
      <c r="D106" s="71">
        <f>IFERROR('1. Mixture Model Inputs'!S106/'1. Mixture Model Inputs'!AA106,0)</f>
        <v>0</v>
      </c>
      <c r="E106" s="71">
        <f>IFERROR('1. Mixture Model Inputs'!T106/'1. Mixture Model Inputs'!AB106,0)</f>
        <v>0</v>
      </c>
      <c r="F106" s="71">
        <f>IFERROR('1. Mixture Model Inputs'!U106/'1. Mixture Model Inputs'!AC106,0)</f>
        <v>0</v>
      </c>
      <c r="G106" s="71">
        <f>IFERROR('1. Mixture Model Inputs'!V106/'1. Mixture Model Inputs'!AD106,0)</f>
        <v>0</v>
      </c>
      <c r="H106" s="24" t="str">
        <f>WhonSpComp!AR121</f>
        <v/>
      </c>
      <c r="I106" s="70">
        <f>IFERROR('1. Mixture Model Inputs'!W106/'1. Mixture Model Inputs'!AE106, 0)</f>
        <v>0</v>
      </c>
      <c r="J106" s="71">
        <f>IFERROR('1. Mixture Model Inputs'!X106/'1. Mixture Model Inputs'!AF106, 0)</f>
        <v>0</v>
      </c>
      <c r="K106" s="23">
        <f>IFERROR('1. Mixture Model Inputs'!Y106/'1. Mixture Model Inputs'!AG106, 0)</f>
        <v>0</v>
      </c>
      <c r="L106" s="76">
        <f>C106*'2. Salmon Passage by Bin'!C106</f>
        <v>0</v>
      </c>
      <c r="M106" s="76">
        <f>D106*'2. Salmon Passage by Bin'!D106</f>
        <v>0</v>
      </c>
      <c r="N106" s="76" t="e">
        <f>F106*'2. Salmon Passage by Bin'!F106</f>
        <v>#N/A</v>
      </c>
      <c r="O106" s="76" t="e">
        <f>G106*'2. Salmon Passage by Bin'!G106</f>
        <v>#N/A</v>
      </c>
      <c r="P106" s="76" t="e">
        <f>$G106*'2. Salmon Passage by Bin'!H106</f>
        <v>#N/A</v>
      </c>
      <c r="Q106" s="76" t="e">
        <f>$G106*'2. Salmon Passage by Bin'!I106</f>
        <v>#N/A</v>
      </c>
      <c r="R106" s="76" t="e">
        <f>$G106*'2. Salmon Passage by Bin'!J106</f>
        <v>#N/A</v>
      </c>
      <c r="S106" s="56" t="e">
        <f>'2. Salmon Passage by Bin'!K106*H106</f>
        <v>#N/A</v>
      </c>
      <c r="T106" s="25" t="e">
        <f>K106*'2. Salmon Passage by Bin'!L106</f>
        <v>#N/A</v>
      </c>
      <c r="U106" s="25" t="e">
        <f>K106*'2. Salmon Passage by Bin'!M106</f>
        <v>#N/A</v>
      </c>
      <c r="V106" s="25" t="e">
        <f>J106*'2. Salmon Passage by Bin'!N106</f>
        <v>#N/A</v>
      </c>
      <c r="W106" s="25" t="e">
        <f>I106*'2. Salmon Passage by Bin'!O106</f>
        <v>#N/A</v>
      </c>
      <c r="X106" s="76" t="e">
        <f>E106*'2. Salmon Passage by Bin'!E106</f>
        <v>#N/A</v>
      </c>
      <c r="Y106" s="41">
        <f t="shared" si="1"/>
        <v>0</v>
      </c>
      <c r="Z106" s="42" t="e">
        <f>Y106/'[1]Passage Estimates'!$D106</f>
        <v>#N/A</v>
      </c>
      <c r="AA106" s="43" t="e">
        <f>IFERROR(SUMIF(L106:O106, "&lt;&gt;#N/A")/SUMIF('2. Salmon Passage by Bin'!E106:J106, "&lt;&gt;#N/A"), NA())</f>
        <v>#N/A</v>
      </c>
      <c r="AB106" s="42" t="e">
        <f>IFERROR(IF(ISNA(S106), NA(), S106/'2. Salmon Passage by Bin'!K106), NA())</f>
        <v>#N/A</v>
      </c>
      <c r="AC106" s="44" t="e">
        <f>IFERROR(SUMIF(T106:W106, "&lt;&gt;#N/A")/SUMIF('2. Salmon Passage by Bin'!L106:N106, "&lt;&gt;#N/A"), NA())</f>
        <v>#N/A</v>
      </c>
    </row>
    <row r="107" spans="1:29" x14ac:dyDescent="0.3">
      <c r="A107" s="5">
        <f>'1. Mixture Model Inputs'!A107</f>
        <v>45209</v>
      </c>
      <c r="B107" s="13" t="str">
        <f>IF(ISBLANK('[1]Passage Estimates'!$C107), "", '[1]Passage Estimates'!$C107)</f>
        <v/>
      </c>
      <c r="C107" s="71">
        <f>IFERROR('1. Mixture Model Inputs'!R107/'1. Mixture Model Inputs'!Z107,0)</f>
        <v>0</v>
      </c>
      <c r="D107" s="71">
        <f>IFERROR('1. Mixture Model Inputs'!S107/'1. Mixture Model Inputs'!AA107,0)</f>
        <v>0</v>
      </c>
      <c r="E107" s="71">
        <f>IFERROR('1. Mixture Model Inputs'!T107/'1. Mixture Model Inputs'!AB107,0)</f>
        <v>0</v>
      </c>
      <c r="F107" s="71">
        <f>IFERROR('1. Mixture Model Inputs'!U107/'1. Mixture Model Inputs'!AC107,0)</f>
        <v>0</v>
      </c>
      <c r="G107" s="71">
        <f>IFERROR('1. Mixture Model Inputs'!V107/'1. Mixture Model Inputs'!AD107,0)</f>
        <v>0</v>
      </c>
      <c r="H107" s="24" t="str">
        <f>WhonSpComp!AR122</f>
        <v/>
      </c>
      <c r="I107" s="70">
        <f>IFERROR('1. Mixture Model Inputs'!W107/'1. Mixture Model Inputs'!AE107, 0)</f>
        <v>0</v>
      </c>
      <c r="J107" s="71">
        <f>IFERROR('1. Mixture Model Inputs'!X107/'1. Mixture Model Inputs'!AF107, 0)</f>
        <v>0</v>
      </c>
      <c r="K107" s="23">
        <f>IFERROR('1. Mixture Model Inputs'!Y107/'1. Mixture Model Inputs'!AG107, 0)</f>
        <v>0</v>
      </c>
      <c r="L107" s="76">
        <f>C107*'2. Salmon Passage by Bin'!C107</f>
        <v>0</v>
      </c>
      <c r="M107" s="76">
        <f>D107*'2. Salmon Passage by Bin'!D107</f>
        <v>0</v>
      </c>
      <c r="N107" s="76" t="e">
        <f>F107*'2. Salmon Passage by Bin'!F107</f>
        <v>#N/A</v>
      </c>
      <c r="O107" s="76" t="e">
        <f>G107*'2. Salmon Passage by Bin'!G107</f>
        <v>#N/A</v>
      </c>
      <c r="P107" s="76" t="e">
        <f>$G107*'2. Salmon Passage by Bin'!H107</f>
        <v>#N/A</v>
      </c>
      <c r="Q107" s="76" t="e">
        <f>$G107*'2. Salmon Passage by Bin'!I107</f>
        <v>#N/A</v>
      </c>
      <c r="R107" s="76" t="e">
        <f>$G107*'2. Salmon Passage by Bin'!J107</f>
        <v>#N/A</v>
      </c>
      <c r="S107" s="56" t="e">
        <f>'2. Salmon Passage by Bin'!K107*H107</f>
        <v>#N/A</v>
      </c>
      <c r="T107" s="25" t="e">
        <f>K107*'2. Salmon Passage by Bin'!L107</f>
        <v>#N/A</v>
      </c>
      <c r="U107" s="25" t="e">
        <f>K107*'2. Salmon Passage by Bin'!M107</f>
        <v>#N/A</v>
      </c>
      <c r="V107" s="25" t="e">
        <f>J107*'2. Salmon Passage by Bin'!N107</f>
        <v>#N/A</v>
      </c>
      <c r="W107" s="25" t="e">
        <f>I107*'2. Salmon Passage by Bin'!O107</f>
        <v>#N/A</v>
      </c>
      <c r="X107" s="76" t="e">
        <f>E107*'2. Salmon Passage by Bin'!E107</f>
        <v>#N/A</v>
      </c>
      <c r="Y107" s="41">
        <f t="shared" si="1"/>
        <v>0</v>
      </c>
      <c r="Z107" s="42" t="e">
        <f>Y107/'[1]Passage Estimates'!$D107</f>
        <v>#N/A</v>
      </c>
      <c r="AA107" s="43" t="e">
        <f>IFERROR(SUMIF(L107:O107, "&lt;&gt;#N/A")/SUMIF('2. Salmon Passage by Bin'!E107:J107, "&lt;&gt;#N/A"), NA())</f>
        <v>#N/A</v>
      </c>
      <c r="AB107" s="42" t="e">
        <f>IFERROR(IF(ISNA(S107), NA(), S107/'2. Salmon Passage by Bin'!K107), NA())</f>
        <v>#N/A</v>
      </c>
      <c r="AC107" s="44" t="e">
        <f>IFERROR(SUMIF(T107:W107, "&lt;&gt;#N/A")/SUMIF('2. Salmon Passage by Bin'!L107:N107, "&lt;&gt;#N/A"), NA())</f>
        <v>#N/A</v>
      </c>
    </row>
    <row r="108" spans="1:29" x14ac:dyDescent="0.3">
      <c r="A108" s="5">
        <f>'1. Mixture Model Inputs'!A108</f>
        <v>45210</v>
      </c>
      <c r="B108" s="13" t="str">
        <f>IF(ISBLANK('[1]Passage Estimates'!$C108), "", '[1]Passage Estimates'!$C108)</f>
        <v/>
      </c>
      <c r="C108" s="71">
        <f>IFERROR('1. Mixture Model Inputs'!R108/'1. Mixture Model Inputs'!Z108,0)</f>
        <v>0</v>
      </c>
      <c r="D108" s="71">
        <f>IFERROR('1. Mixture Model Inputs'!S108/'1. Mixture Model Inputs'!AA108,0)</f>
        <v>0</v>
      </c>
      <c r="E108" s="71">
        <f>IFERROR('1. Mixture Model Inputs'!T108/'1. Mixture Model Inputs'!AB108,0)</f>
        <v>0</v>
      </c>
      <c r="F108" s="71">
        <f>IFERROR('1. Mixture Model Inputs'!U108/'1. Mixture Model Inputs'!AC108,0)</f>
        <v>0</v>
      </c>
      <c r="G108" s="71">
        <f>IFERROR('1. Mixture Model Inputs'!V108/'1. Mixture Model Inputs'!AD108,0)</f>
        <v>0</v>
      </c>
      <c r="H108" s="24" t="str">
        <f>WhonSpComp!AR123</f>
        <v/>
      </c>
      <c r="I108" s="70">
        <f>IFERROR('1. Mixture Model Inputs'!W108/'1. Mixture Model Inputs'!AE108, 0)</f>
        <v>0</v>
      </c>
      <c r="J108" s="71">
        <f>IFERROR('1. Mixture Model Inputs'!X108/'1. Mixture Model Inputs'!AF108, 0)</f>
        <v>0</v>
      </c>
      <c r="K108" s="23">
        <f>IFERROR('1. Mixture Model Inputs'!Y108/'1. Mixture Model Inputs'!AG108, 0)</f>
        <v>0</v>
      </c>
      <c r="L108" s="76">
        <f>C108*'2. Salmon Passage by Bin'!C108</f>
        <v>0</v>
      </c>
      <c r="M108" s="76">
        <f>D108*'2. Salmon Passage by Bin'!D108</f>
        <v>0</v>
      </c>
      <c r="N108" s="76" t="e">
        <f>F108*'2. Salmon Passage by Bin'!F108</f>
        <v>#N/A</v>
      </c>
      <c r="O108" s="76" t="e">
        <f>G108*'2. Salmon Passage by Bin'!G108</f>
        <v>#N/A</v>
      </c>
      <c r="P108" s="76" t="e">
        <f>$G108*'2. Salmon Passage by Bin'!H108</f>
        <v>#N/A</v>
      </c>
      <c r="Q108" s="76" t="e">
        <f>$G108*'2. Salmon Passage by Bin'!I108</f>
        <v>#N/A</v>
      </c>
      <c r="R108" s="76" t="e">
        <f>$G108*'2. Salmon Passage by Bin'!J108</f>
        <v>#N/A</v>
      </c>
      <c r="S108" s="56" t="e">
        <f>'2. Salmon Passage by Bin'!K108*H108</f>
        <v>#N/A</v>
      </c>
      <c r="T108" s="25" t="e">
        <f>K108*'2. Salmon Passage by Bin'!L108</f>
        <v>#N/A</v>
      </c>
      <c r="U108" s="25" t="e">
        <f>K108*'2. Salmon Passage by Bin'!M108</f>
        <v>#N/A</v>
      </c>
      <c r="V108" s="25" t="e">
        <f>J108*'2. Salmon Passage by Bin'!N108</f>
        <v>#N/A</v>
      </c>
      <c r="W108" s="25" t="e">
        <f>I108*'2. Salmon Passage by Bin'!O108</f>
        <v>#N/A</v>
      </c>
      <c r="X108" s="76" t="e">
        <f>E108*'2. Salmon Passage by Bin'!E108</f>
        <v>#N/A</v>
      </c>
      <c r="Y108" s="41">
        <f t="shared" si="1"/>
        <v>0</v>
      </c>
      <c r="Z108" s="42" t="e">
        <f>Y108/'[1]Passage Estimates'!$D108</f>
        <v>#N/A</v>
      </c>
      <c r="AA108" s="43" t="e">
        <f>IFERROR(SUMIF(L108:O108, "&lt;&gt;#N/A")/SUMIF('2. Salmon Passage by Bin'!E108:J108, "&lt;&gt;#N/A"), NA())</f>
        <v>#N/A</v>
      </c>
      <c r="AB108" s="42" t="e">
        <f>IFERROR(IF(ISNA(S108), NA(), S108/'2. Salmon Passage by Bin'!K108), NA())</f>
        <v>#N/A</v>
      </c>
      <c r="AC108" s="44" t="e">
        <f>IFERROR(SUMIF(T108:W108, "&lt;&gt;#N/A")/SUMIF('2. Salmon Passage by Bin'!L108:N108, "&lt;&gt;#N/A"), NA())</f>
        <v>#N/A</v>
      </c>
    </row>
    <row r="109" spans="1:29" x14ac:dyDescent="0.3">
      <c r="A109" s="5">
        <f>'1. Mixture Model Inputs'!A109</f>
        <v>45211</v>
      </c>
      <c r="B109" s="13" t="str">
        <f>IF(ISBLANK('[1]Passage Estimates'!$C109), "", '[1]Passage Estimates'!$C109)</f>
        <v/>
      </c>
      <c r="C109" s="71">
        <f>IFERROR('1. Mixture Model Inputs'!R109/'1. Mixture Model Inputs'!Z109,0)</f>
        <v>0</v>
      </c>
      <c r="D109" s="71">
        <f>IFERROR('1. Mixture Model Inputs'!S109/'1. Mixture Model Inputs'!AA109,0)</f>
        <v>0</v>
      </c>
      <c r="E109" s="71">
        <f>IFERROR('1. Mixture Model Inputs'!T109/'1. Mixture Model Inputs'!AB109,0)</f>
        <v>0</v>
      </c>
      <c r="F109" s="71">
        <f>IFERROR('1. Mixture Model Inputs'!U109/'1. Mixture Model Inputs'!AC109,0)</f>
        <v>0</v>
      </c>
      <c r="G109" s="71">
        <f>IFERROR('1. Mixture Model Inputs'!V109/'1. Mixture Model Inputs'!AD109,0)</f>
        <v>0</v>
      </c>
      <c r="H109" s="24" t="str">
        <f>WhonSpComp!AR124</f>
        <v/>
      </c>
      <c r="I109" s="70">
        <f>IFERROR('1. Mixture Model Inputs'!W109/'1. Mixture Model Inputs'!AE109, 0)</f>
        <v>0</v>
      </c>
      <c r="J109" s="71">
        <f>IFERROR('1. Mixture Model Inputs'!X109/'1. Mixture Model Inputs'!AF109, 0)</f>
        <v>0</v>
      </c>
      <c r="K109" s="23">
        <f>IFERROR('1. Mixture Model Inputs'!Y109/'1. Mixture Model Inputs'!AG109, 0)</f>
        <v>0</v>
      </c>
      <c r="L109" s="76">
        <f>C109*'2. Salmon Passage by Bin'!C109</f>
        <v>0</v>
      </c>
      <c r="M109" s="76">
        <f>D109*'2. Salmon Passage by Bin'!D109</f>
        <v>0</v>
      </c>
      <c r="N109" s="76" t="e">
        <f>F109*'2. Salmon Passage by Bin'!F109</f>
        <v>#N/A</v>
      </c>
      <c r="O109" s="76" t="e">
        <f>G109*'2. Salmon Passage by Bin'!G109</f>
        <v>#N/A</v>
      </c>
      <c r="P109" s="76" t="e">
        <f>$G109*'2. Salmon Passage by Bin'!H109</f>
        <v>#N/A</v>
      </c>
      <c r="Q109" s="76" t="e">
        <f>$G109*'2. Salmon Passage by Bin'!I109</f>
        <v>#N/A</v>
      </c>
      <c r="R109" s="76" t="e">
        <f>$G109*'2. Salmon Passage by Bin'!J109</f>
        <v>#N/A</v>
      </c>
      <c r="S109" s="56" t="e">
        <f>'2. Salmon Passage by Bin'!K109*H109</f>
        <v>#N/A</v>
      </c>
      <c r="T109" s="25" t="e">
        <f>K109*'2. Salmon Passage by Bin'!L109</f>
        <v>#N/A</v>
      </c>
      <c r="U109" s="25" t="e">
        <f>K109*'2. Salmon Passage by Bin'!M109</f>
        <v>#N/A</v>
      </c>
      <c r="V109" s="25" t="e">
        <f>J109*'2. Salmon Passage by Bin'!N109</f>
        <v>#N/A</v>
      </c>
      <c r="W109" s="25" t="e">
        <f>I109*'2. Salmon Passage by Bin'!O109</f>
        <v>#N/A</v>
      </c>
      <c r="X109" s="76" t="e">
        <f>E109*'2. Salmon Passage by Bin'!E109</f>
        <v>#N/A</v>
      </c>
      <c r="Y109" s="41">
        <f t="shared" si="1"/>
        <v>0</v>
      </c>
      <c r="Z109" s="42" t="e">
        <f>Y109/'[1]Passage Estimates'!$D109</f>
        <v>#N/A</v>
      </c>
      <c r="AA109" s="43" t="e">
        <f>IFERROR(SUMIF(L109:O109, "&lt;&gt;#N/A")/SUMIF('2. Salmon Passage by Bin'!E109:J109, "&lt;&gt;#N/A"), NA())</f>
        <v>#N/A</v>
      </c>
      <c r="AB109" s="42" t="e">
        <f>IFERROR(IF(ISNA(S109), NA(), S109/'2. Salmon Passage by Bin'!K109), NA())</f>
        <v>#N/A</v>
      </c>
      <c r="AC109" s="44" t="e">
        <f>IFERROR(SUMIF(T109:W109, "&lt;&gt;#N/A")/SUMIF('2. Salmon Passage by Bin'!L109:N109, "&lt;&gt;#N/A"), NA())</f>
        <v>#N/A</v>
      </c>
    </row>
    <row r="110" spans="1:29" x14ac:dyDescent="0.3">
      <c r="A110" s="5">
        <f>'1. Mixture Model Inputs'!A110</f>
        <v>45212</v>
      </c>
      <c r="B110" s="13" t="str">
        <f>IF(ISBLANK('[1]Passage Estimates'!$C110), "", '[1]Passage Estimates'!$C110)</f>
        <v/>
      </c>
      <c r="C110" s="71">
        <f>IFERROR('1. Mixture Model Inputs'!R110/'1. Mixture Model Inputs'!Z110,0)</f>
        <v>0</v>
      </c>
      <c r="D110" s="71">
        <f>IFERROR('1. Mixture Model Inputs'!S110/'1. Mixture Model Inputs'!AA110,0)</f>
        <v>0</v>
      </c>
      <c r="E110" s="71">
        <f>IFERROR('1. Mixture Model Inputs'!T110/'1. Mixture Model Inputs'!AB110,0)</f>
        <v>0</v>
      </c>
      <c r="F110" s="71">
        <f>IFERROR('1. Mixture Model Inputs'!U110/'1. Mixture Model Inputs'!AC110,0)</f>
        <v>0</v>
      </c>
      <c r="G110" s="71">
        <f>IFERROR('1. Mixture Model Inputs'!V110/'1. Mixture Model Inputs'!AD110,0)</f>
        <v>0</v>
      </c>
      <c r="H110" s="24" t="str">
        <f>WhonSpComp!AR125</f>
        <v/>
      </c>
      <c r="I110" s="70">
        <f>IFERROR('1. Mixture Model Inputs'!W110/'1. Mixture Model Inputs'!AE110, 0)</f>
        <v>0</v>
      </c>
      <c r="J110" s="71">
        <f>IFERROR('1. Mixture Model Inputs'!X110/'1. Mixture Model Inputs'!AF110, 0)</f>
        <v>0</v>
      </c>
      <c r="K110" s="23">
        <f>IFERROR('1. Mixture Model Inputs'!Y110/'1. Mixture Model Inputs'!AG110, 0)</f>
        <v>0</v>
      </c>
      <c r="L110" s="76">
        <f>C110*'2. Salmon Passage by Bin'!C110</f>
        <v>0</v>
      </c>
      <c r="M110" s="76">
        <f>D110*'2. Salmon Passage by Bin'!D110</f>
        <v>0</v>
      </c>
      <c r="N110" s="76" t="e">
        <f>F110*'2. Salmon Passage by Bin'!F110</f>
        <v>#N/A</v>
      </c>
      <c r="O110" s="76" t="e">
        <f>G110*'2. Salmon Passage by Bin'!G110</f>
        <v>#N/A</v>
      </c>
      <c r="P110" s="76" t="e">
        <f>$G110*'2. Salmon Passage by Bin'!H110</f>
        <v>#N/A</v>
      </c>
      <c r="Q110" s="76" t="e">
        <f>$G110*'2. Salmon Passage by Bin'!I110</f>
        <v>#N/A</v>
      </c>
      <c r="R110" s="76" t="e">
        <f>$G110*'2. Salmon Passage by Bin'!J110</f>
        <v>#N/A</v>
      </c>
      <c r="S110" s="56" t="e">
        <f>'2. Salmon Passage by Bin'!K110*H110</f>
        <v>#N/A</v>
      </c>
      <c r="T110" s="25" t="e">
        <f>K110*'2. Salmon Passage by Bin'!L110</f>
        <v>#N/A</v>
      </c>
      <c r="U110" s="25" t="e">
        <f>K110*'2. Salmon Passage by Bin'!M110</f>
        <v>#N/A</v>
      </c>
      <c r="V110" s="25" t="e">
        <f>J110*'2. Salmon Passage by Bin'!N110</f>
        <v>#N/A</v>
      </c>
      <c r="W110" s="25" t="e">
        <f>I110*'2. Salmon Passage by Bin'!O110</f>
        <v>#N/A</v>
      </c>
      <c r="X110" s="76" t="e">
        <f>E110*'2. Salmon Passage by Bin'!E110</f>
        <v>#N/A</v>
      </c>
      <c r="Y110" s="41">
        <f t="shared" si="1"/>
        <v>0</v>
      </c>
      <c r="Z110" s="42" t="e">
        <f>Y110/'[1]Passage Estimates'!$D110</f>
        <v>#N/A</v>
      </c>
      <c r="AA110" s="43" t="e">
        <f>IFERROR(SUMIF(L110:O110, "&lt;&gt;#N/A")/SUMIF('2. Salmon Passage by Bin'!E110:J110, "&lt;&gt;#N/A"), NA())</f>
        <v>#N/A</v>
      </c>
      <c r="AB110" s="42" t="e">
        <f>IFERROR(IF(ISNA(S110), NA(), S110/'2. Salmon Passage by Bin'!K110), NA())</f>
        <v>#N/A</v>
      </c>
      <c r="AC110" s="44" t="e">
        <f>IFERROR(SUMIF(T110:W110, "&lt;&gt;#N/A")/SUMIF('2. Salmon Passage by Bin'!L110:N110, "&lt;&gt;#N/A"), NA())</f>
        <v>#N/A</v>
      </c>
    </row>
    <row r="111" spans="1:29" x14ac:dyDescent="0.3">
      <c r="A111" s="5">
        <f>'1. Mixture Model Inputs'!A111</f>
        <v>45213</v>
      </c>
      <c r="B111" s="13" t="str">
        <f>IF(ISBLANK('[1]Passage Estimates'!$C111), "", '[1]Passage Estimates'!$C111)</f>
        <v/>
      </c>
      <c r="C111" s="71">
        <f>IFERROR('1. Mixture Model Inputs'!R111/'1. Mixture Model Inputs'!Z111,0)</f>
        <v>0</v>
      </c>
      <c r="D111" s="71">
        <f>IFERROR('1. Mixture Model Inputs'!S111/'1. Mixture Model Inputs'!AA111,0)</f>
        <v>0</v>
      </c>
      <c r="E111" s="71">
        <f>IFERROR('1. Mixture Model Inputs'!T111/'1. Mixture Model Inputs'!AB111,0)</f>
        <v>0</v>
      </c>
      <c r="F111" s="71">
        <f>IFERROR('1. Mixture Model Inputs'!U111/'1. Mixture Model Inputs'!AC111,0)</f>
        <v>0</v>
      </c>
      <c r="G111" s="71">
        <f>IFERROR('1. Mixture Model Inputs'!V111/'1. Mixture Model Inputs'!AD111,0)</f>
        <v>0</v>
      </c>
      <c r="H111" s="24" t="str">
        <f>WhonSpComp!AR126</f>
        <v/>
      </c>
      <c r="I111" s="70">
        <f>IFERROR('1. Mixture Model Inputs'!W111/'1. Mixture Model Inputs'!AE111, 0)</f>
        <v>0</v>
      </c>
      <c r="J111" s="71">
        <f>IFERROR('1. Mixture Model Inputs'!X111/'1. Mixture Model Inputs'!AF111, 0)</f>
        <v>0</v>
      </c>
      <c r="K111" s="23">
        <f>IFERROR('1. Mixture Model Inputs'!Y111/'1. Mixture Model Inputs'!AG111, 0)</f>
        <v>0</v>
      </c>
      <c r="L111" s="76">
        <f>C111*'2. Salmon Passage by Bin'!C111</f>
        <v>0</v>
      </c>
      <c r="M111" s="76">
        <f>D111*'2. Salmon Passage by Bin'!D111</f>
        <v>0</v>
      </c>
      <c r="N111" s="76" t="e">
        <f>F111*'2. Salmon Passage by Bin'!F111</f>
        <v>#N/A</v>
      </c>
      <c r="O111" s="76" t="e">
        <f>G111*'2. Salmon Passage by Bin'!G111</f>
        <v>#N/A</v>
      </c>
      <c r="P111" s="76" t="e">
        <f>$G111*'2. Salmon Passage by Bin'!H111</f>
        <v>#N/A</v>
      </c>
      <c r="Q111" s="76" t="e">
        <f>$G111*'2. Salmon Passage by Bin'!I111</f>
        <v>#N/A</v>
      </c>
      <c r="R111" s="76" t="e">
        <f>$G111*'2. Salmon Passage by Bin'!J111</f>
        <v>#N/A</v>
      </c>
      <c r="S111" s="56" t="e">
        <f>'2. Salmon Passage by Bin'!K111*H111</f>
        <v>#N/A</v>
      </c>
      <c r="T111" s="25" t="e">
        <f>K111*'2. Salmon Passage by Bin'!L111</f>
        <v>#N/A</v>
      </c>
      <c r="U111" s="25" t="e">
        <f>K111*'2. Salmon Passage by Bin'!M111</f>
        <v>#N/A</v>
      </c>
      <c r="V111" s="25" t="e">
        <f>J111*'2. Salmon Passage by Bin'!N111</f>
        <v>#N/A</v>
      </c>
      <c r="W111" s="25" t="e">
        <f>I111*'2. Salmon Passage by Bin'!O111</f>
        <v>#N/A</v>
      </c>
      <c r="X111" s="76" t="e">
        <f>E111*'2. Salmon Passage by Bin'!E111</f>
        <v>#N/A</v>
      </c>
      <c r="Y111" s="41">
        <f t="shared" si="1"/>
        <v>0</v>
      </c>
      <c r="Z111" s="42" t="e">
        <f>Y111/'[1]Passage Estimates'!$D111</f>
        <v>#N/A</v>
      </c>
      <c r="AA111" s="43" t="e">
        <f>IFERROR(SUMIF(L111:O111, "&lt;&gt;#N/A")/SUMIF('2. Salmon Passage by Bin'!E111:J111, "&lt;&gt;#N/A"), NA())</f>
        <v>#N/A</v>
      </c>
      <c r="AB111" s="42" t="e">
        <f>IFERROR(IF(ISNA(S111), NA(), S111/'2. Salmon Passage by Bin'!K111), NA())</f>
        <v>#N/A</v>
      </c>
      <c r="AC111" s="44" t="e">
        <f>IFERROR(SUMIF(T111:W111, "&lt;&gt;#N/A")/SUMIF('2. Salmon Passage by Bin'!L111:N111, "&lt;&gt;#N/A"), NA())</f>
        <v>#N/A</v>
      </c>
    </row>
    <row r="112" spans="1:29" x14ac:dyDescent="0.3">
      <c r="A112" s="5">
        <f>'1. Mixture Model Inputs'!A112</f>
        <v>45214</v>
      </c>
      <c r="B112" s="13" t="str">
        <f>IF(ISBLANK('[1]Passage Estimates'!$C112), "", '[1]Passage Estimates'!$C112)</f>
        <v/>
      </c>
      <c r="C112" s="71">
        <f>IFERROR('1. Mixture Model Inputs'!R112/'1. Mixture Model Inputs'!Z112,0)</f>
        <v>0</v>
      </c>
      <c r="D112" s="71">
        <f>IFERROR('1. Mixture Model Inputs'!S112/'1. Mixture Model Inputs'!AA112,0)</f>
        <v>0</v>
      </c>
      <c r="E112" s="71">
        <f>IFERROR('1. Mixture Model Inputs'!T112/'1. Mixture Model Inputs'!AB112,0)</f>
        <v>0</v>
      </c>
      <c r="F112" s="71">
        <f>IFERROR('1. Mixture Model Inputs'!U112/'1. Mixture Model Inputs'!AC112,0)</f>
        <v>0</v>
      </c>
      <c r="G112" s="71">
        <f>IFERROR('1. Mixture Model Inputs'!V112/'1. Mixture Model Inputs'!AD112,0)</f>
        <v>0</v>
      </c>
      <c r="H112" s="24" t="str">
        <f>WhonSpComp!AR127</f>
        <v/>
      </c>
      <c r="I112" s="70">
        <f>IFERROR('1. Mixture Model Inputs'!W112/'1. Mixture Model Inputs'!AE112, 0)</f>
        <v>0</v>
      </c>
      <c r="J112" s="71">
        <f>IFERROR('1. Mixture Model Inputs'!X112/'1. Mixture Model Inputs'!AF112, 0)</f>
        <v>0</v>
      </c>
      <c r="K112" s="23">
        <f>IFERROR('1. Mixture Model Inputs'!Y112/'1. Mixture Model Inputs'!AG112, 0)</f>
        <v>0</v>
      </c>
      <c r="L112" s="76">
        <f>C112*'2. Salmon Passage by Bin'!C112</f>
        <v>0</v>
      </c>
      <c r="M112" s="76">
        <f>D112*'2. Salmon Passage by Bin'!D112</f>
        <v>0</v>
      </c>
      <c r="N112" s="76" t="e">
        <f>F112*'2. Salmon Passage by Bin'!F112</f>
        <v>#N/A</v>
      </c>
      <c r="O112" s="76" t="e">
        <f>G112*'2. Salmon Passage by Bin'!G112</f>
        <v>#N/A</v>
      </c>
      <c r="P112" s="76" t="e">
        <f>$G112*'2. Salmon Passage by Bin'!H112</f>
        <v>#N/A</v>
      </c>
      <c r="Q112" s="76" t="e">
        <f>$G112*'2. Salmon Passage by Bin'!I112</f>
        <v>#N/A</v>
      </c>
      <c r="R112" s="76" t="e">
        <f>$G112*'2. Salmon Passage by Bin'!J112</f>
        <v>#N/A</v>
      </c>
      <c r="S112" s="56" t="e">
        <f>'2. Salmon Passage by Bin'!K112*H112</f>
        <v>#N/A</v>
      </c>
      <c r="T112" s="25" t="e">
        <f>K112*'2. Salmon Passage by Bin'!L112</f>
        <v>#N/A</v>
      </c>
      <c r="U112" s="25" t="e">
        <f>K112*'2. Salmon Passage by Bin'!M112</f>
        <v>#N/A</v>
      </c>
      <c r="V112" s="25" t="e">
        <f>J112*'2. Salmon Passage by Bin'!N112</f>
        <v>#N/A</v>
      </c>
      <c r="W112" s="25" t="e">
        <f>I112*'2. Salmon Passage by Bin'!O112</f>
        <v>#N/A</v>
      </c>
      <c r="X112" s="76" t="e">
        <f>E112*'2. Salmon Passage by Bin'!E112</f>
        <v>#N/A</v>
      </c>
      <c r="Y112" s="41">
        <f t="shared" si="1"/>
        <v>0</v>
      </c>
      <c r="Z112" s="42" t="e">
        <f>Y112/'[1]Passage Estimates'!$D112</f>
        <v>#N/A</v>
      </c>
      <c r="AA112" s="43" t="e">
        <f>IFERROR(SUMIF(L112:O112, "&lt;&gt;#N/A")/SUMIF('2. Salmon Passage by Bin'!E112:J112, "&lt;&gt;#N/A"), NA())</f>
        <v>#N/A</v>
      </c>
      <c r="AB112" s="42" t="e">
        <f>IFERROR(IF(ISNA(S112), NA(), S112/'2. Salmon Passage by Bin'!K112), NA())</f>
        <v>#N/A</v>
      </c>
      <c r="AC112" s="44" t="e">
        <f>IFERROR(SUMIF(T112:W112, "&lt;&gt;#N/A")/SUMIF('2. Salmon Passage by Bin'!L112:N112, "&lt;&gt;#N/A"), NA())</f>
        <v>#N/A</v>
      </c>
    </row>
    <row r="113" spans="1:29" x14ac:dyDescent="0.3">
      <c r="A113" s="5">
        <f>'1. Mixture Model Inputs'!A113</f>
        <v>45215</v>
      </c>
      <c r="B113" s="13" t="str">
        <f>IF(ISBLANK('[1]Passage Estimates'!$C113), "", '[1]Passage Estimates'!$C113)</f>
        <v/>
      </c>
      <c r="C113" s="71">
        <f>IFERROR('1. Mixture Model Inputs'!R113/'1. Mixture Model Inputs'!Z113,0)</f>
        <v>0</v>
      </c>
      <c r="D113" s="71">
        <f>IFERROR('1. Mixture Model Inputs'!S113/'1. Mixture Model Inputs'!AA113,0)</f>
        <v>0</v>
      </c>
      <c r="E113" s="71">
        <f>IFERROR('1. Mixture Model Inputs'!T113/'1. Mixture Model Inputs'!AB113,0)</f>
        <v>0</v>
      </c>
      <c r="F113" s="71">
        <f>IFERROR('1. Mixture Model Inputs'!U113/'1. Mixture Model Inputs'!AC113,0)</f>
        <v>0</v>
      </c>
      <c r="G113" s="71">
        <f>IFERROR('1. Mixture Model Inputs'!V113/'1. Mixture Model Inputs'!AD113,0)</f>
        <v>0</v>
      </c>
      <c r="H113" s="24" t="str">
        <f>WhonSpComp!AR128</f>
        <v/>
      </c>
      <c r="I113" s="70">
        <f>IFERROR('1. Mixture Model Inputs'!W113/'1. Mixture Model Inputs'!AE113, 0)</f>
        <v>0</v>
      </c>
      <c r="J113" s="71">
        <f>IFERROR('1. Mixture Model Inputs'!X113/'1. Mixture Model Inputs'!AF113, 0)</f>
        <v>0</v>
      </c>
      <c r="K113" s="23">
        <f>IFERROR('1. Mixture Model Inputs'!Y113/'1. Mixture Model Inputs'!AG113, 0)</f>
        <v>0</v>
      </c>
      <c r="L113" s="76">
        <f>C113*'2. Salmon Passage by Bin'!C113</f>
        <v>0</v>
      </c>
      <c r="M113" s="76">
        <f>D113*'2. Salmon Passage by Bin'!D113</f>
        <v>0</v>
      </c>
      <c r="N113" s="76" t="e">
        <f>F113*'2. Salmon Passage by Bin'!F113</f>
        <v>#N/A</v>
      </c>
      <c r="O113" s="76" t="e">
        <f>G113*'2. Salmon Passage by Bin'!G113</f>
        <v>#N/A</v>
      </c>
      <c r="P113" s="76" t="e">
        <f>$G113*'2. Salmon Passage by Bin'!H113</f>
        <v>#N/A</v>
      </c>
      <c r="Q113" s="76" t="e">
        <f>$G113*'2. Salmon Passage by Bin'!I113</f>
        <v>#N/A</v>
      </c>
      <c r="R113" s="76" t="e">
        <f>$G113*'2. Salmon Passage by Bin'!J113</f>
        <v>#N/A</v>
      </c>
      <c r="S113" s="56" t="e">
        <f>'2. Salmon Passage by Bin'!K113*H113</f>
        <v>#N/A</v>
      </c>
      <c r="T113" s="25" t="e">
        <f>K113*'2. Salmon Passage by Bin'!L113</f>
        <v>#N/A</v>
      </c>
      <c r="U113" s="25" t="e">
        <f>K113*'2. Salmon Passage by Bin'!M113</f>
        <v>#N/A</v>
      </c>
      <c r="V113" s="25" t="e">
        <f>J113*'2. Salmon Passage by Bin'!N113</f>
        <v>#N/A</v>
      </c>
      <c r="W113" s="25" t="e">
        <f>I113*'2. Salmon Passage by Bin'!O113</f>
        <v>#N/A</v>
      </c>
      <c r="X113" s="76" t="e">
        <f>E113*'2. Salmon Passage by Bin'!E113</f>
        <v>#N/A</v>
      </c>
      <c r="Y113" s="41">
        <f t="shared" si="1"/>
        <v>0</v>
      </c>
      <c r="Z113" s="42" t="e">
        <f>Y113/'[1]Passage Estimates'!$D113</f>
        <v>#N/A</v>
      </c>
      <c r="AA113" s="43" t="e">
        <f>IFERROR(SUMIF(L113:O113, "&lt;&gt;#N/A")/SUMIF('2. Salmon Passage by Bin'!E113:J113, "&lt;&gt;#N/A"), NA())</f>
        <v>#N/A</v>
      </c>
      <c r="AB113" s="42" t="e">
        <f>IFERROR(IF(ISNA(S113), NA(), S113/'2. Salmon Passage by Bin'!K113), NA())</f>
        <v>#N/A</v>
      </c>
      <c r="AC113" s="44" t="e">
        <f>IFERROR(SUMIF(T113:W113, "&lt;&gt;#N/A")/SUMIF('2. Salmon Passage by Bin'!L113:N113, "&lt;&gt;#N/A"), NA())</f>
        <v>#N/A</v>
      </c>
    </row>
    <row r="114" spans="1:29" x14ac:dyDescent="0.3">
      <c r="A114" s="5">
        <f>'1. Mixture Model Inputs'!A114</f>
        <v>45216</v>
      </c>
      <c r="B114" s="13" t="str">
        <f>IF(ISBLANK('[1]Passage Estimates'!$C114), "", '[1]Passage Estimates'!$C114)</f>
        <v/>
      </c>
      <c r="C114" s="71">
        <f>IFERROR('1. Mixture Model Inputs'!R114/'1. Mixture Model Inputs'!Z114,0)</f>
        <v>0</v>
      </c>
      <c r="D114" s="71">
        <f>IFERROR('1. Mixture Model Inputs'!S114/'1. Mixture Model Inputs'!AA114,0)</f>
        <v>0</v>
      </c>
      <c r="E114" s="71">
        <f>IFERROR('1. Mixture Model Inputs'!T114/'1. Mixture Model Inputs'!AB114,0)</f>
        <v>0</v>
      </c>
      <c r="F114" s="71">
        <f>IFERROR('1. Mixture Model Inputs'!U114/'1. Mixture Model Inputs'!AC114,0)</f>
        <v>0</v>
      </c>
      <c r="G114" s="71">
        <f>IFERROR('1. Mixture Model Inputs'!V114/'1. Mixture Model Inputs'!AD114,0)</f>
        <v>0</v>
      </c>
      <c r="H114" s="24" t="str">
        <f>WhonSpComp!AR129</f>
        <v/>
      </c>
      <c r="I114" s="70">
        <f>IFERROR('1. Mixture Model Inputs'!W114/'1. Mixture Model Inputs'!AE114, 0)</f>
        <v>0</v>
      </c>
      <c r="J114" s="71">
        <f>IFERROR('1. Mixture Model Inputs'!X114/'1. Mixture Model Inputs'!AF114, 0)</f>
        <v>0</v>
      </c>
      <c r="K114" s="23">
        <f>IFERROR('1. Mixture Model Inputs'!Y114/'1. Mixture Model Inputs'!AG114, 0)</f>
        <v>0</v>
      </c>
      <c r="L114" s="76">
        <f>C114*'2. Salmon Passage by Bin'!C114</f>
        <v>0</v>
      </c>
      <c r="M114" s="76">
        <f>D114*'2. Salmon Passage by Bin'!D114</f>
        <v>0</v>
      </c>
      <c r="N114" s="76" t="e">
        <f>F114*'2. Salmon Passage by Bin'!F114</f>
        <v>#N/A</v>
      </c>
      <c r="O114" s="76" t="e">
        <f>G114*'2. Salmon Passage by Bin'!G114</f>
        <v>#N/A</v>
      </c>
      <c r="P114" s="76" t="e">
        <f>$G114*'2. Salmon Passage by Bin'!H114</f>
        <v>#N/A</v>
      </c>
      <c r="Q114" s="76" t="e">
        <f>$G114*'2. Salmon Passage by Bin'!I114</f>
        <v>#N/A</v>
      </c>
      <c r="R114" s="76" t="e">
        <f>$G114*'2. Salmon Passage by Bin'!J114</f>
        <v>#N/A</v>
      </c>
      <c r="S114" s="56" t="e">
        <f>'2. Salmon Passage by Bin'!K114*H114</f>
        <v>#N/A</v>
      </c>
      <c r="T114" s="25" t="e">
        <f>K114*'2. Salmon Passage by Bin'!L114</f>
        <v>#N/A</v>
      </c>
      <c r="U114" s="25" t="e">
        <f>K114*'2. Salmon Passage by Bin'!M114</f>
        <v>#N/A</v>
      </c>
      <c r="V114" s="25" t="e">
        <f>J114*'2. Salmon Passage by Bin'!N114</f>
        <v>#N/A</v>
      </c>
      <c r="W114" s="25" t="e">
        <f>I114*'2. Salmon Passage by Bin'!O114</f>
        <v>#N/A</v>
      </c>
      <c r="X114" s="76" t="e">
        <f>E114*'2. Salmon Passage by Bin'!E114</f>
        <v>#N/A</v>
      </c>
      <c r="Y114" s="41">
        <f t="shared" si="1"/>
        <v>0</v>
      </c>
      <c r="Z114" s="42" t="e">
        <f>Y114/'[1]Passage Estimates'!$D114</f>
        <v>#N/A</v>
      </c>
      <c r="AA114" s="43" t="e">
        <f>IFERROR(SUMIF(L114:O114, "&lt;&gt;#N/A")/SUMIF('2. Salmon Passage by Bin'!E114:J114, "&lt;&gt;#N/A"), NA())</f>
        <v>#N/A</v>
      </c>
      <c r="AB114" s="42" t="e">
        <f>IFERROR(IF(ISNA(S114), NA(), S114/'2. Salmon Passage by Bin'!K114), NA())</f>
        <v>#N/A</v>
      </c>
      <c r="AC114" s="44" t="e">
        <f>IFERROR(SUMIF(T114:W114, "&lt;&gt;#N/A")/SUMIF('2. Salmon Passage by Bin'!L114:N114, "&lt;&gt;#N/A"), NA())</f>
        <v>#N/A</v>
      </c>
    </row>
    <row r="115" spans="1:29" x14ac:dyDescent="0.3">
      <c r="A115" s="5">
        <f>'1. Mixture Model Inputs'!A115</f>
        <v>45217</v>
      </c>
      <c r="B115" s="13" t="str">
        <f>IF(ISBLANK('[1]Passage Estimates'!$C115), "", '[1]Passage Estimates'!$C115)</f>
        <v/>
      </c>
      <c r="C115" s="71">
        <f>IFERROR('1. Mixture Model Inputs'!R115/'1. Mixture Model Inputs'!Z115,0)</f>
        <v>0</v>
      </c>
      <c r="D115" s="71">
        <f>IFERROR('1. Mixture Model Inputs'!S115/'1. Mixture Model Inputs'!AA115,0)</f>
        <v>0</v>
      </c>
      <c r="E115" s="71">
        <f>IFERROR('1. Mixture Model Inputs'!T115/'1. Mixture Model Inputs'!AB115,0)</f>
        <v>0</v>
      </c>
      <c r="F115" s="71">
        <f>IFERROR('1. Mixture Model Inputs'!U115/'1. Mixture Model Inputs'!AC115,0)</f>
        <v>0</v>
      </c>
      <c r="G115" s="71">
        <f>IFERROR('1. Mixture Model Inputs'!V115/'1. Mixture Model Inputs'!AD115,0)</f>
        <v>0</v>
      </c>
      <c r="H115" s="24" t="str">
        <f>WhonSpComp!AR130</f>
        <v/>
      </c>
      <c r="I115" s="70">
        <f>IFERROR('1. Mixture Model Inputs'!W115/'1. Mixture Model Inputs'!AE115, 0)</f>
        <v>0</v>
      </c>
      <c r="J115" s="71">
        <f>IFERROR('1. Mixture Model Inputs'!X115/'1. Mixture Model Inputs'!AF115, 0)</f>
        <v>0</v>
      </c>
      <c r="K115" s="23">
        <f>IFERROR('1. Mixture Model Inputs'!Y115/'1. Mixture Model Inputs'!AG115, 0)</f>
        <v>0</v>
      </c>
      <c r="L115" s="76">
        <f>C115*'2. Salmon Passage by Bin'!C115</f>
        <v>0</v>
      </c>
      <c r="M115" s="76">
        <f>D115*'2. Salmon Passage by Bin'!D115</f>
        <v>0</v>
      </c>
      <c r="N115" s="76" t="e">
        <f>F115*'2. Salmon Passage by Bin'!F115</f>
        <v>#N/A</v>
      </c>
      <c r="O115" s="76" t="e">
        <f>G115*'2. Salmon Passage by Bin'!G115</f>
        <v>#N/A</v>
      </c>
      <c r="P115" s="76" t="e">
        <f>$G115*'2. Salmon Passage by Bin'!H115</f>
        <v>#N/A</v>
      </c>
      <c r="Q115" s="76" t="e">
        <f>$G115*'2. Salmon Passage by Bin'!I115</f>
        <v>#N/A</v>
      </c>
      <c r="R115" s="76" t="e">
        <f>$G115*'2. Salmon Passage by Bin'!J115</f>
        <v>#N/A</v>
      </c>
      <c r="S115" s="56" t="e">
        <f>'2. Salmon Passage by Bin'!K115*H115</f>
        <v>#N/A</v>
      </c>
      <c r="T115" s="25" t="e">
        <f>K115*'2. Salmon Passage by Bin'!L115</f>
        <v>#N/A</v>
      </c>
      <c r="U115" s="25" t="e">
        <f>K115*'2. Salmon Passage by Bin'!M115</f>
        <v>#N/A</v>
      </c>
      <c r="V115" s="25" t="e">
        <f>J115*'2. Salmon Passage by Bin'!N115</f>
        <v>#N/A</v>
      </c>
      <c r="W115" s="25" t="e">
        <f>I115*'2. Salmon Passage by Bin'!O115</f>
        <v>#N/A</v>
      </c>
      <c r="X115" s="76" t="e">
        <f>E115*'2. Salmon Passage by Bin'!E115</f>
        <v>#N/A</v>
      </c>
      <c r="Y115" s="41">
        <f t="shared" si="1"/>
        <v>0</v>
      </c>
      <c r="Z115" s="42" t="e">
        <f>Y115/'[1]Passage Estimates'!$D115</f>
        <v>#N/A</v>
      </c>
      <c r="AA115" s="43" t="e">
        <f>IFERROR(SUMIF(L115:O115, "&lt;&gt;#N/A")/SUMIF('2. Salmon Passage by Bin'!E115:J115, "&lt;&gt;#N/A"), NA())</f>
        <v>#N/A</v>
      </c>
      <c r="AB115" s="42" t="e">
        <f>IFERROR(IF(ISNA(S115), NA(), S115/'2. Salmon Passage by Bin'!K115), NA())</f>
        <v>#N/A</v>
      </c>
      <c r="AC115" s="44" t="e">
        <f>IFERROR(SUMIF(T115:W115, "&lt;&gt;#N/A")/SUMIF('2. Salmon Passage by Bin'!L115:N115, "&lt;&gt;#N/A"), NA())</f>
        <v>#N/A</v>
      </c>
    </row>
    <row r="116" spans="1:29" x14ac:dyDescent="0.3">
      <c r="A116" s="5">
        <f>'1. Mixture Model Inputs'!A116</f>
        <v>45218</v>
      </c>
      <c r="B116" s="13" t="str">
        <f>IF(ISBLANK('[1]Passage Estimates'!$C116), "", '[1]Passage Estimates'!$C116)</f>
        <v/>
      </c>
      <c r="C116" s="71">
        <f>IFERROR('1. Mixture Model Inputs'!R116/'1. Mixture Model Inputs'!Z116,0)</f>
        <v>0</v>
      </c>
      <c r="D116" s="71">
        <f>IFERROR('1. Mixture Model Inputs'!S116/'1. Mixture Model Inputs'!AA116,0)</f>
        <v>0</v>
      </c>
      <c r="E116" s="71">
        <f>IFERROR('1. Mixture Model Inputs'!T116/'1. Mixture Model Inputs'!AB116,0)</f>
        <v>0</v>
      </c>
      <c r="F116" s="71">
        <f>IFERROR('1. Mixture Model Inputs'!U116/'1. Mixture Model Inputs'!AC116,0)</f>
        <v>0</v>
      </c>
      <c r="G116" s="71">
        <f>IFERROR('1. Mixture Model Inputs'!V116/'1. Mixture Model Inputs'!AD116,0)</f>
        <v>0</v>
      </c>
      <c r="H116" s="24" t="str">
        <f>WhonSpComp!AR131</f>
        <v/>
      </c>
      <c r="I116" s="70">
        <f>IFERROR('1. Mixture Model Inputs'!W116/'1. Mixture Model Inputs'!AE116, 0)</f>
        <v>0</v>
      </c>
      <c r="J116" s="71">
        <f>IFERROR('1. Mixture Model Inputs'!X116/'1. Mixture Model Inputs'!AF116, 0)</f>
        <v>0</v>
      </c>
      <c r="K116" s="23">
        <f>IFERROR('1. Mixture Model Inputs'!Y116/'1. Mixture Model Inputs'!AG116, 0)</f>
        <v>0</v>
      </c>
      <c r="L116" s="76">
        <f>C116*'2. Salmon Passage by Bin'!C116</f>
        <v>0</v>
      </c>
      <c r="M116" s="76">
        <f>D116*'2. Salmon Passage by Bin'!D116</f>
        <v>0</v>
      </c>
      <c r="N116" s="76" t="e">
        <f>F116*'2. Salmon Passage by Bin'!F116</f>
        <v>#N/A</v>
      </c>
      <c r="O116" s="76" t="e">
        <f>G116*'2. Salmon Passage by Bin'!G116</f>
        <v>#N/A</v>
      </c>
      <c r="P116" s="76" t="e">
        <f>$G116*'2. Salmon Passage by Bin'!H116</f>
        <v>#N/A</v>
      </c>
      <c r="Q116" s="76" t="e">
        <f>$G116*'2. Salmon Passage by Bin'!I116</f>
        <v>#N/A</v>
      </c>
      <c r="R116" s="76" t="e">
        <f>$G116*'2. Salmon Passage by Bin'!J116</f>
        <v>#N/A</v>
      </c>
      <c r="S116" s="56" t="e">
        <f>'2. Salmon Passage by Bin'!K116*H116</f>
        <v>#N/A</v>
      </c>
      <c r="T116" s="25" t="e">
        <f>K116*'2. Salmon Passage by Bin'!L116</f>
        <v>#N/A</v>
      </c>
      <c r="U116" s="25" t="e">
        <f>K116*'2. Salmon Passage by Bin'!M116</f>
        <v>#N/A</v>
      </c>
      <c r="V116" s="25" t="e">
        <f>J116*'2. Salmon Passage by Bin'!N116</f>
        <v>#N/A</v>
      </c>
      <c r="W116" s="25" t="e">
        <f>I116*'2. Salmon Passage by Bin'!O116</f>
        <v>#N/A</v>
      </c>
      <c r="X116" s="76" t="e">
        <f>E116*'2. Salmon Passage by Bin'!E116</f>
        <v>#N/A</v>
      </c>
      <c r="Y116" s="41">
        <f t="shared" si="1"/>
        <v>0</v>
      </c>
      <c r="Z116" s="42" t="e">
        <f>Y116/'[1]Passage Estimates'!$D116</f>
        <v>#N/A</v>
      </c>
      <c r="AA116" s="43" t="e">
        <f>IFERROR(SUMIF(L116:O116, "&lt;&gt;#N/A")/SUMIF('2. Salmon Passage by Bin'!E116:J116, "&lt;&gt;#N/A"), NA())</f>
        <v>#N/A</v>
      </c>
      <c r="AB116" s="42" t="e">
        <f>IFERROR(IF(ISNA(S116), NA(), S116/'2. Salmon Passage by Bin'!K116), NA())</f>
        <v>#N/A</v>
      </c>
      <c r="AC116" s="44" t="e">
        <f>IFERROR(SUMIF(T116:W116, "&lt;&gt;#N/A")/SUMIF('2. Salmon Passage by Bin'!L116:N116, "&lt;&gt;#N/A"), NA())</f>
        <v>#N/A</v>
      </c>
    </row>
    <row r="117" spans="1:29" x14ac:dyDescent="0.3">
      <c r="A117" s="5">
        <f>'1. Mixture Model Inputs'!A117</f>
        <v>45219</v>
      </c>
      <c r="B117" s="13" t="str">
        <f>IF(ISBLANK('[1]Passage Estimates'!$C117), "", '[1]Passage Estimates'!$C117)</f>
        <v/>
      </c>
      <c r="C117" s="71">
        <f>IFERROR('1. Mixture Model Inputs'!R117/'1. Mixture Model Inputs'!Z117,0)</f>
        <v>0</v>
      </c>
      <c r="D117" s="71">
        <f>IFERROR('1. Mixture Model Inputs'!S117/'1. Mixture Model Inputs'!AA117,0)</f>
        <v>0</v>
      </c>
      <c r="E117" s="71">
        <f>IFERROR('1. Mixture Model Inputs'!T117/'1. Mixture Model Inputs'!AB117,0)</f>
        <v>0</v>
      </c>
      <c r="F117" s="71">
        <f>IFERROR('1. Mixture Model Inputs'!U117/'1. Mixture Model Inputs'!AC117,0)</f>
        <v>0</v>
      </c>
      <c r="G117" s="71">
        <f>IFERROR('1. Mixture Model Inputs'!V117/'1. Mixture Model Inputs'!AD117,0)</f>
        <v>0</v>
      </c>
      <c r="H117" s="24" t="str">
        <f>WhonSpComp!AR132</f>
        <v/>
      </c>
      <c r="I117" s="70">
        <f>IFERROR('1. Mixture Model Inputs'!W117/'1. Mixture Model Inputs'!AE117, 0)</f>
        <v>0</v>
      </c>
      <c r="J117" s="71">
        <f>IFERROR('1. Mixture Model Inputs'!X117/'1. Mixture Model Inputs'!AF117, 0)</f>
        <v>0</v>
      </c>
      <c r="K117" s="23">
        <f>IFERROR('1. Mixture Model Inputs'!Y117/'1. Mixture Model Inputs'!AG117, 0)</f>
        <v>0</v>
      </c>
      <c r="L117" s="76">
        <f>C117*'2. Salmon Passage by Bin'!C117</f>
        <v>0</v>
      </c>
      <c r="M117" s="76">
        <f>D117*'2. Salmon Passage by Bin'!D117</f>
        <v>0</v>
      </c>
      <c r="N117" s="76" t="e">
        <f>F117*'2. Salmon Passage by Bin'!F117</f>
        <v>#N/A</v>
      </c>
      <c r="O117" s="76" t="e">
        <f>G117*'2. Salmon Passage by Bin'!G117</f>
        <v>#N/A</v>
      </c>
      <c r="P117" s="76" t="e">
        <f>$G117*'2. Salmon Passage by Bin'!H117</f>
        <v>#N/A</v>
      </c>
      <c r="Q117" s="76" t="e">
        <f>$G117*'2. Salmon Passage by Bin'!I117</f>
        <v>#N/A</v>
      </c>
      <c r="R117" s="76" t="e">
        <f>$G117*'2. Salmon Passage by Bin'!J117</f>
        <v>#N/A</v>
      </c>
      <c r="S117" s="56" t="e">
        <f>'2. Salmon Passage by Bin'!K117*H117</f>
        <v>#N/A</v>
      </c>
      <c r="T117" s="25" t="e">
        <f>K117*'2. Salmon Passage by Bin'!L117</f>
        <v>#N/A</v>
      </c>
      <c r="U117" s="25" t="e">
        <f>K117*'2. Salmon Passage by Bin'!M117</f>
        <v>#N/A</v>
      </c>
      <c r="V117" s="25" t="e">
        <f>J117*'2. Salmon Passage by Bin'!N117</f>
        <v>#N/A</v>
      </c>
      <c r="W117" s="25" t="e">
        <f>I117*'2. Salmon Passage by Bin'!O117</f>
        <v>#N/A</v>
      </c>
      <c r="X117" s="76" t="e">
        <f>E117*'2. Salmon Passage by Bin'!E117</f>
        <v>#N/A</v>
      </c>
      <c r="Y117" s="41">
        <f t="shared" si="1"/>
        <v>0</v>
      </c>
      <c r="Z117" s="42" t="e">
        <f>Y117/'[1]Passage Estimates'!$D117</f>
        <v>#N/A</v>
      </c>
      <c r="AA117" s="43" t="e">
        <f>IFERROR(SUMIF(L117:O117, "&lt;&gt;#N/A")/SUMIF('2. Salmon Passage by Bin'!E117:J117, "&lt;&gt;#N/A"), NA())</f>
        <v>#N/A</v>
      </c>
      <c r="AB117" s="42" t="e">
        <f>IFERROR(IF(ISNA(S117), NA(), S117/'2. Salmon Passage by Bin'!K117), NA())</f>
        <v>#N/A</v>
      </c>
      <c r="AC117" s="44" t="e">
        <f>IFERROR(SUMIF(T117:W117, "&lt;&gt;#N/A")/SUMIF('2. Salmon Passage by Bin'!L117:N117, "&lt;&gt;#N/A"), NA())</f>
        <v>#N/A</v>
      </c>
    </row>
    <row r="118" spans="1:29" x14ac:dyDescent="0.3">
      <c r="A118" s="5">
        <f>'1. Mixture Model Inputs'!A118</f>
        <v>45220</v>
      </c>
      <c r="B118" s="13" t="str">
        <f>IF(ISBLANK('[1]Passage Estimates'!$C118), "", '[1]Passage Estimates'!$C118)</f>
        <v/>
      </c>
      <c r="C118" s="71">
        <f>IFERROR('1. Mixture Model Inputs'!R118/'1. Mixture Model Inputs'!Z118,0)</f>
        <v>0</v>
      </c>
      <c r="D118" s="71">
        <f>IFERROR('1. Mixture Model Inputs'!S118/'1. Mixture Model Inputs'!AA118,0)</f>
        <v>0</v>
      </c>
      <c r="E118" s="71">
        <f>IFERROR('1. Mixture Model Inputs'!T118/'1. Mixture Model Inputs'!AB118,0)</f>
        <v>0</v>
      </c>
      <c r="F118" s="71">
        <f>IFERROR('1. Mixture Model Inputs'!U118/'1. Mixture Model Inputs'!AC118,0)</f>
        <v>0</v>
      </c>
      <c r="G118" s="71">
        <f>IFERROR('1. Mixture Model Inputs'!V118/'1. Mixture Model Inputs'!AD118,0)</f>
        <v>0</v>
      </c>
      <c r="H118" s="24">
        <f>WhonSpComp!AR133</f>
        <v>0</v>
      </c>
      <c r="I118" s="70">
        <f>IFERROR('1. Mixture Model Inputs'!W118/'1. Mixture Model Inputs'!AE118, 0)</f>
        <v>0</v>
      </c>
      <c r="J118" s="71">
        <f>IFERROR('1. Mixture Model Inputs'!X118/'1. Mixture Model Inputs'!AF118, 0)</f>
        <v>0</v>
      </c>
      <c r="K118" s="23">
        <f>IFERROR('1. Mixture Model Inputs'!Y118/'1. Mixture Model Inputs'!AG118, 0)</f>
        <v>0</v>
      </c>
      <c r="L118" s="76">
        <f>C118*'2. Salmon Passage by Bin'!C118</f>
        <v>0</v>
      </c>
      <c r="M118" s="76">
        <f>D118*'2. Salmon Passage by Bin'!D118</f>
        <v>0</v>
      </c>
      <c r="N118" s="76" t="e">
        <f>F118*'2. Salmon Passage by Bin'!F118</f>
        <v>#N/A</v>
      </c>
      <c r="O118" s="76" t="e">
        <f>G118*'2. Salmon Passage by Bin'!G118</f>
        <v>#N/A</v>
      </c>
      <c r="P118" s="76" t="e">
        <f>$G118*'2. Salmon Passage by Bin'!H118</f>
        <v>#N/A</v>
      </c>
      <c r="Q118" s="76" t="e">
        <f>$G118*'2. Salmon Passage by Bin'!I118</f>
        <v>#N/A</v>
      </c>
      <c r="R118" s="76" t="e">
        <f>$G118*'2. Salmon Passage by Bin'!J118</f>
        <v>#N/A</v>
      </c>
      <c r="S118" s="56" t="e">
        <f>'2. Salmon Passage by Bin'!K118*H118</f>
        <v>#N/A</v>
      </c>
      <c r="T118" s="25" t="e">
        <f>K118*'2. Salmon Passage by Bin'!L118</f>
        <v>#N/A</v>
      </c>
      <c r="U118" s="25" t="e">
        <f>K118*'2. Salmon Passage by Bin'!M118</f>
        <v>#N/A</v>
      </c>
      <c r="V118" s="25" t="e">
        <f>J118*'2. Salmon Passage by Bin'!N118</f>
        <v>#N/A</v>
      </c>
      <c r="W118" s="25" t="e">
        <f>I118*'2. Salmon Passage by Bin'!O118</f>
        <v>#N/A</v>
      </c>
      <c r="X118" s="76" t="e">
        <f>E118*'2. Salmon Passage by Bin'!E118</f>
        <v>#N/A</v>
      </c>
      <c r="Y118" s="41">
        <f t="shared" si="1"/>
        <v>0</v>
      </c>
      <c r="Z118" s="42" t="e">
        <f>Y118/'[1]Passage Estimates'!$D118</f>
        <v>#N/A</v>
      </c>
      <c r="AA118" s="43" t="e">
        <f>IFERROR(SUMIF(L118:O118, "&lt;&gt;#N/A")/SUMIF('2. Salmon Passage by Bin'!E118:J118, "&lt;&gt;#N/A"), NA())</f>
        <v>#N/A</v>
      </c>
      <c r="AB118" s="42" t="e">
        <f>IFERROR(IF(ISNA(S118), NA(), S118/'2. Salmon Passage by Bin'!K118), NA())</f>
        <v>#N/A</v>
      </c>
      <c r="AC118" s="44" t="e">
        <f>IFERROR(SUMIF(T118:W118, "&lt;&gt;#N/A")/SUMIF('2. Salmon Passage by Bin'!L118:N118, "&lt;&gt;#N/A"), NA())</f>
        <v>#N/A</v>
      </c>
    </row>
    <row r="119" spans="1:29" x14ac:dyDescent="0.3">
      <c r="A119" s="5">
        <f>'1. Mixture Model Inputs'!A119</f>
        <v>45221</v>
      </c>
      <c r="B119" s="13" t="str">
        <f>IF(ISBLANK('[1]Passage Estimates'!$C119), "", '[1]Passage Estimates'!$C119)</f>
        <v/>
      </c>
      <c r="C119" s="71">
        <f>IFERROR('1. Mixture Model Inputs'!R119/'1. Mixture Model Inputs'!Z119,0)</f>
        <v>0</v>
      </c>
      <c r="D119" s="71">
        <f>IFERROR('1. Mixture Model Inputs'!S119/'1. Mixture Model Inputs'!AA119,0)</f>
        <v>0</v>
      </c>
      <c r="E119" s="71">
        <f>IFERROR('1. Mixture Model Inputs'!T119/'1. Mixture Model Inputs'!AB119,0)</f>
        <v>0</v>
      </c>
      <c r="F119" s="71">
        <f>IFERROR('1. Mixture Model Inputs'!U119/'1. Mixture Model Inputs'!AC119,0)</f>
        <v>0</v>
      </c>
      <c r="G119" s="71">
        <f>IFERROR('1. Mixture Model Inputs'!V119/'1. Mixture Model Inputs'!AD119,0)</f>
        <v>0</v>
      </c>
      <c r="H119" s="24">
        <f>WhonSpComp!AR134</f>
        <v>0</v>
      </c>
      <c r="I119" s="70">
        <f>IFERROR('1. Mixture Model Inputs'!W119/'1. Mixture Model Inputs'!AE119, 0)</f>
        <v>0</v>
      </c>
      <c r="J119" s="71">
        <f>IFERROR('1. Mixture Model Inputs'!X119/'1. Mixture Model Inputs'!AF119, 0)</f>
        <v>0</v>
      </c>
      <c r="K119" s="23">
        <f>IFERROR('1. Mixture Model Inputs'!Y119/'1. Mixture Model Inputs'!AG119, 0)</f>
        <v>0</v>
      </c>
      <c r="L119" s="76">
        <f>C119*'2. Salmon Passage by Bin'!C119</f>
        <v>0</v>
      </c>
      <c r="M119" s="76">
        <f>D119*'2. Salmon Passage by Bin'!D119</f>
        <v>0</v>
      </c>
      <c r="N119" s="76" t="e">
        <f>F119*'2. Salmon Passage by Bin'!F119</f>
        <v>#N/A</v>
      </c>
      <c r="O119" s="76" t="e">
        <f>G119*'2. Salmon Passage by Bin'!G119</f>
        <v>#N/A</v>
      </c>
      <c r="P119" s="76" t="e">
        <f>$G119*'2. Salmon Passage by Bin'!H119</f>
        <v>#N/A</v>
      </c>
      <c r="Q119" s="76" t="e">
        <f>$G119*'2. Salmon Passage by Bin'!I119</f>
        <v>#N/A</v>
      </c>
      <c r="R119" s="76" t="e">
        <f>$G119*'2. Salmon Passage by Bin'!J119</f>
        <v>#N/A</v>
      </c>
      <c r="S119" s="56" t="e">
        <f>'2. Salmon Passage by Bin'!K119*H119</f>
        <v>#N/A</v>
      </c>
      <c r="T119" s="25" t="e">
        <f>K119*'2. Salmon Passage by Bin'!L119</f>
        <v>#N/A</v>
      </c>
      <c r="U119" s="25" t="e">
        <f>K119*'2. Salmon Passage by Bin'!M119</f>
        <v>#N/A</v>
      </c>
      <c r="V119" s="25" t="e">
        <f>J119*'2. Salmon Passage by Bin'!N119</f>
        <v>#N/A</v>
      </c>
      <c r="W119" s="25" t="e">
        <f>I119*'2. Salmon Passage by Bin'!O119</f>
        <v>#N/A</v>
      </c>
      <c r="X119" s="76" t="e">
        <f>E119*'2. Salmon Passage by Bin'!E119</f>
        <v>#N/A</v>
      </c>
      <c r="Y119" s="41">
        <f t="shared" si="1"/>
        <v>0</v>
      </c>
      <c r="Z119" s="42" t="e">
        <f>Y119/'[1]Passage Estimates'!$D119</f>
        <v>#N/A</v>
      </c>
      <c r="AA119" s="43" t="e">
        <f>IFERROR(SUMIF(L119:O119, "&lt;&gt;#N/A")/SUMIF('2. Salmon Passage by Bin'!E119:J119, "&lt;&gt;#N/A"), NA())</f>
        <v>#N/A</v>
      </c>
      <c r="AB119" s="42" t="e">
        <f>IFERROR(IF(ISNA(S119), NA(), S119/'2. Salmon Passage by Bin'!K119), NA())</f>
        <v>#N/A</v>
      </c>
      <c r="AC119" s="44" t="e">
        <f>IFERROR(SUMIF(T119:W119, "&lt;&gt;#N/A")/SUMIF('2. Salmon Passage by Bin'!L119:N119, "&lt;&gt;#N/A"), NA())</f>
        <v>#N/A</v>
      </c>
    </row>
    <row r="120" spans="1:29" x14ac:dyDescent="0.3">
      <c r="A120" s="5">
        <f>'1. Mixture Model Inputs'!A120</f>
        <v>45222</v>
      </c>
      <c r="B120" s="13" t="str">
        <f>IF(ISBLANK('[1]Passage Estimates'!$C120), "", '[1]Passage Estimates'!$C120)</f>
        <v/>
      </c>
      <c r="C120" s="71">
        <f>IFERROR('1. Mixture Model Inputs'!R120/'1. Mixture Model Inputs'!Z120,0)</f>
        <v>0</v>
      </c>
      <c r="D120" s="71">
        <f>IFERROR('1. Mixture Model Inputs'!S120/'1. Mixture Model Inputs'!AA120,0)</f>
        <v>0</v>
      </c>
      <c r="E120" s="71">
        <f>IFERROR('1. Mixture Model Inputs'!T120/'1. Mixture Model Inputs'!AB120,0)</f>
        <v>0</v>
      </c>
      <c r="F120" s="71">
        <f>IFERROR('1. Mixture Model Inputs'!U120/'1. Mixture Model Inputs'!AC120,0)</f>
        <v>0</v>
      </c>
      <c r="G120" s="71">
        <f>IFERROR('1. Mixture Model Inputs'!V120/'1. Mixture Model Inputs'!AD120,0)</f>
        <v>0</v>
      </c>
      <c r="H120" s="24">
        <f>WhonSpComp!AR135</f>
        <v>0</v>
      </c>
      <c r="I120" s="70">
        <f>IFERROR('1. Mixture Model Inputs'!W120/'1. Mixture Model Inputs'!AE120, 0)</f>
        <v>0</v>
      </c>
      <c r="J120" s="71">
        <f>IFERROR('1. Mixture Model Inputs'!X120/'1. Mixture Model Inputs'!AF120, 0)</f>
        <v>0</v>
      </c>
      <c r="K120" s="23">
        <f>IFERROR('1. Mixture Model Inputs'!Y120/'1. Mixture Model Inputs'!AG120, 0)</f>
        <v>0</v>
      </c>
      <c r="L120" s="76">
        <f>C120*'2. Salmon Passage by Bin'!C120</f>
        <v>0</v>
      </c>
      <c r="M120" s="76">
        <f>D120*'2. Salmon Passage by Bin'!D120</f>
        <v>0</v>
      </c>
      <c r="N120" s="76" t="e">
        <f>F120*'2. Salmon Passage by Bin'!F120</f>
        <v>#N/A</v>
      </c>
      <c r="O120" s="76" t="e">
        <f>G120*'2. Salmon Passage by Bin'!G120</f>
        <v>#N/A</v>
      </c>
      <c r="P120" s="76" t="e">
        <f>$G120*'2. Salmon Passage by Bin'!H120</f>
        <v>#N/A</v>
      </c>
      <c r="Q120" s="76" t="e">
        <f>$G120*'2. Salmon Passage by Bin'!I120</f>
        <v>#N/A</v>
      </c>
      <c r="R120" s="76" t="e">
        <f>$G120*'2. Salmon Passage by Bin'!J120</f>
        <v>#N/A</v>
      </c>
      <c r="S120" s="56" t="e">
        <f>'2. Salmon Passage by Bin'!K120*H120</f>
        <v>#N/A</v>
      </c>
      <c r="T120" s="25" t="e">
        <f>K120*'2. Salmon Passage by Bin'!L120</f>
        <v>#N/A</v>
      </c>
      <c r="U120" s="25" t="e">
        <f>K120*'2. Salmon Passage by Bin'!M120</f>
        <v>#N/A</v>
      </c>
      <c r="V120" s="25" t="e">
        <f>J120*'2. Salmon Passage by Bin'!N120</f>
        <v>#N/A</v>
      </c>
      <c r="W120" s="25" t="e">
        <f>I120*'2. Salmon Passage by Bin'!O120</f>
        <v>#N/A</v>
      </c>
      <c r="X120" s="76" t="e">
        <f>E120*'2. Salmon Passage by Bin'!E120</f>
        <v>#N/A</v>
      </c>
      <c r="Y120" s="41">
        <f t="shared" si="1"/>
        <v>0</v>
      </c>
      <c r="Z120" s="42" t="e">
        <f>Y120/'[1]Passage Estimates'!$D120</f>
        <v>#N/A</v>
      </c>
      <c r="AA120" s="43" t="e">
        <f>IFERROR(SUMIF(L120:O120, "&lt;&gt;#N/A")/SUMIF('2. Salmon Passage by Bin'!E120:J120, "&lt;&gt;#N/A"), NA())</f>
        <v>#N/A</v>
      </c>
      <c r="AB120" s="42" t="e">
        <f>IFERROR(IF(ISNA(S120), NA(), S120/'2. Salmon Passage by Bin'!K120), NA())</f>
        <v>#N/A</v>
      </c>
      <c r="AC120" s="44" t="e">
        <f>IFERROR(SUMIF(T120:W120, "&lt;&gt;#N/A")/SUMIF('2. Salmon Passage by Bin'!L120:N120, "&lt;&gt;#N/A"), NA())</f>
        <v>#N/A</v>
      </c>
    </row>
    <row r="121" spans="1:29" x14ac:dyDescent="0.3">
      <c r="A121" s="5">
        <f>'1. Mixture Model Inputs'!A121</f>
        <v>45223</v>
      </c>
      <c r="B121" s="13" t="str">
        <f>IF(ISBLANK('[1]Passage Estimates'!$C121), "", '[1]Passage Estimates'!$C121)</f>
        <v/>
      </c>
      <c r="C121" s="71">
        <f>IFERROR('1. Mixture Model Inputs'!R121/'1. Mixture Model Inputs'!Z121,0)</f>
        <v>0</v>
      </c>
      <c r="D121" s="71">
        <f>IFERROR('1. Mixture Model Inputs'!S121/'1. Mixture Model Inputs'!AA121,0)</f>
        <v>0</v>
      </c>
      <c r="E121" s="71">
        <f>IFERROR('1. Mixture Model Inputs'!T121/'1. Mixture Model Inputs'!AB121,0)</f>
        <v>0</v>
      </c>
      <c r="F121" s="71">
        <f>IFERROR('1. Mixture Model Inputs'!U121/'1. Mixture Model Inputs'!AC121,0)</f>
        <v>0</v>
      </c>
      <c r="G121" s="71">
        <f>IFERROR('1. Mixture Model Inputs'!V121/'1. Mixture Model Inputs'!AD121,0)</f>
        <v>0</v>
      </c>
      <c r="H121" s="24">
        <f>WhonSpComp!AR136</f>
        <v>0</v>
      </c>
      <c r="I121" s="70">
        <f>IFERROR('1. Mixture Model Inputs'!W121/'1. Mixture Model Inputs'!AE121, 0)</f>
        <v>0</v>
      </c>
      <c r="J121" s="71">
        <f>IFERROR('1. Mixture Model Inputs'!X121/'1. Mixture Model Inputs'!AF121, 0)</f>
        <v>0</v>
      </c>
      <c r="K121" s="23">
        <f>IFERROR('1. Mixture Model Inputs'!Y121/'1. Mixture Model Inputs'!AG121, 0)</f>
        <v>0</v>
      </c>
      <c r="L121" s="76">
        <f>C121*'2. Salmon Passage by Bin'!C121</f>
        <v>0</v>
      </c>
      <c r="M121" s="76">
        <f>D121*'2. Salmon Passage by Bin'!D121</f>
        <v>0</v>
      </c>
      <c r="N121" s="76" t="e">
        <f>F121*'2. Salmon Passage by Bin'!F121</f>
        <v>#N/A</v>
      </c>
      <c r="O121" s="76" t="e">
        <f>G121*'2. Salmon Passage by Bin'!G121</f>
        <v>#N/A</v>
      </c>
      <c r="P121" s="76" t="e">
        <f>$G121*'2. Salmon Passage by Bin'!H121</f>
        <v>#N/A</v>
      </c>
      <c r="Q121" s="76" t="e">
        <f>$G121*'2. Salmon Passage by Bin'!I121</f>
        <v>#N/A</v>
      </c>
      <c r="R121" s="76" t="e">
        <f>$G121*'2. Salmon Passage by Bin'!J121</f>
        <v>#N/A</v>
      </c>
      <c r="S121" s="56" t="e">
        <f>'2. Salmon Passage by Bin'!K121*H121</f>
        <v>#N/A</v>
      </c>
      <c r="T121" s="25" t="e">
        <f>K121*'2. Salmon Passage by Bin'!L121</f>
        <v>#N/A</v>
      </c>
      <c r="U121" s="25" t="e">
        <f>K121*'2. Salmon Passage by Bin'!M121</f>
        <v>#N/A</v>
      </c>
      <c r="V121" s="25" t="e">
        <f>J121*'2. Salmon Passage by Bin'!N121</f>
        <v>#N/A</v>
      </c>
      <c r="W121" s="25" t="e">
        <f>I121*'2. Salmon Passage by Bin'!O121</f>
        <v>#N/A</v>
      </c>
      <c r="X121" s="76" t="e">
        <f>E121*'2. Salmon Passage by Bin'!E121</f>
        <v>#N/A</v>
      </c>
      <c r="Y121" s="41">
        <f t="shared" si="1"/>
        <v>0</v>
      </c>
      <c r="Z121" s="42" t="e">
        <f>Y121/'[1]Passage Estimates'!$D121</f>
        <v>#N/A</v>
      </c>
      <c r="AA121" s="43" t="e">
        <f>IFERROR(SUMIF(L121:O121, "&lt;&gt;#N/A")/SUMIF('2. Salmon Passage by Bin'!E121:J121, "&lt;&gt;#N/A"), NA())</f>
        <v>#N/A</v>
      </c>
      <c r="AB121" s="42" t="e">
        <f>IFERROR(IF(ISNA(S121), NA(), S121/'2. Salmon Passage by Bin'!K121), NA())</f>
        <v>#N/A</v>
      </c>
      <c r="AC121" s="44" t="e">
        <f>IFERROR(SUMIF(T121:W121, "&lt;&gt;#N/A")/SUMIF('2. Salmon Passage by Bin'!L121:N121, "&lt;&gt;#N/A"), NA())</f>
        <v>#N/A</v>
      </c>
    </row>
    <row r="122" spans="1:29" x14ac:dyDescent="0.3">
      <c r="A122" s="5">
        <f>'1. Mixture Model Inputs'!A122</f>
        <v>45224</v>
      </c>
      <c r="B122" s="13" t="str">
        <f>IF(ISBLANK('[1]Passage Estimates'!$C122), "", '[1]Passage Estimates'!$C122)</f>
        <v/>
      </c>
      <c r="C122" s="71">
        <f>IFERROR('1. Mixture Model Inputs'!R122/'1. Mixture Model Inputs'!Z122,0)</f>
        <v>0</v>
      </c>
      <c r="D122" s="71">
        <f>IFERROR('1. Mixture Model Inputs'!S122/'1. Mixture Model Inputs'!AA122,0)</f>
        <v>0</v>
      </c>
      <c r="E122" s="71">
        <f>IFERROR('1. Mixture Model Inputs'!T122/'1. Mixture Model Inputs'!AB122,0)</f>
        <v>0</v>
      </c>
      <c r="F122" s="71">
        <f>IFERROR('1. Mixture Model Inputs'!U122/'1. Mixture Model Inputs'!AC122,0)</f>
        <v>0</v>
      </c>
      <c r="G122" s="71">
        <f>IFERROR('1. Mixture Model Inputs'!V122/'1. Mixture Model Inputs'!AD122,0)</f>
        <v>0</v>
      </c>
      <c r="H122" s="24">
        <f>WhonSpComp!AR137</f>
        <v>0</v>
      </c>
      <c r="I122" s="70">
        <f>IFERROR('1. Mixture Model Inputs'!W122/'1. Mixture Model Inputs'!AE122, 0)</f>
        <v>0</v>
      </c>
      <c r="J122" s="71">
        <f>IFERROR('1. Mixture Model Inputs'!X122/'1. Mixture Model Inputs'!AF122, 0)</f>
        <v>0</v>
      </c>
      <c r="K122" s="23">
        <f>IFERROR('1. Mixture Model Inputs'!Y122/'1. Mixture Model Inputs'!AG122, 0)</f>
        <v>0</v>
      </c>
      <c r="L122" s="76">
        <f>C122*'2. Salmon Passage by Bin'!C122</f>
        <v>0</v>
      </c>
      <c r="M122" s="76">
        <f>D122*'2. Salmon Passage by Bin'!D122</f>
        <v>0</v>
      </c>
      <c r="N122" s="76" t="e">
        <f>F122*'2. Salmon Passage by Bin'!F122</f>
        <v>#N/A</v>
      </c>
      <c r="O122" s="76" t="e">
        <f>G122*'2. Salmon Passage by Bin'!G122</f>
        <v>#N/A</v>
      </c>
      <c r="P122" s="76" t="e">
        <f>$G122*'2. Salmon Passage by Bin'!H122</f>
        <v>#N/A</v>
      </c>
      <c r="Q122" s="76" t="e">
        <f>$G122*'2. Salmon Passage by Bin'!I122</f>
        <v>#N/A</v>
      </c>
      <c r="R122" s="76" t="e">
        <f>$G122*'2. Salmon Passage by Bin'!J122</f>
        <v>#N/A</v>
      </c>
      <c r="S122" s="56" t="e">
        <f>'2. Salmon Passage by Bin'!K122*H122</f>
        <v>#N/A</v>
      </c>
      <c r="T122" s="25" t="e">
        <f>K122*'2. Salmon Passage by Bin'!L122</f>
        <v>#N/A</v>
      </c>
      <c r="U122" s="25" t="e">
        <f>K122*'2. Salmon Passage by Bin'!M122</f>
        <v>#N/A</v>
      </c>
      <c r="V122" s="25" t="e">
        <f>J122*'2. Salmon Passage by Bin'!N122</f>
        <v>#N/A</v>
      </c>
      <c r="W122" s="25" t="e">
        <f>I122*'2. Salmon Passage by Bin'!O122</f>
        <v>#N/A</v>
      </c>
      <c r="X122" s="76" t="e">
        <f>E122*'2. Salmon Passage by Bin'!E122</f>
        <v>#N/A</v>
      </c>
      <c r="Y122" s="41">
        <f t="shared" si="1"/>
        <v>0</v>
      </c>
      <c r="Z122" s="42" t="e">
        <f>Y122/'[1]Passage Estimates'!$D122</f>
        <v>#N/A</v>
      </c>
      <c r="AA122" s="43" t="e">
        <f>IFERROR(SUMIF(L122:O122, "&lt;&gt;#N/A")/SUMIF('2. Salmon Passage by Bin'!E122:J122, "&lt;&gt;#N/A"), NA())</f>
        <v>#N/A</v>
      </c>
      <c r="AB122" s="42" t="e">
        <f>IFERROR(IF(ISNA(S122), NA(), S122/'2. Salmon Passage by Bin'!K122), NA())</f>
        <v>#N/A</v>
      </c>
      <c r="AC122" s="44" t="e">
        <f>IFERROR(SUMIF(T122:W122, "&lt;&gt;#N/A")/SUMIF('2. Salmon Passage by Bin'!L122:N122, "&lt;&gt;#N/A"), NA())</f>
        <v>#N/A</v>
      </c>
    </row>
    <row r="123" spans="1:29" x14ac:dyDescent="0.3">
      <c r="A123" s="5">
        <f>'1. Mixture Model Inputs'!A123</f>
        <v>45225</v>
      </c>
      <c r="B123" s="13" t="str">
        <f>IF(ISBLANK('[1]Passage Estimates'!$C123), "", '[1]Passage Estimates'!$C123)</f>
        <v/>
      </c>
      <c r="C123" s="71">
        <f>IFERROR('1. Mixture Model Inputs'!R123/'1. Mixture Model Inputs'!Z123,0)</f>
        <v>0</v>
      </c>
      <c r="D123" s="71">
        <f>IFERROR('1. Mixture Model Inputs'!S123/'1. Mixture Model Inputs'!AA123,0)</f>
        <v>0</v>
      </c>
      <c r="E123" s="71">
        <f>IFERROR('1. Mixture Model Inputs'!T123/'1. Mixture Model Inputs'!AB123,0)</f>
        <v>0</v>
      </c>
      <c r="F123" s="71">
        <f>IFERROR('1. Mixture Model Inputs'!U123/'1. Mixture Model Inputs'!AC123,0)</f>
        <v>0</v>
      </c>
      <c r="G123" s="71">
        <f>IFERROR('1. Mixture Model Inputs'!V123/'1. Mixture Model Inputs'!AD123,0)</f>
        <v>0</v>
      </c>
      <c r="H123" s="24">
        <f>WhonSpComp!AR138</f>
        <v>0</v>
      </c>
      <c r="I123" s="70">
        <f>IFERROR('1. Mixture Model Inputs'!W123/'1. Mixture Model Inputs'!AE123, 0)</f>
        <v>0</v>
      </c>
      <c r="J123" s="71">
        <f>IFERROR('1. Mixture Model Inputs'!X123/'1. Mixture Model Inputs'!AF123, 0)</f>
        <v>0</v>
      </c>
      <c r="K123" s="23">
        <f>IFERROR('1. Mixture Model Inputs'!Y123/'1. Mixture Model Inputs'!AG123, 0)</f>
        <v>0</v>
      </c>
      <c r="L123" s="76">
        <f>C123*'2. Salmon Passage by Bin'!C123</f>
        <v>0</v>
      </c>
      <c r="M123" s="76">
        <f>D123*'2. Salmon Passage by Bin'!D123</f>
        <v>0</v>
      </c>
      <c r="N123" s="76" t="e">
        <f>F123*'2. Salmon Passage by Bin'!F123</f>
        <v>#N/A</v>
      </c>
      <c r="O123" s="76" t="e">
        <f>G123*'2. Salmon Passage by Bin'!G123</f>
        <v>#N/A</v>
      </c>
      <c r="P123" s="76" t="e">
        <f>$G123*'2. Salmon Passage by Bin'!H123</f>
        <v>#N/A</v>
      </c>
      <c r="Q123" s="76" t="e">
        <f>$G123*'2. Salmon Passage by Bin'!I123</f>
        <v>#N/A</v>
      </c>
      <c r="R123" s="76" t="e">
        <f>$G123*'2. Salmon Passage by Bin'!J123</f>
        <v>#N/A</v>
      </c>
      <c r="S123" s="56" t="e">
        <f>'2. Salmon Passage by Bin'!K123*H123</f>
        <v>#N/A</v>
      </c>
      <c r="T123" s="25" t="e">
        <f>K123*'2. Salmon Passage by Bin'!L123</f>
        <v>#N/A</v>
      </c>
      <c r="U123" s="25" t="e">
        <f>K123*'2. Salmon Passage by Bin'!M123</f>
        <v>#N/A</v>
      </c>
      <c r="V123" s="25" t="e">
        <f>J123*'2. Salmon Passage by Bin'!N123</f>
        <v>#N/A</v>
      </c>
      <c r="W123" s="25" t="e">
        <f>I123*'2. Salmon Passage by Bin'!O123</f>
        <v>#N/A</v>
      </c>
      <c r="X123" s="76" t="e">
        <f>E123*'2. Salmon Passage by Bin'!E123</f>
        <v>#N/A</v>
      </c>
      <c r="Y123" s="41">
        <f t="shared" si="1"/>
        <v>0</v>
      </c>
      <c r="Z123" s="42" t="e">
        <f>Y123/'[1]Passage Estimates'!$D123</f>
        <v>#N/A</v>
      </c>
      <c r="AA123" s="43" t="e">
        <f>IFERROR(SUMIF(L123:O123, "&lt;&gt;#N/A")/SUMIF('2. Salmon Passage by Bin'!E123:J123, "&lt;&gt;#N/A"), NA())</f>
        <v>#N/A</v>
      </c>
      <c r="AB123" s="42" t="e">
        <f>IFERROR(IF(ISNA(S123), NA(), S123/'2. Salmon Passage by Bin'!K123), NA())</f>
        <v>#N/A</v>
      </c>
      <c r="AC123" s="44" t="e">
        <f>IFERROR(SUMIF(T123:W123, "&lt;&gt;#N/A")/SUMIF('2. Salmon Passage by Bin'!L123:N123, "&lt;&gt;#N/A"), NA())</f>
        <v>#N/A</v>
      </c>
    </row>
    <row r="124" spans="1:29" x14ac:dyDescent="0.3">
      <c r="A124" s="5">
        <f>'1. Mixture Model Inputs'!A124</f>
        <v>45226</v>
      </c>
      <c r="B124" s="13" t="str">
        <f>IF(ISBLANK('[1]Passage Estimates'!$C124), "", '[1]Passage Estimates'!$C124)</f>
        <v/>
      </c>
      <c r="C124" s="71">
        <f>IFERROR('1. Mixture Model Inputs'!R124/'1. Mixture Model Inputs'!Z124,0)</f>
        <v>0</v>
      </c>
      <c r="D124" s="71">
        <f>IFERROR('1. Mixture Model Inputs'!S124/'1. Mixture Model Inputs'!AA124,0)</f>
        <v>0</v>
      </c>
      <c r="E124" s="71">
        <f>IFERROR('1. Mixture Model Inputs'!T124/'1. Mixture Model Inputs'!AB124,0)</f>
        <v>0</v>
      </c>
      <c r="F124" s="71">
        <f>IFERROR('1. Mixture Model Inputs'!U124/'1. Mixture Model Inputs'!AC124,0)</f>
        <v>0</v>
      </c>
      <c r="G124" s="71">
        <f>IFERROR('1. Mixture Model Inputs'!V124/'1. Mixture Model Inputs'!AD124,0)</f>
        <v>0</v>
      </c>
      <c r="H124" s="24">
        <f>WhonSpComp!AR139</f>
        <v>0</v>
      </c>
      <c r="I124" s="70">
        <f>IFERROR('1. Mixture Model Inputs'!W124/'1. Mixture Model Inputs'!AE124, 0)</f>
        <v>0</v>
      </c>
      <c r="J124" s="71">
        <f>IFERROR('1. Mixture Model Inputs'!X124/'1. Mixture Model Inputs'!AF124, 0)</f>
        <v>0</v>
      </c>
      <c r="K124" s="23">
        <f>IFERROR('1. Mixture Model Inputs'!Y124/'1. Mixture Model Inputs'!AG124, 0)</f>
        <v>0</v>
      </c>
      <c r="L124" s="76">
        <f>C124*'2. Salmon Passage by Bin'!C124</f>
        <v>0</v>
      </c>
      <c r="M124" s="76">
        <f>D124*'2. Salmon Passage by Bin'!D124</f>
        <v>0</v>
      </c>
      <c r="N124" s="76" t="e">
        <f>F124*'2. Salmon Passage by Bin'!F124</f>
        <v>#N/A</v>
      </c>
      <c r="O124" s="76" t="e">
        <f>G124*'2. Salmon Passage by Bin'!G124</f>
        <v>#N/A</v>
      </c>
      <c r="P124" s="76" t="e">
        <f>$G124*'2. Salmon Passage by Bin'!H124</f>
        <v>#N/A</v>
      </c>
      <c r="Q124" s="76" t="e">
        <f>$G124*'2. Salmon Passage by Bin'!I124</f>
        <v>#N/A</v>
      </c>
      <c r="R124" s="76" t="e">
        <f>$G124*'2. Salmon Passage by Bin'!J124</f>
        <v>#N/A</v>
      </c>
      <c r="S124" s="56" t="e">
        <f>'2. Salmon Passage by Bin'!K124*H124</f>
        <v>#N/A</v>
      </c>
      <c r="T124" s="25" t="e">
        <f>K124*'2. Salmon Passage by Bin'!L124</f>
        <v>#N/A</v>
      </c>
      <c r="U124" s="25" t="e">
        <f>K124*'2. Salmon Passage by Bin'!M124</f>
        <v>#N/A</v>
      </c>
      <c r="V124" s="25" t="e">
        <f>J124*'2. Salmon Passage by Bin'!N124</f>
        <v>#N/A</v>
      </c>
      <c r="W124" s="25" t="e">
        <f>I124*'2. Salmon Passage by Bin'!O124</f>
        <v>#N/A</v>
      </c>
      <c r="X124" s="76" t="e">
        <f>E124*'2. Salmon Passage by Bin'!E124</f>
        <v>#N/A</v>
      </c>
      <c r="Y124" s="41">
        <f t="shared" si="1"/>
        <v>0</v>
      </c>
      <c r="Z124" s="42" t="e">
        <f>Y124/'[1]Passage Estimates'!$D124</f>
        <v>#N/A</v>
      </c>
      <c r="AA124" s="43" t="e">
        <f>IFERROR(SUMIF(L124:O124, "&lt;&gt;#N/A")/SUMIF('2. Salmon Passage by Bin'!E124:J124, "&lt;&gt;#N/A"), NA())</f>
        <v>#N/A</v>
      </c>
      <c r="AB124" s="42" t="e">
        <f>IFERROR(IF(ISNA(S124), NA(), S124/'2. Salmon Passage by Bin'!K124), NA())</f>
        <v>#N/A</v>
      </c>
      <c r="AC124" s="44" t="e">
        <f>IFERROR(SUMIF(T124:W124, "&lt;&gt;#N/A")/SUMIF('2. Salmon Passage by Bin'!L124:N124, "&lt;&gt;#N/A"), NA())</f>
        <v>#N/A</v>
      </c>
    </row>
    <row r="125" spans="1:29" x14ac:dyDescent="0.3">
      <c r="A125" s="5">
        <f>'1. Mixture Model Inputs'!A125</f>
        <v>45227</v>
      </c>
      <c r="B125" s="13" t="str">
        <f>IF(ISBLANK('[1]Passage Estimates'!$C125), "", '[1]Passage Estimates'!$C125)</f>
        <v/>
      </c>
      <c r="C125" s="71">
        <f>IFERROR('1. Mixture Model Inputs'!R125/'1. Mixture Model Inputs'!Z125,0)</f>
        <v>0</v>
      </c>
      <c r="D125" s="71">
        <f>IFERROR('1. Mixture Model Inputs'!S125/'1. Mixture Model Inputs'!AA125,0)</f>
        <v>0</v>
      </c>
      <c r="E125" s="71">
        <f>IFERROR('1. Mixture Model Inputs'!T125/'1. Mixture Model Inputs'!AB125,0)</f>
        <v>0</v>
      </c>
      <c r="F125" s="71">
        <f>IFERROR('1. Mixture Model Inputs'!U125/'1. Mixture Model Inputs'!AC125,0)</f>
        <v>0</v>
      </c>
      <c r="G125" s="71">
        <f>IFERROR('1. Mixture Model Inputs'!V125/'1. Mixture Model Inputs'!AD125,0)</f>
        <v>0</v>
      </c>
      <c r="H125" s="24">
        <f>WhonSpComp!AR140</f>
        <v>0</v>
      </c>
      <c r="I125" s="70">
        <f>IFERROR('1. Mixture Model Inputs'!W125/'1. Mixture Model Inputs'!AE125, 0)</f>
        <v>0</v>
      </c>
      <c r="J125" s="71">
        <f>IFERROR('1. Mixture Model Inputs'!X125/'1. Mixture Model Inputs'!AF125, 0)</f>
        <v>0</v>
      </c>
      <c r="K125" s="23">
        <f>IFERROR('1. Mixture Model Inputs'!Y125/'1. Mixture Model Inputs'!AG125, 0)</f>
        <v>0</v>
      </c>
      <c r="L125" s="76">
        <f>C125*'2. Salmon Passage by Bin'!C125</f>
        <v>0</v>
      </c>
      <c r="M125" s="76">
        <f>D125*'2. Salmon Passage by Bin'!D125</f>
        <v>0</v>
      </c>
      <c r="N125" s="76" t="e">
        <f>F125*'2. Salmon Passage by Bin'!F125</f>
        <v>#N/A</v>
      </c>
      <c r="O125" s="76" t="e">
        <f>G125*'2. Salmon Passage by Bin'!G125</f>
        <v>#N/A</v>
      </c>
      <c r="P125" s="76" t="e">
        <f>$G125*'2. Salmon Passage by Bin'!H125</f>
        <v>#N/A</v>
      </c>
      <c r="Q125" s="76" t="e">
        <f>$G125*'2. Salmon Passage by Bin'!I125</f>
        <v>#N/A</v>
      </c>
      <c r="R125" s="76" t="e">
        <f>$G125*'2. Salmon Passage by Bin'!J125</f>
        <v>#N/A</v>
      </c>
      <c r="S125" s="56" t="e">
        <f>'2. Salmon Passage by Bin'!K125*H125</f>
        <v>#N/A</v>
      </c>
      <c r="T125" s="25" t="e">
        <f>K125*'2. Salmon Passage by Bin'!L125</f>
        <v>#N/A</v>
      </c>
      <c r="U125" s="25" t="e">
        <f>K125*'2. Salmon Passage by Bin'!M125</f>
        <v>#N/A</v>
      </c>
      <c r="V125" s="25" t="e">
        <f>J125*'2. Salmon Passage by Bin'!N125</f>
        <v>#N/A</v>
      </c>
      <c r="W125" s="25" t="e">
        <f>I125*'2. Salmon Passage by Bin'!O125</f>
        <v>#N/A</v>
      </c>
      <c r="X125" s="76" t="e">
        <f>E125*'2. Salmon Passage by Bin'!E125</f>
        <v>#N/A</v>
      </c>
      <c r="Y125" s="41">
        <f t="shared" si="1"/>
        <v>0</v>
      </c>
      <c r="Z125" s="42" t="e">
        <f>Y125/'[1]Passage Estimates'!$D125</f>
        <v>#N/A</v>
      </c>
      <c r="AA125" s="43" t="e">
        <f>IFERROR(SUMIF(L125:O125, "&lt;&gt;#N/A")/SUMIF('2. Salmon Passage by Bin'!E125:J125, "&lt;&gt;#N/A"), NA())</f>
        <v>#N/A</v>
      </c>
      <c r="AB125" s="42" t="e">
        <f>IFERROR(IF(ISNA(S125), NA(), S125/'2. Salmon Passage by Bin'!K125), NA())</f>
        <v>#N/A</v>
      </c>
      <c r="AC125" s="44" t="e">
        <f>IFERROR(SUMIF(T125:W125, "&lt;&gt;#N/A")/SUMIF('2. Salmon Passage by Bin'!L125:N125, "&lt;&gt;#N/A"), NA())</f>
        <v>#N/A</v>
      </c>
    </row>
    <row r="126" spans="1:29" x14ac:dyDescent="0.3">
      <c r="A126" s="5">
        <f>'1. Mixture Model Inputs'!A126</f>
        <v>45228</v>
      </c>
      <c r="B126" s="13" t="str">
        <f>IF(ISBLANK('[1]Passage Estimates'!$C126), "", '[1]Passage Estimates'!$C126)</f>
        <v/>
      </c>
      <c r="C126" s="71">
        <f>IFERROR('1. Mixture Model Inputs'!R126/'1. Mixture Model Inputs'!Z126,0)</f>
        <v>0</v>
      </c>
      <c r="D126" s="71">
        <f>IFERROR('1. Mixture Model Inputs'!S126/'1. Mixture Model Inputs'!AA126,0)</f>
        <v>0</v>
      </c>
      <c r="E126" s="71">
        <f>IFERROR('1. Mixture Model Inputs'!T126/'1. Mixture Model Inputs'!AB126,0)</f>
        <v>0</v>
      </c>
      <c r="F126" s="71">
        <f>IFERROR('1. Mixture Model Inputs'!U126/'1. Mixture Model Inputs'!AC126,0)</f>
        <v>0</v>
      </c>
      <c r="G126" s="71">
        <f>IFERROR('1. Mixture Model Inputs'!V126/'1. Mixture Model Inputs'!AD126,0)</f>
        <v>0</v>
      </c>
      <c r="H126" s="24">
        <f>WhonSpComp!AR141</f>
        <v>0</v>
      </c>
      <c r="I126" s="70">
        <f>IFERROR('1. Mixture Model Inputs'!W126/'1. Mixture Model Inputs'!AE126, 0)</f>
        <v>0</v>
      </c>
      <c r="J126" s="71">
        <f>IFERROR('1. Mixture Model Inputs'!X126/'1. Mixture Model Inputs'!AF126, 0)</f>
        <v>0</v>
      </c>
      <c r="K126" s="23">
        <f>IFERROR('1. Mixture Model Inputs'!Y126/'1. Mixture Model Inputs'!AG126, 0)</f>
        <v>0</v>
      </c>
      <c r="L126" s="76">
        <f>C126*'2. Salmon Passage by Bin'!C126</f>
        <v>0</v>
      </c>
      <c r="M126" s="76">
        <f>D126*'2. Salmon Passage by Bin'!D126</f>
        <v>0</v>
      </c>
      <c r="N126" s="76" t="e">
        <f>F126*'2. Salmon Passage by Bin'!F126</f>
        <v>#N/A</v>
      </c>
      <c r="O126" s="76" t="e">
        <f>G126*'2. Salmon Passage by Bin'!G126</f>
        <v>#N/A</v>
      </c>
      <c r="P126" s="76" t="e">
        <f>$G126*'2. Salmon Passage by Bin'!H126</f>
        <v>#N/A</v>
      </c>
      <c r="Q126" s="76" t="e">
        <f>$G126*'2. Salmon Passage by Bin'!I126</f>
        <v>#N/A</v>
      </c>
      <c r="R126" s="76" t="e">
        <f>$G126*'2. Salmon Passage by Bin'!J126</f>
        <v>#N/A</v>
      </c>
      <c r="S126" s="56" t="e">
        <f>'2. Salmon Passage by Bin'!K126*H126</f>
        <v>#N/A</v>
      </c>
      <c r="T126" s="25" t="e">
        <f>K126*'2. Salmon Passage by Bin'!L126</f>
        <v>#N/A</v>
      </c>
      <c r="U126" s="25" t="e">
        <f>K126*'2. Salmon Passage by Bin'!M126</f>
        <v>#N/A</v>
      </c>
      <c r="V126" s="25" t="e">
        <f>J126*'2. Salmon Passage by Bin'!N126</f>
        <v>#N/A</v>
      </c>
      <c r="W126" s="25" t="e">
        <f>I126*'2. Salmon Passage by Bin'!O126</f>
        <v>#N/A</v>
      </c>
      <c r="X126" s="76" t="e">
        <f>E126*'2. Salmon Passage by Bin'!E126</f>
        <v>#N/A</v>
      </c>
      <c r="Y126" s="41">
        <f t="shared" si="1"/>
        <v>0</v>
      </c>
      <c r="Z126" s="42" t="e">
        <f>Y126/'[1]Passage Estimates'!$D126</f>
        <v>#N/A</v>
      </c>
      <c r="AA126" s="43" t="e">
        <f>IFERROR(SUMIF(L126:O126, "&lt;&gt;#N/A")/SUMIF('2. Salmon Passage by Bin'!E126:J126, "&lt;&gt;#N/A"), NA())</f>
        <v>#N/A</v>
      </c>
      <c r="AB126" s="42" t="e">
        <f>IFERROR(IF(ISNA(S126), NA(), S126/'2. Salmon Passage by Bin'!K126), NA())</f>
        <v>#N/A</v>
      </c>
      <c r="AC126" s="44" t="e">
        <f>IFERROR(SUMIF(T126:W126, "&lt;&gt;#N/A")/SUMIF('2. Salmon Passage by Bin'!L126:N126, "&lt;&gt;#N/A"), NA())</f>
        <v>#N/A</v>
      </c>
    </row>
    <row r="127" spans="1:29" x14ac:dyDescent="0.3">
      <c r="A127" s="5">
        <f>'1. Mixture Model Inputs'!A127</f>
        <v>45229</v>
      </c>
      <c r="B127" s="13" t="str">
        <f>IF(ISBLANK('[1]Passage Estimates'!$C127), "", '[1]Passage Estimates'!$C127)</f>
        <v/>
      </c>
      <c r="C127" s="71">
        <f>IFERROR('1. Mixture Model Inputs'!R127/'1. Mixture Model Inputs'!Z127,0)</f>
        <v>0</v>
      </c>
      <c r="D127" s="71">
        <f>IFERROR('1. Mixture Model Inputs'!S127/'1. Mixture Model Inputs'!AA127,0)</f>
        <v>0</v>
      </c>
      <c r="E127" s="71">
        <f>IFERROR('1. Mixture Model Inputs'!T127/'1. Mixture Model Inputs'!AB127,0)</f>
        <v>0</v>
      </c>
      <c r="F127" s="71">
        <f>IFERROR('1. Mixture Model Inputs'!U127/'1. Mixture Model Inputs'!AC127,0)</f>
        <v>0</v>
      </c>
      <c r="G127" s="71">
        <f>IFERROR('1. Mixture Model Inputs'!V127/'1. Mixture Model Inputs'!AD127,0)</f>
        <v>0</v>
      </c>
      <c r="H127" s="24">
        <f>WhonSpComp!AR142</f>
        <v>0</v>
      </c>
      <c r="I127" s="70">
        <f>IFERROR('1. Mixture Model Inputs'!W127/'1. Mixture Model Inputs'!AE127, 0)</f>
        <v>0</v>
      </c>
      <c r="J127" s="71">
        <f>IFERROR('1. Mixture Model Inputs'!X127/'1. Mixture Model Inputs'!AF127, 0)</f>
        <v>0</v>
      </c>
      <c r="K127" s="23">
        <f>IFERROR('1. Mixture Model Inputs'!Y127/'1. Mixture Model Inputs'!AG127, 0)</f>
        <v>0</v>
      </c>
      <c r="L127" s="76">
        <f>C127*'2. Salmon Passage by Bin'!C127</f>
        <v>0</v>
      </c>
      <c r="M127" s="76">
        <f>D127*'2. Salmon Passage by Bin'!D127</f>
        <v>0</v>
      </c>
      <c r="N127" s="76" t="e">
        <f>F127*'2. Salmon Passage by Bin'!F127</f>
        <v>#N/A</v>
      </c>
      <c r="O127" s="76" t="e">
        <f>G127*'2. Salmon Passage by Bin'!G127</f>
        <v>#N/A</v>
      </c>
      <c r="P127" s="76" t="e">
        <f>$G127*'2. Salmon Passage by Bin'!H127</f>
        <v>#N/A</v>
      </c>
      <c r="Q127" s="76" t="e">
        <f>$G127*'2. Salmon Passage by Bin'!I127</f>
        <v>#N/A</v>
      </c>
      <c r="R127" s="76" t="e">
        <f>$G127*'2. Salmon Passage by Bin'!J127</f>
        <v>#N/A</v>
      </c>
      <c r="S127" s="56" t="e">
        <f>'2. Salmon Passage by Bin'!K127*H127</f>
        <v>#N/A</v>
      </c>
      <c r="T127" s="25" t="e">
        <f>K127*'2. Salmon Passage by Bin'!L127</f>
        <v>#N/A</v>
      </c>
      <c r="U127" s="25" t="e">
        <f>K127*'2. Salmon Passage by Bin'!M127</f>
        <v>#N/A</v>
      </c>
      <c r="V127" s="25" t="e">
        <f>J127*'2. Salmon Passage by Bin'!N127</f>
        <v>#N/A</v>
      </c>
      <c r="W127" s="25" t="e">
        <f>I127*'2. Salmon Passage by Bin'!O127</f>
        <v>#N/A</v>
      </c>
      <c r="X127" s="76" t="e">
        <f>E127*'2. Salmon Passage by Bin'!E127</f>
        <v>#N/A</v>
      </c>
      <c r="Y127" s="41">
        <f t="shared" si="1"/>
        <v>0</v>
      </c>
      <c r="Z127" s="42" t="e">
        <f>Y127/'[1]Passage Estimates'!$D127</f>
        <v>#N/A</v>
      </c>
      <c r="AA127" s="43" t="e">
        <f>IFERROR(SUMIF(L127:O127, "&lt;&gt;#N/A")/SUMIF('2. Salmon Passage by Bin'!E127:J127, "&lt;&gt;#N/A"), NA())</f>
        <v>#N/A</v>
      </c>
      <c r="AB127" s="42" t="e">
        <f>IFERROR(IF(ISNA(S127), NA(), S127/'2. Salmon Passage by Bin'!K127), NA())</f>
        <v>#N/A</v>
      </c>
      <c r="AC127" s="44" t="e">
        <f>IFERROR(SUMIF(T127:W127, "&lt;&gt;#N/A")/SUMIF('2. Salmon Passage by Bin'!L127:N127, "&lt;&gt;#N/A"), NA())</f>
        <v>#N/A</v>
      </c>
    </row>
    <row r="128" spans="1:29" ht="15" thickBot="1" x14ac:dyDescent="0.35">
      <c r="A128" s="6">
        <f>'1. Mixture Model Inputs'!A128</f>
        <v>45230</v>
      </c>
      <c r="B128" s="16" t="str">
        <f>IF(ISBLANK('[1]Passage Estimates'!$C128), "", '[1]Passage Estimates'!$C128)</f>
        <v/>
      </c>
      <c r="C128" s="71">
        <f>IFERROR('1. Mixture Model Inputs'!R128/'1. Mixture Model Inputs'!Z128,0)</f>
        <v>0</v>
      </c>
      <c r="D128" s="71">
        <f>IFERROR('1. Mixture Model Inputs'!S128/'1. Mixture Model Inputs'!AA128,0)</f>
        <v>0</v>
      </c>
      <c r="E128" s="71">
        <f>IFERROR('1. Mixture Model Inputs'!T128/'1. Mixture Model Inputs'!AB128,0)</f>
        <v>0</v>
      </c>
      <c r="F128" s="71">
        <f>IFERROR('1. Mixture Model Inputs'!U128/'1. Mixture Model Inputs'!AC128,0)</f>
        <v>0</v>
      </c>
      <c r="G128" s="71">
        <f>IFERROR('1. Mixture Model Inputs'!V128/'1. Mixture Model Inputs'!AD128,0)</f>
        <v>0</v>
      </c>
      <c r="H128" s="37">
        <f>WhonSpComp!AR143</f>
        <v>0</v>
      </c>
      <c r="I128" s="70">
        <f>IFERROR('1. Mixture Model Inputs'!W128/'1. Mixture Model Inputs'!AE128, 0)</f>
        <v>0</v>
      </c>
      <c r="J128" s="71">
        <f>IFERROR('1. Mixture Model Inputs'!X128/'1. Mixture Model Inputs'!AF128, 0)</f>
        <v>0</v>
      </c>
      <c r="K128" s="23">
        <f>IFERROR('1. Mixture Model Inputs'!Y128/'1. Mixture Model Inputs'!AG128, 0)</f>
        <v>0</v>
      </c>
      <c r="L128" s="76">
        <f>C128*'2. Salmon Passage by Bin'!C128</f>
        <v>0</v>
      </c>
      <c r="M128" s="76">
        <f>D128*'2. Salmon Passage by Bin'!D128</f>
        <v>0</v>
      </c>
      <c r="N128" s="39" t="e">
        <f>F128*'2. Salmon Passage by Bin'!F128</f>
        <v>#N/A</v>
      </c>
      <c r="O128" s="39" t="e">
        <f>G128*'2. Salmon Passage by Bin'!G128</f>
        <v>#N/A</v>
      </c>
      <c r="P128" s="39" t="e">
        <f>$G128*'2. Salmon Passage by Bin'!H128</f>
        <v>#N/A</v>
      </c>
      <c r="Q128" s="39" t="e">
        <f>$G128*'2. Salmon Passage by Bin'!I128</f>
        <v>#N/A</v>
      </c>
      <c r="R128" s="39" t="e">
        <f>$G128*'2. Salmon Passage by Bin'!J128</f>
        <v>#N/A</v>
      </c>
      <c r="S128" s="40" t="e">
        <f>'2. Salmon Passage by Bin'!K128*H128</f>
        <v>#N/A</v>
      </c>
      <c r="T128" s="25" t="e">
        <f>K128*'2. Salmon Passage by Bin'!L128</f>
        <v>#N/A</v>
      </c>
      <c r="U128" s="25" t="e">
        <f>K128*'2. Salmon Passage by Bin'!M128</f>
        <v>#N/A</v>
      </c>
      <c r="V128" s="25" t="e">
        <f>J128*'2. Salmon Passage by Bin'!N128</f>
        <v>#N/A</v>
      </c>
      <c r="W128" s="25" t="e">
        <f>I128*'2. Salmon Passage by Bin'!O128</f>
        <v>#N/A</v>
      </c>
      <c r="X128" s="76" t="e">
        <f>E128*'2. Salmon Passage by Bin'!E128</f>
        <v>#N/A</v>
      </c>
      <c r="Y128" s="41">
        <f t="shared" si="1"/>
        <v>0</v>
      </c>
      <c r="Z128" s="47" t="e">
        <f>Y128/'[1]Passage Estimates'!$D128</f>
        <v>#N/A</v>
      </c>
      <c r="AA128" s="43" t="e">
        <f>IFERROR(SUMIF(L128:O128, "&lt;&gt;#N/A")/SUMIF('2. Salmon Passage by Bin'!E128:J128, "&lt;&gt;#N/A"), NA())</f>
        <v>#N/A</v>
      </c>
      <c r="AB128" s="47" t="e">
        <f>IFERROR(IF(ISNA(S128), NA(), S128/'2. Salmon Passage by Bin'!K128), NA())</f>
        <v>#N/A</v>
      </c>
      <c r="AC128" s="44" t="e">
        <f>IFERROR(SUMIF(T128:W128, "&lt;&gt;#N/A")/SUMIF('2. Salmon Passage by Bin'!L128:N128, "&lt;&gt;#N/A"), NA())</f>
        <v>#N/A</v>
      </c>
    </row>
    <row r="129" spans="1:14" x14ac:dyDescent="0.3">
      <c r="A129" s="1"/>
    </row>
    <row r="132" spans="1:14" x14ac:dyDescent="0.3">
      <c r="L132" s="72"/>
      <c r="M132" s="72"/>
      <c r="N132" s="72"/>
    </row>
  </sheetData>
  <mergeCells count="8">
    <mergeCell ref="Y3:AC3"/>
    <mergeCell ref="A4:A5"/>
    <mergeCell ref="B4:B5"/>
    <mergeCell ref="C4:K4"/>
    <mergeCell ref="L4:X4"/>
    <mergeCell ref="Y4:Y5"/>
    <mergeCell ref="Z4:Z5"/>
    <mergeCell ref="AA4:AC4"/>
  </mergeCells>
  <conditionalFormatting sqref="X6:AC128 B6:S128">
    <cfRule type="expression" dxfId="18" priority="2">
      <formula>ISNA(B6)</formula>
    </cfRule>
  </conditionalFormatting>
  <conditionalFormatting sqref="T6:W128">
    <cfRule type="expression" dxfId="17" priority="1">
      <formula>ISNA(T6)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6B70-98C3-4873-8866-C5ABCF43E40A}">
  <sheetPr codeName="Sheet8">
    <tabColor theme="4" tint="0.59999389629810485"/>
  </sheetPr>
  <dimension ref="A1:BE132"/>
  <sheetViews>
    <sheetView workbookViewId="0">
      <pane xSplit="3" ySplit="4" topLeftCell="T90" activePane="bottomRight" state="frozen"/>
      <selection pane="topRight" activeCell="D1" sqref="D1"/>
      <selection pane="bottomLeft" activeCell="A5" sqref="A5"/>
      <selection pane="bottomRight" activeCell="AT98" sqref="AT98"/>
    </sheetView>
  </sheetViews>
  <sheetFormatPr defaultRowHeight="14.4" x14ac:dyDescent="0.3"/>
  <cols>
    <col min="1" max="1" width="8" bestFit="1" customWidth="1"/>
    <col min="2" max="2" width="4.5546875" bestFit="1" customWidth="1"/>
    <col min="4" max="4" width="5.5546875" bestFit="1" customWidth="1"/>
    <col min="5" max="5" width="6.33203125" bestFit="1" customWidth="1"/>
    <col min="6" max="6" width="4.6640625" bestFit="1" customWidth="1"/>
    <col min="7" max="7" width="5.33203125" bestFit="1" customWidth="1"/>
    <col min="8" max="8" width="6.5546875" bestFit="1" customWidth="1"/>
    <col min="9" max="10" width="5.5546875" bestFit="1" customWidth="1"/>
    <col min="11" max="11" width="5.33203125" bestFit="1" customWidth="1"/>
    <col min="12" max="12" width="4.6640625" bestFit="1" customWidth="1"/>
    <col min="13" max="13" width="5.33203125" bestFit="1" customWidth="1"/>
    <col min="14" max="17" width="5.5546875" bestFit="1" customWidth="1"/>
    <col min="18" max="20" width="5.6640625" bestFit="1" customWidth="1"/>
    <col min="21" max="21" width="4.6640625" bestFit="1" customWidth="1"/>
    <col min="22" max="22" width="5.109375" bestFit="1" customWidth="1"/>
    <col min="23" max="23" width="5.44140625" bestFit="1" customWidth="1"/>
    <col min="24" max="24" width="4.6640625" bestFit="1" customWidth="1"/>
    <col min="25" max="25" width="5.109375" bestFit="1" customWidth="1"/>
    <col min="26" max="26" width="5.44140625" bestFit="1" customWidth="1"/>
    <col min="27" max="31" width="5.6640625" bestFit="1" customWidth="1"/>
    <col min="32" max="32" width="5.44140625" bestFit="1" customWidth="1"/>
    <col min="33" max="33" width="4.6640625" bestFit="1" customWidth="1"/>
    <col min="34" max="34" width="5.109375" bestFit="1" customWidth="1"/>
    <col min="35" max="35" width="5.44140625" bestFit="1" customWidth="1"/>
    <col min="36" max="36" width="5.6640625" bestFit="1" customWidth="1"/>
    <col min="37" max="38" width="6.33203125" bestFit="1" customWidth="1"/>
    <col min="39" max="39" width="5.44140625" bestFit="1" customWidth="1"/>
    <col min="40" max="40" width="5.6640625" bestFit="1" customWidth="1"/>
    <col min="41" max="41" width="5.44140625" bestFit="1" customWidth="1"/>
    <col min="42" max="42" width="5.109375" bestFit="1" customWidth="1"/>
    <col min="43" max="43" width="5.44140625" bestFit="1" customWidth="1"/>
    <col min="44" max="44" width="5.109375" bestFit="1" customWidth="1"/>
    <col min="45" max="45" width="5.44140625" bestFit="1" customWidth="1"/>
    <col min="46" max="46" width="5.6640625" bestFit="1" customWidth="1"/>
    <col min="47" max="47" width="5.44140625" bestFit="1" customWidth="1"/>
    <col min="48" max="48" width="5.6640625" bestFit="1" customWidth="1"/>
    <col min="49" max="49" width="5.44140625" bestFit="1" customWidth="1"/>
    <col min="50" max="50" width="6.33203125" bestFit="1" customWidth="1"/>
    <col min="51" max="51" width="5.44140625" bestFit="1" customWidth="1"/>
    <col min="52" max="52" width="6.33203125" bestFit="1" customWidth="1"/>
    <col min="53" max="53" width="8.44140625" bestFit="1" customWidth="1"/>
    <col min="55" max="55" width="13.44140625" bestFit="1" customWidth="1"/>
    <col min="56" max="56" width="15.6640625" bestFit="1" customWidth="1"/>
    <col min="57" max="57" width="12.109375" bestFit="1" customWidth="1"/>
  </cols>
  <sheetData>
    <row r="1" spans="1:57" ht="16.2" thickBot="1" x14ac:dyDescent="0.35">
      <c r="A1" s="77" t="s">
        <v>56</v>
      </c>
      <c r="D1" s="78" t="s">
        <v>57</v>
      </c>
      <c r="E1" s="79" t="s">
        <v>58</v>
      </c>
      <c r="G1" s="80" t="s">
        <v>59</v>
      </c>
      <c r="O1" s="80" t="s">
        <v>60</v>
      </c>
      <c r="BC1" s="289" t="s">
        <v>61</v>
      </c>
      <c r="BD1" s="289"/>
      <c r="BE1" s="289"/>
    </row>
    <row r="2" spans="1:57" ht="15" thickBot="1" x14ac:dyDescent="0.35">
      <c r="A2" s="81">
        <f>[4]SockEst!A2</f>
        <v>2023</v>
      </c>
      <c r="D2" s="290" t="s">
        <v>62</v>
      </c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1" t="s">
        <v>63</v>
      </c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3"/>
      <c r="AM2" s="294" t="s">
        <v>64</v>
      </c>
      <c r="AN2" s="294"/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C2" s="82" t="s">
        <v>65</v>
      </c>
      <c r="BD2" t="s">
        <v>66</v>
      </c>
      <c r="BE2" s="83" t="s">
        <v>67</v>
      </c>
    </row>
    <row r="3" spans="1:57" x14ac:dyDescent="0.3">
      <c r="A3" s="84"/>
      <c r="D3" s="295" t="s">
        <v>68</v>
      </c>
      <c r="E3" s="295"/>
      <c r="F3" s="296" t="s">
        <v>69</v>
      </c>
      <c r="G3" s="296"/>
      <c r="H3" s="297" t="s">
        <v>70</v>
      </c>
      <c r="I3" s="297"/>
      <c r="J3" s="298" t="s">
        <v>71</v>
      </c>
      <c r="K3" s="298"/>
      <c r="L3" s="288" t="s">
        <v>72</v>
      </c>
      <c r="M3" s="288"/>
      <c r="N3" s="299" t="s">
        <v>73</v>
      </c>
      <c r="O3" s="299"/>
      <c r="P3" s="300" t="s">
        <v>74</v>
      </c>
      <c r="Q3" s="300"/>
      <c r="R3" s="301" t="s">
        <v>75</v>
      </c>
      <c r="S3" s="295"/>
      <c r="T3" s="295"/>
      <c r="U3" s="296" t="s">
        <v>76</v>
      </c>
      <c r="V3" s="296"/>
      <c r="W3" s="296"/>
      <c r="X3" s="297" t="s">
        <v>70</v>
      </c>
      <c r="Y3" s="297"/>
      <c r="Z3" s="297"/>
      <c r="AA3" s="298" t="s">
        <v>77</v>
      </c>
      <c r="AB3" s="298"/>
      <c r="AC3" s="298"/>
      <c r="AD3" s="288" t="s">
        <v>5</v>
      </c>
      <c r="AE3" s="288"/>
      <c r="AF3" s="288"/>
      <c r="AG3" s="299" t="s">
        <v>73</v>
      </c>
      <c r="AH3" s="299"/>
      <c r="AI3" s="299"/>
      <c r="AJ3" s="300" t="s">
        <v>74</v>
      </c>
      <c r="AK3" s="300"/>
      <c r="AL3" s="302"/>
      <c r="AM3" s="295" t="s">
        <v>68</v>
      </c>
      <c r="AN3" s="295"/>
      <c r="AO3" s="296" t="s">
        <v>69</v>
      </c>
      <c r="AP3" s="296"/>
      <c r="AQ3" s="297" t="s">
        <v>70</v>
      </c>
      <c r="AR3" s="297"/>
      <c r="AS3" s="298" t="s">
        <v>71</v>
      </c>
      <c r="AT3" s="298"/>
      <c r="AU3" s="288" t="s">
        <v>72</v>
      </c>
      <c r="AV3" s="288"/>
      <c r="AW3" s="299" t="s">
        <v>73</v>
      </c>
      <c r="AX3" s="299"/>
      <c r="AY3" s="300" t="s">
        <v>74</v>
      </c>
      <c r="AZ3" s="300"/>
    </row>
    <row r="4" spans="1:57" ht="28.8" x14ac:dyDescent="0.3">
      <c r="A4" s="85" t="s">
        <v>0</v>
      </c>
      <c r="B4" s="86" t="s">
        <v>78</v>
      </c>
      <c r="C4" s="87" t="s">
        <v>79</v>
      </c>
      <c r="D4" s="88" t="s">
        <v>80</v>
      </c>
      <c r="E4" s="88" t="s">
        <v>81</v>
      </c>
      <c r="F4" s="88" t="s">
        <v>80</v>
      </c>
      <c r="G4" s="88" t="s">
        <v>81</v>
      </c>
      <c r="H4" s="88" t="s">
        <v>80</v>
      </c>
      <c r="I4" s="88" t="s">
        <v>81</v>
      </c>
      <c r="J4" s="88" t="s">
        <v>80</v>
      </c>
      <c r="K4" s="88" t="s">
        <v>81</v>
      </c>
      <c r="L4" s="88" t="s">
        <v>80</v>
      </c>
      <c r="M4" s="88" t="s">
        <v>81</v>
      </c>
      <c r="N4" s="88" t="s">
        <v>80</v>
      </c>
      <c r="O4" s="88" t="s">
        <v>81</v>
      </c>
      <c r="P4" s="88" t="s">
        <v>80</v>
      </c>
      <c r="Q4" s="88" t="s">
        <v>81</v>
      </c>
      <c r="R4" s="89" t="s">
        <v>80</v>
      </c>
      <c r="S4" s="88" t="s">
        <v>81</v>
      </c>
      <c r="T4" s="88" t="s">
        <v>82</v>
      </c>
      <c r="U4" s="88" t="s">
        <v>80</v>
      </c>
      <c r="V4" s="88" t="s">
        <v>81</v>
      </c>
      <c r="W4" s="88" t="s">
        <v>82</v>
      </c>
      <c r="X4" s="88" t="s">
        <v>80</v>
      </c>
      <c r="Y4" s="88" t="s">
        <v>81</v>
      </c>
      <c r="Z4" s="88" t="s">
        <v>82</v>
      </c>
      <c r="AA4" s="88" t="s">
        <v>80</v>
      </c>
      <c r="AB4" s="88" t="s">
        <v>81</v>
      </c>
      <c r="AC4" s="88" t="s">
        <v>82</v>
      </c>
      <c r="AD4" s="88" t="s">
        <v>80</v>
      </c>
      <c r="AE4" s="88" t="s">
        <v>81</v>
      </c>
      <c r="AF4" s="88" t="s">
        <v>82</v>
      </c>
      <c r="AG4" s="88" t="s">
        <v>80</v>
      </c>
      <c r="AH4" s="88" t="s">
        <v>81</v>
      </c>
      <c r="AI4" s="88" t="s">
        <v>82</v>
      </c>
      <c r="AJ4" s="88" t="s">
        <v>80</v>
      </c>
      <c r="AK4" s="88" t="s">
        <v>81</v>
      </c>
      <c r="AL4" s="90" t="s">
        <v>82</v>
      </c>
      <c r="AM4" s="88" t="s">
        <v>82</v>
      </c>
      <c r="AN4" s="88" t="s">
        <v>83</v>
      </c>
      <c r="AO4" s="88" t="s">
        <v>82</v>
      </c>
      <c r="AP4" s="88" t="s">
        <v>83</v>
      </c>
      <c r="AQ4" s="88" t="s">
        <v>82</v>
      </c>
      <c r="AR4" s="88" t="s">
        <v>83</v>
      </c>
      <c r="AS4" s="88" t="s">
        <v>82</v>
      </c>
      <c r="AT4" s="88" t="s">
        <v>83</v>
      </c>
      <c r="AU4" s="88" t="s">
        <v>82</v>
      </c>
      <c r="AV4" s="88" t="s">
        <v>83</v>
      </c>
      <c r="AW4" s="88" t="s">
        <v>82</v>
      </c>
      <c r="AX4" s="88" t="s">
        <v>83</v>
      </c>
      <c r="AY4" s="88" t="s">
        <v>82</v>
      </c>
      <c r="AZ4" s="88" t="s">
        <v>83</v>
      </c>
      <c r="BA4" s="91" t="s">
        <v>84</v>
      </c>
    </row>
    <row r="5" spans="1:57" ht="15.6" x14ac:dyDescent="0.3">
      <c r="A5" s="92">
        <f>[4]SockEst!A6</f>
        <v>45092</v>
      </c>
      <c r="B5" s="93">
        <f>[4]SockEst!B6</f>
        <v>166</v>
      </c>
      <c r="C5" s="94" t="str">
        <f>IFERROR(IF(AM5&gt;15,"GG", "TTL"),"")</f>
        <v>GG</v>
      </c>
      <c r="D5" s="95" t="str">
        <f>IFERROR(VLOOKUP($A5,[5]qry_Whonnock_Species_Compositio!$A$1:$O$114,COLUMN([5]qry_Whonnock_Species_Compositio!B5), FALSE), "")</f>
        <v/>
      </c>
      <c r="E5" s="95" t="str">
        <f>IFERROR(VLOOKUP($A5,[5]qry_Whonnock_Species_Compositio!$A$1:$O$114,COLUMN([5]qry_Whonnock_Species_Compositio!C5), FALSE), "")</f>
        <v/>
      </c>
      <c r="F5" s="95" t="str">
        <f>IFERROR(VLOOKUP($A5,[5]qry_Whonnock_Species_Compositio!$A$1:$O$114,COLUMN([5]qry_Whonnock_Species_Compositio!D5), FALSE), "")</f>
        <v/>
      </c>
      <c r="G5" s="95" t="str">
        <f>IFERROR(VLOOKUP($A5,[5]qry_Whonnock_Species_Compositio!$A$1:$O$114,COLUMN([5]qry_Whonnock_Species_Compositio!E5), FALSE), "")</f>
        <v/>
      </c>
      <c r="H5" s="95" t="str">
        <f>IFERROR(VLOOKUP($A5,[5]qry_Whonnock_Species_Compositio!$A$1:$O$114,COLUMN([5]qry_Whonnock_Species_Compositio!F5), FALSE), "")</f>
        <v/>
      </c>
      <c r="I5" s="95" t="str">
        <f>IFERROR(VLOOKUP($A5,[5]qry_Whonnock_Species_Compositio!$A$1:$O$114,COLUMN([5]qry_Whonnock_Species_Compositio!G5), FALSE), "")</f>
        <v/>
      </c>
      <c r="J5" s="95" t="str">
        <f>IFERROR(VLOOKUP($A5,[5]qry_Whonnock_Species_Compositio!$A$1:$O$114,COLUMN([5]qry_Whonnock_Species_Compositio!H5), FALSE), "")</f>
        <v/>
      </c>
      <c r="K5" s="95" t="str">
        <f>IFERROR(VLOOKUP($A5,[5]qry_Whonnock_Species_Compositio!$A$1:$O$114,COLUMN([5]qry_Whonnock_Species_Compositio!I5), FALSE), "")</f>
        <v/>
      </c>
      <c r="L5" s="95" t="str">
        <f>IFERROR(VLOOKUP($A5,[5]qry_Whonnock_Species_Compositio!$A$1:$O$114,COLUMN([5]qry_Whonnock_Species_Compositio!J5), FALSE), "")</f>
        <v/>
      </c>
      <c r="M5" s="95" t="str">
        <f>IFERROR(VLOOKUP($A5,[5]qry_Whonnock_Species_Compositio!$A$1:$O$114,COLUMN([5]qry_Whonnock_Species_Compositio!K5), FALSE), "")</f>
        <v/>
      </c>
      <c r="N5" s="95" t="str">
        <f>IFERROR(VLOOKUP($A5,[5]qry_Whonnock_Species_Compositio!$A$1:$O$114,COLUMN([5]qry_Whonnock_Species_Compositio!L5), FALSE), "")</f>
        <v/>
      </c>
      <c r="O5" s="95" t="str">
        <f>IFERROR(VLOOKUP($A5,[5]qry_Whonnock_Species_Compositio!$A$1:$O$114,COLUMN([5]qry_Whonnock_Species_Compositio!M5), FALSE), "")</f>
        <v/>
      </c>
      <c r="P5" s="95" t="str">
        <f>IFERROR(VLOOKUP($A5,[5]qry_Whonnock_Species_Compositio!$A$1:$O$114,COLUMN([5]qry_Whonnock_Species_Compositio!N5), FALSE), "")</f>
        <v/>
      </c>
      <c r="Q5" s="95" t="str">
        <f>IFERROR(VLOOKUP($A5,[5]qry_Whonnock_Species_Compositio!$A$1:$O$114,COLUMN([5]qry_Whonnock_Species_Compositio!O5), FALSE), "")</f>
        <v/>
      </c>
      <c r="R5" s="96" t="str">
        <f>IF(D5="","",IF(($D5+$F5+$H5+$J5+$L5+$N5+$P5)=0,0,$D5/($D5+$F5+$H5+$J5+$L5+$N5+$P5)))</f>
        <v/>
      </c>
      <c r="S5" s="97" t="str">
        <f>IF(E5="","",IF(($E5+$G5+$I5+$K5+$M5+$O5+$Q5)=0,0,$E5/($E5+$G5+$I5+$K5+$M5+$O5+$Q5)))</f>
        <v/>
      </c>
      <c r="T5" s="98" t="str">
        <f>IF(AND(D5="",E5=""),"",IF(SUM($D5:$Q5)=0,0,SUM($D5:$E5)/SUM($D5:$Q5)))</f>
        <v/>
      </c>
      <c r="U5" s="97" t="str">
        <f>IF(F5="","",IF(($D5+$F5+$H5+$J5+$L5+$N5+$P5)=0,0,$F5/($D5+$F5+$H5+$J5+$L5+$N5+$P5)))</f>
        <v/>
      </c>
      <c r="V5" s="97" t="str">
        <f>IF(G5="","",IF(($E5+$G5+$I5+$K5+$M5+$O5+$Q5)=0,0,$G5/($E5+$G5+$I5+$K5+$M5+$O5+$Q5)))</f>
        <v/>
      </c>
      <c r="W5" s="98" t="str">
        <f>IF(AND(F5="",G5=""),"",IF(SUM($D5:$Q5)=0,0,SUM($F5:$G5)/SUM($D5:$Q5)))</f>
        <v/>
      </c>
      <c r="X5" s="97" t="str">
        <f>IF(H5="","",IF(($D5+$F5+$H5+$J5+$L5+$N5+$P5)=0,0,$H5/($D5+$F5+$H5+$J5+$L5+$N5+$P5)))</f>
        <v/>
      </c>
      <c r="Y5" s="97" t="str">
        <f>IF(I5="","",IF(($E5+$G5+$I5+$K5+$M5+$O5+$Q5)=0,0,$I5/($E5+$G5+$I5+$K5+$M5+$O5+$Q5)))</f>
        <v/>
      </c>
      <c r="Z5" s="98" t="str">
        <f>IF(AND(H5="",I5=""),"",IF(SUM($D5:$Q5)=0,0,SUM($H5:$I5)/SUM($D5:$Q5)))</f>
        <v/>
      </c>
      <c r="AA5" s="97" t="str">
        <f>IF(J5="","",IF(($D5+$F5+$H5+$J5+$L5+$N5+$P5)=0,0,$J5/($D5+$F5+$H5+$J5+$L5+$N5+$P5)))</f>
        <v/>
      </c>
      <c r="AB5" s="97" t="str">
        <f>IF(K5="","",IF(($E5+$G5+$I5+$K5+$M5+$O5+$Q5)=0,0,$K5/($E5+$G5+$I5+$K5+$M5+$O5+$Q5)))</f>
        <v/>
      </c>
      <c r="AC5" s="98" t="str">
        <f>IF(AND(J5="",K5=""),"",IF(SUM($D5:$Q5)=0,0,SUM($J5:$K5)/SUM($D5:$Q5)))</f>
        <v/>
      </c>
      <c r="AD5" s="97" t="str">
        <f>IF(L5="","",IF(($D5+$F5+$H5+$J5+$L5+$N5+$P5)=0,0,$L5/($D5+$F5+$H5+$J5+$L5+$N5+$P5)))</f>
        <v/>
      </c>
      <c r="AE5" s="97" t="str">
        <f>IF(M5="","",IF(($E5+$G5+$I5+$K5+$M5+$O5+$Q5)=0,0,$M5/($E5+$G5+$I5+$K5+$M5+$O5+$Q5)))</f>
        <v/>
      </c>
      <c r="AF5" s="98" t="str">
        <f>IF(AND(L5="",M5=""),"",IF(SUM($D5:$Q5)=0,0,SUM($L5:$M5)/SUM($D5:$Q5)))</f>
        <v/>
      </c>
      <c r="AG5" s="97" t="str">
        <f>IF(N5="","",IF(($D5+$F5+$H5+$J5+$L5+$N5+$P5)=0,0,$N5/($D5+$F5+$H5+$J5+$L5+$N5+$P5)))</f>
        <v/>
      </c>
      <c r="AH5" s="97" t="str">
        <f>IF(O5="","",IF(($E5+$G5+$I5+$K5+$M5+$O5+$Q5)=0,0,$O5/($E5+$G5+$I5+$K5+$M5+$O5+$Q5)))</f>
        <v/>
      </c>
      <c r="AI5" s="98" t="str">
        <f>IF(AND(N5="",O5=""),"",IF(SUM($D5:$Q5)=0,0,SUM($N5:$O5)/SUM($D5:$Q5)))</f>
        <v/>
      </c>
      <c r="AJ5" s="97" t="str">
        <f>IF(P5="","",IF(($D5+$F5+$H5+$J5+$L5+$N5+$P5)=0,0,$P5/($D5+$F5+$H5+$J5+$L5+$N5+$P5)))</f>
        <v/>
      </c>
      <c r="AK5" s="97" t="str">
        <f>IF(Q5="","",IF(($E5+$G5+$I5+$K5+$M5+$O5+$Q5)=0,0,$Q5/($E5+$G5+$I5+$K5+$M5+$O5+$Q5)))</f>
        <v/>
      </c>
      <c r="AL5" s="99" t="str">
        <f>IF(AND(P5="",Q5=""),"",IF(SUM($D5:$Q5)=0,0,SUM($P5:$Q5)/SUM($D5:$Q5)))</f>
        <v/>
      </c>
      <c r="AM5" s="100" t="str">
        <f>IF(AND(D5="",E5=""),"",SUM(D5:E5))</f>
        <v/>
      </c>
      <c r="AN5" s="101" t="str">
        <f t="shared" ref="AN5:AN11" si="0">IF($AM5&lt;15,T5,R5)</f>
        <v/>
      </c>
      <c r="AO5" s="100" t="str">
        <f>IF(AND(F5="",G5=""),"",SUM(F5:G5))</f>
        <v/>
      </c>
      <c r="AP5" s="101" t="str">
        <f t="shared" ref="AP5:AP11" si="1">IF($AM5&lt;15,W5,U5)</f>
        <v/>
      </c>
      <c r="AQ5" s="100" t="str">
        <f>IF(AND(H5="",I5=""),"",SUM(H5:I5))</f>
        <v/>
      </c>
      <c r="AR5" s="101" t="str">
        <f t="shared" ref="AR5:AR11" si="2">IF($AM5&lt;15,Z5,X5)</f>
        <v/>
      </c>
      <c r="AS5" s="100" t="str">
        <f>IF(AND(J5="",K5=""),"",SUM(J5:K5))</f>
        <v/>
      </c>
      <c r="AT5" s="101" t="str">
        <f t="shared" ref="AT5:AT11" si="3">IF($AM5&lt;15,AC5,AA5)</f>
        <v/>
      </c>
      <c r="AU5" s="100" t="str">
        <f>IF(AND(L5="",M5=""),"",SUM(L5:M5))</f>
        <v/>
      </c>
      <c r="AV5" s="101" t="str">
        <f t="shared" ref="AV5:AV11" si="4">IF($AM5&lt;15,AF5,AD5)</f>
        <v/>
      </c>
      <c r="AW5" s="100" t="str">
        <f>IF(AND(N5="",O5=""),"",SUM(N5:O5))</f>
        <v/>
      </c>
      <c r="AX5" s="101" t="str">
        <f t="shared" ref="AX5:AX11" si="5">IF($AM5&lt;15,AI5,AG5)</f>
        <v/>
      </c>
      <c r="AY5" s="100" t="str">
        <f>IF(AND(P5="",Q5=""),"",SUM(P5:Q5))</f>
        <v/>
      </c>
      <c r="AZ5" s="101" t="str">
        <f t="shared" ref="AZ5:AZ11" si="6">IF($AM5&lt;15,AL5,AJ5)</f>
        <v/>
      </c>
      <c r="BA5" s="102">
        <f>SUM(AN5,AP5,AR5,AT5,AV5,AX5,AZ5)</f>
        <v>0</v>
      </c>
      <c r="BB5" s="103"/>
    </row>
    <row r="6" spans="1:57" x14ac:dyDescent="0.3">
      <c r="A6" s="92">
        <f>[4]SockEst!A7</f>
        <v>45093</v>
      </c>
      <c r="B6" s="93">
        <f>[4]SockEst!B7</f>
        <v>167</v>
      </c>
      <c r="C6" s="94" t="str">
        <f>IFERROR(IF(AM6&gt;15,"GG", "TTL"),"")</f>
        <v>GG</v>
      </c>
      <c r="D6" s="95" t="str">
        <f>IFERROR(VLOOKUP($A6,[5]qry_Whonnock_Species_Compositio!$A$1:$O$114,COLUMN([5]qry_Whonnock_Species_Compositio!B6), FALSE), "")</f>
        <v/>
      </c>
      <c r="E6" s="95" t="str">
        <f>IFERROR(VLOOKUP($A6,[5]qry_Whonnock_Species_Compositio!$A$1:$O$114,COLUMN([5]qry_Whonnock_Species_Compositio!C6), FALSE), "")</f>
        <v/>
      </c>
      <c r="F6" s="95" t="str">
        <f>IFERROR(VLOOKUP($A6,[5]qry_Whonnock_Species_Compositio!$A$1:$O$114,COLUMN([5]qry_Whonnock_Species_Compositio!D6), FALSE), "")</f>
        <v/>
      </c>
      <c r="G6" s="95" t="str">
        <f>IFERROR(VLOOKUP($A6,[5]qry_Whonnock_Species_Compositio!$A$1:$O$114,COLUMN([5]qry_Whonnock_Species_Compositio!E6), FALSE), "")</f>
        <v/>
      </c>
      <c r="H6" s="95" t="str">
        <f>IFERROR(VLOOKUP($A6,[5]qry_Whonnock_Species_Compositio!$A$1:$O$114,COLUMN([5]qry_Whonnock_Species_Compositio!F6), FALSE), "")</f>
        <v/>
      </c>
      <c r="I6" s="95" t="str">
        <f>IFERROR(VLOOKUP($A6,[5]qry_Whonnock_Species_Compositio!$A$1:$O$114,COLUMN([5]qry_Whonnock_Species_Compositio!G6), FALSE), "")</f>
        <v/>
      </c>
      <c r="J6" s="95" t="str">
        <f>IFERROR(VLOOKUP($A6,[5]qry_Whonnock_Species_Compositio!$A$1:$O$114,COLUMN([5]qry_Whonnock_Species_Compositio!H6), FALSE), "")</f>
        <v/>
      </c>
      <c r="K6" s="95" t="str">
        <f>IFERROR(VLOOKUP($A6,[5]qry_Whonnock_Species_Compositio!$A$1:$O$114,COLUMN([5]qry_Whonnock_Species_Compositio!I6), FALSE), "")</f>
        <v/>
      </c>
      <c r="L6" s="95" t="str">
        <f>IFERROR(VLOOKUP($A6,[5]qry_Whonnock_Species_Compositio!$A$1:$O$114,COLUMN([5]qry_Whonnock_Species_Compositio!J6), FALSE), "")</f>
        <v/>
      </c>
      <c r="M6" s="95" t="str">
        <f>IFERROR(VLOOKUP($A6,[5]qry_Whonnock_Species_Compositio!$A$1:$O$114,COLUMN([5]qry_Whonnock_Species_Compositio!K6), FALSE), "")</f>
        <v/>
      </c>
      <c r="N6" s="95" t="str">
        <f>IFERROR(VLOOKUP($A6,[5]qry_Whonnock_Species_Compositio!$A$1:$O$114,COLUMN([5]qry_Whonnock_Species_Compositio!L6), FALSE), "")</f>
        <v/>
      </c>
      <c r="O6" s="95" t="str">
        <f>IFERROR(VLOOKUP($A6,[5]qry_Whonnock_Species_Compositio!$A$1:$O$114,COLUMN([5]qry_Whonnock_Species_Compositio!M6), FALSE), "")</f>
        <v/>
      </c>
      <c r="P6" s="95" t="str">
        <f>IFERROR(VLOOKUP($A6,[5]qry_Whonnock_Species_Compositio!$A$1:$O$114,COLUMN([5]qry_Whonnock_Species_Compositio!N6), FALSE), "")</f>
        <v/>
      </c>
      <c r="Q6" s="95" t="str">
        <f>IFERROR(VLOOKUP($A6,[5]qry_Whonnock_Species_Compositio!$A$1:$O$114,COLUMN([5]qry_Whonnock_Species_Compositio!O6), FALSE), "")</f>
        <v/>
      </c>
      <c r="R6" s="96" t="str">
        <f t="shared" ref="R6:R69" si="7">IF(D6="","",IF(($D6+$F6+$H6+$J6+$L6+$N6+$P6)=0,0,$D6/($D6+$F6+$H6+$J6+$L6+$N6+$P6)))</f>
        <v/>
      </c>
      <c r="S6" s="97" t="str">
        <f t="shared" ref="S6:S69" si="8">IF(E6="","",IF(($E6+$G6+$I6+$K6+$M6+$O6+$Q6)=0,0,$E6/($E6+$G6+$I6+$K6+$M6+$O6+$Q6)))</f>
        <v/>
      </c>
      <c r="T6" s="98" t="str">
        <f t="shared" ref="T6:T69" si="9">IF(AND(D6="",E6=""),"",IF(SUM($D6:$Q6)=0,0,SUM($D6:$E6)/SUM($D6:$Q6)))</f>
        <v/>
      </c>
      <c r="U6" s="97" t="str">
        <f t="shared" ref="U6:U69" si="10">IF(F6="","",IF(($D6+$F6+$H6+$J6+$L6+$N6+$P6)=0,0,$F6/($D6+$F6+$H6+$J6+$L6+$N6+$P6)))</f>
        <v/>
      </c>
      <c r="V6" s="97" t="str">
        <f t="shared" ref="V6:V69" si="11">IF(G6="","",IF(($E6+$G6+$I6+$K6+$M6+$O6+$Q6)=0,0,$G6/($E6+$G6+$I6+$K6+$M6+$O6+$Q6)))</f>
        <v/>
      </c>
      <c r="W6" s="98" t="str">
        <f t="shared" ref="W6:W69" si="12">IF(AND(F6="",G6=""),"",IF(SUM($D6:$Q6)=0,0,SUM($F6:$G6)/SUM($D6:$Q6)))</f>
        <v/>
      </c>
      <c r="X6" s="97" t="str">
        <f t="shared" ref="X6:X69" si="13">IF(H6="","",IF(($D6+$F6+$H6+$J6+$L6+$N6+$P6)=0,0,$H6/($D6+$F6+$H6+$J6+$L6+$N6+$P6)))</f>
        <v/>
      </c>
      <c r="Y6" s="97" t="str">
        <f t="shared" ref="Y6:Y69" si="14">IF(I6="","",IF(($E6+$G6+$I6+$K6+$M6+$O6+$Q6)=0,0,$I6/($E6+$G6+$I6+$K6+$M6+$O6+$Q6)))</f>
        <v/>
      </c>
      <c r="Z6" s="98" t="str">
        <f t="shared" ref="Z6:Z69" si="15">IF(AND(H6="",I6=""),"",IF(SUM($D6:$Q6)=0,0,SUM($H6:$I6)/SUM($D6:$Q6)))</f>
        <v/>
      </c>
      <c r="AA6" s="97" t="str">
        <f t="shared" ref="AA6:AA69" si="16">IF(J6="","",IF(($D6+$F6+$H6+$J6+$L6+$N6+$P6)=0,0,$J6/($D6+$F6+$H6+$J6+$L6+$N6+$P6)))</f>
        <v/>
      </c>
      <c r="AB6" s="97" t="str">
        <f t="shared" ref="AB6:AB69" si="17">IF(K6="","",IF(($E6+$G6+$I6+$K6+$M6+$O6+$Q6)=0,0,$K6/($E6+$G6+$I6+$K6+$M6+$O6+$Q6)))</f>
        <v/>
      </c>
      <c r="AC6" s="98" t="str">
        <f t="shared" ref="AC6:AC69" si="18">IF(AND(J6="",K6=""),"",IF(SUM($D6:$Q6)=0,0,SUM($J6:$K6)/SUM($D6:$Q6)))</f>
        <v/>
      </c>
      <c r="AD6" s="97" t="str">
        <f t="shared" ref="AD6:AD69" si="19">IF(L6="","",IF(($D6+$F6+$H6+$J6+$L6+$N6+$P6)=0,0,$L6/($D6+$F6+$H6+$J6+$L6+$N6+$P6)))</f>
        <v/>
      </c>
      <c r="AE6" s="97" t="str">
        <f t="shared" ref="AE6:AE69" si="20">IF(M6="","",IF(($E6+$G6+$I6+$K6+$M6+$O6+$Q6)=0,0,$M6/($E6+$G6+$I6+$K6+$M6+$O6+$Q6)))</f>
        <v/>
      </c>
      <c r="AF6" s="98" t="str">
        <f t="shared" ref="AF6:AF69" si="21">IF(AND(L6="",M6=""),"",IF(SUM($D6:$Q6)=0,0,SUM($L6:$M6)/SUM($D6:$Q6)))</f>
        <v/>
      </c>
      <c r="AG6" s="97" t="str">
        <f t="shared" ref="AG6:AG69" si="22">IF(N6="","",IF(($D6+$F6+$H6+$J6+$L6+$N6+$P6)=0,0,$N6/($D6+$F6+$H6+$J6+$L6+$N6+$P6)))</f>
        <v/>
      </c>
      <c r="AH6" s="97" t="str">
        <f t="shared" ref="AH6:AH69" si="23">IF(O6="","",IF(($E6+$G6+$I6+$K6+$M6+$O6+$Q6)=0,0,$O6/($E6+$G6+$I6+$K6+$M6+$O6+$Q6)))</f>
        <v/>
      </c>
      <c r="AI6" s="98" t="str">
        <f t="shared" ref="AI6:AI69" si="24">IF(AND(N6="",O6=""),"",IF(SUM($D6:$Q6)=0,0,SUM($N6:$O6)/SUM($D6:$Q6)))</f>
        <v/>
      </c>
      <c r="AJ6" s="97" t="str">
        <f t="shared" ref="AJ6:AJ69" si="25">IF(P6="","",IF(($D6+$F6+$H6+$J6+$L6+$N6+$P6)=0,0,$P6/($D6+$F6+$H6+$J6+$L6+$N6+$P6)))</f>
        <v/>
      </c>
      <c r="AK6" s="97" t="str">
        <f t="shared" ref="AK6:AK69" si="26">IF(Q6="","",IF(($E6+$G6+$I6+$K6+$M6+$O6+$Q6)=0,0,$Q6/($E6+$G6+$I6+$K6+$M6+$O6+$Q6)))</f>
        <v/>
      </c>
      <c r="AL6" s="99" t="str">
        <f t="shared" ref="AL6:AL69" si="27">IF(AND(P6="",Q6=""),"",IF(SUM($D6:$Q6)=0,0,SUM($P6:$Q6)/SUM($D6:$Q6)))</f>
        <v/>
      </c>
      <c r="AM6" s="100" t="str">
        <f t="shared" ref="AM6:AM69" si="28">IF(AND(D6="",E6=""),"",SUM(D6:E6))</f>
        <v/>
      </c>
      <c r="AN6" s="101" t="str">
        <f t="shared" si="0"/>
        <v/>
      </c>
      <c r="AO6" s="100" t="str">
        <f t="shared" ref="AO6:AO69" si="29">IF(AND(F6="",G6=""),"",SUM(F6:G6))</f>
        <v/>
      </c>
      <c r="AP6" s="101" t="str">
        <f t="shared" si="1"/>
        <v/>
      </c>
      <c r="AQ6" s="100" t="str">
        <f t="shared" ref="AQ6:AQ69" si="30">IF(AND(H6="",I6=""),"",SUM(H6:I6))</f>
        <v/>
      </c>
      <c r="AR6" s="101" t="str">
        <f t="shared" si="2"/>
        <v/>
      </c>
      <c r="AS6" s="100" t="str">
        <f t="shared" ref="AS6:AS69" si="31">IF(AND(J6="",K6=""),"",SUM(J6:K6))</f>
        <v/>
      </c>
      <c r="AT6" s="101" t="str">
        <f t="shared" si="3"/>
        <v/>
      </c>
      <c r="AU6" s="100" t="str">
        <f t="shared" ref="AU6:AU69" si="32">IF(AND(L6="",M6=""),"",SUM(L6:M6))</f>
        <v/>
      </c>
      <c r="AV6" s="101" t="str">
        <f t="shared" si="4"/>
        <v/>
      </c>
      <c r="AW6" s="100" t="str">
        <f t="shared" ref="AW6:AW69" si="33">IF(AND(N6="",O6=""),"",SUM(N6:O6))</f>
        <v/>
      </c>
      <c r="AX6" s="101" t="str">
        <f t="shared" si="5"/>
        <v/>
      </c>
      <c r="AY6" s="100" t="str">
        <f t="shared" ref="AY6:AY69" si="34">IF(AND(P6="",Q6=""),"",SUM(P6:Q6))</f>
        <v/>
      </c>
      <c r="AZ6" s="101" t="str">
        <f t="shared" si="6"/>
        <v/>
      </c>
      <c r="BA6" s="102">
        <f t="shared" ref="BA6:BA69" si="35">SUM(AN6,AP6,AR6,AT6,AV6,AX6,AZ6)</f>
        <v>0</v>
      </c>
    </row>
    <row r="7" spans="1:57" x14ac:dyDescent="0.3">
      <c r="A7" s="92">
        <f>[4]SockEst!A8</f>
        <v>45094</v>
      </c>
      <c r="B7" s="93">
        <f>[4]SockEst!B8</f>
        <v>168</v>
      </c>
      <c r="C7" s="94" t="str">
        <f>IFERROR(IF(AM7&gt;15,"GG", "TTL"),"")</f>
        <v>GG</v>
      </c>
      <c r="D7" s="95" t="str">
        <f>IFERROR(VLOOKUP($A7,[5]qry_Whonnock_Species_Compositio!$A$1:$O$114,COLUMN([5]qry_Whonnock_Species_Compositio!B7), FALSE), "")</f>
        <v/>
      </c>
      <c r="E7" s="95" t="str">
        <f>IFERROR(VLOOKUP($A7,[5]qry_Whonnock_Species_Compositio!$A$1:$O$114,COLUMN([5]qry_Whonnock_Species_Compositio!C7), FALSE), "")</f>
        <v/>
      </c>
      <c r="F7" s="95" t="str">
        <f>IFERROR(VLOOKUP($A7,[5]qry_Whonnock_Species_Compositio!$A$1:$O$114,COLUMN([5]qry_Whonnock_Species_Compositio!D7), FALSE), "")</f>
        <v/>
      </c>
      <c r="G7" s="95" t="str">
        <f>IFERROR(VLOOKUP($A7,[5]qry_Whonnock_Species_Compositio!$A$1:$O$114,COLUMN([5]qry_Whonnock_Species_Compositio!E7), FALSE), "")</f>
        <v/>
      </c>
      <c r="H7" s="95" t="str">
        <f>IFERROR(VLOOKUP($A7,[5]qry_Whonnock_Species_Compositio!$A$1:$O$114,COLUMN([5]qry_Whonnock_Species_Compositio!F7), FALSE), "")</f>
        <v/>
      </c>
      <c r="I7" s="95" t="str">
        <f>IFERROR(VLOOKUP($A7,[5]qry_Whonnock_Species_Compositio!$A$1:$O$114,COLUMN([5]qry_Whonnock_Species_Compositio!G7), FALSE), "")</f>
        <v/>
      </c>
      <c r="J7" s="95" t="str">
        <f>IFERROR(VLOOKUP($A7,[5]qry_Whonnock_Species_Compositio!$A$1:$O$114,COLUMN([5]qry_Whonnock_Species_Compositio!H7), FALSE), "")</f>
        <v/>
      </c>
      <c r="K7" s="95" t="str">
        <f>IFERROR(VLOOKUP($A7,[5]qry_Whonnock_Species_Compositio!$A$1:$O$114,COLUMN([5]qry_Whonnock_Species_Compositio!I7), FALSE), "")</f>
        <v/>
      </c>
      <c r="L7" s="95" t="str">
        <f>IFERROR(VLOOKUP($A7,[5]qry_Whonnock_Species_Compositio!$A$1:$O$114,COLUMN([5]qry_Whonnock_Species_Compositio!J7), FALSE), "")</f>
        <v/>
      </c>
      <c r="M7" s="95" t="str">
        <f>IFERROR(VLOOKUP($A7,[5]qry_Whonnock_Species_Compositio!$A$1:$O$114,COLUMN([5]qry_Whonnock_Species_Compositio!K7), FALSE), "")</f>
        <v/>
      </c>
      <c r="N7" s="95" t="str">
        <f>IFERROR(VLOOKUP($A7,[5]qry_Whonnock_Species_Compositio!$A$1:$O$114,COLUMN([5]qry_Whonnock_Species_Compositio!L7), FALSE), "")</f>
        <v/>
      </c>
      <c r="O7" s="95" t="str">
        <f>IFERROR(VLOOKUP($A7,[5]qry_Whonnock_Species_Compositio!$A$1:$O$114,COLUMN([5]qry_Whonnock_Species_Compositio!M7), FALSE), "")</f>
        <v/>
      </c>
      <c r="P7" s="95" t="str">
        <f>IFERROR(VLOOKUP($A7,[5]qry_Whonnock_Species_Compositio!$A$1:$O$114,COLUMN([5]qry_Whonnock_Species_Compositio!N7), FALSE), "")</f>
        <v/>
      </c>
      <c r="Q7" s="95" t="str">
        <f>IFERROR(VLOOKUP($A7,[5]qry_Whonnock_Species_Compositio!$A$1:$O$114,COLUMN([5]qry_Whonnock_Species_Compositio!O7), FALSE), "")</f>
        <v/>
      </c>
      <c r="R7" s="96" t="str">
        <f t="shared" si="7"/>
        <v/>
      </c>
      <c r="S7" s="97" t="str">
        <f t="shared" si="8"/>
        <v/>
      </c>
      <c r="T7" s="98" t="str">
        <f t="shared" si="9"/>
        <v/>
      </c>
      <c r="U7" s="97" t="str">
        <f t="shared" si="10"/>
        <v/>
      </c>
      <c r="V7" s="97" t="str">
        <f t="shared" si="11"/>
        <v/>
      </c>
      <c r="W7" s="98" t="str">
        <f t="shared" si="12"/>
        <v/>
      </c>
      <c r="X7" s="97" t="str">
        <f t="shared" si="13"/>
        <v/>
      </c>
      <c r="Y7" s="97" t="str">
        <f t="shared" si="14"/>
        <v/>
      </c>
      <c r="Z7" s="98" t="str">
        <f t="shared" si="15"/>
        <v/>
      </c>
      <c r="AA7" s="97" t="str">
        <f t="shared" si="16"/>
        <v/>
      </c>
      <c r="AB7" s="97" t="str">
        <f t="shared" si="17"/>
        <v/>
      </c>
      <c r="AC7" s="98" t="str">
        <f t="shared" si="18"/>
        <v/>
      </c>
      <c r="AD7" s="97" t="str">
        <f t="shared" si="19"/>
        <v/>
      </c>
      <c r="AE7" s="97" t="str">
        <f t="shared" si="20"/>
        <v/>
      </c>
      <c r="AF7" s="98" t="str">
        <f t="shared" si="21"/>
        <v/>
      </c>
      <c r="AG7" s="97" t="str">
        <f t="shared" si="22"/>
        <v/>
      </c>
      <c r="AH7" s="97" t="str">
        <f t="shared" si="23"/>
        <v/>
      </c>
      <c r="AI7" s="98" t="str">
        <f t="shared" si="24"/>
        <v/>
      </c>
      <c r="AJ7" s="97" t="str">
        <f t="shared" si="25"/>
        <v/>
      </c>
      <c r="AK7" s="97" t="str">
        <f t="shared" si="26"/>
        <v/>
      </c>
      <c r="AL7" s="99" t="str">
        <f t="shared" si="27"/>
        <v/>
      </c>
      <c r="AM7" s="100" t="str">
        <f t="shared" si="28"/>
        <v/>
      </c>
      <c r="AN7" s="101" t="str">
        <f t="shared" si="0"/>
        <v/>
      </c>
      <c r="AO7" s="100" t="str">
        <f t="shared" si="29"/>
        <v/>
      </c>
      <c r="AP7" s="101" t="str">
        <f t="shared" si="1"/>
        <v/>
      </c>
      <c r="AQ7" s="100" t="str">
        <f t="shared" si="30"/>
        <v/>
      </c>
      <c r="AR7" s="101" t="str">
        <f t="shared" si="2"/>
        <v/>
      </c>
      <c r="AS7" s="100" t="str">
        <f t="shared" si="31"/>
        <v/>
      </c>
      <c r="AT7" s="101" t="str">
        <f t="shared" si="3"/>
        <v/>
      </c>
      <c r="AU7" s="100" t="str">
        <f t="shared" si="32"/>
        <v/>
      </c>
      <c r="AV7" s="101" t="str">
        <f t="shared" si="4"/>
        <v/>
      </c>
      <c r="AW7" s="100" t="str">
        <f t="shared" si="33"/>
        <v/>
      </c>
      <c r="AX7" s="101" t="str">
        <f t="shared" si="5"/>
        <v/>
      </c>
      <c r="AY7" s="100" t="str">
        <f t="shared" si="34"/>
        <v/>
      </c>
      <c r="AZ7" s="101" t="str">
        <f t="shared" si="6"/>
        <v/>
      </c>
      <c r="BA7" s="102">
        <f t="shared" si="35"/>
        <v>0</v>
      </c>
    </row>
    <row r="8" spans="1:57" x14ac:dyDescent="0.3">
      <c r="A8" s="92">
        <f>[4]SockEst!A9</f>
        <v>45095</v>
      </c>
      <c r="B8" s="93">
        <f>[4]SockEst!B9</f>
        <v>169</v>
      </c>
      <c r="C8" s="94" t="str">
        <f>IFERROR(IF(AM8&gt;15,"GG", "TTL"),"")</f>
        <v>GG</v>
      </c>
      <c r="D8" s="95" t="str">
        <f>IFERROR(VLOOKUP($A8,[5]qry_Whonnock_Species_Compositio!$A$1:$O$114,COLUMN([5]qry_Whonnock_Species_Compositio!B8), FALSE), "")</f>
        <v/>
      </c>
      <c r="E8" s="95" t="str">
        <f>IFERROR(VLOOKUP($A8,[5]qry_Whonnock_Species_Compositio!$A$1:$O$114,COLUMN([5]qry_Whonnock_Species_Compositio!C8), FALSE), "")</f>
        <v/>
      </c>
      <c r="F8" s="95" t="str">
        <f>IFERROR(VLOOKUP($A8,[5]qry_Whonnock_Species_Compositio!$A$1:$O$114,COLUMN([5]qry_Whonnock_Species_Compositio!D8), FALSE), "")</f>
        <v/>
      </c>
      <c r="G8" s="95" t="str">
        <f>IFERROR(VLOOKUP($A8,[5]qry_Whonnock_Species_Compositio!$A$1:$O$114,COLUMN([5]qry_Whonnock_Species_Compositio!E8), FALSE), "")</f>
        <v/>
      </c>
      <c r="H8" s="95" t="str">
        <f>IFERROR(VLOOKUP($A8,[5]qry_Whonnock_Species_Compositio!$A$1:$O$114,COLUMN([5]qry_Whonnock_Species_Compositio!F8), FALSE), "")</f>
        <v/>
      </c>
      <c r="I8" s="95" t="str">
        <f>IFERROR(VLOOKUP($A8,[5]qry_Whonnock_Species_Compositio!$A$1:$O$114,COLUMN([5]qry_Whonnock_Species_Compositio!G8), FALSE), "")</f>
        <v/>
      </c>
      <c r="J8" s="95" t="str">
        <f>IFERROR(VLOOKUP($A8,[5]qry_Whonnock_Species_Compositio!$A$1:$O$114,COLUMN([5]qry_Whonnock_Species_Compositio!H8), FALSE), "")</f>
        <v/>
      </c>
      <c r="K8" s="95" t="str">
        <f>IFERROR(VLOOKUP($A8,[5]qry_Whonnock_Species_Compositio!$A$1:$O$114,COLUMN([5]qry_Whonnock_Species_Compositio!I8), FALSE), "")</f>
        <v/>
      </c>
      <c r="L8" s="95" t="str">
        <f>IFERROR(VLOOKUP($A8,[5]qry_Whonnock_Species_Compositio!$A$1:$O$114,COLUMN([5]qry_Whonnock_Species_Compositio!J8), FALSE), "")</f>
        <v/>
      </c>
      <c r="M8" s="95" t="str">
        <f>IFERROR(VLOOKUP($A8,[5]qry_Whonnock_Species_Compositio!$A$1:$O$114,COLUMN([5]qry_Whonnock_Species_Compositio!K8), FALSE), "")</f>
        <v/>
      </c>
      <c r="N8" s="95" t="str">
        <f>IFERROR(VLOOKUP($A8,[5]qry_Whonnock_Species_Compositio!$A$1:$O$114,COLUMN([5]qry_Whonnock_Species_Compositio!L8), FALSE), "")</f>
        <v/>
      </c>
      <c r="O8" s="95" t="str">
        <f>IFERROR(VLOOKUP($A8,[5]qry_Whonnock_Species_Compositio!$A$1:$O$114,COLUMN([5]qry_Whonnock_Species_Compositio!M8), FALSE), "")</f>
        <v/>
      </c>
      <c r="P8" s="95" t="str">
        <f>IFERROR(VLOOKUP($A8,[5]qry_Whonnock_Species_Compositio!$A$1:$O$114,COLUMN([5]qry_Whonnock_Species_Compositio!N8), FALSE), "")</f>
        <v/>
      </c>
      <c r="Q8" s="95" t="str">
        <f>IFERROR(VLOOKUP($A8,[5]qry_Whonnock_Species_Compositio!$A$1:$O$114,COLUMN([5]qry_Whonnock_Species_Compositio!O8), FALSE), "")</f>
        <v/>
      </c>
      <c r="R8" s="96" t="str">
        <f t="shared" si="7"/>
        <v/>
      </c>
      <c r="S8" s="97" t="str">
        <f t="shared" si="8"/>
        <v/>
      </c>
      <c r="T8" s="98" t="str">
        <f t="shared" si="9"/>
        <v/>
      </c>
      <c r="U8" s="97" t="str">
        <f t="shared" si="10"/>
        <v/>
      </c>
      <c r="V8" s="97" t="str">
        <f t="shared" si="11"/>
        <v/>
      </c>
      <c r="W8" s="98" t="str">
        <f t="shared" si="12"/>
        <v/>
      </c>
      <c r="X8" s="97" t="str">
        <f t="shared" si="13"/>
        <v/>
      </c>
      <c r="Y8" s="97" t="str">
        <f t="shared" si="14"/>
        <v/>
      </c>
      <c r="Z8" s="98" t="str">
        <f t="shared" si="15"/>
        <v/>
      </c>
      <c r="AA8" s="97" t="str">
        <f t="shared" si="16"/>
        <v/>
      </c>
      <c r="AB8" s="97" t="str">
        <f t="shared" si="17"/>
        <v/>
      </c>
      <c r="AC8" s="98" t="str">
        <f t="shared" si="18"/>
        <v/>
      </c>
      <c r="AD8" s="97" t="str">
        <f t="shared" si="19"/>
        <v/>
      </c>
      <c r="AE8" s="97" t="str">
        <f t="shared" si="20"/>
        <v/>
      </c>
      <c r="AF8" s="98" t="str">
        <f t="shared" si="21"/>
        <v/>
      </c>
      <c r="AG8" s="97" t="str">
        <f t="shared" si="22"/>
        <v/>
      </c>
      <c r="AH8" s="97" t="str">
        <f t="shared" si="23"/>
        <v/>
      </c>
      <c r="AI8" s="98" t="str">
        <f t="shared" si="24"/>
        <v/>
      </c>
      <c r="AJ8" s="97" t="str">
        <f t="shared" si="25"/>
        <v/>
      </c>
      <c r="AK8" s="97" t="str">
        <f t="shared" si="26"/>
        <v/>
      </c>
      <c r="AL8" s="99" t="str">
        <f t="shared" si="27"/>
        <v/>
      </c>
      <c r="AM8" s="100" t="str">
        <f t="shared" si="28"/>
        <v/>
      </c>
      <c r="AN8" s="101" t="str">
        <f t="shared" si="0"/>
        <v/>
      </c>
      <c r="AO8" s="100" t="str">
        <f t="shared" si="29"/>
        <v/>
      </c>
      <c r="AP8" s="101" t="str">
        <f t="shared" si="1"/>
        <v/>
      </c>
      <c r="AQ8" s="100" t="str">
        <f t="shared" si="30"/>
        <v/>
      </c>
      <c r="AR8" s="101" t="str">
        <f t="shared" si="2"/>
        <v/>
      </c>
      <c r="AS8" s="100" t="str">
        <f t="shared" si="31"/>
        <v/>
      </c>
      <c r="AT8" s="101" t="str">
        <f t="shared" si="3"/>
        <v/>
      </c>
      <c r="AU8" s="100" t="str">
        <f t="shared" si="32"/>
        <v/>
      </c>
      <c r="AV8" s="101" t="str">
        <f t="shared" si="4"/>
        <v/>
      </c>
      <c r="AW8" s="100" t="str">
        <f t="shared" si="33"/>
        <v/>
      </c>
      <c r="AX8" s="101" t="str">
        <f t="shared" si="5"/>
        <v/>
      </c>
      <c r="AY8" s="100" t="str">
        <f t="shared" si="34"/>
        <v/>
      </c>
      <c r="AZ8" s="101" t="str">
        <f t="shared" si="6"/>
        <v/>
      </c>
      <c r="BA8" s="102">
        <f t="shared" si="35"/>
        <v>0</v>
      </c>
    </row>
    <row r="9" spans="1:57" x14ac:dyDescent="0.3">
      <c r="A9" s="92">
        <f>[4]SockEst!A10</f>
        <v>45096</v>
      </c>
      <c r="B9" s="93">
        <f>[4]SockEst!B10</f>
        <v>170</v>
      </c>
      <c r="C9" s="94" t="str">
        <f>IFERROR(IF(AM9&gt;15,"GG", "TTL"),"")</f>
        <v>GG</v>
      </c>
      <c r="D9" s="95" t="str">
        <f>IFERROR(VLOOKUP($A9,[5]qry_Whonnock_Species_Compositio!$A$1:$O$114,COLUMN([5]qry_Whonnock_Species_Compositio!B9), FALSE), "")</f>
        <v/>
      </c>
      <c r="E9" s="95" t="str">
        <f>IFERROR(VLOOKUP($A9,[5]qry_Whonnock_Species_Compositio!$A$1:$O$114,COLUMN([5]qry_Whonnock_Species_Compositio!C9), FALSE), "")</f>
        <v/>
      </c>
      <c r="F9" s="95" t="str">
        <f>IFERROR(VLOOKUP($A9,[5]qry_Whonnock_Species_Compositio!$A$1:$O$114,COLUMN([5]qry_Whonnock_Species_Compositio!D9), FALSE), "")</f>
        <v/>
      </c>
      <c r="G9" s="95" t="str">
        <f>IFERROR(VLOOKUP($A9,[5]qry_Whonnock_Species_Compositio!$A$1:$O$114,COLUMN([5]qry_Whonnock_Species_Compositio!E9), FALSE), "")</f>
        <v/>
      </c>
      <c r="H9" s="95" t="str">
        <f>IFERROR(VLOOKUP($A9,[5]qry_Whonnock_Species_Compositio!$A$1:$O$114,COLUMN([5]qry_Whonnock_Species_Compositio!F9), FALSE), "")</f>
        <v/>
      </c>
      <c r="I9" s="95" t="str">
        <f>IFERROR(VLOOKUP($A9,[5]qry_Whonnock_Species_Compositio!$A$1:$O$114,COLUMN([5]qry_Whonnock_Species_Compositio!G9), FALSE), "")</f>
        <v/>
      </c>
      <c r="J9" s="95" t="str">
        <f>IFERROR(VLOOKUP($A9,[5]qry_Whonnock_Species_Compositio!$A$1:$O$114,COLUMN([5]qry_Whonnock_Species_Compositio!H9), FALSE), "")</f>
        <v/>
      </c>
      <c r="K9" s="95" t="str">
        <f>IFERROR(VLOOKUP($A9,[5]qry_Whonnock_Species_Compositio!$A$1:$O$114,COLUMN([5]qry_Whonnock_Species_Compositio!I9), FALSE), "")</f>
        <v/>
      </c>
      <c r="L9" s="95" t="str">
        <f>IFERROR(VLOOKUP($A9,[5]qry_Whonnock_Species_Compositio!$A$1:$O$114,COLUMN([5]qry_Whonnock_Species_Compositio!J9), FALSE), "")</f>
        <v/>
      </c>
      <c r="M9" s="95" t="str">
        <f>IFERROR(VLOOKUP($A9,[5]qry_Whonnock_Species_Compositio!$A$1:$O$114,COLUMN([5]qry_Whonnock_Species_Compositio!K9), FALSE), "")</f>
        <v/>
      </c>
      <c r="N9" s="95" t="str">
        <f>IFERROR(VLOOKUP($A9,[5]qry_Whonnock_Species_Compositio!$A$1:$O$114,COLUMN([5]qry_Whonnock_Species_Compositio!L9), FALSE), "")</f>
        <v/>
      </c>
      <c r="O9" s="95" t="str">
        <f>IFERROR(VLOOKUP($A9,[5]qry_Whonnock_Species_Compositio!$A$1:$O$114,COLUMN([5]qry_Whonnock_Species_Compositio!M9), FALSE), "")</f>
        <v/>
      </c>
      <c r="P9" s="95" t="str">
        <f>IFERROR(VLOOKUP($A9,[5]qry_Whonnock_Species_Compositio!$A$1:$O$114,COLUMN([5]qry_Whonnock_Species_Compositio!N9), FALSE), "")</f>
        <v/>
      </c>
      <c r="Q9" s="95" t="str">
        <f>IFERROR(VLOOKUP($A9,[5]qry_Whonnock_Species_Compositio!$A$1:$O$114,COLUMN([5]qry_Whonnock_Species_Compositio!O9), FALSE), "")</f>
        <v/>
      </c>
      <c r="R9" s="96" t="str">
        <f t="shared" si="7"/>
        <v/>
      </c>
      <c r="S9" s="97" t="str">
        <f t="shared" si="8"/>
        <v/>
      </c>
      <c r="T9" s="98" t="str">
        <f t="shared" si="9"/>
        <v/>
      </c>
      <c r="U9" s="97" t="str">
        <f t="shared" si="10"/>
        <v/>
      </c>
      <c r="V9" s="97" t="str">
        <f t="shared" si="11"/>
        <v/>
      </c>
      <c r="W9" s="98" t="str">
        <f t="shared" si="12"/>
        <v/>
      </c>
      <c r="X9" s="97" t="str">
        <f t="shared" si="13"/>
        <v/>
      </c>
      <c r="Y9" s="97" t="str">
        <f t="shared" si="14"/>
        <v/>
      </c>
      <c r="Z9" s="98" t="str">
        <f t="shared" si="15"/>
        <v/>
      </c>
      <c r="AA9" s="97" t="str">
        <f t="shared" si="16"/>
        <v/>
      </c>
      <c r="AB9" s="97" t="str">
        <f t="shared" si="17"/>
        <v/>
      </c>
      <c r="AC9" s="98" t="str">
        <f t="shared" si="18"/>
        <v/>
      </c>
      <c r="AD9" s="97" t="str">
        <f t="shared" si="19"/>
        <v/>
      </c>
      <c r="AE9" s="97" t="str">
        <f t="shared" si="20"/>
        <v/>
      </c>
      <c r="AF9" s="98" t="str">
        <f t="shared" si="21"/>
        <v/>
      </c>
      <c r="AG9" s="97" t="str">
        <f t="shared" si="22"/>
        <v/>
      </c>
      <c r="AH9" s="97" t="str">
        <f t="shared" si="23"/>
        <v/>
      </c>
      <c r="AI9" s="98" t="str">
        <f t="shared" si="24"/>
        <v/>
      </c>
      <c r="AJ9" s="97" t="str">
        <f t="shared" si="25"/>
        <v/>
      </c>
      <c r="AK9" s="97" t="str">
        <f t="shared" si="26"/>
        <v/>
      </c>
      <c r="AL9" s="99" t="str">
        <f t="shared" si="27"/>
        <v/>
      </c>
      <c r="AM9" s="100" t="str">
        <f t="shared" si="28"/>
        <v/>
      </c>
      <c r="AN9" s="101" t="str">
        <f t="shared" si="0"/>
        <v/>
      </c>
      <c r="AO9" s="100" t="str">
        <f t="shared" si="29"/>
        <v/>
      </c>
      <c r="AP9" s="101" t="str">
        <f t="shared" si="1"/>
        <v/>
      </c>
      <c r="AQ9" s="100" t="str">
        <f t="shared" si="30"/>
        <v/>
      </c>
      <c r="AR9" s="101" t="str">
        <f t="shared" si="2"/>
        <v/>
      </c>
      <c r="AS9" s="100" t="str">
        <f t="shared" si="31"/>
        <v/>
      </c>
      <c r="AT9" s="101" t="str">
        <f t="shared" si="3"/>
        <v/>
      </c>
      <c r="AU9" s="100" t="str">
        <f t="shared" si="32"/>
        <v/>
      </c>
      <c r="AV9" s="101" t="str">
        <f t="shared" si="4"/>
        <v/>
      </c>
      <c r="AW9" s="100" t="str">
        <f t="shared" si="33"/>
        <v/>
      </c>
      <c r="AX9" s="101" t="str">
        <f t="shared" si="5"/>
        <v/>
      </c>
      <c r="AY9" s="100" t="str">
        <f t="shared" si="34"/>
        <v/>
      </c>
      <c r="AZ9" s="101" t="str">
        <f t="shared" si="6"/>
        <v/>
      </c>
      <c r="BA9" s="102">
        <f t="shared" si="35"/>
        <v>0</v>
      </c>
    </row>
    <row r="10" spans="1:57" x14ac:dyDescent="0.3">
      <c r="A10" s="92">
        <f>[4]SockEst!A11</f>
        <v>45097</v>
      </c>
      <c r="B10" s="93">
        <f>[4]SockEst!B11</f>
        <v>171</v>
      </c>
      <c r="C10" s="94" t="str">
        <f t="shared" ref="C10:C73" si="36">IFERROR(IF(AM10&gt;15,"GG", "TTL"),"")</f>
        <v>GG</v>
      </c>
      <c r="D10" s="95" t="str">
        <f>IFERROR(VLOOKUP($A10,[5]qry_Whonnock_Species_Compositio!$A$1:$O$114,COLUMN([5]qry_Whonnock_Species_Compositio!B10), FALSE), "")</f>
        <v/>
      </c>
      <c r="E10" s="95" t="str">
        <f>IFERROR(VLOOKUP($A10,[5]qry_Whonnock_Species_Compositio!$A$1:$O$114,COLUMN([5]qry_Whonnock_Species_Compositio!C10), FALSE), "")</f>
        <v/>
      </c>
      <c r="F10" s="95" t="str">
        <f>IFERROR(VLOOKUP($A10,[5]qry_Whonnock_Species_Compositio!$A$1:$O$114,COLUMN([5]qry_Whonnock_Species_Compositio!D10), FALSE), "")</f>
        <v/>
      </c>
      <c r="G10" s="95" t="str">
        <f>IFERROR(VLOOKUP($A10,[5]qry_Whonnock_Species_Compositio!$A$1:$O$114,COLUMN([5]qry_Whonnock_Species_Compositio!E10), FALSE), "")</f>
        <v/>
      </c>
      <c r="H10" s="95" t="str">
        <f>IFERROR(VLOOKUP($A10,[5]qry_Whonnock_Species_Compositio!$A$1:$O$114,COLUMN([5]qry_Whonnock_Species_Compositio!F10), FALSE), "")</f>
        <v/>
      </c>
      <c r="I10" s="95" t="str">
        <f>IFERROR(VLOOKUP($A10,[5]qry_Whonnock_Species_Compositio!$A$1:$O$114,COLUMN([5]qry_Whonnock_Species_Compositio!G10), FALSE), "")</f>
        <v/>
      </c>
      <c r="J10" s="95" t="str">
        <f>IFERROR(VLOOKUP($A10,[5]qry_Whonnock_Species_Compositio!$A$1:$O$114,COLUMN([5]qry_Whonnock_Species_Compositio!H10), FALSE), "")</f>
        <v/>
      </c>
      <c r="K10" s="95" t="str">
        <f>IFERROR(VLOOKUP($A10,[5]qry_Whonnock_Species_Compositio!$A$1:$O$114,COLUMN([5]qry_Whonnock_Species_Compositio!I10), FALSE), "")</f>
        <v/>
      </c>
      <c r="L10" s="95" t="str">
        <f>IFERROR(VLOOKUP($A10,[5]qry_Whonnock_Species_Compositio!$A$1:$O$114,COLUMN([5]qry_Whonnock_Species_Compositio!J10), FALSE), "")</f>
        <v/>
      </c>
      <c r="M10" s="95" t="str">
        <f>IFERROR(VLOOKUP($A10,[5]qry_Whonnock_Species_Compositio!$A$1:$O$114,COLUMN([5]qry_Whonnock_Species_Compositio!K10), FALSE), "")</f>
        <v/>
      </c>
      <c r="N10" s="95" t="str">
        <f>IFERROR(VLOOKUP($A10,[5]qry_Whonnock_Species_Compositio!$A$1:$O$114,COLUMN([5]qry_Whonnock_Species_Compositio!L10), FALSE), "")</f>
        <v/>
      </c>
      <c r="O10" s="95" t="str">
        <f>IFERROR(VLOOKUP($A10,[5]qry_Whonnock_Species_Compositio!$A$1:$O$114,COLUMN([5]qry_Whonnock_Species_Compositio!M10), FALSE), "")</f>
        <v/>
      </c>
      <c r="P10" s="95" t="str">
        <f>IFERROR(VLOOKUP($A10,[5]qry_Whonnock_Species_Compositio!$A$1:$O$114,COLUMN([5]qry_Whonnock_Species_Compositio!N10), FALSE), "")</f>
        <v/>
      </c>
      <c r="Q10" s="95" t="str">
        <f>IFERROR(VLOOKUP($A10,[5]qry_Whonnock_Species_Compositio!$A$1:$O$114,COLUMN([5]qry_Whonnock_Species_Compositio!O10), FALSE), "")</f>
        <v/>
      </c>
      <c r="R10" s="96" t="str">
        <f t="shared" si="7"/>
        <v/>
      </c>
      <c r="S10" s="97" t="str">
        <f t="shared" si="8"/>
        <v/>
      </c>
      <c r="T10" s="98" t="str">
        <f t="shared" si="9"/>
        <v/>
      </c>
      <c r="U10" s="97" t="str">
        <f t="shared" si="10"/>
        <v/>
      </c>
      <c r="V10" s="97" t="str">
        <f t="shared" si="11"/>
        <v/>
      </c>
      <c r="W10" s="98" t="str">
        <f t="shared" si="12"/>
        <v/>
      </c>
      <c r="X10" s="97" t="str">
        <f t="shared" si="13"/>
        <v/>
      </c>
      <c r="Y10" s="97" t="str">
        <f t="shared" si="14"/>
        <v/>
      </c>
      <c r="Z10" s="98" t="str">
        <f t="shared" si="15"/>
        <v/>
      </c>
      <c r="AA10" s="97" t="str">
        <f t="shared" si="16"/>
        <v/>
      </c>
      <c r="AB10" s="97" t="str">
        <f t="shared" si="17"/>
        <v/>
      </c>
      <c r="AC10" s="98" t="str">
        <f t="shared" si="18"/>
        <v/>
      </c>
      <c r="AD10" s="97" t="str">
        <f t="shared" si="19"/>
        <v/>
      </c>
      <c r="AE10" s="97" t="str">
        <f t="shared" si="20"/>
        <v/>
      </c>
      <c r="AF10" s="98" t="str">
        <f t="shared" si="21"/>
        <v/>
      </c>
      <c r="AG10" s="97" t="str">
        <f t="shared" si="22"/>
        <v/>
      </c>
      <c r="AH10" s="97" t="str">
        <f t="shared" si="23"/>
        <v/>
      </c>
      <c r="AI10" s="98" t="str">
        <f t="shared" si="24"/>
        <v/>
      </c>
      <c r="AJ10" s="97" t="str">
        <f t="shared" si="25"/>
        <v/>
      </c>
      <c r="AK10" s="97" t="str">
        <f t="shared" si="26"/>
        <v/>
      </c>
      <c r="AL10" s="99" t="str">
        <f t="shared" si="27"/>
        <v/>
      </c>
      <c r="AM10" s="100" t="str">
        <f t="shared" si="28"/>
        <v/>
      </c>
      <c r="AN10" s="101" t="str">
        <f t="shared" si="0"/>
        <v/>
      </c>
      <c r="AO10" s="100" t="str">
        <f t="shared" si="29"/>
        <v/>
      </c>
      <c r="AP10" s="101" t="str">
        <f t="shared" si="1"/>
        <v/>
      </c>
      <c r="AQ10" s="100" t="str">
        <f t="shared" si="30"/>
        <v/>
      </c>
      <c r="AR10" s="101" t="str">
        <f t="shared" si="2"/>
        <v/>
      </c>
      <c r="AS10" s="100" t="str">
        <f t="shared" si="31"/>
        <v/>
      </c>
      <c r="AT10" s="101" t="str">
        <f t="shared" si="3"/>
        <v/>
      </c>
      <c r="AU10" s="100" t="str">
        <f t="shared" si="32"/>
        <v/>
      </c>
      <c r="AV10" s="101" t="str">
        <f t="shared" si="4"/>
        <v/>
      </c>
      <c r="AW10" s="100" t="str">
        <f t="shared" si="33"/>
        <v/>
      </c>
      <c r="AX10" s="101" t="str">
        <f t="shared" si="5"/>
        <v/>
      </c>
      <c r="AY10" s="100" t="str">
        <f t="shared" si="34"/>
        <v/>
      </c>
      <c r="AZ10" s="101" t="str">
        <f t="shared" si="6"/>
        <v/>
      </c>
      <c r="BA10" s="102">
        <f t="shared" si="35"/>
        <v>0</v>
      </c>
    </row>
    <row r="11" spans="1:57" x14ac:dyDescent="0.3">
      <c r="A11" s="92">
        <f>[4]SockEst!A12</f>
        <v>45098</v>
      </c>
      <c r="B11" s="93">
        <f>[4]SockEst!B12</f>
        <v>172</v>
      </c>
      <c r="C11" s="94" t="str">
        <f t="shared" si="36"/>
        <v>GG</v>
      </c>
      <c r="D11" s="95" t="str">
        <f>IFERROR(VLOOKUP($A11,[5]qry_Whonnock_Species_Compositio!$A$1:$O$114,COLUMN([5]qry_Whonnock_Species_Compositio!B11), FALSE), "")</f>
        <v/>
      </c>
      <c r="E11" s="95" t="str">
        <f>IFERROR(VLOOKUP($A11,[5]qry_Whonnock_Species_Compositio!$A$1:$O$114,COLUMN([5]qry_Whonnock_Species_Compositio!C11), FALSE), "")</f>
        <v/>
      </c>
      <c r="F11" s="95" t="str">
        <f>IFERROR(VLOOKUP($A11,[5]qry_Whonnock_Species_Compositio!$A$1:$O$114,COLUMN([5]qry_Whonnock_Species_Compositio!D11), FALSE), "")</f>
        <v/>
      </c>
      <c r="G11" s="95" t="str">
        <f>IFERROR(VLOOKUP($A11,[5]qry_Whonnock_Species_Compositio!$A$1:$O$114,COLUMN([5]qry_Whonnock_Species_Compositio!E11), FALSE), "")</f>
        <v/>
      </c>
      <c r="H11" s="95" t="str">
        <f>IFERROR(VLOOKUP($A11,[5]qry_Whonnock_Species_Compositio!$A$1:$O$114,COLUMN([5]qry_Whonnock_Species_Compositio!F11), FALSE), "")</f>
        <v/>
      </c>
      <c r="I11" s="95" t="str">
        <f>IFERROR(VLOOKUP($A11,[5]qry_Whonnock_Species_Compositio!$A$1:$O$114,COLUMN([5]qry_Whonnock_Species_Compositio!G11), FALSE), "")</f>
        <v/>
      </c>
      <c r="J11" s="95" t="str">
        <f>IFERROR(VLOOKUP($A11,[5]qry_Whonnock_Species_Compositio!$A$1:$O$114,COLUMN([5]qry_Whonnock_Species_Compositio!H11), FALSE), "")</f>
        <v/>
      </c>
      <c r="K11" s="95" t="str">
        <f>IFERROR(VLOOKUP($A11,[5]qry_Whonnock_Species_Compositio!$A$1:$O$114,COLUMN([5]qry_Whonnock_Species_Compositio!I11), FALSE), "")</f>
        <v/>
      </c>
      <c r="L11" s="95" t="str">
        <f>IFERROR(VLOOKUP($A11,[5]qry_Whonnock_Species_Compositio!$A$1:$O$114,COLUMN([5]qry_Whonnock_Species_Compositio!J11), FALSE), "")</f>
        <v/>
      </c>
      <c r="M11" s="95" t="str">
        <f>IFERROR(VLOOKUP($A11,[5]qry_Whonnock_Species_Compositio!$A$1:$O$114,COLUMN([5]qry_Whonnock_Species_Compositio!K11), FALSE), "")</f>
        <v/>
      </c>
      <c r="N11" s="95" t="str">
        <f>IFERROR(VLOOKUP($A11,[5]qry_Whonnock_Species_Compositio!$A$1:$O$114,COLUMN([5]qry_Whonnock_Species_Compositio!L11), FALSE), "")</f>
        <v/>
      </c>
      <c r="O11" s="95" t="str">
        <f>IFERROR(VLOOKUP($A11,[5]qry_Whonnock_Species_Compositio!$A$1:$O$114,COLUMN([5]qry_Whonnock_Species_Compositio!M11), FALSE), "")</f>
        <v/>
      </c>
      <c r="P11" s="95" t="str">
        <f>IFERROR(VLOOKUP($A11,[5]qry_Whonnock_Species_Compositio!$A$1:$O$114,COLUMN([5]qry_Whonnock_Species_Compositio!N11), FALSE), "")</f>
        <v/>
      </c>
      <c r="Q11" s="95" t="str">
        <f>IFERROR(VLOOKUP($A11,[5]qry_Whonnock_Species_Compositio!$A$1:$O$114,COLUMN([5]qry_Whonnock_Species_Compositio!O11), FALSE), "")</f>
        <v/>
      </c>
      <c r="R11" s="96" t="str">
        <f t="shared" si="7"/>
        <v/>
      </c>
      <c r="S11" s="97" t="str">
        <f t="shared" si="8"/>
        <v/>
      </c>
      <c r="T11" s="98" t="str">
        <f t="shared" si="9"/>
        <v/>
      </c>
      <c r="U11" s="97" t="str">
        <f t="shared" si="10"/>
        <v/>
      </c>
      <c r="V11" s="97" t="str">
        <f t="shared" si="11"/>
        <v/>
      </c>
      <c r="W11" s="98" t="str">
        <f t="shared" si="12"/>
        <v/>
      </c>
      <c r="X11" s="97" t="str">
        <f t="shared" si="13"/>
        <v/>
      </c>
      <c r="Y11" s="97" t="str">
        <f t="shared" si="14"/>
        <v/>
      </c>
      <c r="Z11" s="98" t="str">
        <f t="shared" si="15"/>
        <v/>
      </c>
      <c r="AA11" s="97" t="str">
        <f t="shared" si="16"/>
        <v/>
      </c>
      <c r="AB11" s="97" t="str">
        <f t="shared" si="17"/>
        <v/>
      </c>
      <c r="AC11" s="98" t="str">
        <f t="shared" si="18"/>
        <v/>
      </c>
      <c r="AD11" s="97" t="str">
        <f t="shared" si="19"/>
        <v/>
      </c>
      <c r="AE11" s="97" t="str">
        <f t="shared" si="20"/>
        <v/>
      </c>
      <c r="AF11" s="98" t="str">
        <f t="shared" si="21"/>
        <v/>
      </c>
      <c r="AG11" s="97" t="str">
        <f t="shared" si="22"/>
        <v/>
      </c>
      <c r="AH11" s="97" t="str">
        <f t="shared" si="23"/>
        <v/>
      </c>
      <c r="AI11" s="98" t="str">
        <f t="shared" si="24"/>
        <v/>
      </c>
      <c r="AJ11" s="97" t="str">
        <f t="shared" si="25"/>
        <v/>
      </c>
      <c r="AK11" s="97" t="str">
        <f t="shared" si="26"/>
        <v/>
      </c>
      <c r="AL11" s="99" t="str">
        <f t="shared" si="27"/>
        <v/>
      </c>
      <c r="AM11" s="100" t="str">
        <f t="shared" si="28"/>
        <v/>
      </c>
      <c r="AN11" s="101" t="str">
        <f t="shared" si="0"/>
        <v/>
      </c>
      <c r="AO11" s="100" t="str">
        <f t="shared" si="29"/>
        <v/>
      </c>
      <c r="AP11" s="101" t="str">
        <f t="shared" si="1"/>
        <v/>
      </c>
      <c r="AQ11" s="100" t="str">
        <f t="shared" si="30"/>
        <v/>
      </c>
      <c r="AR11" s="101" t="str">
        <f t="shared" si="2"/>
        <v/>
      </c>
      <c r="AS11" s="100" t="str">
        <f t="shared" si="31"/>
        <v/>
      </c>
      <c r="AT11" s="101" t="str">
        <f t="shared" si="3"/>
        <v/>
      </c>
      <c r="AU11" s="100" t="str">
        <f t="shared" si="32"/>
        <v/>
      </c>
      <c r="AV11" s="101" t="str">
        <f t="shared" si="4"/>
        <v/>
      </c>
      <c r="AW11" s="100" t="str">
        <f t="shared" si="33"/>
        <v/>
      </c>
      <c r="AX11" s="101" t="str">
        <f t="shared" si="5"/>
        <v/>
      </c>
      <c r="AY11" s="100" t="str">
        <f t="shared" si="34"/>
        <v/>
      </c>
      <c r="AZ11" s="101" t="str">
        <f t="shared" si="6"/>
        <v/>
      </c>
      <c r="BA11" s="102">
        <f t="shared" si="35"/>
        <v>0</v>
      </c>
    </row>
    <row r="12" spans="1:57" x14ac:dyDescent="0.3">
      <c r="A12" s="92">
        <f>[4]SockEst!A13</f>
        <v>45099</v>
      </c>
      <c r="B12" s="93">
        <f>[4]SockEst!B13</f>
        <v>173</v>
      </c>
      <c r="C12" s="94" t="str">
        <f t="shared" si="36"/>
        <v>GG</v>
      </c>
      <c r="D12" s="95" t="str">
        <f>IFERROR(VLOOKUP($A12,[5]qry_Whonnock_Species_Compositio!$A$1:$O$114,COLUMN([5]qry_Whonnock_Species_Compositio!B12), FALSE), "")</f>
        <v/>
      </c>
      <c r="E12" s="95" t="str">
        <f>IFERROR(VLOOKUP($A12,[5]qry_Whonnock_Species_Compositio!$A$1:$O$114,COLUMN([5]qry_Whonnock_Species_Compositio!C12), FALSE), "")</f>
        <v/>
      </c>
      <c r="F12" s="95" t="str">
        <f>IFERROR(VLOOKUP($A12,[5]qry_Whonnock_Species_Compositio!$A$1:$O$114,COLUMN([5]qry_Whonnock_Species_Compositio!D12), FALSE), "")</f>
        <v/>
      </c>
      <c r="G12" s="95" t="str">
        <f>IFERROR(VLOOKUP($A12,[5]qry_Whonnock_Species_Compositio!$A$1:$O$114,COLUMN([5]qry_Whonnock_Species_Compositio!E12), FALSE), "")</f>
        <v/>
      </c>
      <c r="H12" s="95" t="str">
        <f>IFERROR(VLOOKUP($A12,[5]qry_Whonnock_Species_Compositio!$A$1:$O$114,COLUMN([5]qry_Whonnock_Species_Compositio!F12), FALSE), "")</f>
        <v/>
      </c>
      <c r="I12" s="95" t="str">
        <f>IFERROR(VLOOKUP($A12,[5]qry_Whonnock_Species_Compositio!$A$1:$O$114,COLUMN([5]qry_Whonnock_Species_Compositio!G12), FALSE), "")</f>
        <v/>
      </c>
      <c r="J12" s="95" t="str">
        <f>IFERROR(VLOOKUP($A12,[5]qry_Whonnock_Species_Compositio!$A$1:$O$114,COLUMN([5]qry_Whonnock_Species_Compositio!H12), FALSE), "")</f>
        <v/>
      </c>
      <c r="K12" s="95" t="str">
        <f>IFERROR(VLOOKUP($A12,[5]qry_Whonnock_Species_Compositio!$A$1:$O$114,COLUMN([5]qry_Whonnock_Species_Compositio!I12), FALSE), "")</f>
        <v/>
      </c>
      <c r="L12" s="95" t="str">
        <f>IFERROR(VLOOKUP($A12,[5]qry_Whonnock_Species_Compositio!$A$1:$O$114,COLUMN([5]qry_Whonnock_Species_Compositio!J12), FALSE), "")</f>
        <v/>
      </c>
      <c r="M12" s="95" t="str">
        <f>IFERROR(VLOOKUP($A12,[5]qry_Whonnock_Species_Compositio!$A$1:$O$114,COLUMN([5]qry_Whonnock_Species_Compositio!K12), FALSE), "")</f>
        <v/>
      </c>
      <c r="N12" s="95" t="str">
        <f>IFERROR(VLOOKUP($A12,[5]qry_Whonnock_Species_Compositio!$A$1:$O$114,COLUMN([5]qry_Whonnock_Species_Compositio!L12), FALSE), "")</f>
        <v/>
      </c>
      <c r="O12" s="95" t="str">
        <f>IFERROR(VLOOKUP($A12,[5]qry_Whonnock_Species_Compositio!$A$1:$O$114,COLUMN([5]qry_Whonnock_Species_Compositio!M12), FALSE), "")</f>
        <v/>
      </c>
      <c r="P12" s="95" t="str">
        <f>IFERROR(VLOOKUP($A12,[5]qry_Whonnock_Species_Compositio!$A$1:$O$114,COLUMN([5]qry_Whonnock_Species_Compositio!N12), FALSE), "")</f>
        <v/>
      </c>
      <c r="Q12" s="95" t="str">
        <f>IFERROR(VLOOKUP($A12,[5]qry_Whonnock_Species_Compositio!$A$1:$O$114,COLUMN([5]qry_Whonnock_Species_Compositio!O12), FALSE), "")</f>
        <v/>
      </c>
      <c r="R12" s="96" t="str">
        <f t="shared" si="7"/>
        <v/>
      </c>
      <c r="S12" s="97" t="str">
        <f t="shared" si="8"/>
        <v/>
      </c>
      <c r="T12" s="98" t="str">
        <f t="shared" si="9"/>
        <v/>
      </c>
      <c r="U12" s="97" t="str">
        <f t="shared" si="10"/>
        <v/>
      </c>
      <c r="V12" s="97" t="str">
        <f t="shared" si="11"/>
        <v/>
      </c>
      <c r="W12" s="98" t="str">
        <f t="shared" si="12"/>
        <v/>
      </c>
      <c r="X12" s="97" t="str">
        <f t="shared" si="13"/>
        <v/>
      </c>
      <c r="Y12" s="97" t="str">
        <f t="shared" si="14"/>
        <v/>
      </c>
      <c r="Z12" s="98" t="str">
        <f t="shared" si="15"/>
        <v/>
      </c>
      <c r="AA12" s="97" t="str">
        <f t="shared" si="16"/>
        <v/>
      </c>
      <c r="AB12" s="97" t="str">
        <f t="shared" si="17"/>
        <v/>
      </c>
      <c r="AC12" s="98" t="str">
        <f t="shared" si="18"/>
        <v/>
      </c>
      <c r="AD12" s="97" t="str">
        <f t="shared" si="19"/>
        <v/>
      </c>
      <c r="AE12" s="97" t="str">
        <f t="shared" si="20"/>
        <v/>
      </c>
      <c r="AF12" s="98" t="str">
        <f t="shared" si="21"/>
        <v/>
      </c>
      <c r="AG12" s="97" t="str">
        <f t="shared" si="22"/>
        <v/>
      </c>
      <c r="AH12" s="97" t="str">
        <f t="shared" si="23"/>
        <v/>
      </c>
      <c r="AI12" s="98" t="str">
        <f t="shared" si="24"/>
        <v/>
      </c>
      <c r="AJ12" s="97" t="str">
        <f t="shared" si="25"/>
        <v/>
      </c>
      <c r="AK12" s="97" t="str">
        <f t="shared" si="26"/>
        <v/>
      </c>
      <c r="AL12" s="99" t="str">
        <f t="shared" si="27"/>
        <v/>
      </c>
      <c r="AM12" s="100" t="str">
        <f t="shared" si="28"/>
        <v/>
      </c>
      <c r="AN12" s="101" t="str">
        <f>IF($AM12&lt;15,T12,R12)</f>
        <v/>
      </c>
      <c r="AO12" s="100" t="str">
        <f t="shared" si="29"/>
        <v/>
      </c>
      <c r="AP12" s="101" t="str">
        <f>IF($AM12&lt;15,W12,U12)</f>
        <v/>
      </c>
      <c r="AQ12" s="100" t="str">
        <f t="shared" si="30"/>
        <v/>
      </c>
      <c r="AR12" s="101" t="str">
        <f>IF($AM12&lt;15,Z12,X12)</f>
        <v/>
      </c>
      <c r="AS12" s="100" t="str">
        <f t="shared" si="31"/>
        <v/>
      </c>
      <c r="AT12" s="101" t="str">
        <f>IF($AM12&lt;15,AC12,AA12)</f>
        <v/>
      </c>
      <c r="AU12" s="100" t="str">
        <f t="shared" si="32"/>
        <v/>
      </c>
      <c r="AV12" s="101" t="str">
        <f>IF($AM12&lt;15,AF12,AD12)</f>
        <v/>
      </c>
      <c r="AW12" s="100" t="str">
        <f t="shared" si="33"/>
        <v/>
      </c>
      <c r="AX12" s="101" t="str">
        <f>IF($AM12&lt;15,AI12,AG12)</f>
        <v/>
      </c>
      <c r="AY12" s="100" t="str">
        <f t="shared" si="34"/>
        <v/>
      </c>
      <c r="AZ12" s="101" t="str">
        <f>IF($AM12&lt;15,AL12,AJ12)</f>
        <v/>
      </c>
      <c r="BA12" s="102">
        <f t="shared" si="35"/>
        <v>0</v>
      </c>
    </row>
    <row r="13" spans="1:57" x14ac:dyDescent="0.3">
      <c r="A13" s="92">
        <f>[4]SockEst!A14</f>
        <v>45100</v>
      </c>
      <c r="B13" s="93">
        <f>[4]SockEst!B14</f>
        <v>174</v>
      </c>
      <c r="C13" s="94" t="str">
        <f t="shared" si="36"/>
        <v>GG</v>
      </c>
      <c r="D13" s="95" t="str">
        <f>IFERROR(VLOOKUP($A13,[5]qry_Whonnock_Species_Compositio!$A$1:$O$114,COLUMN([5]qry_Whonnock_Species_Compositio!B13), FALSE), "")</f>
        <v/>
      </c>
      <c r="E13" s="95" t="str">
        <f>IFERROR(VLOOKUP($A13,[5]qry_Whonnock_Species_Compositio!$A$1:$O$114,COLUMN([5]qry_Whonnock_Species_Compositio!C13), FALSE), "")</f>
        <v/>
      </c>
      <c r="F13" s="95" t="str">
        <f>IFERROR(VLOOKUP($A13,[5]qry_Whonnock_Species_Compositio!$A$1:$O$114,COLUMN([5]qry_Whonnock_Species_Compositio!D13), FALSE), "")</f>
        <v/>
      </c>
      <c r="G13" s="95" t="str">
        <f>IFERROR(VLOOKUP($A13,[5]qry_Whonnock_Species_Compositio!$A$1:$O$114,COLUMN([5]qry_Whonnock_Species_Compositio!E13), FALSE), "")</f>
        <v/>
      </c>
      <c r="H13" s="95" t="str">
        <f>IFERROR(VLOOKUP($A13,[5]qry_Whonnock_Species_Compositio!$A$1:$O$114,COLUMN([5]qry_Whonnock_Species_Compositio!F13), FALSE), "")</f>
        <v/>
      </c>
      <c r="I13" s="95" t="str">
        <f>IFERROR(VLOOKUP($A13,[5]qry_Whonnock_Species_Compositio!$A$1:$O$114,COLUMN([5]qry_Whonnock_Species_Compositio!G13), FALSE), "")</f>
        <v/>
      </c>
      <c r="J13" s="95" t="str">
        <f>IFERROR(VLOOKUP($A13,[5]qry_Whonnock_Species_Compositio!$A$1:$O$114,COLUMN([5]qry_Whonnock_Species_Compositio!H13), FALSE), "")</f>
        <v/>
      </c>
      <c r="K13" s="95" t="str">
        <f>IFERROR(VLOOKUP($A13,[5]qry_Whonnock_Species_Compositio!$A$1:$O$114,COLUMN([5]qry_Whonnock_Species_Compositio!I13), FALSE), "")</f>
        <v/>
      </c>
      <c r="L13" s="95" t="str">
        <f>IFERROR(VLOOKUP($A13,[5]qry_Whonnock_Species_Compositio!$A$1:$O$114,COLUMN([5]qry_Whonnock_Species_Compositio!J13), FALSE), "")</f>
        <v/>
      </c>
      <c r="M13" s="95" t="str">
        <f>IFERROR(VLOOKUP($A13,[5]qry_Whonnock_Species_Compositio!$A$1:$O$114,COLUMN([5]qry_Whonnock_Species_Compositio!K13), FALSE), "")</f>
        <v/>
      </c>
      <c r="N13" s="95" t="str">
        <f>IFERROR(VLOOKUP($A13,[5]qry_Whonnock_Species_Compositio!$A$1:$O$114,COLUMN([5]qry_Whonnock_Species_Compositio!L13), FALSE), "")</f>
        <v/>
      </c>
      <c r="O13" s="95" t="str">
        <f>IFERROR(VLOOKUP($A13,[5]qry_Whonnock_Species_Compositio!$A$1:$O$114,COLUMN([5]qry_Whonnock_Species_Compositio!M13), FALSE), "")</f>
        <v/>
      </c>
      <c r="P13" s="95" t="str">
        <f>IFERROR(VLOOKUP($A13,[5]qry_Whonnock_Species_Compositio!$A$1:$O$114,COLUMN([5]qry_Whonnock_Species_Compositio!N13), FALSE), "")</f>
        <v/>
      </c>
      <c r="Q13" s="95" t="str">
        <f>IFERROR(VLOOKUP($A13,[5]qry_Whonnock_Species_Compositio!$A$1:$O$114,COLUMN([5]qry_Whonnock_Species_Compositio!O13), FALSE), "")</f>
        <v/>
      </c>
      <c r="R13" s="96" t="str">
        <f t="shared" si="7"/>
        <v/>
      </c>
      <c r="S13" s="97" t="str">
        <f t="shared" si="8"/>
        <v/>
      </c>
      <c r="T13" s="98" t="str">
        <f t="shared" si="9"/>
        <v/>
      </c>
      <c r="U13" s="97" t="str">
        <f t="shared" si="10"/>
        <v/>
      </c>
      <c r="V13" s="97" t="str">
        <f t="shared" si="11"/>
        <v/>
      </c>
      <c r="W13" s="98" t="str">
        <f t="shared" si="12"/>
        <v/>
      </c>
      <c r="X13" s="97" t="str">
        <f t="shared" si="13"/>
        <v/>
      </c>
      <c r="Y13" s="97" t="str">
        <f t="shared" si="14"/>
        <v/>
      </c>
      <c r="Z13" s="98" t="str">
        <f t="shared" si="15"/>
        <v/>
      </c>
      <c r="AA13" s="97" t="str">
        <f t="shared" si="16"/>
        <v/>
      </c>
      <c r="AB13" s="97" t="str">
        <f t="shared" si="17"/>
        <v/>
      </c>
      <c r="AC13" s="98" t="str">
        <f t="shared" si="18"/>
        <v/>
      </c>
      <c r="AD13" s="97" t="str">
        <f t="shared" si="19"/>
        <v/>
      </c>
      <c r="AE13" s="97" t="str">
        <f t="shared" si="20"/>
        <v/>
      </c>
      <c r="AF13" s="98" t="str">
        <f t="shared" si="21"/>
        <v/>
      </c>
      <c r="AG13" s="97" t="str">
        <f t="shared" si="22"/>
        <v/>
      </c>
      <c r="AH13" s="97" t="str">
        <f t="shared" si="23"/>
        <v/>
      </c>
      <c r="AI13" s="98" t="str">
        <f t="shared" si="24"/>
        <v/>
      </c>
      <c r="AJ13" s="97" t="str">
        <f t="shared" si="25"/>
        <v/>
      </c>
      <c r="AK13" s="97" t="str">
        <f t="shared" si="26"/>
        <v/>
      </c>
      <c r="AL13" s="99" t="str">
        <f t="shared" si="27"/>
        <v/>
      </c>
      <c r="AM13" s="100" t="str">
        <f t="shared" si="28"/>
        <v/>
      </c>
      <c r="AN13" s="101" t="str">
        <f t="shared" ref="AN13:AN76" si="37">IF($AM13&lt;15,T13,R13)</f>
        <v/>
      </c>
      <c r="AO13" s="100" t="str">
        <f t="shared" si="29"/>
        <v/>
      </c>
      <c r="AP13" s="101" t="str">
        <f t="shared" ref="AP13:AP76" si="38">IF($AM13&lt;15,W13,U13)</f>
        <v/>
      </c>
      <c r="AQ13" s="100" t="str">
        <f t="shared" si="30"/>
        <v/>
      </c>
      <c r="AR13" s="101" t="str">
        <f t="shared" ref="AR13:AR76" si="39">IF($AM13&lt;15,Z13,X13)</f>
        <v/>
      </c>
      <c r="AS13" s="100" t="str">
        <f t="shared" si="31"/>
        <v/>
      </c>
      <c r="AT13" s="101" t="str">
        <f t="shared" ref="AT13:AT76" si="40">IF($AM13&lt;15,AC13,AA13)</f>
        <v/>
      </c>
      <c r="AU13" s="100" t="str">
        <f t="shared" si="32"/>
        <v/>
      </c>
      <c r="AV13" s="101" t="str">
        <f t="shared" ref="AV13:AV76" si="41">IF($AM13&lt;15,AF13,AD13)</f>
        <v/>
      </c>
      <c r="AW13" s="100" t="str">
        <f t="shared" si="33"/>
        <v/>
      </c>
      <c r="AX13" s="101" t="str">
        <f t="shared" ref="AX13:AX76" si="42">IF($AM13&lt;15,AI13,AG13)</f>
        <v/>
      </c>
      <c r="AY13" s="100" t="str">
        <f t="shared" si="34"/>
        <v/>
      </c>
      <c r="AZ13" s="101" t="str">
        <f t="shared" ref="AZ13:AZ76" si="43">IF($AM13&lt;15,AL13,AJ13)</f>
        <v/>
      </c>
      <c r="BA13" s="102">
        <f t="shared" si="35"/>
        <v>0</v>
      </c>
    </row>
    <row r="14" spans="1:57" x14ac:dyDescent="0.3">
      <c r="A14" s="92">
        <f>[4]SockEst!A15</f>
        <v>45101</v>
      </c>
      <c r="B14" s="93">
        <f>[4]SockEst!B15</f>
        <v>175</v>
      </c>
      <c r="C14" s="94" t="str">
        <f t="shared" si="36"/>
        <v>GG</v>
      </c>
      <c r="D14" s="95" t="str">
        <f>IFERROR(VLOOKUP($A14,[5]qry_Whonnock_Species_Compositio!$A$1:$O$114,COLUMN([5]qry_Whonnock_Species_Compositio!B14), FALSE), "")</f>
        <v/>
      </c>
      <c r="E14" s="95" t="str">
        <f>IFERROR(VLOOKUP($A14,[5]qry_Whonnock_Species_Compositio!$A$1:$O$114,COLUMN([5]qry_Whonnock_Species_Compositio!C14), FALSE), "")</f>
        <v/>
      </c>
      <c r="F14" s="95" t="str">
        <f>IFERROR(VLOOKUP($A14,[5]qry_Whonnock_Species_Compositio!$A$1:$O$114,COLUMN([5]qry_Whonnock_Species_Compositio!D14), FALSE), "")</f>
        <v/>
      </c>
      <c r="G14" s="95" t="str">
        <f>IFERROR(VLOOKUP($A14,[5]qry_Whonnock_Species_Compositio!$A$1:$O$114,COLUMN([5]qry_Whonnock_Species_Compositio!E14), FALSE), "")</f>
        <v/>
      </c>
      <c r="H14" s="95" t="str">
        <f>IFERROR(VLOOKUP($A14,[5]qry_Whonnock_Species_Compositio!$A$1:$O$114,COLUMN([5]qry_Whonnock_Species_Compositio!F14), FALSE), "")</f>
        <v/>
      </c>
      <c r="I14" s="95" t="str">
        <f>IFERROR(VLOOKUP($A14,[5]qry_Whonnock_Species_Compositio!$A$1:$O$114,COLUMN([5]qry_Whonnock_Species_Compositio!G14), FALSE), "")</f>
        <v/>
      </c>
      <c r="J14" s="95" t="str">
        <f>IFERROR(VLOOKUP($A14,[5]qry_Whonnock_Species_Compositio!$A$1:$O$114,COLUMN([5]qry_Whonnock_Species_Compositio!H14), FALSE), "")</f>
        <v/>
      </c>
      <c r="K14" s="95" t="str">
        <f>IFERROR(VLOOKUP($A14,[5]qry_Whonnock_Species_Compositio!$A$1:$O$114,COLUMN([5]qry_Whonnock_Species_Compositio!I14), FALSE), "")</f>
        <v/>
      </c>
      <c r="L14" s="95" t="str">
        <f>IFERROR(VLOOKUP($A14,[5]qry_Whonnock_Species_Compositio!$A$1:$O$114,COLUMN([5]qry_Whonnock_Species_Compositio!J14), FALSE), "")</f>
        <v/>
      </c>
      <c r="M14" s="95" t="str">
        <f>IFERROR(VLOOKUP($A14,[5]qry_Whonnock_Species_Compositio!$A$1:$O$114,COLUMN([5]qry_Whonnock_Species_Compositio!K14), FALSE), "")</f>
        <v/>
      </c>
      <c r="N14" s="95" t="str">
        <f>IFERROR(VLOOKUP($A14,[5]qry_Whonnock_Species_Compositio!$A$1:$O$114,COLUMN([5]qry_Whonnock_Species_Compositio!L14), FALSE), "")</f>
        <v/>
      </c>
      <c r="O14" s="95" t="str">
        <f>IFERROR(VLOOKUP($A14,[5]qry_Whonnock_Species_Compositio!$A$1:$O$114,COLUMN([5]qry_Whonnock_Species_Compositio!M14), FALSE), "")</f>
        <v/>
      </c>
      <c r="P14" s="95" t="str">
        <f>IFERROR(VLOOKUP($A14,[5]qry_Whonnock_Species_Compositio!$A$1:$O$114,COLUMN([5]qry_Whonnock_Species_Compositio!N14), FALSE), "")</f>
        <v/>
      </c>
      <c r="Q14" s="95" t="str">
        <f>IFERROR(VLOOKUP($A14,[5]qry_Whonnock_Species_Compositio!$A$1:$O$114,COLUMN([5]qry_Whonnock_Species_Compositio!O14), FALSE), "")</f>
        <v/>
      </c>
      <c r="R14" s="96" t="str">
        <f t="shared" si="7"/>
        <v/>
      </c>
      <c r="S14" s="97" t="str">
        <f t="shared" si="8"/>
        <v/>
      </c>
      <c r="T14" s="98" t="str">
        <f t="shared" si="9"/>
        <v/>
      </c>
      <c r="U14" s="97" t="str">
        <f t="shared" si="10"/>
        <v/>
      </c>
      <c r="V14" s="97" t="str">
        <f t="shared" si="11"/>
        <v/>
      </c>
      <c r="W14" s="98" t="str">
        <f t="shared" si="12"/>
        <v/>
      </c>
      <c r="X14" s="97" t="str">
        <f t="shared" si="13"/>
        <v/>
      </c>
      <c r="Y14" s="97" t="str">
        <f t="shared" si="14"/>
        <v/>
      </c>
      <c r="Z14" s="98" t="str">
        <f t="shared" si="15"/>
        <v/>
      </c>
      <c r="AA14" s="97" t="str">
        <f t="shared" si="16"/>
        <v/>
      </c>
      <c r="AB14" s="97" t="str">
        <f t="shared" si="17"/>
        <v/>
      </c>
      <c r="AC14" s="98" t="str">
        <f t="shared" si="18"/>
        <v/>
      </c>
      <c r="AD14" s="97" t="str">
        <f t="shared" si="19"/>
        <v/>
      </c>
      <c r="AE14" s="97" t="str">
        <f t="shared" si="20"/>
        <v/>
      </c>
      <c r="AF14" s="98" t="str">
        <f t="shared" si="21"/>
        <v/>
      </c>
      <c r="AG14" s="97" t="str">
        <f t="shared" si="22"/>
        <v/>
      </c>
      <c r="AH14" s="97" t="str">
        <f t="shared" si="23"/>
        <v/>
      </c>
      <c r="AI14" s="98" t="str">
        <f t="shared" si="24"/>
        <v/>
      </c>
      <c r="AJ14" s="97" t="str">
        <f t="shared" si="25"/>
        <v/>
      </c>
      <c r="AK14" s="97" t="str">
        <f t="shared" si="26"/>
        <v/>
      </c>
      <c r="AL14" s="99" t="str">
        <f t="shared" si="27"/>
        <v/>
      </c>
      <c r="AM14" s="100" t="str">
        <f t="shared" si="28"/>
        <v/>
      </c>
      <c r="AN14" s="101" t="str">
        <f t="shared" si="37"/>
        <v/>
      </c>
      <c r="AO14" s="100" t="str">
        <f t="shared" si="29"/>
        <v/>
      </c>
      <c r="AP14" s="101" t="str">
        <f t="shared" si="38"/>
        <v/>
      </c>
      <c r="AQ14" s="100" t="str">
        <f t="shared" si="30"/>
        <v/>
      </c>
      <c r="AR14" s="101" t="str">
        <f t="shared" si="39"/>
        <v/>
      </c>
      <c r="AS14" s="100" t="str">
        <f t="shared" si="31"/>
        <v/>
      </c>
      <c r="AT14" s="101" t="str">
        <f t="shared" si="40"/>
        <v/>
      </c>
      <c r="AU14" s="100" t="str">
        <f t="shared" si="32"/>
        <v/>
      </c>
      <c r="AV14" s="101" t="str">
        <f t="shared" si="41"/>
        <v/>
      </c>
      <c r="AW14" s="100" t="str">
        <f t="shared" si="33"/>
        <v/>
      </c>
      <c r="AX14" s="101" t="str">
        <f t="shared" si="42"/>
        <v/>
      </c>
      <c r="AY14" s="100" t="str">
        <f t="shared" si="34"/>
        <v/>
      </c>
      <c r="AZ14" s="101" t="str">
        <f t="shared" si="43"/>
        <v/>
      </c>
      <c r="BA14" s="102">
        <f t="shared" si="35"/>
        <v>0</v>
      </c>
    </row>
    <row r="15" spans="1:57" x14ac:dyDescent="0.3">
      <c r="A15" s="92">
        <f>[4]SockEst!A16</f>
        <v>45102</v>
      </c>
      <c r="B15" s="93">
        <f>[4]SockEst!B16</f>
        <v>176</v>
      </c>
      <c r="C15" s="94" t="str">
        <f t="shared" si="36"/>
        <v>GG</v>
      </c>
      <c r="D15" s="95" t="str">
        <f>IFERROR(VLOOKUP($A15,[5]qry_Whonnock_Species_Compositio!$A$1:$O$114,COLUMN([5]qry_Whonnock_Species_Compositio!B15), FALSE), "")</f>
        <v/>
      </c>
      <c r="E15" s="95" t="str">
        <f>IFERROR(VLOOKUP($A15,[5]qry_Whonnock_Species_Compositio!$A$1:$O$114,COLUMN([5]qry_Whonnock_Species_Compositio!C15), FALSE), "")</f>
        <v/>
      </c>
      <c r="F15" s="95" t="str">
        <f>IFERROR(VLOOKUP($A15,[5]qry_Whonnock_Species_Compositio!$A$1:$O$114,COLUMN([5]qry_Whonnock_Species_Compositio!D15), FALSE), "")</f>
        <v/>
      </c>
      <c r="G15" s="95" t="str">
        <f>IFERROR(VLOOKUP($A15,[5]qry_Whonnock_Species_Compositio!$A$1:$O$114,COLUMN([5]qry_Whonnock_Species_Compositio!E15), FALSE), "")</f>
        <v/>
      </c>
      <c r="H15" s="95" t="str">
        <f>IFERROR(VLOOKUP($A15,[5]qry_Whonnock_Species_Compositio!$A$1:$O$114,COLUMN([5]qry_Whonnock_Species_Compositio!F15), FALSE), "")</f>
        <v/>
      </c>
      <c r="I15" s="95" t="str">
        <f>IFERROR(VLOOKUP($A15,[5]qry_Whonnock_Species_Compositio!$A$1:$O$114,COLUMN([5]qry_Whonnock_Species_Compositio!G15), FALSE), "")</f>
        <v/>
      </c>
      <c r="J15" s="95" t="str">
        <f>IFERROR(VLOOKUP($A15,[5]qry_Whonnock_Species_Compositio!$A$1:$O$114,COLUMN([5]qry_Whonnock_Species_Compositio!H15), FALSE), "")</f>
        <v/>
      </c>
      <c r="K15" s="95" t="str">
        <f>IFERROR(VLOOKUP($A15,[5]qry_Whonnock_Species_Compositio!$A$1:$O$114,COLUMN([5]qry_Whonnock_Species_Compositio!I15), FALSE), "")</f>
        <v/>
      </c>
      <c r="L15" s="95" t="str">
        <f>IFERROR(VLOOKUP($A15,[5]qry_Whonnock_Species_Compositio!$A$1:$O$114,COLUMN([5]qry_Whonnock_Species_Compositio!J15), FALSE), "")</f>
        <v/>
      </c>
      <c r="M15" s="95" t="str">
        <f>IFERROR(VLOOKUP($A15,[5]qry_Whonnock_Species_Compositio!$A$1:$O$114,COLUMN([5]qry_Whonnock_Species_Compositio!K15), FALSE), "")</f>
        <v/>
      </c>
      <c r="N15" s="95" t="str">
        <f>IFERROR(VLOOKUP($A15,[5]qry_Whonnock_Species_Compositio!$A$1:$O$114,COLUMN([5]qry_Whonnock_Species_Compositio!L15), FALSE), "")</f>
        <v/>
      </c>
      <c r="O15" s="95" t="str">
        <f>IFERROR(VLOOKUP($A15,[5]qry_Whonnock_Species_Compositio!$A$1:$O$114,COLUMN([5]qry_Whonnock_Species_Compositio!M15), FALSE), "")</f>
        <v/>
      </c>
      <c r="P15" s="95" t="str">
        <f>IFERROR(VLOOKUP($A15,[5]qry_Whonnock_Species_Compositio!$A$1:$O$114,COLUMN([5]qry_Whonnock_Species_Compositio!N15), FALSE), "")</f>
        <v/>
      </c>
      <c r="Q15" s="95" t="str">
        <f>IFERROR(VLOOKUP($A15,[5]qry_Whonnock_Species_Compositio!$A$1:$O$114,COLUMN([5]qry_Whonnock_Species_Compositio!O15), FALSE), "")</f>
        <v/>
      </c>
      <c r="R15" s="96" t="str">
        <f t="shared" si="7"/>
        <v/>
      </c>
      <c r="S15" s="97" t="str">
        <f t="shared" si="8"/>
        <v/>
      </c>
      <c r="T15" s="98" t="str">
        <f t="shared" si="9"/>
        <v/>
      </c>
      <c r="U15" s="97" t="str">
        <f t="shared" si="10"/>
        <v/>
      </c>
      <c r="V15" s="97" t="str">
        <f t="shared" si="11"/>
        <v/>
      </c>
      <c r="W15" s="98" t="str">
        <f t="shared" si="12"/>
        <v/>
      </c>
      <c r="X15" s="97" t="str">
        <f t="shared" si="13"/>
        <v/>
      </c>
      <c r="Y15" s="97" t="str">
        <f t="shared" si="14"/>
        <v/>
      </c>
      <c r="Z15" s="98" t="str">
        <f t="shared" si="15"/>
        <v/>
      </c>
      <c r="AA15" s="97" t="str">
        <f t="shared" si="16"/>
        <v/>
      </c>
      <c r="AB15" s="97" t="str">
        <f t="shared" si="17"/>
        <v/>
      </c>
      <c r="AC15" s="98" t="str">
        <f t="shared" si="18"/>
        <v/>
      </c>
      <c r="AD15" s="97" t="str">
        <f t="shared" si="19"/>
        <v/>
      </c>
      <c r="AE15" s="97" t="str">
        <f t="shared" si="20"/>
        <v/>
      </c>
      <c r="AF15" s="98" t="str">
        <f t="shared" si="21"/>
        <v/>
      </c>
      <c r="AG15" s="97" t="str">
        <f t="shared" si="22"/>
        <v/>
      </c>
      <c r="AH15" s="97" t="str">
        <f t="shared" si="23"/>
        <v/>
      </c>
      <c r="AI15" s="98" t="str">
        <f t="shared" si="24"/>
        <v/>
      </c>
      <c r="AJ15" s="97" t="str">
        <f t="shared" si="25"/>
        <v/>
      </c>
      <c r="AK15" s="97" t="str">
        <f t="shared" si="26"/>
        <v/>
      </c>
      <c r="AL15" s="99" t="str">
        <f t="shared" si="27"/>
        <v/>
      </c>
      <c r="AM15" s="100" t="str">
        <f t="shared" si="28"/>
        <v/>
      </c>
      <c r="AN15" s="101" t="str">
        <f t="shared" si="37"/>
        <v/>
      </c>
      <c r="AO15" s="100" t="str">
        <f t="shared" si="29"/>
        <v/>
      </c>
      <c r="AP15" s="101" t="str">
        <f t="shared" si="38"/>
        <v/>
      </c>
      <c r="AQ15" s="100" t="str">
        <f t="shared" si="30"/>
        <v/>
      </c>
      <c r="AR15" s="101" t="str">
        <f t="shared" si="39"/>
        <v/>
      </c>
      <c r="AS15" s="100" t="str">
        <f t="shared" si="31"/>
        <v/>
      </c>
      <c r="AT15" s="101" t="str">
        <f t="shared" si="40"/>
        <v/>
      </c>
      <c r="AU15" s="100" t="str">
        <f t="shared" si="32"/>
        <v/>
      </c>
      <c r="AV15" s="101" t="str">
        <f t="shared" si="41"/>
        <v/>
      </c>
      <c r="AW15" s="100" t="str">
        <f t="shared" si="33"/>
        <v/>
      </c>
      <c r="AX15" s="101" t="str">
        <f t="shared" si="42"/>
        <v/>
      </c>
      <c r="AY15" s="100" t="str">
        <f t="shared" si="34"/>
        <v/>
      </c>
      <c r="AZ15" s="101" t="str">
        <f t="shared" si="43"/>
        <v/>
      </c>
      <c r="BA15" s="102">
        <f t="shared" si="35"/>
        <v>0</v>
      </c>
    </row>
    <row r="16" spans="1:57" x14ac:dyDescent="0.3">
      <c r="A16" s="92">
        <f>[4]SockEst!A17</f>
        <v>45103</v>
      </c>
      <c r="B16" s="93">
        <f>[4]SockEst!B17</f>
        <v>177</v>
      </c>
      <c r="C16" s="94" t="str">
        <f t="shared" si="36"/>
        <v>TTL</v>
      </c>
      <c r="D16" s="95">
        <f>IFERROR(VLOOKUP($A16,[5]qry_Whonnock_Species_Compositio!$A$1:$O$114,COLUMN([5]qry_Whonnock_Species_Compositio!B16), FALSE), "")</f>
        <v>0</v>
      </c>
      <c r="E16" s="95">
        <f>IFERROR(VLOOKUP($A16,[5]qry_Whonnock_Species_Compositio!$A$1:$O$114,COLUMN([5]qry_Whonnock_Species_Compositio!C16), FALSE), "")</f>
        <v>0</v>
      </c>
      <c r="F16" s="95">
        <f>IFERROR(VLOOKUP($A16,[5]qry_Whonnock_Species_Compositio!$A$1:$O$114,COLUMN([5]qry_Whonnock_Species_Compositio!D16), FALSE), "")</f>
        <v>0</v>
      </c>
      <c r="G16" s="95">
        <f>IFERROR(VLOOKUP($A16,[5]qry_Whonnock_Species_Compositio!$A$1:$O$114,COLUMN([5]qry_Whonnock_Species_Compositio!E16), FALSE), "")</f>
        <v>0</v>
      </c>
      <c r="H16" s="95">
        <f>IFERROR(VLOOKUP($A16,[5]qry_Whonnock_Species_Compositio!$A$1:$O$114,COLUMN([5]qry_Whonnock_Species_Compositio!F16), FALSE), "")</f>
        <v>0</v>
      </c>
      <c r="I16" s="95">
        <f>IFERROR(VLOOKUP($A16,[5]qry_Whonnock_Species_Compositio!$A$1:$O$114,COLUMN([5]qry_Whonnock_Species_Compositio!G16), FALSE), "")</f>
        <v>0</v>
      </c>
      <c r="J16" s="95">
        <f>IFERROR(VLOOKUP($A16,[5]qry_Whonnock_Species_Compositio!$A$1:$O$114,COLUMN([5]qry_Whonnock_Species_Compositio!H16), FALSE), "")</f>
        <v>0</v>
      </c>
      <c r="K16" s="95">
        <f>IFERROR(VLOOKUP($A16,[5]qry_Whonnock_Species_Compositio!$A$1:$O$114,COLUMN([5]qry_Whonnock_Species_Compositio!I16), FALSE), "")</f>
        <v>3</v>
      </c>
      <c r="L16" s="95">
        <f>IFERROR(VLOOKUP($A16,[5]qry_Whonnock_Species_Compositio!$A$1:$O$114,COLUMN([5]qry_Whonnock_Species_Compositio!J16), FALSE), "")</f>
        <v>0</v>
      </c>
      <c r="M16" s="95">
        <f>IFERROR(VLOOKUP($A16,[5]qry_Whonnock_Species_Compositio!$A$1:$O$114,COLUMN([5]qry_Whonnock_Species_Compositio!K16), FALSE), "")</f>
        <v>0</v>
      </c>
      <c r="N16" s="95">
        <f>IFERROR(VLOOKUP($A16,[5]qry_Whonnock_Species_Compositio!$A$1:$O$114,COLUMN([5]qry_Whonnock_Species_Compositio!L16), FALSE), "")</f>
        <v>0</v>
      </c>
      <c r="O16" s="95">
        <f>IFERROR(VLOOKUP($A16,[5]qry_Whonnock_Species_Compositio!$A$1:$O$114,COLUMN([5]qry_Whonnock_Species_Compositio!M16), FALSE), "")</f>
        <v>0</v>
      </c>
      <c r="P16" s="95">
        <f>IFERROR(VLOOKUP($A16,[5]qry_Whonnock_Species_Compositio!$A$1:$O$114,COLUMN([5]qry_Whonnock_Species_Compositio!N16), FALSE), "")</f>
        <v>0</v>
      </c>
      <c r="Q16" s="95">
        <f>IFERROR(VLOOKUP($A16,[5]qry_Whonnock_Species_Compositio!$A$1:$O$114,COLUMN([5]qry_Whonnock_Species_Compositio!O16), FALSE), "")</f>
        <v>0</v>
      </c>
      <c r="R16" s="96">
        <f t="shared" si="7"/>
        <v>0</v>
      </c>
      <c r="S16" s="97">
        <f t="shared" si="8"/>
        <v>0</v>
      </c>
      <c r="T16" s="98">
        <f t="shared" si="9"/>
        <v>0</v>
      </c>
      <c r="U16" s="97">
        <f t="shared" si="10"/>
        <v>0</v>
      </c>
      <c r="V16" s="97">
        <f t="shared" si="11"/>
        <v>0</v>
      </c>
      <c r="W16" s="98">
        <f t="shared" si="12"/>
        <v>0</v>
      </c>
      <c r="X16" s="97">
        <f t="shared" si="13"/>
        <v>0</v>
      </c>
      <c r="Y16" s="97">
        <f t="shared" si="14"/>
        <v>0</v>
      </c>
      <c r="Z16" s="98">
        <f t="shared" si="15"/>
        <v>0</v>
      </c>
      <c r="AA16" s="97">
        <f t="shared" si="16"/>
        <v>0</v>
      </c>
      <c r="AB16" s="97">
        <f t="shared" si="17"/>
        <v>1</v>
      </c>
      <c r="AC16" s="98">
        <f t="shared" si="18"/>
        <v>1</v>
      </c>
      <c r="AD16" s="97">
        <f t="shared" si="19"/>
        <v>0</v>
      </c>
      <c r="AE16" s="97">
        <f t="shared" si="20"/>
        <v>0</v>
      </c>
      <c r="AF16" s="98">
        <f t="shared" si="21"/>
        <v>0</v>
      </c>
      <c r="AG16" s="97">
        <f t="shared" si="22"/>
        <v>0</v>
      </c>
      <c r="AH16" s="97">
        <f t="shared" si="23"/>
        <v>0</v>
      </c>
      <c r="AI16" s="98">
        <f t="shared" si="24"/>
        <v>0</v>
      </c>
      <c r="AJ16" s="97">
        <f t="shared" si="25"/>
        <v>0</v>
      </c>
      <c r="AK16" s="97">
        <f t="shared" si="26"/>
        <v>0</v>
      </c>
      <c r="AL16" s="99">
        <f t="shared" si="27"/>
        <v>0</v>
      </c>
      <c r="AM16" s="100">
        <f t="shared" si="28"/>
        <v>0</v>
      </c>
      <c r="AN16" s="101">
        <f t="shared" si="37"/>
        <v>0</v>
      </c>
      <c r="AO16" s="100">
        <f t="shared" si="29"/>
        <v>0</v>
      </c>
      <c r="AP16" s="101">
        <f t="shared" si="38"/>
        <v>0</v>
      </c>
      <c r="AQ16" s="100">
        <f t="shared" si="30"/>
        <v>0</v>
      </c>
      <c r="AR16" s="101">
        <f t="shared" si="39"/>
        <v>0</v>
      </c>
      <c r="AS16" s="100">
        <f t="shared" si="31"/>
        <v>3</v>
      </c>
      <c r="AT16" s="101">
        <f t="shared" si="40"/>
        <v>1</v>
      </c>
      <c r="AU16" s="100">
        <f t="shared" si="32"/>
        <v>0</v>
      </c>
      <c r="AV16" s="101">
        <f t="shared" si="41"/>
        <v>0</v>
      </c>
      <c r="AW16" s="100">
        <f t="shared" si="33"/>
        <v>0</v>
      </c>
      <c r="AX16" s="101">
        <f t="shared" si="42"/>
        <v>0</v>
      </c>
      <c r="AY16" s="100">
        <f t="shared" si="34"/>
        <v>0</v>
      </c>
      <c r="AZ16" s="101">
        <f t="shared" si="43"/>
        <v>0</v>
      </c>
      <c r="BA16" s="102">
        <f t="shared" si="35"/>
        <v>1</v>
      </c>
    </row>
    <row r="17" spans="1:53" x14ac:dyDescent="0.3">
      <c r="A17" s="92">
        <f>[4]SockEst!A18</f>
        <v>45104</v>
      </c>
      <c r="B17" s="93">
        <f>[4]SockEst!B18</f>
        <v>178</v>
      </c>
      <c r="C17" s="94" t="str">
        <f t="shared" si="36"/>
        <v>TTL</v>
      </c>
      <c r="D17" s="95">
        <f>IFERROR(VLOOKUP($A17,[5]qry_Whonnock_Species_Compositio!$A$1:$O$114,COLUMN([5]qry_Whonnock_Species_Compositio!B17), FALSE), "")</f>
        <v>0</v>
      </c>
      <c r="E17" s="95">
        <f>IFERROR(VLOOKUP($A17,[5]qry_Whonnock_Species_Compositio!$A$1:$O$114,COLUMN([5]qry_Whonnock_Species_Compositio!C17), FALSE), "")</f>
        <v>0</v>
      </c>
      <c r="F17" s="95">
        <f>IFERROR(VLOOKUP($A17,[5]qry_Whonnock_Species_Compositio!$A$1:$O$114,COLUMN([5]qry_Whonnock_Species_Compositio!D17), FALSE), "")</f>
        <v>0</v>
      </c>
      <c r="G17" s="95">
        <f>IFERROR(VLOOKUP($A17,[5]qry_Whonnock_Species_Compositio!$A$1:$O$114,COLUMN([5]qry_Whonnock_Species_Compositio!E17), FALSE), "")</f>
        <v>0</v>
      </c>
      <c r="H17" s="95">
        <f>IFERROR(VLOOKUP($A17,[5]qry_Whonnock_Species_Compositio!$A$1:$O$114,COLUMN([5]qry_Whonnock_Species_Compositio!F17), FALSE), "")</f>
        <v>0</v>
      </c>
      <c r="I17" s="95">
        <f>IFERROR(VLOOKUP($A17,[5]qry_Whonnock_Species_Compositio!$A$1:$O$114,COLUMN([5]qry_Whonnock_Species_Compositio!G17), FALSE), "")</f>
        <v>0</v>
      </c>
      <c r="J17" s="95">
        <f>IFERROR(VLOOKUP($A17,[5]qry_Whonnock_Species_Compositio!$A$1:$O$114,COLUMN([5]qry_Whonnock_Species_Compositio!H17), FALSE), "")</f>
        <v>0</v>
      </c>
      <c r="K17" s="95">
        <f>IFERROR(VLOOKUP($A17,[5]qry_Whonnock_Species_Compositio!$A$1:$O$114,COLUMN([5]qry_Whonnock_Species_Compositio!I17), FALSE), "")</f>
        <v>0</v>
      </c>
      <c r="L17" s="95">
        <f>IFERROR(VLOOKUP($A17,[5]qry_Whonnock_Species_Compositio!$A$1:$O$114,COLUMN([5]qry_Whonnock_Species_Compositio!J17), FALSE), "")</f>
        <v>0</v>
      </c>
      <c r="M17" s="95">
        <f>IFERROR(VLOOKUP($A17,[5]qry_Whonnock_Species_Compositio!$A$1:$O$114,COLUMN([5]qry_Whonnock_Species_Compositio!K17), FALSE), "")</f>
        <v>0</v>
      </c>
      <c r="N17" s="95">
        <f>IFERROR(VLOOKUP($A17,[5]qry_Whonnock_Species_Compositio!$A$1:$O$114,COLUMN([5]qry_Whonnock_Species_Compositio!L17), FALSE), "")</f>
        <v>0</v>
      </c>
      <c r="O17" s="95">
        <f>IFERROR(VLOOKUP($A17,[5]qry_Whonnock_Species_Compositio!$A$1:$O$114,COLUMN([5]qry_Whonnock_Species_Compositio!M17), FALSE), "")</f>
        <v>0</v>
      </c>
      <c r="P17" s="95">
        <f>IFERROR(VLOOKUP($A17,[5]qry_Whonnock_Species_Compositio!$A$1:$O$114,COLUMN([5]qry_Whonnock_Species_Compositio!N17), FALSE), "")</f>
        <v>0</v>
      </c>
      <c r="Q17" s="95">
        <f>IFERROR(VLOOKUP($A17,[5]qry_Whonnock_Species_Compositio!$A$1:$O$114,COLUMN([5]qry_Whonnock_Species_Compositio!O17), FALSE), "")</f>
        <v>0</v>
      </c>
      <c r="R17" s="96">
        <f t="shared" si="7"/>
        <v>0</v>
      </c>
      <c r="S17" s="97">
        <f t="shared" si="8"/>
        <v>0</v>
      </c>
      <c r="T17" s="98">
        <f t="shared" si="9"/>
        <v>0</v>
      </c>
      <c r="U17" s="97">
        <f t="shared" si="10"/>
        <v>0</v>
      </c>
      <c r="V17" s="97">
        <f t="shared" si="11"/>
        <v>0</v>
      </c>
      <c r="W17" s="98">
        <f t="shared" si="12"/>
        <v>0</v>
      </c>
      <c r="X17" s="97">
        <f t="shared" si="13"/>
        <v>0</v>
      </c>
      <c r="Y17" s="97">
        <f t="shared" si="14"/>
        <v>0</v>
      </c>
      <c r="Z17" s="98">
        <f t="shared" si="15"/>
        <v>0</v>
      </c>
      <c r="AA17" s="97">
        <f t="shared" si="16"/>
        <v>0</v>
      </c>
      <c r="AB17" s="97">
        <f t="shared" si="17"/>
        <v>0</v>
      </c>
      <c r="AC17" s="98">
        <f t="shared" si="18"/>
        <v>0</v>
      </c>
      <c r="AD17" s="97">
        <f t="shared" si="19"/>
        <v>0</v>
      </c>
      <c r="AE17" s="97">
        <f t="shared" si="20"/>
        <v>0</v>
      </c>
      <c r="AF17" s="98">
        <f t="shared" si="21"/>
        <v>0</v>
      </c>
      <c r="AG17" s="97">
        <f t="shared" si="22"/>
        <v>0</v>
      </c>
      <c r="AH17" s="97">
        <f t="shared" si="23"/>
        <v>0</v>
      </c>
      <c r="AI17" s="98">
        <f t="shared" si="24"/>
        <v>0</v>
      </c>
      <c r="AJ17" s="97">
        <f t="shared" si="25"/>
        <v>0</v>
      </c>
      <c r="AK17" s="97">
        <f t="shared" si="26"/>
        <v>0</v>
      </c>
      <c r="AL17" s="99">
        <f t="shared" si="27"/>
        <v>0</v>
      </c>
      <c r="AM17" s="100">
        <f t="shared" si="28"/>
        <v>0</v>
      </c>
      <c r="AN17" s="101">
        <f t="shared" si="37"/>
        <v>0</v>
      </c>
      <c r="AO17" s="100">
        <f t="shared" si="29"/>
        <v>0</v>
      </c>
      <c r="AP17" s="101">
        <f t="shared" si="38"/>
        <v>0</v>
      </c>
      <c r="AQ17" s="100">
        <f t="shared" si="30"/>
        <v>0</v>
      </c>
      <c r="AR17" s="101">
        <f t="shared" si="39"/>
        <v>0</v>
      </c>
      <c r="AS17" s="100">
        <f t="shared" si="31"/>
        <v>0</v>
      </c>
      <c r="AT17" s="101">
        <f t="shared" si="40"/>
        <v>0</v>
      </c>
      <c r="AU17" s="100">
        <f t="shared" si="32"/>
        <v>0</v>
      </c>
      <c r="AV17" s="101">
        <f t="shared" si="41"/>
        <v>0</v>
      </c>
      <c r="AW17" s="100">
        <f t="shared" si="33"/>
        <v>0</v>
      </c>
      <c r="AX17" s="101">
        <f t="shared" si="42"/>
        <v>0</v>
      </c>
      <c r="AY17" s="100">
        <f t="shared" si="34"/>
        <v>0</v>
      </c>
      <c r="AZ17" s="101">
        <f t="shared" si="43"/>
        <v>0</v>
      </c>
      <c r="BA17" s="102">
        <f t="shared" si="35"/>
        <v>0</v>
      </c>
    </row>
    <row r="18" spans="1:53" x14ac:dyDescent="0.3">
      <c r="A18" s="92">
        <f>[4]SockEst!A19</f>
        <v>45105</v>
      </c>
      <c r="B18" s="93">
        <f>[4]SockEst!B19</f>
        <v>179</v>
      </c>
      <c r="C18" s="94" t="str">
        <f t="shared" si="36"/>
        <v>TTL</v>
      </c>
      <c r="D18" s="95">
        <f>IFERROR(VLOOKUP($A18,[5]qry_Whonnock_Species_Compositio!$A$1:$O$114,COLUMN([5]qry_Whonnock_Species_Compositio!B18), FALSE), "")</f>
        <v>0</v>
      </c>
      <c r="E18" s="95">
        <f>IFERROR(VLOOKUP($A18,[5]qry_Whonnock_Species_Compositio!$A$1:$O$114,COLUMN([5]qry_Whonnock_Species_Compositio!C18), FALSE), "")</f>
        <v>0</v>
      </c>
      <c r="F18" s="95">
        <f>IFERROR(VLOOKUP($A18,[5]qry_Whonnock_Species_Compositio!$A$1:$O$114,COLUMN([5]qry_Whonnock_Species_Compositio!D18), FALSE), "")</f>
        <v>0</v>
      </c>
      <c r="G18" s="95">
        <f>IFERROR(VLOOKUP($A18,[5]qry_Whonnock_Species_Compositio!$A$1:$O$114,COLUMN([5]qry_Whonnock_Species_Compositio!E18), FALSE), "")</f>
        <v>0</v>
      </c>
      <c r="H18" s="95">
        <f>IFERROR(VLOOKUP($A18,[5]qry_Whonnock_Species_Compositio!$A$1:$O$114,COLUMN([5]qry_Whonnock_Species_Compositio!F18), FALSE), "")</f>
        <v>0</v>
      </c>
      <c r="I18" s="95">
        <f>IFERROR(VLOOKUP($A18,[5]qry_Whonnock_Species_Compositio!$A$1:$O$114,COLUMN([5]qry_Whonnock_Species_Compositio!G18), FALSE), "")</f>
        <v>0</v>
      </c>
      <c r="J18" s="95">
        <f>IFERROR(VLOOKUP($A18,[5]qry_Whonnock_Species_Compositio!$A$1:$O$114,COLUMN([5]qry_Whonnock_Species_Compositio!H18), FALSE), "")</f>
        <v>0</v>
      </c>
      <c r="K18" s="95">
        <f>IFERROR(VLOOKUP($A18,[5]qry_Whonnock_Species_Compositio!$A$1:$O$114,COLUMN([5]qry_Whonnock_Species_Compositio!I18), FALSE), "")</f>
        <v>0</v>
      </c>
      <c r="L18" s="95">
        <f>IFERROR(VLOOKUP($A18,[5]qry_Whonnock_Species_Compositio!$A$1:$O$114,COLUMN([5]qry_Whonnock_Species_Compositio!J18), FALSE), "")</f>
        <v>0</v>
      </c>
      <c r="M18" s="95">
        <f>IFERROR(VLOOKUP($A18,[5]qry_Whonnock_Species_Compositio!$A$1:$O$114,COLUMN([5]qry_Whonnock_Species_Compositio!K18), FALSE), "")</f>
        <v>0</v>
      </c>
      <c r="N18" s="95">
        <f>IFERROR(VLOOKUP($A18,[5]qry_Whonnock_Species_Compositio!$A$1:$O$114,COLUMN([5]qry_Whonnock_Species_Compositio!L18), FALSE), "")</f>
        <v>0</v>
      </c>
      <c r="O18" s="95">
        <f>IFERROR(VLOOKUP($A18,[5]qry_Whonnock_Species_Compositio!$A$1:$O$114,COLUMN([5]qry_Whonnock_Species_Compositio!M18), FALSE), "")</f>
        <v>0</v>
      </c>
      <c r="P18" s="95">
        <f>IFERROR(VLOOKUP($A18,[5]qry_Whonnock_Species_Compositio!$A$1:$O$114,COLUMN([5]qry_Whonnock_Species_Compositio!N18), FALSE), "")</f>
        <v>0</v>
      </c>
      <c r="Q18" s="95">
        <f>IFERROR(VLOOKUP($A18,[5]qry_Whonnock_Species_Compositio!$A$1:$O$114,COLUMN([5]qry_Whonnock_Species_Compositio!O18), FALSE), "")</f>
        <v>0</v>
      </c>
      <c r="R18" s="96">
        <f t="shared" si="7"/>
        <v>0</v>
      </c>
      <c r="S18" s="97">
        <f t="shared" si="8"/>
        <v>0</v>
      </c>
      <c r="T18" s="98">
        <f t="shared" si="9"/>
        <v>0</v>
      </c>
      <c r="U18" s="97">
        <f t="shared" si="10"/>
        <v>0</v>
      </c>
      <c r="V18" s="97">
        <f t="shared" si="11"/>
        <v>0</v>
      </c>
      <c r="W18" s="98">
        <f t="shared" si="12"/>
        <v>0</v>
      </c>
      <c r="X18" s="97">
        <f t="shared" si="13"/>
        <v>0</v>
      </c>
      <c r="Y18" s="97">
        <f t="shared" si="14"/>
        <v>0</v>
      </c>
      <c r="Z18" s="98">
        <f t="shared" si="15"/>
        <v>0</v>
      </c>
      <c r="AA18" s="97">
        <f t="shared" si="16"/>
        <v>0</v>
      </c>
      <c r="AB18" s="97">
        <f t="shared" si="17"/>
        <v>0</v>
      </c>
      <c r="AC18" s="98">
        <f t="shared" si="18"/>
        <v>0</v>
      </c>
      <c r="AD18" s="97">
        <f t="shared" si="19"/>
        <v>0</v>
      </c>
      <c r="AE18" s="97">
        <f t="shared" si="20"/>
        <v>0</v>
      </c>
      <c r="AF18" s="98">
        <f t="shared" si="21"/>
        <v>0</v>
      </c>
      <c r="AG18" s="97">
        <f t="shared" si="22"/>
        <v>0</v>
      </c>
      <c r="AH18" s="97">
        <f t="shared" si="23"/>
        <v>0</v>
      </c>
      <c r="AI18" s="98">
        <f t="shared" si="24"/>
        <v>0</v>
      </c>
      <c r="AJ18" s="97">
        <f t="shared" si="25"/>
        <v>0</v>
      </c>
      <c r="AK18" s="97">
        <f t="shared" si="26"/>
        <v>0</v>
      </c>
      <c r="AL18" s="99">
        <f t="shared" si="27"/>
        <v>0</v>
      </c>
      <c r="AM18" s="100">
        <f t="shared" si="28"/>
        <v>0</v>
      </c>
      <c r="AN18" s="101">
        <f>IF($AM18&lt;15,T18,R18)</f>
        <v>0</v>
      </c>
      <c r="AO18" s="100">
        <f t="shared" si="29"/>
        <v>0</v>
      </c>
      <c r="AP18" s="101">
        <f t="shared" si="38"/>
        <v>0</v>
      </c>
      <c r="AQ18" s="100">
        <f t="shared" si="30"/>
        <v>0</v>
      </c>
      <c r="AR18" s="101">
        <f t="shared" si="39"/>
        <v>0</v>
      </c>
      <c r="AS18" s="100">
        <f t="shared" si="31"/>
        <v>0</v>
      </c>
      <c r="AT18" s="101">
        <f>IF($AM18&lt;15,AC18,AA18)</f>
        <v>0</v>
      </c>
      <c r="AU18" s="100">
        <f t="shared" si="32"/>
        <v>0</v>
      </c>
      <c r="AV18" s="101">
        <f t="shared" si="41"/>
        <v>0</v>
      </c>
      <c r="AW18" s="100">
        <f t="shared" si="33"/>
        <v>0</v>
      </c>
      <c r="AX18" s="101">
        <f t="shared" si="42"/>
        <v>0</v>
      </c>
      <c r="AY18" s="100">
        <f t="shared" si="34"/>
        <v>0</v>
      </c>
      <c r="AZ18" s="101">
        <f t="shared" si="43"/>
        <v>0</v>
      </c>
      <c r="BA18" s="102">
        <f t="shared" si="35"/>
        <v>0</v>
      </c>
    </row>
    <row r="19" spans="1:53" x14ac:dyDescent="0.3">
      <c r="A19" s="92">
        <f>[4]SockEst!A20</f>
        <v>45106</v>
      </c>
      <c r="B19" s="93">
        <f>[4]SockEst!B20</f>
        <v>180</v>
      </c>
      <c r="C19" s="94" t="str">
        <f t="shared" si="36"/>
        <v>TTL</v>
      </c>
      <c r="D19" s="95">
        <f>IFERROR(VLOOKUP($A19,[5]qry_Whonnock_Species_Compositio!$A$1:$O$114,COLUMN([5]qry_Whonnock_Species_Compositio!B19), FALSE), "")</f>
        <v>0</v>
      </c>
      <c r="E19" s="95">
        <f>IFERROR(VLOOKUP($A19,[5]qry_Whonnock_Species_Compositio!$A$1:$O$114,COLUMN([5]qry_Whonnock_Species_Compositio!C19), FALSE), "")</f>
        <v>0</v>
      </c>
      <c r="F19" s="95">
        <f>IFERROR(VLOOKUP($A19,[5]qry_Whonnock_Species_Compositio!$A$1:$O$114,COLUMN([5]qry_Whonnock_Species_Compositio!D19), FALSE), "")</f>
        <v>0</v>
      </c>
      <c r="G19" s="95">
        <f>IFERROR(VLOOKUP($A19,[5]qry_Whonnock_Species_Compositio!$A$1:$O$114,COLUMN([5]qry_Whonnock_Species_Compositio!E19), FALSE), "")</f>
        <v>0</v>
      </c>
      <c r="H19" s="95">
        <f>IFERROR(VLOOKUP($A19,[5]qry_Whonnock_Species_Compositio!$A$1:$O$114,COLUMN([5]qry_Whonnock_Species_Compositio!F19), FALSE), "")</f>
        <v>0</v>
      </c>
      <c r="I19" s="95">
        <f>IFERROR(VLOOKUP($A19,[5]qry_Whonnock_Species_Compositio!$A$1:$O$114,COLUMN([5]qry_Whonnock_Species_Compositio!G19), FALSE), "")</f>
        <v>0</v>
      </c>
      <c r="J19" s="95">
        <f>IFERROR(VLOOKUP($A19,[5]qry_Whonnock_Species_Compositio!$A$1:$O$114,COLUMN([5]qry_Whonnock_Species_Compositio!H19), FALSE), "")</f>
        <v>0</v>
      </c>
      <c r="K19" s="95">
        <f>IFERROR(VLOOKUP($A19,[5]qry_Whonnock_Species_Compositio!$A$1:$O$114,COLUMN([5]qry_Whonnock_Species_Compositio!I19), FALSE), "")</f>
        <v>2</v>
      </c>
      <c r="L19" s="95">
        <f>IFERROR(VLOOKUP($A19,[5]qry_Whonnock_Species_Compositio!$A$1:$O$114,COLUMN([5]qry_Whonnock_Species_Compositio!J19), FALSE), "")</f>
        <v>0</v>
      </c>
      <c r="M19" s="95">
        <f>IFERROR(VLOOKUP($A19,[5]qry_Whonnock_Species_Compositio!$A$1:$O$114,COLUMN([5]qry_Whonnock_Species_Compositio!K19), FALSE), "")</f>
        <v>0</v>
      </c>
      <c r="N19" s="95">
        <f>IFERROR(VLOOKUP($A19,[5]qry_Whonnock_Species_Compositio!$A$1:$O$114,COLUMN([5]qry_Whonnock_Species_Compositio!L19), FALSE), "")</f>
        <v>0</v>
      </c>
      <c r="O19" s="95">
        <f>IFERROR(VLOOKUP($A19,[5]qry_Whonnock_Species_Compositio!$A$1:$O$114,COLUMN([5]qry_Whonnock_Species_Compositio!M19), FALSE), "")</f>
        <v>0</v>
      </c>
      <c r="P19" s="95">
        <f>IFERROR(VLOOKUP($A19,[5]qry_Whonnock_Species_Compositio!$A$1:$O$114,COLUMN([5]qry_Whonnock_Species_Compositio!N19), FALSE), "")</f>
        <v>0</v>
      </c>
      <c r="Q19" s="95">
        <f>IFERROR(VLOOKUP($A19,[5]qry_Whonnock_Species_Compositio!$A$1:$O$114,COLUMN([5]qry_Whonnock_Species_Compositio!O19), FALSE), "")</f>
        <v>0</v>
      </c>
      <c r="R19" s="96">
        <f t="shared" si="7"/>
        <v>0</v>
      </c>
      <c r="S19" s="97">
        <f t="shared" si="8"/>
        <v>0</v>
      </c>
      <c r="T19" s="98">
        <f t="shared" si="9"/>
        <v>0</v>
      </c>
      <c r="U19" s="97">
        <f t="shared" si="10"/>
        <v>0</v>
      </c>
      <c r="V19" s="97">
        <f t="shared" si="11"/>
        <v>0</v>
      </c>
      <c r="W19" s="98">
        <f t="shared" si="12"/>
        <v>0</v>
      </c>
      <c r="X19" s="97">
        <f t="shared" si="13"/>
        <v>0</v>
      </c>
      <c r="Y19" s="97">
        <f t="shared" si="14"/>
        <v>0</v>
      </c>
      <c r="Z19" s="98">
        <f t="shared" si="15"/>
        <v>0</v>
      </c>
      <c r="AA19" s="97">
        <f t="shared" si="16"/>
        <v>0</v>
      </c>
      <c r="AB19" s="97">
        <f t="shared" si="17"/>
        <v>1</v>
      </c>
      <c r="AC19" s="98">
        <f t="shared" si="18"/>
        <v>1</v>
      </c>
      <c r="AD19" s="97">
        <f t="shared" si="19"/>
        <v>0</v>
      </c>
      <c r="AE19" s="97">
        <f t="shared" si="20"/>
        <v>0</v>
      </c>
      <c r="AF19" s="98">
        <f t="shared" si="21"/>
        <v>0</v>
      </c>
      <c r="AG19" s="97">
        <f t="shared" si="22"/>
        <v>0</v>
      </c>
      <c r="AH19" s="97">
        <f t="shared" si="23"/>
        <v>0</v>
      </c>
      <c r="AI19" s="98">
        <f t="shared" si="24"/>
        <v>0</v>
      </c>
      <c r="AJ19" s="97">
        <f t="shared" si="25"/>
        <v>0</v>
      </c>
      <c r="AK19" s="97">
        <f t="shared" si="26"/>
        <v>0</v>
      </c>
      <c r="AL19" s="99">
        <f t="shared" si="27"/>
        <v>0</v>
      </c>
      <c r="AM19" s="100">
        <f t="shared" si="28"/>
        <v>0</v>
      </c>
      <c r="AN19" s="101">
        <f t="shared" si="37"/>
        <v>0</v>
      </c>
      <c r="AO19" s="100">
        <f t="shared" si="29"/>
        <v>0</v>
      </c>
      <c r="AP19" s="101">
        <f t="shared" si="38"/>
        <v>0</v>
      </c>
      <c r="AQ19" s="100">
        <f t="shared" si="30"/>
        <v>0</v>
      </c>
      <c r="AR19" s="101">
        <f t="shared" si="39"/>
        <v>0</v>
      </c>
      <c r="AS19" s="100">
        <f t="shared" si="31"/>
        <v>2</v>
      </c>
      <c r="AT19" s="101">
        <f>IF($AM19&lt;15,AC19,AA19)</f>
        <v>1</v>
      </c>
      <c r="AU19" s="100">
        <f t="shared" si="32"/>
        <v>0</v>
      </c>
      <c r="AV19" s="101">
        <f t="shared" si="41"/>
        <v>0</v>
      </c>
      <c r="AW19" s="100">
        <f t="shared" si="33"/>
        <v>0</v>
      </c>
      <c r="AX19" s="101">
        <f t="shared" si="42"/>
        <v>0</v>
      </c>
      <c r="AY19" s="100">
        <f t="shared" si="34"/>
        <v>0</v>
      </c>
      <c r="AZ19" s="101">
        <f t="shared" si="43"/>
        <v>0</v>
      </c>
      <c r="BA19" s="102">
        <f t="shared" si="35"/>
        <v>1</v>
      </c>
    </row>
    <row r="20" spans="1:53" x14ac:dyDescent="0.3">
      <c r="A20" s="92">
        <f>[4]SockEst!A21</f>
        <v>45107</v>
      </c>
      <c r="B20" s="93">
        <f>[4]SockEst!B21</f>
        <v>181</v>
      </c>
      <c r="C20" s="94" t="str">
        <f t="shared" si="36"/>
        <v>TTL</v>
      </c>
      <c r="D20" s="95">
        <f>IFERROR(VLOOKUP($A20,[5]qry_Whonnock_Species_Compositio!$A$1:$O$114,COLUMN([5]qry_Whonnock_Species_Compositio!B20), FALSE), "")</f>
        <v>0</v>
      </c>
      <c r="E20" s="95">
        <f>IFERROR(VLOOKUP($A20,[5]qry_Whonnock_Species_Compositio!$A$1:$O$114,COLUMN([5]qry_Whonnock_Species_Compositio!C20), FALSE), "")</f>
        <v>0</v>
      </c>
      <c r="F20" s="95">
        <f>IFERROR(VLOOKUP($A20,[5]qry_Whonnock_Species_Compositio!$A$1:$O$114,COLUMN([5]qry_Whonnock_Species_Compositio!D20), FALSE), "")</f>
        <v>0</v>
      </c>
      <c r="G20" s="95">
        <f>IFERROR(VLOOKUP($A20,[5]qry_Whonnock_Species_Compositio!$A$1:$O$114,COLUMN([5]qry_Whonnock_Species_Compositio!E20), FALSE), "")</f>
        <v>0</v>
      </c>
      <c r="H20" s="95">
        <f>IFERROR(VLOOKUP($A20,[5]qry_Whonnock_Species_Compositio!$A$1:$O$114,COLUMN([5]qry_Whonnock_Species_Compositio!F20), FALSE), "")</f>
        <v>0</v>
      </c>
      <c r="I20" s="95">
        <f>IFERROR(VLOOKUP($A20,[5]qry_Whonnock_Species_Compositio!$A$1:$O$114,COLUMN([5]qry_Whonnock_Species_Compositio!G20), FALSE), "")</f>
        <v>0</v>
      </c>
      <c r="J20" s="95">
        <f>IFERROR(VLOOKUP($A20,[5]qry_Whonnock_Species_Compositio!$A$1:$O$114,COLUMN([5]qry_Whonnock_Species_Compositio!H20), FALSE), "")</f>
        <v>0</v>
      </c>
      <c r="K20" s="95">
        <f>IFERROR(VLOOKUP($A20,[5]qry_Whonnock_Species_Compositio!$A$1:$O$114,COLUMN([5]qry_Whonnock_Species_Compositio!I20), FALSE), "")</f>
        <v>0</v>
      </c>
      <c r="L20" s="95">
        <f>IFERROR(VLOOKUP($A20,[5]qry_Whonnock_Species_Compositio!$A$1:$O$114,COLUMN([5]qry_Whonnock_Species_Compositio!J20), FALSE), "")</f>
        <v>0</v>
      </c>
      <c r="M20" s="95">
        <f>IFERROR(VLOOKUP($A20,[5]qry_Whonnock_Species_Compositio!$A$1:$O$114,COLUMN([5]qry_Whonnock_Species_Compositio!K20), FALSE), "")</f>
        <v>0</v>
      </c>
      <c r="N20" s="95">
        <f>IFERROR(VLOOKUP($A20,[5]qry_Whonnock_Species_Compositio!$A$1:$O$114,COLUMN([5]qry_Whonnock_Species_Compositio!L20), FALSE), "")</f>
        <v>0</v>
      </c>
      <c r="O20" s="95">
        <f>IFERROR(VLOOKUP($A20,[5]qry_Whonnock_Species_Compositio!$A$1:$O$114,COLUMN([5]qry_Whonnock_Species_Compositio!M20), FALSE), "")</f>
        <v>0</v>
      </c>
      <c r="P20" s="95">
        <f>IFERROR(VLOOKUP($A20,[5]qry_Whonnock_Species_Compositio!$A$1:$O$114,COLUMN([5]qry_Whonnock_Species_Compositio!N20), FALSE), "")</f>
        <v>0</v>
      </c>
      <c r="Q20" s="95">
        <f>IFERROR(VLOOKUP($A20,[5]qry_Whonnock_Species_Compositio!$A$1:$O$114,COLUMN([5]qry_Whonnock_Species_Compositio!O20), FALSE), "")</f>
        <v>0</v>
      </c>
      <c r="R20" s="96">
        <f t="shared" si="7"/>
        <v>0</v>
      </c>
      <c r="S20" s="97">
        <f t="shared" si="8"/>
        <v>0</v>
      </c>
      <c r="T20" s="98">
        <f t="shared" si="9"/>
        <v>0</v>
      </c>
      <c r="U20" s="97">
        <f t="shared" si="10"/>
        <v>0</v>
      </c>
      <c r="V20" s="97">
        <f t="shared" si="11"/>
        <v>0</v>
      </c>
      <c r="W20" s="98">
        <f t="shared" si="12"/>
        <v>0</v>
      </c>
      <c r="X20" s="97">
        <f t="shared" si="13"/>
        <v>0</v>
      </c>
      <c r="Y20" s="97">
        <f t="shared" si="14"/>
        <v>0</v>
      </c>
      <c r="Z20" s="98">
        <f t="shared" si="15"/>
        <v>0</v>
      </c>
      <c r="AA20" s="97">
        <f t="shared" si="16"/>
        <v>0</v>
      </c>
      <c r="AB20" s="97">
        <f t="shared" si="17"/>
        <v>0</v>
      </c>
      <c r="AC20" s="98">
        <f t="shared" si="18"/>
        <v>0</v>
      </c>
      <c r="AD20" s="97">
        <f t="shared" si="19"/>
        <v>0</v>
      </c>
      <c r="AE20" s="97">
        <f t="shared" si="20"/>
        <v>0</v>
      </c>
      <c r="AF20" s="98">
        <f t="shared" si="21"/>
        <v>0</v>
      </c>
      <c r="AG20" s="97">
        <f t="shared" si="22"/>
        <v>0</v>
      </c>
      <c r="AH20" s="97">
        <f t="shared" si="23"/>
        <v>0</v>
      </c>
      <c r="AI20" s="98">
        <f t="shared" si="24"/>
        <v>0</v>
      </c>
      <c r="AJ20" s="97">
        <f t="shared" si="25"/>
        <v>0</v>
      </c>
      <c r="AK20" s="97">
        <f t="shared" si="26"/>
        <v>0</v>
      </c>
      <c r="AL20" s="99">
        <f t="shared" si="27"/>
        <v>0</v>
      </c>
      <c r="AM20" s="100">
        <f t="shared" si="28"/>
        <v>0</v>
      </c>
      <c r="AN20" s="101">
        <f t="shared" si="37"/>
        <v>0</v>
      </c>
      <c r="AO20" s="100">
        <f t="shared" si="29"/>
        <v>0</v>
      </c>
      <c r="AP20" s="101">
        <f t="shared" si="38"/>
        <v>0</v>
      </c>
      <c r="AQ20" s="100">
        <f t="shared" si="30"/>
        <v>0</v>
      </c>
      <c r="AR20" s="101">
        <f t="shared" si="39"/>
        <v>0</v>
      </c>
      <c r="AS20" s="100">
        <f t="shared" si="31"/>
        <v>0</v>
      </c>
      <c r="AT20" s="101">
        <f t="shared" si="40"/>
        <v>0</v>
      </c>
      <c r="AU20" s="100">
        <f t="shared" si="32"/>
        <v>0</v>
      </c>
      <c r="AV20" s="101">
        <f t="shared" si="41"/>
        <v>0</v>
      </c>
      <c r="AW20" s="100">
        <f t="shared" si="33"/>
        <v>0</v>
      </c>
      <c r="AX20" s="101">
        <f t="shared" si="42"/>
        <v>0</v>
      </c>
      <c r="AY20" s="100">
        <f t="shared" si="34"/>
        <v>0</v>
      </c>
      <c r="AZ20" s="101">
        <f t="shared" si="43"/>
        <v>0</v>
      </c>
      <c r="BA20" s="102">
        <f t="shared" si="35"/>
        <v>0</v>
      </c>
    </row>
    <row r="21" spans="1:53" x14ac:dyDescent="0.3">
      <c r="A21" s="92">
        <f>[4]SockEst!A22</f>
        <v>45108</v>
      </c>
      <c r="B21" s="93">
        <f>[4]SockEst!B22</f>
        <v>182</v>
      </c>
      <c r="C21" s="94" t="str">
        <f t="shared" si="36"/>
        <v>TTL</v>
      </c>
      <c r="D21" s="95">
        <f>IFERROR(VLOOKUP($A21,[5]qry_Whonnock_Species_Compositio!$A$1:$O$114,COLUMN([5]qry_Whonnock_Species_Compositio!B21), FALSE), "")</f>
        <v>0</v>
      </c>
      <c r="E21" s="95">
        <f>IFERROR(VLOOKUP($A21,[5]qry_Whonnock_Species_Compositio!$A$1:$O$114,COLUMN([5]qry_Whonnock_Species_Compositio!C21), FALSE), "")</f>
        <v>1</v>
      </c>
      <c r="F21" s="95">
        <f>IFERROR(VLOOKUP($A21,[5]qry_Whonnock_Species_Compositio!$A$1:$O$114,COLUMN([5]qry_Whonnock_Species_Compositio!D21), FALSE), "")</f>
        <v>0</v>
      </c>
      <c r="G21" s="95">
        <f>IFERROR(VLOOKUP($A21,[5]qry_Whonnock_Species_Compositio!$A$1:$O$114,COLUMN([5]qry_Whonnock_Species_Compositio!E21), FALSE), "")</f>
        <v>0</v>
      </c>
      <c r="H21" s="95">
        <f>IFERROR(VLOOKUP($A21,[5]qry_Whonnock_Species_Compositio!$A$1:$O$114,COLUMN([5]qry_Whonnock_Species_Compositio!F21), FALSE), "")</f>
        <v>0</v>
      </c>
      <c r="I21" s="95">
        <f>IFERROR(VLOOKUP($A21,[5]qry_Whonnock_Species_Compositio!$A$1:$O$114,COLUMN([5]qry_Whonnock_Species_Compositio!G21), FALSE), "")</f>
        <v>0</v>
      </c>
      <c r="J21" s="95">
        <f>IFERROR(VLOOKUP($A21,[5]qry_Whonnock_Species_Compositio!$A$1:$O$114,COLUMN([5]qry_Whonnock_Species_Compositio!H21), FALSE), "")</f>
        <v>0</v>
      </c>
      <c r="K21" s="95">
        <f>IFERROR(VLOOKUP($A21,[5]qry_Whonnock_Species_Compositio!$A$1:$O$114,COLUMN([5]qry_Whonnock_Species_Compositio!I21), FALSE), "")</f>
        <v>1</v>
      </c>
      <c r="L21" s="95">
        <f>IFERROR(VLOOKUP($A21,[5]qry_Whonnock_Species_Compositio!$A$1:$O$114,COLUMN([5]qry_Whonnock_Species_Compositio!J21), FALSE), "")</f>
        <v>0</v>
      </c>
      <c r="M21" s="95">
        <f>IFERROR(VLOOKUP($A21,[5]qry_Whonnock_Species_Compositio!$A$1:$O$114,COLUMN([5]qry_Whonnock_Species_Compositio!K21), FALSE), "")</f>
        <v>0</v>
      </c>
      <c r="N21" s="95">
        <f>IFERROR(VLOOKUP($A21,[5]qry_Whonnock_Species_Compositio!$A$1:$O$114,COLUMN([5]qry_Whonnock_Species_Compositio!L21), FALSE), "")</f>
        <v>0</v>
      </c>
      <c r="O21" s="95">
        <f>IFERROR(VLOOKUP($A21,[5]qry_Whonnock_Species_Compositio!$A$1:$O$114,COLUMN([5]qry_Whonnock_Species_Compositio!M21), FALSE), "")</f>
        <v>0</v>
      </c>
      <c r="P21" s="95">
        <f>IFERROR(VLOOKUP($A21,[5]qry_Whonnock_Species_Compositio!$A$1:$O$114,COLUMN([5]qry_Whonnock_Species_Compositio!N21), FALSE), "")</f>
        <v>0</v>
      </c>
      <c r="Q21" s="95">
        <f>IFERROR(VLOOKUP($A21,[5]qry_Whonnock_Species_Compositio!$A$1:$O$114,COLUMN([5]qry_Whonnock_Species_Compositio!O21), FALSE), "")</f>
        <v>0</v>
      </c>
      <c r="R21" s="96">
        <f>IF(D21="","",IF(($D21+$F21+$H21+$J21+$L21+$N21+$P21)=0,0,$D21/($D21+$F21+$H21+$J21+$L21+$N21+$P21)))</f>
        <v>0</v>
      </c>
      <c r="S21" s="97">
        <f>IF(E21="","",IF(($E21+$G21+$I21+$K21+$M21+$O21+$Q21)=0,0,$E21/($E21+$G21+$I21+$K21+$M21+$O21+$Q21)))</f>
        <v>0.5</v>
      </c>
      <c r="T21" s="98">
        <f t="shared" si="9"/>
        <v>0.5</v>
      </c>
      <c r="U21" s="97">
        <f t="shared" si="10"/>
        <v>0</v>
      </c>
      <c r="V21" s="97">
        <f t="shared" si="11"/>
        <v>0</v>
      </c>
      <c r="W21" s="98">
        <f t="shared" si="12"/>
        <v>0</v>
      </c>
      <c r="X21" s="97">
        <f t="shared" si="13"/>
        <v>0</v>
      </c>
      <c r="Y21" s="97">
        <f t="shared" si="14"/>
        <v>0</v>
      </c>
      <c r="Z21" s="98">
        <f t="shared" si="15"/>
        <v>0</v>
      </c>
      <c r="AA21" s="97">
        <f>IF(J21="","",IF(($D21+$F21+$H21+$J21+$L21+$N21+$P21)=0,0,$J21/($D21+$F21+$H21+$J21+$L21+$N21+$P21)))</f>
        <v>0</v>
      </c>
      <c r="AB21" s="97">
        <f>IF(K21="","",IF(($E21+$G21+$I21+$K21+$M21+$O21+$Q21)=0,0,$K21/($E21+$G21+$I21+$K21+$M21+$O21+$Q21)))</f>
        <v>0.5</v>
      </c>
      <c r="AC21" s="98">
        <f t="shared" si="18"/>
        <v>0.5</v>
      </c>
      <c r="AD21" s="97">
        <f t="shared" si="19"/>
        <v>0</v>
      </c>
      <c r="AE21" s="97">
        <f t="shared" si="20"/>
        <v>0</v>
      </c>
      <c r="AF21" s="98">
        <f t="shared" si="21"/>
        <v>0</v>
      </c>
      <c r="AG21" s="97">
        <f t="shared" si="22"/>
        <v>0</v>
      </c>
      <c r="AH21" s="97">
        <f t="shared" si="23"/>
        <v>0</v>
      </c>
      <c r="AI21" s="98">
        <f t="shared" si="24"/>
        <v>0</v>
      </c>
      <c r="AJ21" s="97">
        <f t="shared" si="25"/>
        <v>0</v>
      </c>
      <c r="AK21" s="97">
        <f t="shared" si="26"/>
        <v>0</v>
      </c>
      <c r="AL21" s="99">
        <f t="shared" si="27"/>
        <v>0</v>
      </c>
      <c r="AM21" s="100">
        <f>IF(AND(D21="",E21=""),"",SUM(D21:E21))</f>
        <v>1</v>
      </c>
      <c r="AN21" s="101">
        <f>IF($AM21&lt;15,T21,R21)</f>
        <v>0.5</v>
      </c>
      <c r="AO21" s="100">
        <f t="shared" si="29"/>
        <v>0</v>
      </c>
      <c r="AP21" s="101">
        <f t="shared" si="38"/>
        <v>0</v>
      </c>
      <c r="AQ21" s="100">
        <f t="shared" si="30"/>
        <v>0</v>
      </c>
      <c r="AR21" s="101">
        <f t="shared" si="39"/>
        <v>0</v>
      </c>
      <c r="AS21" s="100">
        <f t="shared" si="31"/>
        <v>1</v>
      </c>
      <c r="AT21" s="101">
        <f t="shared" si="40"/>
        <v>0.5</v>
      </c>
      <c r="AU21" s="100">
        <f t="shared" si="32"/>
        <v>0</v>
      </c>
      <c r="AV21" s="101">
        <f t="shared" si="41"/>
        <v>0</v>
      </c>
      <c r="AW21" s="100">
        <f t="shared" si="33"/>
        <v>0</v>
      </c>
      <c r="AX21" s="101">
        <f t="shared" si="42"/>
        <v>0</v>
      </c>
      <c r="AY21" s="100">
        <f t="shared" si="34"/>
        <v>0</v>
      </c>
      <c r="AZ21" s="101">
        <f t="shared" si="43"/>
        <v>0</v>
      </c>
      <c r="BA21" s="102">
        <f t="shared" si="35"/>
        <v>1</v>
      </c>
    </row>
    <row r="22" spans="1:53" x14ac:dyDescent="0.3">
      <c r="A22" s="92">
        <f>[4]SockEst!A23</f>
        <v>45109</v>
      </c>
      <c r="B22" s="93">
        <f>[4]SockEst!B23</f>
        <v>183</v>
      </c>
      <c r="C22" s="94" t="str">
        <f t="shared" si="36"/>
        <v>TTL</v>
      </c>
      <c r="D22" s="95">
        <f>IFERROR(VLOOKUP($A22,[5]qry_Whonnock_Species_Compositio!$A$1:$O$114,COLUMN([5]qry_Whonnock_Species_Compositio!B22), FALSE), "")</f>
        <v>0</v>
      </c>
      <c r="E22" s="95">
        <f>IFERROR(VLOOKUP($A22,[5]qry_Whonnock_Species_Compositio!$A$1:$O$114,COLUMN([5]qry_Whonnock_Species_Compositio!C22), FALSE), "")</f>
        <v>0</v>
      </c>
      <c r="F22" s="95">
        <f>IFERROR(VLOOKUP($A22,[5]qry_Whonnock_Species_Compositio!$A$1:$O$114,COLUMN([5]qry_Whonnock_Species_Compositio!D22), FALSE), "")</f>
        <v>0</v>
      </c>
      <c r="G22" s="95">
        <f>IFERROR(VLOOKUP($A22,[5]qry_Whonnock_Species_Compositio!$A$1:$O$114,COLUMN([5]qry_Whonnock_Species_Compositio!E22), FALSE), "")</f>
        <v>0</v>
      </c>
      <c r="H22" s="95">
        <f>IFERROR(VLOOKUP($A22,[5]qry_Whonnock_Species_Compositio!$A$1:$O$114,COLUMN([5]qry_Whonnock_Species_Compositio!F22), FALSE), "")</f>
        <v>0</v>
      </c>
      <c r="I22" s="95">
        <f>IFERROR(VLOOKUP($A22,[5]qry_Whonnock_Species_Compositio!$A$1:$O$114,COLUMN([5]qry_Whonnock_Species_Compositio!G22), FALSE), "")</f>
        <v>0</v>
      </c>
      <c r="J22" s="95">
        <f>IFERROR(VLOOKUP($A22,[5]qry_Whonnock_Species_Compositio!$A$1:$O$114,COLUMN([5]qry_Whonnock_Species_Compositio!H22), FALSE), "")</f>
        <v>1</v>
      </c>
      <c r="K22" s="95">
        <f>IFERROR(VLOOKUP($A22,[5]qry_Whonnock_Species_Compositio!$A$1:$O$114,COLUMN([5]qry_Whonnock_Species_Compositio!I22), FALSE), "")</f>
        <v>2</v>
      </c>
      <c r="L22" s="95">
        <f>IFERROR(VLOOKUP($A22,[5]qry_Whonnock_Species_Compositio!$A$1:$O$114,COLUMN([5]qry_Whonnock_Species_Compositio!J22), FALSE), "")</f>
        <v>0</v>
      </c>
      <c r="M22" s="95">
        <f>IFERROR(VLOOKUP($A22,[5]qry_Whonnock_Species_Compositio!$A$1:$O$114,COLUMN([5]qry_Whonnock_Species_Compositio!K22), FALSE), "")</f>
        <v>0</v>
      </c>
      <c r="N22" s="95">
        <f>IFERROR(VLOOKUP($A22,[5]qry_Whonnock_Species_Compositio!$A$1:$O$114,COLUMN([5]qry_Whonnock_Species_Compositio!L22), FALSE), "")</f>
        <v>0</v>
      </c>
      <c r="O22" s="95">
        <f>IFERROR(VLOOKUP($A22,[5]qry_Whonnock_Species_Compositio!$A$1:$O$114,COLUMN([5]qry_Whonnock_Species_Compositio!M22), FALSE), "")</f>
        <v>0</v>
      </c>
      <c r="P22" s="95">
        <f>IFERROR(VLOOKUP($A22,[5]qry_Whonnock_Species_Compositio!$A$1:$O$114,COLUMN([5]qry_Whonnock_Species_Compositio!N22), FALSE), "")</f>
        <v>0</v>
      </c>
      <c r="Q22" s="95">
        <f>IFERROR(VLOOKUP($A22,[5]qry_Whonnock_Species_Compositio!$A$1:$O$114,COLUMN([5]qry_Whonnock_Species_Compositio!O22), FALSE), "")</f>
        <v>0</v>
      </c>
      <c r="R22" s="96">
        <f t="shared" si="7"/>
        <v>0</v>
      </c>
      <c r="S22" s="97">
        <f t="shared" si="8"/>
        <v>0</v>
      </c>
      <c r="T22" s="98">
        <f t="shared" si="9"/>
        <v>0</v>
      </c>
      <c r="U22" s="97">
        <f t="shared" si="10"/>
        <v>0</v>
      </c>
      <c r="V22" s="97">
        <f t="shared" si="11"/>
        <v>0</v>
      </c>
      <c r="W22" s="98">
        <f t="shared" si="12"/>
        <v>0</v>
      </c>
      <c r="X22" s="97">
        <f t="shared" si="13"/>
        <v>0</v>
      </c>
      <c r="Y22" s="97">
        <f t="shared" si="14"/>
        <v>0</v>
      </c>
      <c r="Z22" s="98">
        <f t="shared" si="15"/>
        <v>0</v>
      </c>
      <c r="AA22" s="97">
        <f t="shared" si="16"/>
        <v>1</v>
      </c>
      <c r="AB22" s="97">
        <f t="shared" si="17"/>
        <v>1</v>
      </c>
      <c r="AC22" s="98">
        <f t="shared" si="18"/>
        <v>1</v>
      </c>
      <c r="AD22" s="97">
        <f t="shared" si="19"/>
        <v>0</v>
      </c>
      <c r="AE22" s="97">
        <f t="shared" si="20"/>
        <v>0</v>
      </c>
      <c r="AF22" s="98">
        <f t="shared" si="21"/>
        <v>0</v>
      </c>
      <c r="AG22" s="97">
        <f t="shared" si="22"/>
        <v>0</v>
      </c>
      <c r="AH22" s="97">
        <f t="shared" si="23"/>
        <v>0</v>
      </c>
      <c r="AI22" s="98">
        <f t="shared" si="24"/>
        <v>0</v>
      </c>
      <c r="AJ22" s="97">
        <f t="shared" si="25"/>
        <v>0</v>
      </c>
      <c r="AK22" s="97">
        <f t="shared" si="26"/>
        <v>0</v>
      </c>
      <c r="AL22" s="99">
        <f t="shared" si="27"/>
        <v>0</v>
      </c>
      <c r="AM22" s="100">
        <f t="shared" si="28"/>
        <v>0</v>
      </c>
      <c r="AN22" s="101">
        <f t="shared" si="37"/>
        <v>0</v>
      </c>
      <c r="AO22" s="100">
        <f t="shared" si="29"/>
        <v>0</v>
      </c>
      <c r="AP22" s="101">
        <f t="shared" si="38"/>
        <v>0</v>
      </c>
      <c r="AQ22" s="100">
        <f t="shared" si="30"/>
        <v>0</v>
      </c>
      <c r="AR22" s="101">
        <f t="shared" si="39"/>
        <v>0</v>
      </c>
      <c r="AS22" s="100">
        <f t="shared" si="31"/>
        <v>3</v>
      </c>
      <c r="AT22" s="101">
        <f t="shared" si="40"/>
        <v>1</v>
      </c>
      <c r="AU22" s="100">
        <f t="shared" si="32"/>
        <v>0</v>
      </c>
      <c r="AV22" s="101">
        <f t="shared" si="41"/>
        <v>0</v>
      </c>
      <c r="AW22" s="100">
        <f t="shared" si="33"/>
        <v>0</v>
      </c>
      <c r="AX22" s="101">
        <f t="shared" si="42"/>
        <v>0</v>
      </c>
      <c r="AY22" s="100">
        <f t="shared" si="34"/>
        <v>0</v>
      </c>
      <c r="AZ22" s="101">
        <f t="shared" si="43"/>
        <v>0</v>
      </c>
      <c r="BA22" s="102">
        <f t="shared" si="35"/>
        <v>1</v>
      </c>
    </row>
    <row r="23" spans="1:53" x14ac:dyDescent="0.3">
      <c r="A23" s="92">
        <f>[4]SockEst!A24</f>
        <v>45110</v>
      </c>
      <c r="B23" s="93">
        <f>[4]SockEst!B24</f>
        <v>184</v>
      </c>
      <c r="C23" s="94" t="str">
        <f t="shared" si="36"/>
        <v>TTL</v>
      </c>
      <c r="D23" s="95">
        <f>IFERROR(VLOOKUP($A23,[5]qry_Whonnock_Species_Compositio!$A$1:$O$114,COLUMN([5]qry_Whonnock_Species_Compositio!B23), FALSE), "")</f>
        <v>0</v>
      </c>
      <c r="E23" s="95">
        <f>IFERROR(VLOOKUP($A23,[5]qry_Whonnock_Species_Compositio!$A$1:$O$114,COLUMN([5]qry_Whonnock_Species_Compositio!C23), FALSE), "")</f>
        <v>0</v>
      </c>
      <c r="F23" s="95">
        <f>IFERROR(VLOOKUP($A23,[5]qry_Whonnock_Species_Compositio!$A$1:$O$114,COLUMN([5]qry_Whonnock_Species_Compositio!D23), FALSE), "")</f>
        <v>0</v>
      </c>
      <c r="G23" s="95">
        <f>IFERROR(VLOOKUP($A23,[5]qry_Whonnock_Species_Compositio!$A$1:$O$114,COLUMN([5]qry_Whonnock_Species_Compositio!E23), FALSE), "")</f>
        <v>0</v>
      </c>
      <c r="H23" s="95">
        <f>IFERROR(VLOOKUP($A23,[5]qry_Whonnock_Species_Compositio!$A$1:$O$114,COLUMN([5]qry_Whonnock_Species_Compositio!F23), FALSE), "")</f>
        <v>0</v>
      </c>
      <c r="I23" s="95">
        <f>IFERROR(VLOOKUP($A23,[5]qry_Whonnock_Species_Compositio!$A$1:$O$114,COLUMN([5]qry_Whonnock_Species_Compositio!G23), FALSE), "")</f>
        <v>0</v>
      </c>
      <c r="J23" s="95">
        <f>IFERROR(VLOOKUP($A23,[5]qry_Whonnock_Species_Compositio!$A$1:$O$114,COLUMN([5]qry_Whonnock_Species_Compositio!H23), FALSE), "")</f>
        <v>1</v>
      </c>
      <c r="K23" s="95">
        <f>IFERROR(VLOOKUP($A23,[5]qry_Whonnock_Species_Compositio!$A$1:$O$114,COLUMN([5]qry_Whonnock_Species_Compositio!I23), FALSE), "")</f>
        <v>2</v>
      </c>
      <c r="L23" s="95">
        <f>IFERROR(VLOOKUP($A23,[5]qry_Whonnock_Species_Compositio!$A$1:$O$114,COLUMN([5]qry_Whonnock_Species_Compositio!J23), FALSE), "")</f>
        <v>0</v>
      </c>
      <c r="M23" s="95">
        <f>IFERROR(VLOOKUP($A23,[5]qry_Whonnock_Species_Compositio!$A$1:$O$114,COLUMN([5]qry_Whonnock_Species_Compositio!K23), FALSE), "")</f>
        <v>0</v>
      </c>
      <c r="N23" s="95">
        <f>IFERROR(VLOOKUP($A23,[5]qry_Whonnock_Species_Compositio!$A$1:$O$114,COLUMN([5]qry_Whonnock_Species_Compositio!L23), FALSE), "")</f>
        <v>0</v>
      </c>
      <c r="O23" s="95">
        <f>IFERROR(VLOOKUP($A23,[5]qry_Whonnock_Species_Compositio!$A$1:$O$114,COLUMN([5]qry_Whonnock_Species_Compositio!M23), FALSE), "")</f>
        <v>0</v>
      </c>
      <c r="P23" s="95">
        <f>IFERROR(VLOOKUP($A23,[5]qry_Whonnock_Species_Compositio!$A$1:$O$114,COLUMN([5]qry_Whonnock_Species_Compositio!N23), FALSE), "")</f>
        <v>0</v>
      </c>
      <c r="Q23" s="95">
        <f>IFERROR(VLOOKUP($A23,[5]qry_Whonnock_Species_Compositio!$A$1:$O$114,COLUMN([5]qry_Whonnock_Species_Compositio!O23), FALSE), "")</f>
        <v>0</v>
      </c>
      <c r="R23" s="96">
        <f t="shared" si="7"/>
        <v>0</v>
      </c>
      <c r="S23" s="97">
        <f t="shared" si="8"/>
        <v>0</v>
      </c>
      <c r="T23" s="98">
        <f t="shared" si="9"/>
        <v>0</v>
      </c>
      <c r="U23" s="97">
        <f t="shared" si="10"/>
        <v>0</v>
      </c>
      <c r="V23" s="97">
        <f t="shared" si="11"/>
        <v>0</v>
      </c>
      <c r="W23" s="98">
        <f t="shared" si="12"/>
        <v>0</v>
      </c>
      <c r="X23" s="97">
        <f t="shared" si="13"/>
        <v>0</v>
      </c>
      <c r="Y23" s="97">
        <f t="shared" si="14"/>
        <v>0</v>
      </c>
      <c r="Z23" s="98">
        <f t="shared" si="15"/>
        <v>0</v>
      </c>
      <c r="AA23" s="97">
        <f t="shared" si="16"/>
        <v>1</v>
      </c>
      <c r="AB23" s="97">
        <f t="shared" si="17"/>
        <v>1</v>
      </c>
      <c r="AC23" s="98">
        <f t="shared" si="18"/>
        <v>1</v>
      </c>
      <c r="AD23" s="97">
        <f t="shared" si="19"/>
        <v>0</v>
      </c>
      <c r="AE23" s="97">
        <f t="shared" si="20"/>
        <v>0</v>
      </c>
      <c r="AF23" s="98">
        <f t="shared" si="21"/>
        <v>0</v>
      </c>
      <c r="AG23" s="97">
        <f t="shared" si="22"/>
        <v>0</v>
      </c>
      <c r="AH23" s="97">
        <f t="shared" si="23"/>
        <v>0</v>
      </c>
      <c r="AI23" s="98">
        <f t="shared" si="24"/>
        <v>0</v>
      </c>
      <c r="AJ23" s="97">
        <f t="shared" si="25"/>
        <v>0</v>
      </c>
      <c r="AK23" s="97">
        <f t="shared" si="26"/>
        <v>0</v>
      </c>
      <c r="AL23" s="99">
        <f t="shared" si="27"/>
        <v>0</v>
      </c>
      <c r="AM23" s="100">
        <f t="shared" si="28"/>
        <v>0</v>
      </c>
      <c r="AN23" s="101">
        <f t="shared" si="37"/>
        <v>0</v>
      </c>
      <c r="AO23" s="100">
        <f t="shared" si="29"/>
        <v>0</v>
      </c>
      <c r="AP23" s="101">
        <f t="shared" si="38"/>
        <v>0</v>
      </c>
      <c r="AQ23" s="100">
        <f t="shared" si="30"/>
        <v>0</v>
      </c>
      <c r="AR23" s="101">
        <f t="shared" si="39"/>
        <v>0</v>
      </c>
      <c r="AS23" s="100">
        <f t="shared" si="31"/>
        <v>3</v>
      </c>
      <c r="AT23" s="101">
        <f t="shared" si="40"/>
        <v>1</v>
      </c>
      <c r="AU23" s="100">
        <f t="shared" si="32"/>
        <v>0</v>
      </c>
      <c r="AV23" s="101">
        <f t="shared" si="41"/>
        <v>0</v>
      </c>
      <c r="AW23" s="100">
        <f t="shared" si="33"/>
        <v>0</v>
      </c>
      <c r="AX23" s="101">
        <f t="shared" si="42"/>
        <v>0</v>
      </c>
      <c r="AY23" s="100">
        <f t="shared" si="34"/>
        <v>0</v>
      </c>
      <c r="AZ23" s="101">
        <f t="shared" si="43"/>
        <v>0</v>
      </c>
      <c r="BA23" s="102">
        <f t="shared" si="35"/>
        <v>1</v>
      </c>
    </row>
    <row r="24" spans="1:53" x14ac:dyDescent="0.3">
      <c r="A24" s="92">
        <f>[4]SockEst!A25</f>
        <v>45111</v>
      </c>
      <c r="B24" s="93">
        <f>[4]SockEst!B25</f>
        <v>185</v>
      </c>
      <c r="C24" s="94" t="str">
        <f>IFERROR(IF(AM24&gt;15,"GG", "TTL"),"")</f>
        <v>TTL</v>
      </c>
      <c r="D24" s="95">
        <f>IFERROR(VLOOKUP($A24,[5]qry_Whonnock_Species_Compositio!$A$1:$O$114,COLUMN([5]qry_Whonnock_Species_Compositio!B24), FALSE), "")</f>
        <v>0</v>
      </c>
      <c r="E24" s="95">
        <f>IFERROR(VLOOKUP($A24,[5]qry_Whonnock_Species_Compositio!$A$1:$O$114,COLUMN([5]qry_Whonnock_Species_Compositio!C24), FALSE), "")</f>
        <v>1</v>
      </c>
      <c r="F24" s="95">
        <f>IFERROR(VLOOKUP($A24,[5]qry_Whonnock_Species_Compositio!$A$1:$O$114,COLUMN([5]qry_Whonnock_Species_Compositio!D24), FALSE), "")</f>
        <v>0</v>
      </c>
      <c r="G24" s="95">
        <f>IFERROR(VLOOKUP($A24,[5]qry_Whonnock_Species_Compositio!$A$1:$O$114,COLUMN([5]qry_Whonnock_Species_Compositio!E24), FALSE), "")</f>
        <v>0</v>
      </c>
      <c r="H24" s="95">
        <f>IFERROR(VLOOKUP($A24,[5]qry_Whonnock_Species_Compositio!$A$1:$O$114,COLUMN([5]qry_Whonnock_Species_Compositio!F24), FALSE), "")</f>
        <v>0</v>
      </c>
      <c r="I24" s="95">
        <f>IFERROR(VLOOKUP($A24,[5]qry_Whonnock_Species_Compositio!$A$1:$O$114,COLUMN([5]qry_Whonnock_Species_Compositio!G24), FALSE), "")</f>
        <v>0</v>
      </c>
      <c r="J24" s="95">
        <f>IFERROR(VLOOKUP($A24,[5]qry_Whonnock_Species_Compositio!$A$1:$O$114,COLUMN([5]qry_Whonnock_Species_Compositio!H24), FALSE), "")</f>
        <v>1</v>
      </c>
      <c r="K24" s="95">
        <f>IFERROR(VLOOKUP($A24,[5]qry_Whonnock_Species_Compositio!$A$1:$O$114,COLUMN([5]qry_Whonnock_Species_Compositio!I24), FALSE), "")</f>
        <v>1</v>
      </c>
      <c r="L24" s="95">
        <f>IFERROR(VLOOKUP($A24,[5]qry_Whonnock_Species_Compositio!$A$1:$O$114,COLUMN([5]qry_Whonnock_Species_Compositio!J24), FALSE), "")</f>
        <v>0</v>
      </c>
      <c r="M24" s="95">
        <f>IFERROR(VLOOKUP($A24,[5]qry_Whonnock_Species_Compositio!$A$1:$O$114,COLUMN([5]qry_Whonnock_Species_Compositio!K24), FALSE), "")</f>
        <v>0</v>
      </c>
      <c r="N24" s="95">
        <f>IFERROR(VLOOKUP($A24,[5]qry_Whonnock_Species_Compositio!$A$1:$O$114,COLUMN([5]qry_Whonnock_Species_Compositio!L24), FALSE), "")</f>
        <v>0</v>
      </c>
      <c r="O24" s="95">
        <f>IFERROR(VLOOKUP($A24,[5]qry_Whonnock_Species_Compositio!$A$1:$O$114,COLUMN([5]qry_Whonnock_Species_Compositio!M24), FALSE), "")</f>
        <v>0</v>
      </c>
      <c r="P24" s="95">
        <f>IFERROR(VLOOKUP($A24,[5]qry_Whonnock_Species_Compositio!$A$1:$O$114,COLUMN([5]qry_Whonnock_Species_Compositio!N24), FALSE), "")</f>
        <v>0</v>
      </c>
      <c r="Q24" s="95">
        <f>IFERROR(VLOOKUP($A24,[5]qry_Whonnock_Species_Compositio!$A$1:$O$114,COLUMN([5]qry_Whonnock_Species_Compositio!O24), FALSE), "")</f>
        <v>0</v>
      </c>
      <c r="R24" s="96">
        <f t="shared" si="7"/>
        <v>0</v>
      </c>
      <c r="S24" s="97">
        <f t="shared" si="8"/>
        <v>0.5</v>
      </c>
      <c r="T24" s="98">
        <f t="shared" si="9"/>
        <v>0.33333333333333331</v>
      </c>
      <c r="U24" s="97">
        <f t="shared" si="10"/>
        <v>0</v>
      </c>
      <c r="V24" s="97">
        <f t="shared" si="11"/>
        <v>0</v>
      </c>
      <c r="W24" s="98">
        <f t="shared" si="12"/>
        <v>0</v>
      </c>
      <c r="X24" s="97">
        <f t="shared" si="13"/>
        <v>0</v>
      </c>
      <c r="Y24" s="97">
        <f t="shared" si="14"/>
        <v>0</v>
      </c>
      <c r="Z24" s="98">
        <f t="shared" si="15"/>
        <v>0</v>
      </c>
      <c r="AA24" s="97">
        <f t="shared" si="16"/>
        <v>1</v>
      </c>
      <c r="AB24" s="97">
        <f t="shared" si="17"/>
        <v>0.5</v>
      </c>
      <c r="AC24" s="98">
        <f t="shared" si="18"/>
        <v>0.66666666666666663</v>
      </c>
      <c r="AD24" s="97">
        <f t="shared" si="19"/>
        <v>0</v>
      </c>
      <c r="AE24" s="97">
        <f t="shared" si="20"/>
        <v>0</v>
      </c>
      <c r="AF24" s="98">
        <f t="shared" si="21"/>
        <v>0</v>
      </c>
      <c r="AG24" s="97">
        <f t="shared" si="22"/>
        <v>0</v>
      </c>
      <c r="AH24" s="97">
        <f t="shared" si="23"/>
        <v>0</v>
      </c>
      <c r="AI24" s="98">
        <f t="shared" si="24"/>
        <v>0</v>
      </c>
      <c r="AJ24" s="97">
        <f t="shared" si="25"/>
        <v>0</v>
      </c>
      <c r="AK24" s="97">
        <f t="shared" si="26"/>
        <v>0</v>
      </c>
      <c r="AL24" s="99">
        <f t="shared" si="27"/>
        <v>0</v>
      </c>
      <c r="AM24" s="100">
        <f t="shared" si="28"/>
        <v>1</v>
      </c>
      <c r="AN24" s="101">
        <f>IF($AM24&lt;15,T24,R24)</f>
        <v>0.33333333333333331</v>
      </c>
      <c r="AO24" s="100">
        <f t="shared" si="29"/>
        <v>0</v>
      </c>
      <c r="AP24" s="101">
        <f t="shared" si="38"/>
        <v>0</v>
      </c>
      <c r="AQ24" s="100">
        <f t="shared" si="30"/>
        <v>0</v>
      </c>
      <c r="AR24" s="101">
        <f t="shared" si="39"/>
        <v>0</v>
      </c>
      <c r="AS24" s="100">
        <f t="shared" si="31"/>
        <v>2</v>
      </c>
      <c r="AT24" s="101">
        <f t="shared" si="40"/>
        <v>0.66666666666666663</v>
      </c>
      <c r="AU24" s="100">
        <f t="shared" si="32"/>
        <v>0</v>
      </c>
      <c r="AV24" s="101">
        <f t="shared" si="41"/>
        <v>0</v>
      </c>
      <c r="AW24" s="100">
        <f t="shared" si="33"/>
        <v>0</v>
      </c>
      <c r="AX24" s="101">
        <f t="shared" si="42"/>
        <v>0</v>
      </c>
      <c r="AY24" s="100">
        <f t="shared" si="34"/>
        <v>0</v>
      </c>
      <c r="AZ24" s="101">
        <f t="shared" si="43"/>
        <v>0</v>
      </c>
      <c r="BA24" s="102">
        <f t="shared" si="35"/>
        <v>1</v>
      </c>
    </row>
    <row r="25" spans="1:53" x14ac:dyDescent="0.3">
      <c r="A25" s="92">
        <f>[4]SockEst!A26</f>
        <v>45112</v>
      </c>
      <c r="B25" s="93">
        <f>[4]SockEst!B26</f>
        <v>186</v>
      </c>
      <c r="C25" s="94" t="str">
        <f>IFERROR(IF(AM25&gt;15,"GG", "TTL"),"")</f>
        <v>TTL</v>
      </c>
      <c r="D25" s="95">
        <f>IFERROR(VLOOKUP($A25,[5]qry_Whonnock_Species_Compositio!$A$1:$O$114,COLUMN([5]qry_Whonnock_Species_Compositio!B25), FALSE), "")</f>
        <v>0</v>
      </c>
      <c r="E25" s="95">
        <f>IFERROR(VLOOKUP($A25,[5]qry_Whonnock_Species_Compositio!$A$1:$O$114,COLUMN([5]qry_Whonnock_Species_Compositio!C25), FALSE), "")</f>
        <v>2</v>
      </c>
      <c r="F25" s="95">
        <f>IFERROR(VLOOKUP($A25,[5]qry_Whonnock_Species_Compositio!$A$1:$O$114,COLUMN([5]qry_Whonnock_Species_Compositio!D25), FALSE), "")</f>
        <v>0</v>
      </c>
      <c r="G25" s="95">
        <f>IFERROR(VLOOKUP($A25,[5]qry_Whonnock_Species_Compositio!$A$1:$O$114,COLUMN([5]qry_Whonnock_Species_Compositio!E25), FALSE), "")</f>
        <v>0</v>
      </c>
      <c r="H25" s="95">
        <f>IFERROR(VLOOKUP($A25,[5]qry_Whonnock_Species_Compositio!$A$1:$O$114,COLUMN([5]qry_Whonnock_Species_Compositio!F25), FALSE), "")</f>
        <v>0</v>
      </c>
      <c r="I25" s="95">
        <f>IFERROR(VLOOKUP($A25,[5]qry_Whonnock_Species_Compositio!$A$1:$O$114,COLUMN([5]qry_Whonnock_Species_Compositio!G25), FALSE), "")</f>
        <v>0</v>
      </c>
      <c r="J25" s="95">
        <f>IFERROR(VLOOKUP($A25,[5]qry_Whonnock_Species_Compositio!$A$1:$O$114,COLUMN([5]qry_Whonnock_Species_Compositio!H25), FALSE), "")</f>
        <v>0</v>
      </c>
      <c r="K25" s="95">
        <f>IFERROR(VLOOKUP($A25,[5]qry_Whonnock_Species_Compositio!$A$1:$O$114,COLUMN([5]qry_Whonnock_Species_Compositio!I25), FALSE), "")</f>
        <v>1</v>
      </c>
      <c r="L25" s="95">
        <f>IFERROR(VLOOKUP($A25,[5]qry_Whonnock_Species_Compositio!$A$1:$O$114,COLUMN([5]qry_Whonnock_Species_Compositio!J25), FALSE), "")</f>
        <v>0</v>
      </c>
      <c r="M25" s="95">
        <f>IFERROR(VLOOKUP($A25,[5]qry_Whonnock_Species_Compositio!$A$1:$O$114,COLUMN([5]qry_Whonnock_Species_Compositio!K25), FALSE), "")</f>
        <v>0</v>
      </c>
      <c r="N25" s="95">
        <f>IFERROR(VLOOKUP($A25,[5]qry_Whonnock_Species_Compositio!$A$1:$O$114,COLUMN([5]qry_Whonnock_Species_Compositio!L25), FALSE), "")</f>
        <v>0</v>
      </c>
      <c r="O25" s="95">
        <f>IFERROR(VLOOKUP($A25,[5]qry_Whonnock_Species_Compositio!$A$1:$O$114,COLUMN([5]qry_Whonnock_Species_Compositio!M25), FALSE), "")</f>
        <v>0</v>
      </c>
      <c r="P25" s="95">
        <f>IFERROR(VLOOKUP($A25,[5]qry_Whonnock_Species_Compositio!$A$1:$O$114,COLUMN([5]qry_Whonnock_Species_Compositio!N25), FALSE), "")</f>
        <v>0</v>
      </c>
      <c r="Q25" s="95">
        <f>IFERROR(VLOOKUP($A25,[5]qry_Whonnock_Species_Compositio!$A$1:$O$114,COLUMN([5]qry_Whonnock_Species_Compositio!O25), FALSE), "")</f>
        <v>0</v>
      </c>
      <c r="R25" s="96">
        <f>IF(D25="","",IF(($D25+$F25+$H25+$J25+$L25+$N25+$P25)=0,0,$D25/($D25+$F25+$H25+$J25+$L25+$N25+$P25)))</f>
        <v>0</v>
      </c>
      <c r="S25" s="97">
        <f>IF(E25="","",IF(($E25+$G25+$I25+$K25+$M25+$O25+$Q25)=0,0,$E25/($E25+$G25+$I25+$K25+$M25+$O25+$Q25)))</f>
        <v>0.66666666666666663</v>
      </c>
      <c r="T25" s="98">
        <f>IF(AND(D25="",E25=""),"",IF(SUM($D25:$Q25)=0,0,SUM($D25:$E25)/SUM($D25:$Q25)))</f>
        <v>0.66666666666666663</v>
      </c>
      <c r="U25" s="97">
        <f t="shared" si="10"/>
        <v>0</v>
      </c>
      <c r="V25" s="97">
        <f t="shared" si="11"/>
        <v>0</v>
      </c>
      <c r="W25" s="98">
        <f t="shared" si="12"/>
        <v>0</v>
      </c>
      <c r="X25" s="97">
        <f t="shared" si="13"/>
        <v>0</v>
      </c>
      <c r="Y25" s="97">
        <f t="shared" si="14"/>
        <v>0</v>
      </c>
      <c r="Z25" s="98">
        <f t="shared" si="15"/>
        <v>0</v>
      </c>
      <c r="AA25" s="97">
        <f t="shared" si="16"/>
        <v>0</v>
      </c>
      <c r="AB25" s="97">
        <f t="shared" si="17"/>
        <v>0.33333333333333331</v>
      </c>
      <c r="AC25" s="98">
        <f t="shared" si="18"/>
        <v>0.33333333333333331</v>
      </c>
      <c r="AD25" s="97">
        <f t="shared" si="19"/>
        <v>0</v>
      </c>
      <c r="AE25" s="97">
        <f t="shared" si="20"/>
        <v>0</v>
      </c>
      <c r="AF25" s="98">
        <f t="shared" si="21"/>
        <v>0</v>
      </c>
      <c r="AG25" s="97">
        <f t="shared" si="22"/>
        <v>0</v>
      </c>
      <c r="AH25" s="97">
        <f t="shared" si="23"/>
        <v>0</v>
      </c>
      <c r="AI25" s="98">
        <f t="shared" si="24"/>
        <v>0</v>
      </c>
      <c r="AJ25" s="97">
        <f t="shared" si="25"/>
        <v>0</v>
      </c>
      <c r="AK25" s="97">
        <f t="shared" si="26"/>
        <v>0</v>
      </c>
      <c r="AL25" s="99">
        <f t="shared" si="27"/>
        <v>0</v>
      </c>
      <c r="AM25" s="100">
        <f t="shared" si="28"/>
        <v>2</v>
      </c>
      <c r="AN25" s="101">
        <f>IF($AM25&lt;15,T25,R25)</f>
        <v>0.66666666666666663</v>
      </c>
      <c r="AO25" s="100">
        <f t="shared" si="29"/>
        <v>0</v>
      </c>
      <c r="AP25" s="101">
        <f t="shared" si="38"/>
        <v>0</v>
      </c>
      <c r="AQ25" s="100">
        <f t="shared" si="30"/>
        <v>0</v>
      </c>
      <c r="AR25" s="101">
        <f t="shared" si="39"/>
        <v>0</v>
      </c>
      <c r="AS25" s="100">
        <f t="shared" si="31"/>
        <v>1</v>
      </c>
      <c r="AT25" s="101">
        <f t="shared" si="40"/>
        <v>0.33333333333333331</v>
      </c>
      <c r="AU25" s="100">
        <f t="shared" si="32"/>
        <v>0</v>
      </c>
      <c r="AV25" s="101">
        <f t="shared" si="41"/>
        <v>0</v>
      </c>
      <c r="AW25" s="100">
        <f t="shared" si="33"/>
        <v>0</v>
      </c>
      <c r="AX25" s="101">
        <f t="shared" si="42"/>
        <v>0</v>
      </c>
      <c r="AY25" s="100">
        <f t="shared" si="34"/>
        <v>0</v>
      </c>
      <c r="AZ25" s="101">
        <f t="shared" si="43"/>
        <v>0</v>
      </c>
      <c r="BA25" s="102">
        <f t="shared" si="35"/>
        <v>1</v>
      </c>
    </row>
    <row r="26" spans="1:53" x14ac:dyDescent="0.3">
      <c r="A26" s="92">
        <f>[4]SockEst!A27</f>
        <v>45113</v>
      </c>
      <c r="B26" s="93">
        <f>[4]SockEst!B27</f>
        <v>187</v>
      </c>
      <c r="C26" s="94" t="str">
        <f t="shared" si="36"/>
        <v>TTL</v>
      </c>
      <c r="D26" s="95">
        <f>IFERROR(VLOOKUP($A26,[5]qry_Whonnock_Species_Compositio!$A$1:$O$114,COLUMN([5]qry_Whonnock_Species_Compositio!B26), FALSE), "")</f>
        <v>0</v>
      </c>
      <c r="E26" s="95">
        <f>IFERROR(VLOOKUP($A26,[5]qry_Whonnock_Species_Compositio!$A$1:$O$114,COLUMN([5]qry_Whonnock_Species_Compositio!C26), FALSE), "")</f>
        <v>0</v>
      </c>
      <c r="F26" s="95">
        <f>IFERROR(VLOOKUP($A26,[5]qry_Whonnock_Species_Compositio!$A$1:$O$114,COLUMN([5]qry_Whonnock_Species_Compositio!D26), FALSE), "")</f>
        <v>0</v>
      </c>
      <c r="G26" s="95">
        <f>IFERROR(VLOOKUP($A26,[5]qry_Whonnock_Species_Compositio!$A$1:$O$114,COLUMN([5]qry_Whonnock_Species_Compositio!E26), FALSE), "")</f>
        <v>0</v>
      </c>
      <c r="H26" s="95">
        <f>IFERROR(VLOOKUP($A26,[5]qry_Whonnock_Species_Compositio!$A$1:$O$114,COLUMN([5]qry_Whonnock_Species_Compositio!F26), FALSE), "")</f>
        <v>0</v>
      </c>
      <c r="I26" s="95">
        <f>IFERROR(VLOOKUP($A26,[5]qry_Whonnock_Species_Compositio!$A$1:$O$114,COLUMN([5]qry_Whonnock_Species_Compositio!G26), FALSE), "")</f>
        <v>0</v>
      </c>
      <c r="J26" s="95">
        <f>IFERROR(VLOOKUP($A26,[5]qry_Whonnock_Species_Compositio!$A$1:$O$114,COLUMN([5]qry_Whonnock_Species_Compositio!H26), FALSE), "")</f>
        <v>0</v>
      </c>
      <c r="K26" s="95">
        <f>IFERROR(VLOOKUP($A26,[5]qry_Whonnock_Species_Compositio!$A$1:$O$114,COLUMN([5]qry_Whonnock_Species_Compositio!I26), FALSE), "")</f>
        <v>0</v>
      </c>
      <c r="L26" s="95">
        <f>IFERROR(VLOOKUP($A26,[5]qry_Whonnock_Species_Compositio!$A$1:$O$114,COLUMN([5]qry_Whonnock_Species_Compositio!J26), FALSE), "")</f>
        <v>0</v>
      </c>
      <c r="M26" s="95">
        <f>IFERROR(VLOOKUP($A26,[5]qry_Whonnock_Species_Compositio!$A$1:$O$114,COLUMN([5]qry_Whonnock_Species_Compositio!K26), FALSE), "")</f>
        <v>0</v>
      </c>
      <c r="N26" s="95">
        <f>IFERROR(VLOOKUP($A26,[5]qry_Whonnock_Species_Compositio!$A$1:$O$114,COLUMN([5]qry_Whonnock_Species_Compositio!L26), FALSE), "")</f>
        <v>0</v>
      </c>
      <c r="O26" s="95">
        <f>IFERROR(VLOOKUP($A26,[5]qry_Whonnock_Species_Compositio!$A$1:$O$114,COLUMN([5]qry_Whonnock_Species_Compositio!M26), FALSE), "")</f>
        <v>0</v>
      </c>
      <c r="P26" s="95">
        <f>IFERROR(VLOOKUP($A26,[5]qry_Whonnock_Species_Compositio!$A$1:$O$114,COLUMN([5]qry_Whonnock_Species_Compositio!N26), FALSE), "")</f>
        <v>0</v>
      </c>
      <c r="Q26" s="95">
        <f>IFERROR(VLOOKUP($A26,[5]qry_Whonnock_Species_Compositio!$A$1:$O$114,COLUMN([5]qry_Whonnock_Species_Compositio!O26), FALSE), "")</f>
        <v>0</v>
      </c>
      <c r="R26" s="96">
        <f t="shared" si="7"/>
        <v>0</v>
      </c>
      <c r="S26" s="97">
        <f t="shared" si="8"/>
        <v>0</v>
      </c>
      <c r="T26" s="98">
        <f>IF(AND(D26="",E26=""),"",IF(SUM($D26:$Q26)=0,0,SUM($D26:$E26)/SUM($D26:$Q26)))</f>
        <v>0</v>
      </c>
      <c r="U26" s="97">
        <f t="shared" si="10"/>
        <v>0</v>
      </c>
      <c r="V26" s="97">
        <f t="shared" si="11"/>
        <v>0</v>
      </c>
      <c r="W26" s="98">
        <f t="shared" si="12"/>
        <v>0</v>
      </c>
      <c r="X26" s="97">
        <f t="shared" si="13"/>
        <v>0</v>
      </c>
      <c r="Y26" s="97">
        <f t="shared" si="14"/>
        <v>0</v>
      </c>
      <c r="Z26" s="98">
        <f t="shared" si="15"/>
        <v>0</v>
      </c>
      <c r="AA26" s="97">
        <f t="shared" si="16"/>
        <v>0</v>
      </c>
      <c r="AB26" s="97">
        <f t="shared" si="17"/>
        <v>0</v>
      </c>
      <c r="AC26" s="98">
        <f t="shared" si="18"/>
        <v>0</v>
      </c>
      <c r="AD26" s="97">
        <f t="shared" si="19"/>
        <v>0</v>
      </c>
      <c r="AE26" s="97">
        <f t="shared" si="20"/>
        <v>0</v>
      </c>
      <c r="AF26" s="98">
        <f t="shared" si="21"/>
        <v>0</v>
      </c>
      <c r="AG26" s="97">
        <f t="shared" si="22"/>
        <v>0</v>
      </c>
      <c r="AH26" s="97">
        <f t="shared" si="23"/>
        <v>0</v>
      </c>
      <c r="AI26" s="98">
        <f t="shared" si="24"/>
        <v>0</v>
      </c>
      <c r="AJ26" s="97">
        <f t="shared" si="25"/>
        <v>0</v>
      </c>
      <c r="AK26" s="97">
        <f t="shared" si="26"/>
        <v>0</v>
      </c>
      <c r="AL26" s="99">
        <f t="shared" si="27"/>
        <v>0</v>
      </c>
      <c r="AM26" s="100">
        <f t="shared" si="28"/>
        <v>0</v>
      </c>
      <c r="AN26" s="101">
        <f t="shared" si="37"/>
        <v>0</v>
      </c>
      <c r="AO26" s="100">
        <f t="shared" si="29"/>
        <v>0</v>
      </c>
      <c r="AP26" s="101">
        <f t="shared" si="38"/>
        <v>0</v>
      </c>
      <c r="AQ26" s="100">
        <f t="shared" si="30"/>
        <v>0</v>
      </c>
      <c r="AR26" s="101">
        <f t="shared" si="39"/>
        <v>0</v>
      </c>
      <c r="AS26" s="100">
        <f t="shared" si="31"/>
        <v>0</v>
      </c>
      <c r="AT26" s="101">
        <f t="shared" si="40"/>
        <v>0</v>
      </c>
      <c r="AU26" s="100">
        <f t="shared" si="32"/>
        <v>0</v>
      </c>
      <c r="AV26" s="101">
        <f t="shared" si="41"/>
        <v>0</v>
      </c>
      <c r="AW26" s="100">
        <f t="shared" si="33"/>
        <v>0</v>
      </c>
      <c r="AX26" s="101">
        <f t="shared" si="42"/>
        <v>0</v>
      </c>
      <c r="AY26" s="100">
        <f t="shared" si="34"/>
        <v>0</v>
      </c>
      <c r="AZ26" s="101">
        <f t="shared" si="43"/>
        <v>0</v>
      </c>
      <c r="BA26" s="102">
        <f t="shared" si="35"/>
        <v>0</v>
      </c>
    </row>
    <row r="27" spans="1:53" x14ac:dyDescent="0.3">
      <c r="A27" s="92">
        <f>[4]SockEst!A28</f>
        <v>45114</v>
      </c>
      <c r="B27" s="93">
        <f>[4]SockEst!B28</f>
        <v>188</v>
      </c>
      <c r="C27" s="94" t="str">
        <f t="shared" si="36"/>
        <v>TTL</v>
      </c>
      <c r="D27" s="95">
        <f>IFERROR(VLOOKUP($A27,[5]qry_Whonnock_Species_Compositio!$A$1:$O$114,COLUMN([5]qry_Whonnock_Species_Compositio!B27), FALSE), "")</f>
        <v>0</v>
      </c>
      <c r="E27" s="95">
        <f>IFERROR(VLOOKUP($A27,[5]qry_Whonnock_Species_Compositio!$A$1:$O$114,COLUMN([5]qry_Whonnock_Species_Compositio!C27), FALSE), "")</f>
        <v>0</v>
      </c>
      <c r="F27" s="95">
        <f>IFERROR(VLOOKUP($A27,[5]qry_Whonnock_Species_Compositio!$A$1:$O$114,COLUMN([5]qry_Whonnock_Species_Compositio!D27), FALSE), "")</f>
        <v>0</v>
      </c>
      <c r="G27" s="95">
        <f>IFERROR(VLOOKUP($A27,[5]qry_Whonnock_Species_Compositio!$A$1:$O$114,COLUMN([5]qry_Whonnock_Species_Compositio!E27), FALSE), "")</f>
        <v>0</v>
      </c>
      <c r="H27" s="95">
        <f>IFERROR(VLOOKUP($A27,[5]qry_Whonnock_Species_Compositio!$A$1:$O$114,COLUMN([5]qry_Whonnock_Species_Compositio!F27), FALSE), "")</f>
        <v>0</v>
      </c>
      <c r="I27" s="95">
        <f>IFERROR(VLOOKUP($A27,[5]qry_Whonnock_Species_Compositio!$A$1:$O$114,COLUMN([5]qry_Whonnock_Species_Compositio!G27), FALSE), "")</f>
        <v>0</v>
      </c>
      <c r="J27" s="95">
        <f>IFERROR(VLOOKUP($A27,[5]qry_Whonnock_Species_Compositio!$A$1:$O$114,COLUMN([5]qry_Whonnock_Species_Compositio!H27), FALSE), "")</f>
        <v>0</v>
      </c>
      <c r="K27" s="95">
        <f>IFERROR(VLOOKUP($A27,[5]qry_Whonnock_Species_Compositio!$A$1:$O$114,COLUMN([5]qry_Whonnock_Species_Compositio!I27), FALSE), "")</f>
        <v>2</v>
      </c>
      <c r="L27" s="95">
        <f>IFERROR(VLOOKUP($A27,[5]qry_Whonnock_Species_Compositio!$A$1:$O$114,COLUMN([5]qry_Whonnock_Species_Compositio!J27), FALSE), "")</f>
        <v>0</v>
      </c>
      <c r="M27" s="95">
        <f>IFERROR(VLOOKUP($A27,[5]qry_Whonnock_Species_Compositio!$A$1:$O$114,COLUMN([5]qry_Whonnock_Species_Compositio!K27), FALSE), "")</f>
        <v>0</v>
      </c>
      <c r="N27" s="95">
        <f>IFERROR(VLOOKUP($A27,[5]qry_Whonnock_Species_Compositio!$A$1:$O$114,COLUMN([5]qry_Whonnock_Species_Compositio!L27), FALSE), "")</f>
        <v>0</v>
      </c>
      <c r="O27" s="95">
        <f>IFERROR(VLOOKUP($A27,[5]qry_Whonnock_Species_Compositio!$A$1:$O$114,COLUMN([5]qry_Whonnock_Species_Compositio!M27), FALSE), "")</f>
        <v>0</v>
      </c>
      <c r="P27" s="95">
        <f>IFERROR(VLOOKUP($A27,[5]qry_Whonnock_Species_Compositio!$A$1:$O$114,COLUMN([5]qry_Whonnock_Species_Compositio!N27), FALSE), "")</f>
        <v>0</v>
      </c>
      <c r="Q27" s="95">
        <f>IFERROR(VLOOKUP($A27,[5]qry_Whonnock_Species_Compositio!$A$1:$O$114,COLUMN([5]qry_Whonnock_Species_Compositio!O27), FALSE), "")</f>
        <v>0</v>
      </c>
      <c r="R27" s="96">
        <f t="shared" si="7"/>
        <v>0</v>
      </c>
      <c r="S27" s="97">
        <f t="shared" si="8"/>
        <v>0</v>
      </c>
      <c r="T27" s="98">
        <f t="shared" si="9"/>
        <v>0</v>
      </c>
      <c r="U27" s="97">
        <f t="shared" si="10"/>
        <v>0</v>
      </c>
      <c r="V27" s="97">
        <f t="shared" si="11"/>
        <v>0</v>
      </c>
      <c r="W27" s="98">
        <f t="shared" si="12"/>
        <v>0</v>
      </c>
      <c r="X27" s="97">
        <f t="shared" si="13"/>
        <v>0</v>
      </c>
      <c r="Y27" s="97">
        <f t="shared" si="14"/>
        <v>0</v>
      </c>
      <c r="Z27" s="98">
        <f t="shared" si="15"/>
        <v>0</v>
      </c>
      <c r="AA27" s="97">
        <f t="shared" si="16"/>
        <v>0</v>
      </c>
      <c r="AB27" s="97">
        <f t="shared" si="17"/>
        <v>1</v>
      </c>
      <c r="AC27" s="98">
        <f t="shared" si="18"/>
        <v>1</v>
      </c>
      <c r="AD27" s="97">
        <f t="shared" si="19"/>
        <v>0</v>
      </c>
      <c r="AE27" s="97">
        <f t="shared" si="20"/>
        <v>0</v>
      </c>
      <c r="AF27" s="98">
        <f t="shared" si="21"/>
        <v>0</v>
      </c>
      <c r="AG27" s="97">
        <f t="shared" si="22"/>
        <v>0</v>
      </c>
      <c r="AH27" s="97">
        <f t="shared" si="23"/>
        <v>0</v>
      </c>
      <c r="AI27" s="98">
        <f t="shared" si="24"/>
        <v>0</v>
      </c>
      <c r="AJ27" s="97">
        <f t="shared" si="25"/>
        <v>0</v>
      </c>
      <c r="AK27" s="97">
        <f t="shared" si="26"/>
        <v>0</v>
      </c>
      <c r="AL27" s="99">
        <f t="shared" si="27"/>
        <v>0</v>
      </c>
      <c r="AM27" s="100">
        <f t="shared" si="28"/>
        <v>0</v>
      </c>
      <c r="AN27" s="101">
        <f t="shared" si="37"/>
        <v>0</v>
      </c>
      <c r="AO27" s="100">
        <f t="shared" si="29"/>
        <v>0</v>
      </c>
      <c r="AP27" s="101">
        <f t="shared" si="38"/>
        <v>0</v>
      </c>
      <c r="AQ27" s="100">
        <f t="shared" si="30"/>
        <v>0</v>
      </c>
      <c r="AR27" s="101">
        <f t="shared" si="39"/>
        <v>0</v>
      </c>
      <c r="AS27" s="100">
        <f t="shared" si="31"/>
        <v>2</v>
      </c>
      <c r="AT27" s="101">
        <f t="shared" si="40"/>
        <v>1</v>
      </c>
      <c r="AU27" s="100">
        <f t="shared" si="32"/>
        <v>0</v>
      </c>
      <c r="AV27" s="101">
        <f t="shared" si="41"/>
        <v>0</v>
      </c>
      <c r="AW27" s="100">
        <f t="shared" si="33"/>
        <v>0</v>
      </c>
      <c r="AX27" s="101">
        <f t="shared" si="42"/>
        <v>0</v>
      </c>
      <c r="AY27" s="100">
        <f t="shared" si="34"/>
        <v>0</v>
      </c>
      <c r="AZ27" s="101">
        <f t="shared" si="43"/>
        <v>0</v>
      </c>
      <c r="BA27" s="102">
        <f t="shared" si="35"/>
        <v>1</v>
      </c>
    </row>
    <row r="28" spans="1:53" x14ac:dyDescent="0.3">
      <c r="A28" s="92">
        <f>[4]SockEst!A29</f>
        <v>45115</v>
      </c>
      <c r="B28" s="93">
        <f>[4]SockEst!B29</f>
        <v>189</v>
      </c>
      <c r="C28" s="94" t="str">
        <f t="shared" si="36"/>
        <v>TTL</v>
      </c>
      <c r="D28" s="95">
        <f>IFERROR(VLOOKUP($A28,[5]qry_Whonnock_Species_Compositio!$A$1:$O$114,COLUMN([5]qry_Whonnock_Species_Compositio!B28), FALSE), "")</f>
        <v>0</v>
      </c>
      <c r="E28" s="95">
        <f>IFERROR(VLOOKUP($A28,[5]qry_Whonnock_Species_Compositio!$A$1:$O$114,COLUMN([5]qry_Whonnock_Species_Compositio!C28), FALSE), "")</f>
        <v>0</v>
      </c>
      <c r="F28" s="95">
        <f>IFERROR(VLOOKUP($A28,[5]qry_Whonnock_Species_Compositio!$A$1:$O$114,COLUMN([5]qry_Whonnock_Species_Compositio!D28), FALSE), "")</f>
        <v>0</v>
      </c>
      <c r="G28" s="95">
        <f>IFERROR(VLOOKUP($A28,[5]qry_Whonnock_Species_Compositio!$A$1:$O$114,COLUMN([5]qry_Whonnock_Species_Compositio!E28), FALSE), "")</f>
        <v>0</v>
      </c>
      <c r="H28" s="95">
        <f>IFERROR(VLOOKUP($A28,[5]qry_Whonnock_Species_Compositio!$A$1:$O$114,COLUMN([5]qry_Whonnock_Species_Compositio!F28), FALSE), "")</f>
        <v>0</v>
      </c>
      <c r="I28" s="95">
        <f>IFERROR(VLOOKUP($A28,[5]qry_Whonnock_Species_Compositio!$A$1:$O$114,COLUMN([5]qry_Whonnock_Species_Compositio!G28), FALSE), "")</f>
        <v>0</v>
      </c>
      <c r="J28" s="95">
        <f>IFERROR(VLOOKUP($A28,[5]qry_Whonnock_Species_Compositio!$A$1:$O$114,COLUMN([5]qry_Whonnock_Species_Compositio!H28), FALSE), "")</f>
        <v>0</v>
      </c>
      <c r="K28" s="95">
        <f>IFERROR(VLOOKUP($A28,[5]qry_Whonnock_Species_Compositio!$A$1:$O$114,COLUMN([5]qry_Whonnock_Species_Compositio!I28), FALSE), "")</f>
        <v>1</v>
      </c>
      <c r="L28" s="95">
        <f>IFERROR(VLOOKUP($A28,[5]qry_Whonnock_Species_Compositio!$A$1:$O$114,COLUMN([5]qry_Whonnock_Species_Compositio!J28), FALSE), "")</f>
        <v>0</v>
      </c>
      <c r="M28" s="95">
        <f>IFERROR(VLOOKUP($A28,[5]qry_Whonnock_Species_Compositio!$A$1:$O$114,COLUMN([5]qry_Whonnock_Species_Compositio!K28), FALSE), "")</f>
        <v>0</v>
      </c>
      <c r="N28" s="95">
        <f>IFERROR(VLOOKUP($A28,[5]qry_Whonnock_Species_Compositio!$A$1:$O$114,COLUMN([5]qry_Whonnock_Species_Compositio!L28), FALSE), "")</f>
        <v>0</v>
      </c>
      <c r="O28" s="95">
        <f>IFERROR(VLOOKUP($A28,[5]qry_Whonnock_Species_Compositio!$A$1:$O$114,COLUMN([5]qry_Whonnock_Species_Compositio!M28), FALSE), "")</f>
        <v>0</v>
      </c>
      <c r="P28" s="95">
        <f>IFERROR(VLOOKUP($A28,[5]qry_Whonnock_Species_Compositio!$A$1:$O$114,COLUMN([5]qry_Whonnock_Species_Compositio!N28), FALSE), "")</f>
        <v>0</v>
      </c>
      <c r="Q28" s="95">
        <f>IFERROR(VLOOKUP($A28,[5]qry_Whonnock_Species_Compositio!$A$1:$O$114,COLUMN([5]qry_Whonnock_Species_Compositio!O28), FALSE), "")</f>
        <v>0</v>
      </c>
      <c r="R28" s="96">
        <f t="shared" si="7"/>
        <v>0</v>
      </c>
      <c r="S28" s="97">
        <f t="shared" si="8"/>
        <v>0</v>
      </c>
      <c r="T28" s="98">
        <f t="shared" si="9"/>
        <v>0</v>
      </c>
      <c r="U28" s="97">
        <f t="shared" si="10"/>
        <v>0</v>
      </c>
      <c r="V28" s="97">
        <f t="shared" si="11"/>
        <v>0</v>
      </c>
      <c r="W28" s="98">
        <f t="shared" si="12"/>
        <v>0</v>
      </c>
      <c r="X28" s="97">
        <f t="shared" si="13"/>
        <v>0</v>
      </c>
      <c r="Y28" s="97">
        <f t="shared" si="14"/>
        <v>0</v>
      </c>
      <c r="Z28" s="98">
        <f t="shared" si="15"/>
        <v>0</v>
      </c>
      <c r="AA28" s="97">
        <f t="shared" si="16"/>
        <v>0</v>
      </c>
      <c r="AB28" s="97">
        <f t="shared" si="17"/>
        <v>1</v>
      </c>
      <c r="AC28" s="98">
        <f t="shared" si="18"/>
        <v>1</v>
      </c>
      <c r="AD28" s="97">
        <f t="shared" si="19"/>
        <v>0</v>
      </c>
      <c r="AE28" s="97">
        <f t="shared" si="20"/>
        <v>0</v>
      </c>
      <c r="AF28" s="98">
        <f t="shared" si="21"/>
        <v>0</v>
      </c>
      <c r="AG28" s="97">
        <f t="shared" si="22"/>
        <v>0</v>
      </c>
      <c r="AH28" s="97">
        <f t="shared" si="23"/>
        <v>0</v>
      </c>
      <c r="AI28" s="98">
        <f t="shared" si="24"/>
        <v>0</v>
      </c>
      <c r="AJ28" s="97">
        <f t="shared" si="25"/>
        <v>0</v>
      </c>
      <c r="AK28" s="97">
        <f t="shared" si="26"/>
        <v>0</v>
      </c>
      <c r="AL28" s="99">
        <f t="shared" si="27"/>
        <v>0</v>
      </c>
      <c r="AM28" s="100">
        <f t="shared" si="28"/>
        <v>0</v>
      </c>
      <c r="AN28" s="101">
        <f t="shared" si="37"/>
        <v>0</v>
      </c>
      <c r="AO28" s="100">
        <f t="shared" si="29"/>
        <v>0</v>
      </c>
      <c r="AP28" s="101">
        <f t="shared" si="38"/>
        <v>0</v>
      </c>
      <c r="AQ28" s="100">
        <f t="shared" si="30"/>
        <v>0</v>
      </c>
      <c r="AR28" s="101">
        <f t="shared" si="39"/>
        <v>0</v>
      </c>
      <c r="AS28" s="100">
        <f t="shared" si="31"/>
        <v>1</v>
      </c>
      <c r="AT28" s="101">
        <f t="shared" si="40"/>
        <v>1</v>
      </c>
      <c r="AU28" s="100">
        <f t="shared" si="32"/>
        <v>0</v>
      </c>
      <c r="AV28" s="101">
        <f t="shared" si="41"/>
        <v>0</v>
      </c>
      <c r="AW28" s="100">
        <f t="shared" si="33"/>
        <v>0</v>
      </c>
      <c r="AX28" s="101">
        <f t="shared" si="42"/>
        <v>0</v>
      </c>
      <c r="AY28" s="100">
        <f t="shared" si="34"/>
        <v>0</v>
      </c>
      <c r="AZ28" s="101">
        <f t="shared" si="43"/>
        <v>0</v>
      </c>
      <c r="BA28" s="102">
        <f t="shared" si="35"/>
        <v>1</v>
      </c>
    </row>
    <row r="29" spans="1:53" x14ac:dyDescent="0.3">
      <c r="A29" s="92">
        <f>[4]SockEst!A30</f>
        <v>45116</v>
      </c>
      <c r="B29" s="93">
        <f>[4]SockEst!B30</f>
        <v>190</v>
      </c>
      <c r="C29" s="94" t="str">
        <f t="shared" si="36"/>
        <v>TTL</v>
      </c>
      <c r="D29" s="95">
        <f>IFERROR(VLOOKUP($A29,[5]qry_Whonnock_Species_Compositio!$A$1:$O$114,COLUMN([5]qry_Whonnock_Species_Compositio!B29), FALSE), "")</f>
        <v>0</v>
      </c>
      <c r="E29" s="95">
        <f>IFERROR(VLOOKUP($A29,[5]qry_Whonnock_Species_Compositio!$A$1:$O$114,COLUMN([5]qry_Whonnock_Species_Compositio!C29), FALSE), "")</f>
        <v>0</v>
      </c>
      <c r="F29" s="95">
        <f>IFERROR(VLOOKUP($A29,[5]qry_Whonnock_Species_Compositio!$A$1:$O$114,COLUMN([5]qry_Whonnock_Species_Compositio!D29), FALSE), "")</f>
        <v>0</v>
      </c>
      <c r="G29" s="95">
        <f>IFERROR(VLOOKUP($A29,[5]qry_Whonnock_Species_Compositio!$A$1:$O$114,COLUMN([5]qry_Whonnock_Species_Compositio!E29), FALSE), "")</f>
        <v>0</v>
      </c>
      <c r="H29" s="95">
        <f>IFERROR(VLOOKUP($A29,[5]qry_Whonnock_Species_Compositio!$A$1:$O$114,COLUMN([5]qry_Whonnock_Species_Compositio!F29), FALSE), "")</f>
        <v>0</v>
      </c>
      <c r="I29" s="95">
        <f>IFERROR(VLOOKUP($A29,[5]qry_Whonnock_Species_Compositio!$A$1:$O$114,COLUMN([5]qry_Whonnock_Species_Compositio!G29), FALSE), "")</f>
        <v>0</v>
      </c>
      <c r="J29" s="95">
        <f>IFERROR(VLOOKUP($A29,[5]qry_Whonnock_Species_Compositio!$A$1:$O$114,COLUMN([5]qry_Whonnock_Species_Compositio!H29), FALSE), "")</f>
        <v>0</v>
      </c>
      <c r="K29" s="95">
        <f>IFERROR(VLOOKUP($A29,[5]qry_Whonnock_Species_Compositio!$A$1:$O$114,COLUMN([5]qry_Whonnock_Species_Compositio!I29), FALSE), "")</f>
        <v>2</v>
      </c>
      <c r="L29" s="95">
        <f>IFERROR(VLOOKUP($A29,[5]qry_Whonnock_Species_Compositio!$A$1:$O$114,COLUMN([5]qry_Whonnock_Species_Compositio!J29), FALSE), "")</f>
        <v>0</v>
      </c>
      <c r="M29" s="95">
        <f>IFERROR(VLOOKUP($A29,[5]qry_Whonnock_Species_Compositio!$A$1:$O$114,COLUMN([5]qry_Whonnock_Species_Compositio!K29), FALSE), "")</f>
        <v>0</v>
      </c>
      <c r="N29" s="95">
        <f>IFERROR(VLOOKUP($A29,[5]qry_Whonnock_Species_Compositio!$A$1:$O$114,COLUMN([5]qry_Whonnock_Species_Compositio!L29), FALSE), "")</f>
        <v>0</v>
      </c>
      <c r="O29" s="95">
        <f>IFERROR(VLOOKUP($A29,[5]qry_Whonnock_Species_Compositio!$A$1:$O$114,COLUMN([5]qry_Whonnock_Species_Compositio!M29), FALSE), "")</f>
        <v>0</v>
      </c>
      <c r="P29" s="95">
        <f>IFERROR(VLOOKUP($A29,[5]qry_Whonnock_Species_Compositio!$A$1:$O$114,COLUMN([5]qry_Whonnock_Species_Compositio!N29), FALSE), "")</f>
        <v>0</v>
      </c>
      <c r="Q29" s="95">
        <f>IFERROR(VLOOKUP($A29,[5]qry_Whonnock_Species_Compositio!$A$1:$O$114,COLUMN([5]qry_Whonnock_Species_Compositio!O29), FALSE), "")</f>
        <v>0</v>
      </c>
      <c r="R29" s="96">
        <f t="shared" si="7"/>
        <v>0</v>
      </c>
      <c r="S29" s="97">
        <f t="shared" si="8"/>
        <v>0</v>
      </c>
      <c r="T29" s="98">
        <f t="shared" si="9"/>
        <v>0</v>
      </c>
      <c r="U29" s="97">
        <f t="shared" si="10"/>
        <v>0</v>
      </c>
      <c r="V29" s="97">
        <f t="shared" si="11"/>
        <v>0</v>
      </c>
      <c r="W29" s="98">
        <f t="shared" si="12"/>
        <v>0</v>
      </c>
      <c r="X29" s="97">
        <f t="shared" si="13"/>
        <v>0</v>
      </c>
      <c r="Y29" s="97">
        <f t="shared" si="14"/>
        <v>0</v>
      </c>
      <c r="Z29" s="98">
        <f t="shared" si="15"/>
        <v>0</v>
      </c>
      <c r="AA29" s="97">
        <f t="shared" si="16"/>
        <v>0</v>
      </c>
      <c r="AB29" s="97">
        <f t="shared" si="17"/>
        <v>1</v>
      </c>
      <c r="AC29" s="98">
        <f t="shared" si="18"/>
        <v>1</v>
      </c>
      <c r="AD29" s="97">
        <f t="shared" si="19"/>
        <v>0</v>
      </c>
      <c r="AE29" s="97">
        <f t="shared" si="20"/>
        <v>0</v>
      </c>
      <c r="AF29" s="98">
        <f t="shared" si="21"/>
        <v>0</v>
      </c>
      <c r="AG29" s="97">
        <f t="shared" si="22"/>
        <v>0</v>
      </c>
      <c r="AH29" s="97">
        <f t="shared" si="23"/>
        <v>0</v>
      </c>
      <c r="AI29" s="98">
        <f t="shared" si="24"/>
        <v>0</v>
      </c>
      <c r="AJ29" s="97">
        <f t="shared" si="25"/>
        <v>0</v>
      </c>
      <c r="AK29" s="97">
        <f t="shared" si="26"/>
        <v>0</v>
      </c>
      <c r="AL29" s="99">
        <f t="shared" si="27"/>
        <v>0</v>
      </c>
      <c r="AM29" s="100">
        <f t="shared" si="28"/>
        <v>0</v>
      </c>
      <c r="AN29" s="101">
        <f t="shared" si="37"/>
        <v>0</v>
      </c>
      <c r="AO29" s="100">
        <f t="shared" si="29"/>
        <v>0</v>
      </c>
      <c r="AP29" s="101">
        <f t="shared" si="38"/>
        <v>0</v>
      </c>
      <c r="AQ29" s="100">
        <f t="shared" si="30"/>
        <v>0</v>
      </c>
      <c r="AR29" s="101">
        <f t="shared" si="39"/>
        <v>0</v>
      </c>
      <c r="AS29" s="100">
        <f t="shared" si="31"/>
        <v>2</v>
      </c>
      <c r="AT29" s="101">
        <f t="shared" si="40"/>
        <v>1</v>
      </c>
      <c r="AU29" s="100">
        <f t="shared" si="32"/>
        <v>0</v>
      </c>
      <c r="AV29" s="101">
        <f t="shared" si="41"/>
        <v>0</v>
      </c>
      <c r="AW29" s="100">
        <f t="shared" si="33"/>
        <v>0</v>
      </c>
      <c r="AX29" s="101">
        <f t="shared" si="42"/>
        <v>0</v>
      </c>
      <c r="AY29" s="100">
        <f t="shared" si="34"/>
        <v>0</v>
      </c>
      <c r="AZ29" s="101">
        <f t="shared" si="43"/>
        <v>0</v>
      </c>
      <c r="BA29" s="102">
        <f t="shared" si="35"/>
        <v>1</v>
      </c>
    </row>
    <row r="30" spans="1:53" x14ac:dyDescent="0.3">
      <c r="A30" s="92">
        <f>[4]SockEst!A31</f>
        <v>45117</v>
      </c>
      <c r="B30" s="93">
        <f>[4]SockEst!B31</f>
        <v>191</v>
      </c>
      <c r="C30" s="94" t="str">
        <f t="shared" si="36"/>
        <v>TTL</v>
      </c>
      <c r="D30" s="95">
        <f>IFERROR(VLOOKUP($A30,[5]qry_Whonnock_Species_Compositio!$A$1:$O$114,COLUMN([5]qry_Whonnock_Species_Compositio!B30), FALSE), "")</f>
        <v>0</v>
      </c>
      <c r="E30" s="95">
        <f>IFERROR(VLOOKUP($A30,[5]qry_Whonnock_Species_Compositio!$A$1:$O$114,COLUMN([5]qry_Whonnock_Species_Compositio!C30), FALSE), "")</f>
        <v>0</v>
      </c>
      <c r="F30" s="95">
        <f>IFERROR(VLOOKUP($A30,[5]qry_Whonnock_Species_Compositio!$A$1:$O$114,COLUMN([5]qry_Whonnock_Species_Compositio!D30), FALSE), "")</f>
        <v>0</v>
      </c>
      <c r="G30" s="95">
        <f>IFERROR(VLOOKUP($A30,[5]qry_Whonnock_Species_Compositio!$A$1:$O$114,COLUMN([5]qry_Whonnock_Species_Compositio!E30), FALSE), "")</f>
        <v>0</v>
      </c>
      <c r="H30" s="95">
        <f>IFERROR(VLOOKUP($A30,[5]qry_Whonnock_Species_Compositio!$A$1:$O$114,COLUMN([5]qry_Whonnock_Species_Compositio!F30), FALSE), "")</f>
        <v>0</v>
      </c>
      <c r="I30" s="95">
        <f>IFERROR(VLOOKUP($A30,[5]qry_Whonnock_Species_Compositio!$A$1:$O$114,COLUMN([5]qry_Whonnock_Species_Compositio!G30), FALSE), "")</f>
        <v>0</v>
      </c>
      <c r="J30" s="95">
        <f>IFERROR(VLOOKUP($A30,[5]qry_Whonnock_Species_Compositio!$A$1:$O$114,COLUMN([5]qry_Whonnock_Species_Compositio!H30), FALSE), "")</f>
        <v>0</v>
      </c>
      <c r="K30" s="95">
        <f>IFERROR(VLOOKUP($A30,[5]qry_Whonnock_Species_Compositio!$A$1:$O$114,COLUMN([5]qry_Whonnock_Species_Compositio!I30), FALSE), "")</f>
        <v>2</v>
      </c>
      <c r="L30" s="95">
        <f>IFERROR(VLOOKUP($A30,[5]qry_Whonnock_Species_Compositio!$A$1:$O$114,COLUMN([5]qry_Whonnock_Species_Compositio!J30), FALSE), "")</f>
        <v>0</v>
      </c>
      <c r="M30" s="95">
        <f>IFERROR(VLOOKUP($A30,[5]qry_Whonnock_Species_Compositio!$A$1:$O$114,COLUMN([5]qry_Whonnock_Species_Compositio!K30), FALSE), "")</f>
        <v>0</v>
      </c>
      <c r="N30" s="95">
        <f>IFERROR(VLOOKUP($A30,[5]qry_Whonnock_Species_Compositio!$A$1:$O$114,COLUMN([5]qry_Whonnock_Species_Compositio!L30), FALSE), "")</f>
        <v>0</v>
      </c>
      <c r="O30" s="95">
        <f>IFERROR(VLOOKUP($A30,[5]qry_Whonnock_Species_Compositio!$A$1:$O$114,COLUMN([5]qry_Whonnock_Species_Compositio!M30), FALSE), "")</f>
        <v>0</v>
      </c>
      <c r="P30" s="95">
        <f>IFERROR(VLOOKUP($A30,[5]qry_Whonnock_Species_Compositio!$A$1:$O$114,COLUMN([5]qry_Whonnock_Species_Compositio!N30), FALSE), "")</f>
        <v>0</v>
      </c>
      <c r="Q30" s="95">
        <f>IFERROR(VLOOKUP($A30,[5]qry_Whonnock_Species_Compositio!$A$1:$O$114,COLUMN([5]qry_Whonnock_Species_Compositio!O30), FALSE), "")</f>
        <v>0</v>
      </c>
      <c r="R30" s="96">
        <f t="shared" si="7"/>
        <v>0</v>
      </c>
      <c r="S30" s="97">
        <f t="shared" si="8"/>
        <v>0</v>
      </c>
      <c r="T30" s="98">
        <f t="shared" si="9"/>
        <v>0</v>
      </c>
      <c r="U30" s="97">
        <f t="shared" si="10"/>
        <v>0</v>
      </c>
      <c r="V30" s="97">
        <f t="shared" si="11"/>
        <v>0</v>
      </c>
      <c r="W30" s="98">
        <f t="shared" si="12"/>
        <v>0</v>
      </c>
      <c r="X30" s="97">
        <f t="shared" si="13"/>
        <v>0</v>
      </c>
      <c r="Y30" s="97">
        <f t="shared" si="14"/>
        <v>0</v>
      </c>
      <c r="Z30" s="98">
        <f t="shared" si="15"/>
        <v>0</v>
      </c>
      <c r="AA30" s="97">
        <f t="shared" si="16"/>
        <v>0</v>
      </c>
      <c r="AB30" s="97">
        <f t="shared" si="17"/>
        <v>1</v>
      </c>
      <c r="AC30" s="98">
        <f t="shared" si="18"/>
        <v>1</v>
      </c>
      <c r="AD30" s="97">
        <f t="shared" si="19"/>
        <v>0</v>
      </c>
      <c r="AE30" s="97">
        <f t="shared" si="20"/>
        <v>0</v>
      </c>
      <c r="AF30" s="98">
        <f t="shared" si="21"/>
        <v>0</v>
      </c>
      <c r="AG30" s="97">
        <f t="shared" si="22"/>
        <v>0</v>
      </c>
      <c r="AH30" s="97">
        <f t="shared" si="23"/>
        <v>0</v>
      </c>
      <c r="AI30" s="98">
        <f t="shared" si="24"/>
        <v>0</v>
      </c>
      <c r="AJ30" s="97">
        <f t="shared" si="25"/>
        <v>0</v>
      </c>
      <c r="AK30" s="97">
        <f t="shared" si="26"/>
        <v>0</v>
      </c>
      <c r="AL30" s="99">
        <f t="shared" si="27"/>
        <v>0</v>
      </c>
      <c r="AM30" s="100">
        <f t="shared" si="28"/>
        <v>0</v>
      </c>
      <c r="AN30" s="101">
        <f t="shared" si="37"/>
        <v>0</v>
      </c>
      <c r="AO30" s="100">
        <f t="shared" si="29"/>
        <v>0</v>
      </c>
      <c r="AP30" s="101">
        <f t="shared" si="38"/>
        <v>0</v>
      </c>
      <c r="AQ30" s="100">
        <f t="shared" si="30"/>
        <v>0</v>
      </c>
      <c r="AR30" s="101">
        <f t="shared" si="39"/>
        <v>0</v>
      </c>
      <c r="AS30" s="100">
        <f t="shared" si="31"/>
        <v>2</v>
      </c>
      <c r="AT30" s="101">
        <f t="shared" si="40"/>
        <v>1</v>
      </c>
      <c r="AU30" s="100">
        <f t="shared" si="32"/>
        <v>0</v>
      </c>
      <c r="AV30" s="101">
        <f t="shared" si="41"/>
        <v>0</v>
      </c>
      <c r="AW30" s="100">
        <f t="shared" si="33"/>
        <v>0</v>
      </c>
      <c r="AX30" s="101">
        <f t="shared" si="42"/>
        <v>0</v>
      </c>
      <c r="AY30" s="100">
        <f t="shared" si="34"/>
        <v>0</v>
      </c>
      <c r="AZ30" s="101">
        <f t="shared" si="43"/>
        <v>0</v>
      </c>
      <c r="BA30" s="102">
        <f t="shared" si="35"/>
        <v>1</v>
      </c>
    </row>
    <row r="31" spans="1:53" x14ac:dyDescent="0.3">
      <c r="A31" s="92">
        <f>[4]SockEst!A32</f>
        <v>45118</v>
      </c>
      <c r="B31" s="93">
        <f>[4]SockEst!B32</f>
        <v>192</v>
      </c>
      <c r="C31" s="94" t="str">
        <f t="shared" si="36"/>
        <v>TTL</v>
      </c>
      <c r="D31" s="95">
        <f>IFERROR(VLOOKUP($A31,[5]qry_Whonnock_Species_Compositio!$A$1:$O$114,COLUMN([5]qry_Whonnock_Species_Compositio!B31), FALSE), "")</f>
        <v>0</v>
      </c>
      <c r="E31" s="95">
        <f>IFERROR(VLOOKUP($A31,[5]qry_Whonnock_Species_Compositio!$A$1:$O$114,COLUMN([5]qry_Whonnock_Species_Compositio!C31), FALSE), "")</f>
        <v>3</v>
      </c>
      <c r="F31" s="95">
        <f>IFERROR(VLOOKUP($A31,[5]qry_Whonnock_Species_Compositio!$A$1:$O$114,COLUMN([5]qry_Whonnock_Species_Compositio!D31), FALSE), "")</f>
        <v>0</v>
      </c>
      <c r="G31" s="95">
        <f>IFERROR(VLOOKUP($A31,[5]qry_Whonnock_Species_Compositio!$A$1:$O$114,COLUMN([5]qry_Whonnock_Species_Compositio!E31), FALSE), "")</f>
        <v>0</v>
      </c>
      <c r="H31" s="95">
        <f>IFERROR(VLOOKUP($A31,[5]qry_Whonnock_Species_Compositio!$A$1:$O$114,COLUMN([5]qry_Whonnock_Species_Compositio!F31), FALSE), "")</f>
        <v>0</v>
      </c>
      <c r="I31" s="95">
        <f>IFERROR(VLOOKUP($A31,[5]qry_Whonnock_Species_Compositio!$A$1:$O$114,COLUMN([5]qry_Whonnock_Species_Compositio!G31), FALSE), "")</f>
        <v>0</v>
      </c>
      <c r="J31" s="95">
        <f>IFERROR(VLOOKUP($A31,[5]qry_Whonnock_Species_Compositio!$A$1:$O$114,COLUMN([5]qry_Whonnock_Species_Compositio!H31), FALSE), "")</f>
        <v>0</v>
      </c>
      <c r="K31" s="95">
        <f>IFERROR(VLOOKUP($A31,[5]qry_Whonnock_Species_Compositio!$A$1:$O$114,COLUMN([5]qry_Whonnock_Species_Compositio!I31), FALSE), "")</f>
        <v>0</v>
      </c>
      <c r="L31" s="95">
        <f>IFERROR(VLOOKUP($A31,[5]qry_Whonnock_Species_Compositio!$A$1:$O$114,COLUMN([5]qry_Whonnock_Species_Compositio!J31), FALSE), "")</f>
        <v>0</v>
      </c>
      <c r="M31" s="95">
        <f>IFERROR(VLOOKUP($A31,[5]qry_Whonnock_Species_Compositio!$A$1:$O$114,COLUMN([5]qry_Whonnock_Species_Compositio!K31), FALSE), "")</f>
        <v>0</v>
      </c>
      <c r="N31" s="95">
        <f>IFERROR(VLOOKUP($A31,[5]qry_Whonnock_Species_Compositio!$A$1:$O$114,COLUMN([5]qry_Whonnock_Species_Compositio!L31), FALSE), "")</f>
        <v>0</v>
      </c>
      <c r="O31" s="95">
        <f>IFERROR(VLOOKUP($A31,[5]qry_Whonnock_Species_Compositio!$A$1:$O$114,COLUMN([5]qry_Whonnock_Species_Compositio!M31), FALSE), "")</f>
        <v>0</v>
      </c>
      <c r="P31" s="95">
        <f>IFERROR(VLOOKUP($A31,[5]qry_Whonnock_Species_Compositio!$A$1:$O$114,COLUMN([5]qry_Whonnock_Species_Compositio!N31), FALSE), "")</f>
        <v>0</v>
      </c>
      <c r="Q31" s="95">
        <f>IFERROR(VLOOKUP($A31,[5]qry_Whonnock_Species_Compositio!$A$1:$O$114,COLUMN([5]qry_Whonnock_Species_Compositio!O31), FALSE), "")</f>
        <v>0</v>
      </c>
      <c r="R31" s="96">
        <f t="shared" si="7"/>
        <v>0</v>
      </c>
      <c r="S31" s="97">
        <f t="shared" si="8"/>
        <v>1</v>
      </c>
      <c r="T31" s="98">
        <f t="shared" si="9"/>
        <v>1</v>
      </c>
      <c r="U31" s="97">
        <f t="shared" si="10"/>
        <v>0</v>
      </c>
      <c r="V31" s="97">
        <f t="shared" si="11"/>
        <v>0</v>
      </c>
      <c r="W31" s="98">
        <f t="shared" si="12"/>
        <v>0</v>
      </c>
      <c r="X31" s="97">
        <f t="shared" si="13"/>
        <v>0</v>
      </c>
      <c r="Y31" s="97">
        <f t="shared" si="14"/>
        <v>0</v>
      </c>
      <c r="Z31" s="98">
        <f t="shared" si="15"/>
        <v>0</v>
      </c>
      <c r="AA31" s="97">
        <f t="shared" si="16"/>
        <v>0</v>
      </c>
      <c r="AB31" s="97">
        <f t="shared" si="17"/>
        <v>0</v>
      </c>
      <c r="AC31" s="98">
        <f t="shared" si="18"/>
        <v>0</v>
      </c>
      <c r="AD31" s="97">
        <f t="shared" si="19"/>
        <v>0</v>
      </c>
      <c r="AE31" s="97">
        <f t="shared" si="20"/>
        <v>0</v>
      </c>
      <c r="AF31" s="98">
        <f t="shared" si="21"/>
        <v>0</v>
      </c>
      <c r="AG31" s="97">
        <f t="shared" si="22"/>
        <v>0</v>
      </c>
      <c r="AH31" s="97">
        <f t="shared" si="23"/>
        <v>0</v>
      </c>
      <c r="AI31" s="98">
        <f t="shared" si="24"/>
        <v>0</v>
      </c>
      <c r="AJ31" s="97">
        <f t="shared" si="25"/>
        <v>0</v>
      </c>
      <c r="AK31" s="97">
        <f t="shared" si="26"/>
        <v>0</v>
      </c>
      <c r="AL31" s="99">
        <f t="shared" si="27"/>
        <v>0</v>
      </c>
      <c r="AM31" s="100">
        <f t="shared" si="28"/>
        <v>3</v>
      </c>
      <c r="AN31" s="101">
        <f t="shared" si="37"/>
        <v>1</v>
      </c>
      <c r="AO31" s="100">
        <f t="shared" si="29"/>
        <v>0</v>
      </c>
      <c r="AP31" s="101">
        <f t="shared" si="38"/>
        <v>0</v>
      </c>
      <c r="AQ31" s="100">
        <f t="shared" si="30"/>
        <v>0</v>
      </c>
      <c r="AR31" s="101">
        <f t="shared" si="39"/>
        <v>0</v>
      </c>
      <c r="AS31" s="100">
        <f t="shared" si="31"/>
        <v>0</v>
      </c>
      <c r="AT31" s="101">
        <f t="shared" si="40"/>
        <v>0</v>
      </c>
      <c r="AU31" s="100">
        <f t="shared" si="32"/>
        <v>0</v>
      </c>
      <c r="AV31" s="101">
        <f t="shared" si="41"/>
        <v>0</v>
      </c>
      <c r="AW31" s="100">
        <f t="shared" si="33"/>
        <v>0</v>
      </c>
      <c r="AX31" s="101">
        <f t="shared" si="42"/>
        <v>0</v>
      </c>
      <c r="AY31" s="100">
        <f t="shared" si="34"/>
        <v>0</v>
      </c>
      <c r="AZ31" s="101">
        <f t="shared" si="43"/>
        <v>0</v>
      </c>
      <c r="BA31" s="102">
        <f t="shared" si="35"/>
        <v>1</v>
      </c>
    </row>
    <row r="32" spans="1:53" x14ac:dyDescent="0.3">
      <c r="A32" s="92">
        <f>[4]SockEst!A33</f>
        <v>45119</v>
      </c>
      <c r="B32" s="93">
        <f>[4]SockEst!B33</f>
        <v>193</v>
      </c>
      <c r="C32" s="94" t="str">
        <f t="shared" si="36"/>
        <v>TTL</v>
      </c>
      <c r="D32" s="95">
        <f>IFERROR(VLOOKUP($A32,[5]qry_Whonnock_Species_Compositio!$A$1:$O$114,COLUMN([5]qry_Whonnock_Species_Compositio!B32), FALSE), "")</f>
        <v>0</v>
      </c>
      <c r="E32" s="95">
        <f>IFERROR(VLOOKUP($A32,[5]qry_Whonnock_Species_Compositio!$A$1:$O$114,COLUMN([5]qry_Whonnock_Species_Compositio!C32), FALSE), "")</f>
        <v>0</v>
      </c>
      <c r="F32" s="95">
        <f>IFERROR(VLOOKUP($A32,[5]qry_Whonnock_Species_Compositio!$A$1:$O$114,COLUMN([5]qry_Whonnock_Species_Compositio!D32), FALSE), "")</f>
        <v>0</v>
      </c>
      <c r="G32" s="95">
        <f>IFERROR(VLOOKUP($A32,[5]qry_Whonnock_Species_Compositio!$A$1:$O$114,COLUMN([5]qry_Whonnock_Species_Compositio!E32), FALSE), "")</f>
        <v>0</v>
      </c>
      <c r="H32" s="95">
        <f>IFERROR(VLOOKUP($A32,[5]qry_Whonnock_Species_Compositio!$A$1:$O$114,COLUMN([5]qry_Whonnock_Species_Compositio!F32), FALSE), "")</f>
        <v>0</v>
      </c>
      <c r="I32" s="95">
        <f>IFERROR(VLOOKUP($A32,[5]qry_Whonnock_Species_Compositio!$A$1:$O$114,COLUMN([5]qry_Whonnock_Species_Compositio!G32), FALSE), "")</f>
        <v>0</v>
      </c>
      <c r="J32" s="95">
        <f>IFERROR(VLOOKUP($A32,[5]qry_Whonnock_Species_Compositio!$A$1:$O$114,COLUMN([5]qry_Whonnock_Species_Compositio!H32), FALSE), "")</f>
        <v>0</v>
      </c>
      <c r="K32" s="95">
        <f>IFERROR(VLOOKUP($A32,[5]qry_Whonnock_Species_Compositio!$A$1:$O$114,COLUMN([5]qry_Whonnock_Species_Compositio!I32), FALSE), "")</f>
        <v>0</v>
      </c>
      <c r="L32" s="95">
        <f>IFERROR(VLOOKUP($A32,[5]qry_Whonnock_Species_Compositio!$A$1:$O$114,COLUMN([5]qry_Whonnock_Species_Compositio!J32), FALSE), "")</f>
        <v>0</v>
      </c>
      <c r="M32" s="95">
        <f>IFERROR(VLOOKUP($A32,[5]qry_Whonnock_Species_Compositio!$A$1:$O$114,COLUMN([5]qry_Whonnock_Species_Compositio!K32), FALSE), "")</f>
        <v>0</v>
      </c>
      <c r="N32" s="95">
        <f>IFERROR(VLOOKUP($A32,[5]qry_Whonnock_Species_Compositio!$A$1:$O$114,COLUMN([5]qry_Whonnock_Species_Compositio!L32), FALSE), "")</f>
        <v>0</v>
      </c>
      <c r="O32" s="95">
        <f>IFERROR(VLOOKUP($A32,[5]qry_Whonnock_Species_Compositio!$A$1:$O$114,COLUMN([5]qry_Whonnock_Species_Compositio!M32), FALSE), "")</f>
        <v>0</v>
      </c>
      <c r="P32" s="95">
        <f>IFERROR(VLOOKUP($A32,[5]qry_Whonnock_Species_Compositio!$A$1:$O$114,COLUMN([5]qry_Whonnock_Species_Compositio!N32), FALSE), "")</f>
        <v>0</v>
      </c>
      <c r="Q32" s="95">
        <f>IFERROR(VLOOKUP($A32,[5]qry_Whonnock_Species_Compositio!$A$1:$O$114,COLUMN([5]qry_Whonnock_Species_Compositio!O32), FALSE), "")</f>
        <v>0</v>
      </c>
      <c r="R32" s="96">
        <f t="shared" si="7"/>
        <v>0</v>
      </c>
      <c r="S32" s="97">
        <f t="shared" si="8"/>
        <v>0</v>
      </c>
      <c r="T32" s="98">
        <f t="shared" si="9"/>
        <v>0</v>
      </c>
      <c r="U32" s="97">
        <f t="shared" si="10"/>
        <v>0</v>
      </c>
      <c r="V32" s="97">
        <f t="shared" si="11"/>
        <v>0</v>
      </c>
      <c r="W32" s="98">
        <f t="shared" si="12"/>
        <v>0</v>
      </c>
      <c r="X32" s="97">
        <f t="shared" si="13"/>
        <v>0</v>
      </c>
      <c r="Y32" s="97">
        <f t="shared" si="14"/>
        <v>0</v>
      </c>
      <c r="Z32" s="98">
        <f t="shared" si="15"/>
        <v>0</v>
      </c>
      <c r="AA32" s="97">
        <f t="shared" si="16"/>
        <v>0</v>
      </c>
      <c r="AB32" s="97">
        <f t="shared" si="17"/>
        <v>0</v>
      </c>
      <c r="AC32" s="98">
        <f t="shared" si="18"/>
        <v>0</v>
      </c>
      <c r="AD32" s="97">
        <f t="shared" si="19"/>
        <v>0</v>
      </c>
      <c r="AE32" s="97">
        <f t="shared" si="20"/>
        <v>0</v>
      </c>
      <c r="AF32" s="98">
        <f t="shared" si="21"/>
        <v>0</v>
      </c>
      <c r="AG32" s="97">
        <f t="shared" si="22"/>
        <v>0</v>
      </c>
      <c r="AH32" s="97">
        <f t="shared" si="23"/>
        <v>0</v>
      </c>
      <c r="AI32" s="98">
        <f t="shared" si="24"/>
        <v>0</v>
      </c>
      <c r="AJ32" s="97">
        <f t="shared" si="25"/>
        <v>0</v>
      </c>
      <c r="AK32" s="97">
        <f t="shared" si="26"/>
        <v>0</v>
      </c>
      <c r="AL32" s="99">
        <f t="shared" si="27"/>
        <v>0</v>
      </c>
      <c r="AM32" s="100">
        <f t="shared" si="28"/>
        <v>0</v>
      </c>
      <c r="AN32" s="101">
        <f t="shared" si="37"/>
        <v>0</v>
      </c>
      <c r="AO32" s="100">
        <f t="shared" si="29"/>
        <v>0</v>
      </c>
      <c r="AP32" s="101">
        <f t="shared" si="38"/>
        <v>0</v>
      </c>
      <c r="AQ32" s="100">
        <f t="shared" si="30"/>
        <v>0</v>
      </c>
      <c r="AR32" s="101">
        <f t="shared" si="39"/>
        <v>0</v>
      </c>
      <c r="AS32" s="100">
        <f t="shared" si="31"/>
        <v>0</v>
      </c>
      <c r="AT32" s="101">
        <f t="shared" si="40"/>
        <v>0</v>
      </c>
      <c r="AU32" s="100">
        <f t="shared" si="32"/>
        <v>0</v>
      </c>
      <c r="AV32" s="101">
        <f t="shared" si="41"/>
        <v>0</v>
      </c>
      <c r="AW32" s="100">
        <f t="shared" si="33"/>
        <v>0</v>
      </c>
      <c r="AX32" s="101">
        <f t="shared" si="42"/>
        <v>0</v>
      </c>
      <c r="AY32" s="100">
        <f t="shared" si="34"/>
        <v>0</v>
      </c>
      <c r="AZ32" s="101">
        <f t="shared" si="43"/>
        <v>0</v>
      </c>
      <c r="BA32" s="102">
        <f t="shared" si="35"/>
        <v>0</v>
      </c>
    </row>
    <row r="33" spans="1:53" x14ac:dyDescent="0.3">
      <c r="A33" s="92">
        <f>[4]SockEst!A34</f>
        <v>45120</v>
      </c>
      <c r="B33" s="93">
        <f>[4]SockEst!B34</f>
        <v>194</v>
      </c>
      <c r="C33" s="94" t="str">
        <f t="shared" si="36"/>
        <v>TTL</v>
      </c>
      <c r="D33" s="95">
        <f>IFERROR(VLOOKUP($A33,[5]qry_Whonnock_Species_Compositio!$A$1:$O$114,COLUMN([5]qry_Whonnock_Species_Compositio!B33), FALSE), "")</f>
        <v>1</v>
      </c>
      <c r="E33" s="95">
        <f>IFERROR(VLOOKUP($A33,[5]qry_Whonnock_Species_Compositio!$A$1:$O$114,COLUMN([5]qry_Whonnock_Species_Compositio!C33), FALSE), "")</f>
        <v>2</v>
      </c>
      <c r="F33" s="95">
        <f>IFERROR(VLOOKUP($A33,[5]qry_Whonnock_Species_Compositio!$A$1:$O$114,COLUMN([5]qry_Whonnock_Species_Compositio!D33), FALSE), "")</f>
        <v>0</v>
      </c>
      <c r="G33" s="95">
        <f>IFERROR(VLOOKUP($A33,[5]qry_Whonnock_Species_Compositio!$A$1:$O$114,COLUMN([5]qry_Whonnock_Species_Compositio!E33), FALSE), "")</f>
        <v>0</v>
      </c>
      <c r="H33" s="95">
        <f>IFERROR(VLOOKUP($A33,[5]qry_Whonnock_Species_Compositio!$A$1:$O$114,COLUMN([5]qry_Whonnock_Species_Compositio!F33), FALSE), "")</f>
        <v>0</v>
      </c>
      <c r="I33" s="95">
        <f>IFERROR(VLOOKUP($A33,[5]qry_Whonnock_Species_Compositio!$A$1:$O$114,COLUMN([5]qry_Whonnock_Species_Compositio!G33), FALSE), "")</f>
        <v>0</v>
      </c>
      <c r="J33" s="95">
        <f>IFERROR(VLOOKUP($A33,[5]qry_Whonnock_Species_Compositio!$A$1:$O$114,COLUMN([5]qry_Whonnock_Species_Compositio!H33), FALSE), "")</f>
        <v>0</v>
      </c>
      <c r="K33" s="95">
        <f>IFERROR(VLOOKUP($A33,[5]qry_Whonnock_Species_Compositio!$A$1:$O$114,COLUMN([5]qry_Whonnock_Species_Compositio!I33), FALSE), "")</f>
        <v>0</v>
      </c>
      <c r="L33" s="95">
        <f>IFERROR(VLOOKUP($A33,[5]qry_Whonnock_Species_Compositio!$A$1:$O$114,COLUMN([5]qry_Whonnock_Species_Compositio!J33), FALSE), "")</f>
        <v>0</v>
      </c>
      <c r="M33" s="95">
        <f>IFERROR(VLOOKUP($A33,[5]qry_Whonnock_Species_Compositio!$A$1:$O$114,COLUMN([5]qry_Whonnock_Species_Compositio!K33), FALSE), "")</f>
        <v>0</v>
      </c>
      <c r="N33" s="95">
        <f>IFERROR(VLOOKUP($A33,[5]qry_Whonnock_Species_Compositio!$A$1:$O$114,COLUMN([5]qry_Whonnock_Species_Compositio!L33), FALSE), "")</f>
        <v>0</v>
      </c>
      <c r="O33" s="95">
        <f>IFERROR(VLOOKUP($A33,[5]qry_Whonnock_Species_Compositio!$A$1:$O$114,COLUMN([5]qry_Whonnock_Species_Compositio!M33), FALSE), "")</f>
        <v>0</v>
      </c>
      <c r="P33" s="95">
        <f>IFERROR(VLOOKUP($A33,[5]qry_Whonnock_Species_Compositio!$A$1:$O$114,COLUMN([5]qry_Whonnock_Species_Compositio!N33), FALSE), "")</f>
        <v>0</v>
      </c>
      <c r="Q33" s="95">
        <f>IFERROR(VLOOKUP($A33,[5]qry_Whonnock_Species_Compositio!$A$1:$O$114,COLUMN([5]qry_Whonnock_Species_Compositio!O33), FALSE), "")</f>
        <v>0</v>
      </c>
      <c r="R33" s="96">
        <f t="shared" si="7"/>
        <v>1</v>
      </c>
      <c r="S33" s="97">
        <f t="shared" si="8"/>
        <v>1</v>
      </c>
      <c r="T33" s="98">
        <f t="shared" si="9"/>
        <v>1</v>
      </c>
      <c r="U33" s="97">
        <f t="shared" si="10"/>
        <v>0</v>
      </c>
      <c r="V33" s="97">
        <f t="shared" si="11"/>
        <v>0</v>
      </c>
      <c r="W33" s="98">
        <f t="shared" si="12"/>
        <v>0</v>
      </c>
      <c r="X33" s="97">
        <f t="shared" si="13"/>
        <v>0</v>
      </c>
      <c r="Y33" s="97">
        <f t="shared" si="14"/>
        <v>0</v>
      </c>
      <c r="Z33" s="98">
        <f t="shared" si="15"/>
        <v>0</v>
      </c>
      <c r="AA33" s="97">
        <f t="shared" si="16"/>
        <v>0</v>
      </c>
      <c r="AB33" s="97">
        <f t="shared" si="17"/>
        <v>0</v>
      </c>
      <c r="AC33" s="98">
        <f t="shared" si="18"/>
        <v>0</v>
      </c>
      <c r="AD33" s="97">
        <f t="shared" si="19"/>
        <v>0</v>
      </c>
      <c r="AE33" s="97">
        <f t="shared" si="20"/>
        <v>0</v>
      </c>
      <c r="AF33" s="98">
        <f t="shared" si="21"/>
        <v>0</v>
      </c>
      <c r="AG33" s="97">
        <f t="shared" si="22"/>
        <v>0</v>
      </c>
      <c r="AH33" s="97">
        <f t="shared" si="23"/>
        <v>0</v>
      </c>
      <c r="AI33" s="98">
        <f t="shared" si="24"/>
        <v>0</v>
      </c>
      <c r="AJ33" s="97">
        <f t="shared" si="25"/>
        <v>0</v>
      </c>
      <c r="AK33" s="97">
        <f t="shared" si="26"/>
        <v>0</v>
      </c>
      <c r="AL33" s="99">
        <f t="shared" si="27"/>
        <v>0</v>
      </c>
      <c r="AM33" s="100">
        <f t="shared" si="28"/>
        <v>3</v>
      </c>
      <c r="AN33" s="101">
        <f t="shared" si="37"/>
        <v>1</v>
      </c>
      <c r="AO33" s="100">
        <f t="shared" si="29"/>
        <v>0</v>
      </c>
      <c r="AP33" s="101">
        <f t="shared" si="38"/>
        <v>0</v>
      </c>
      <c r="AQ33" s="100">
        <f t="shared" si="30"/>
        <v>0</v>
      </c>
      <c r="AR33" s="101">
        <f t="shared" si="39"/>
        <v>0</v>
      </c>
      <c r="AS33" s="100">
        <f t="shared" si="31"/>
        <v>0</v>
      </c>
      <c r="AT33" s="101">
        <f t="shared" si="40"/>
        <v>0</v>
      </c>
      <c r="AU33" s="100">
        <f t="shared" si="32"/>
        <v>0</v>
      </c>
      <c r="AV33" s="101">
        <f t="shared" si="41"/>
        <v>0</v>
      </c>
      <c r="AW33" s="100">
        <f t="shared" si="33"/>
        <v>0</v>
      </c>
      <c r="AX33" s="101">
        <f t="shared" si="42"/>
        <v>0</v>
      </c>
      <c r="AY33" s="100">
        <f t="shared" si="34"/>
        <v>0</v>
      </c>
      <c r="AZ33" s="101">
        <f t="shared" si="43"/>
        <v>0</v>
      </c>
      <c r="BA33" s="102">
        <f t="shared" si="35"/>
        <v>1</v>
      </c>
    </row>
    <row r="34" spans="1:53" x14ac:dyDescent="0.3">
      <c r="A34" s="92">
        <f>[4]SockEst!A35</f>
        <v>45121</v>
      </c>
      <c r="B34" s="93">
        <f>[4]SockEst!B35</f>
        <v>195</v>
      </c>
      <c r="C34" s="94" t="str">
        <f t="shared" si="36"/>
        <v>TTL</v>
      </c>
      <c r="D34" s="95">
        <f>IFERROR(VLOOKUP($A34,[5]qry_Whonnock_Species_Compositio!$A$1:$O$114,COLUMN([5]qry_Whonnock_Species_Compositio!B34), FALSE), "")</f>
        <v>8</v>
      </c>
      <c r="E34" s="95">
        <f>IFERROR(VLOOKUP($A34,[5]qry_Whonnock_Species_Compositio!$A$1:$O$114,COLUMN([5]qry_Whonnock_Species_Compositio!C34), FALSE), "")</f>
        <v>5</v>
      </c>
      <c r="F34" s="95">
        <f>IFERROR(VLOOKUP($A34,[5]qry_Whonnock_Species_Compositio!$A$1:$O$114,COLUMN([5]qry_Whonnock_Species_Compositio!D34), FALSE), "")</f>
        <v>0</v>
      </c>
      <c r="G34" s="95">
        <f>IFERROR(VLOOKUP($A34,[5]qry_Whonnock_Species_Compositio!$A$1:$O$114,COLUMN([5]qry_Whonnock_Species_Compositio!E34), FALSE), "")</f>
        <v>0</v>
      </c>
      <c r="H34" s="95">
        <f>IFERROR(VLOOKUP($A34,[5]qry_Whonnock_Species_Compositio!$A$1:$O$114,COLUMN([5]qry_Whonnock_Species_Compositio!F34), FALSE), "")</f>
        <v>0</v>
      </c>
      <c r="I34" s="95">
        <f>IFERROR(VLOOKUP($A34,[5]qry_Whonnock_Species_Compositio!$A$1:$O$114,COLUMN([5]qry_Whonnock_Species_Compositio!G34), FALSE), "")</f>
        <v>0</v>
      </c>
      <c r="J34" s="95">
        <f>IFERROR(VLOOKUP($A34,[5]qry_Whonnock_Species_Compositio!$A$1:$O$114,COLUMN([5]qry_Whonnock_Species_Compositio!H34), FALSE), "")</f>
        <v>0</v>
      </c>
      <c r="K34" s="95">
        <f>IFERROR(VLOOKUP($A34,[5]qry_Whonnock_Species_Compositio!$A$1:$O$114,COLUMN([5]qry_Whonnock_Species_Compositio!I34), FALSE), "")</f>
        <v>7</v>
      </c>
      <c r="L34" s="95">
        <f>IFERROR(VLOOKUP($A34,[5]qry_Whonnock_Species_Compositio!$A$1:$O$114,COLUMN([5]qry_Whonnock_Species_Compositio!J34), FALSE), "")</f>
        <v>1</v>
      </c>
      <c r="M34" s="95">
        <f>IFERROR(VLOOKUP($A34,[5]qry_Whonnock_Species_Compositio!$A$1:$O$114,COLUMN([5]qry_Whonnock_Species_Compositio!K34), FALSE), "")</f>
        <v>0</v>
      </c>
      <c r="N34" s="95">
        <f>IFERROR(VLOOKUP($A34,[5]qry_Whonnock_Species_Compositio!$A$1:$O$114,COLUMN([5]qry_Whonnock_Species_Compositio!L34), FALSE), "")</f>
        <v>0</v>
      </c>
      <c r="O34" s="95">
        <f>IFERROR(VLOOKUP($A34,[5]qry_Whonnock_Species_Compositio!$A$1:$O$114,COLUMN([5]qry_Whonnock_Species_Compositio!M34), FALSE), "")</f>
        <v>0</v>
      </c>
      <c r="P34" s="95">
        <f>IFERROR(VLOOKUP($A34,[5]qry_Whonnock_Species_Compositio!$A$1:$O$114,COLUMN([5]qry_Whonnock_Species_Compositio!N34), FALSE), "")</f>
        <v>0</v>
      </c>
      <c r="Q34" s="95">
        <f>IFERROR(VLOOKUP($A34,[5]qry_Whonnock_Species_Compositio!$A$1:$O$114,COLUMN([5]qry_Whonnock_Species_Compositio!O34), FALSE), "")</f>
        <v>0</v>
      </c>
      <c r="R34" s="96">
        <f t="shared" si="7"/>
        <v>0.88888888888888884</v>
      </c>
      <c r="S34" s="97">
        <f t="shared" si="8"/>
        <v>0.41666666666666669</v>
      </c>
      <c r="T34" s="98">
        <f t="shared" si="9"/>
        <v>0.61904761904761907</v>
      </c>
      <c r="U34" s="97">
        <f t="shared" si="10"/>
        <v>0</v>
      </c>
      <c r="V34" s="97">
        <f t="shared" si="11"/>
        <v>0</v>
      </c>
      <c r="W34" s="98">
        <f t="shared" si="12"/>
        <v>0</v>
      </c>
      <c r="X34" s="97">
        <f t="shared" si="13"/>
        <v>0</v>
      </c>
      <c r="Y34" s="97">
        <f t="shared" si="14"/>
        <v>0</v>
      </c>
      <c r="Z34" s="98">
        <f t="shared" si="15"/>
        <v>0</v>
      </c>
      <c r="AA34" s="97">
        <f t="shared" si="16"/>
        <v>0</v>
      </c>
      <c r="AB34" s="97">
        <f t="shared" si="17"/>
        <v>0.58333333333333337</v>
      </c>
      <c r="AC34" s="98">
        <f t="shared" si="18"/>
        <v>0.33333333333333331</v>
      </c>
      <c r="AD34" s="97">
        <f t="shared" si="19"/>
        <v>0.1111111111111111</v>
      </c>
      <c r="AE34" s="97">
        <f t="shared" si="20"/>
        <v>0</v>
      </c>
      <c r="AF34" s="98">
        <f t="shared" si="21"/>
        <v>4.7619047619047616E-2</v>
      </c>
      <c r="AG34" s="97">
        <f t="shared" si="22"/>
        <v>0</v>
      </c>
      <c r="AH34" s="97">
        <f t="shared" si="23"/>
        <v>0</v>
      </c>
      <c r="AI34" s="98">
        <f t="shared" si="24"/>
        <v>0</v>
      </c>
      <c r="AJ34" s="97">
        <f t="shared" si="25"/>
        <v>0</v>
      </c>
      <c r="AK34" s="97">
        <f t="shared" si="26"/>
        <v>0</v>
      </c>
      <c r="AL34" s="99">
        <f t="shared" si="27"/>
        <v>0</v>
      </c>
      <c r="AM34" s="100">
        <f t="shared" si="28"/>
        <v>13</v>
      </c>
      <c r="AN34" s="101">
        <f t="shared" si="37"/>
        <v>0.61904761904761907</v>
      </c>
      <c r="AO34" s="100">
        <f t="shared" si="29"/>
        <v>0</v>
      </c>
      <c r="AP34" s="101">
        <f t="shared" si="38"/>
        <v>0</v>
      </c>
      <c r="AQ34" s="100">
        <f t="shared" si="30"/>
        <v>0</v>
      </c>
      <c r="AR34" s="101">
        <f t="shared" si="39"/>
        <v>0</v>
      </c>
      <c r="AS34" s="100">
        <f t="shared" si="31"/>
        <v>7</v>
      </c>
      <c r="AT34" s="101">
        <f t="shared" si="40"/>
        <v>0.33333333333333331</v>
      </c>
      <c r="AU34" s="100">
        <f t="shared" si="32"/>
        <v>1</v>
      </c>
      <c r="AV34" s="101">
        <f t="shared" si="41"/>
        <v>4.7619047619047616E-2</v>
      </c>
      <c r="AW34" s="100">
        <f t="shared" si="33"/>
        <v>0</v>
      </c>
      <c r="AX34" s="101">
        <f t="shared" si="42"/>
        <v>0</v>
      </c>
      <c r="AY34" s="100">
        <f t="shared" si="34"/>
        <v>0</v>
      </c>
      <c r="AZ34" s="101">
        <f t="shared" si="43"/>
        <v>0</v>
      </c>
      <c r="BA34" s="102">
        <f t="shared" si="35"/>
        <v>1</v>
      </c>
    </row>
    <row r="35" spans="1:53" x14ac:dyDescent="0.3">
      <c r="A35" s="92">
        <f>[4]SockEst!A36</f>
        <v>45122</v>
      </c>
      <c r="B35" s="93">
        <f>[4]SockEst!B36</f>
        <v>196</v>
      </c>
      <c r="C35" s="94" t="str">
        <f t="shared" si="36"/>
        <v>TTL</v>
      </c>
      <c r="D35" s="95">
        <f>IFERROR(VLOOKUP($A35,[5]qry_Whonnock_Species_Compositio!$A$1:$O$114,COLUMN([5]qry_Whonnock_Species_Compositio!B35), FALSE), "")</f>
        <v>6</v>
      </c>
      <c r="E35" s="95">
        <f>IFERROR(VLOOKUP($A35,[5]qry_Whonnock_Species_Compositio!$A$1:$O$114,COLUMN([5]qry_Whonnock_Species_Compositio!C35), FALSE), "")</f>
        <v>7</v>
      </c>
      <c r="F35" s="95">
        <f>IFERROR(VLOOKUP($A35,[5]qry_Whonnock_Species_Compositio!$A$1:$O$114,COLUMN([5]qry_Whonnock_Species_Compositio!D35), FALSE), "")</f>
        <v>0</v>
      </c>
      <c r="G35" s="95">
        <f>IFERROR(VLOOKUP($A35,[5]qry_Whonnock_Species_Compositio!$A$1:$O$114,COLUMN([5]qry_Whonnock_Species_Compositio!E35), FALSE), "")</f>
        <v>0</v>
      </c>
      <c r="H35" s="95">
        <f>IFERROR(VLOOKUP($A35,[5]qry_Whonnock_Species_Compositio!$A$1:$O$114,COLUMN([5]qry_Whonnock_Species_Compositio!F35), FALSE), "")</f>
        <v>0</v>
      </c>
      <c r="I35" s="95">
        <f>IFERROR(VLOOKUP($A35,[5]qry_Whonnock_Species_Compositio!$A$1:$O$114,COLUMN([5]qry_Whonnock_Species_Compositio!G35), FALSE), "")</f>
        <v>0</v>
      </c>
      <c r="J35" s="95">
        <f>IFERROR(VLOOKUP($A35,[5]qry_Whonnock_Species_Compositio!$A$1:$O$114,COLUMN([5]qry_Whonnock_Species_Compositio!H35), FALSE), "")</f>
        <v>1</v>
      </c>
      <c r="K35" s="95">
        <f>IFERROR(VLOOKUP($A35,[5]qry_Whonnock_Species_Compositio!$A$1:$O$114,COLUMN([5]qry_Whonnock_Species_Compositio!I35), FALSE), "")</f>
        <v>8</v>
      </c>
      <c r="L35" s="95">
        <f>IFERROR(VLOOKUP($A35,[5]qry_Whonnock_Species_Compositio!$A$1:$O$114,COLUMN([5]qry_Whonnock_Species_Compositio!J35), FALSE), "")</f>
        <v>0</v>
      </c>
      <c r="M35" s="95">
        <f>IFERROR(VLOOKUP($A35,[5]qry_Whonnock_Species_Compositio!$A$1:$O$114,COLUMN([5]qry_Whonnock_Species_Compositio!K35), FALSE), "")</f>
        <v>0</v>
      </c>
      <c r="N35" s="95">
        <f>IFERROR(VLOOKUP($A35,[5]qry_Whonnock_Species_Compositio!$A$1:$O$114,COLUMN([5]qry_Whonnock_Species_Compositio!L35), FALSE), "")</f>
        <v>0</v>
      </c>
      <c r="O35" s="95">
        <f>IFERROR(VLOOKUP($A35,[5]qry_Whonnock_Species_Compositio!$A$1:$O$114,COLUMN([5]qry_Whonnock_Species_Compositio!M35), FALSE), "")</f>
        <v>0</v>
      </c>
      <c r="P35" s="95">
        <f>IFERROR(VLOOKUP($A35,[5]qry_Whonnock_Species_Compositio!$A$1:$O$114,COLUMN([5]qry_Whonnock_Species_Compositio!N35), FALSE), "")</f>
        <v>0</v>
      </c>
      <c r="Q35" s="95">
        <f>IFERROR(VLOOKUP($A35,[5]qry_Whonnock_Species_Compositio!$A$1:$O$114,COLUMN([5]qry_Whonnock_Species_Compositio!O35), FALSE), "")</f>
        <v>0</v>
      </c>
      <c r="R35" s="96">
        <f t="shared" si="7"/>
        <v>0.8571428571428571</v>
      </c>
      <c r="S35" s="97">
        <f t="shared" si="8"/>
        <v>0.46666666666666667</v>
      </c>
      <c r="T35" s="98">
        <f t="shared" si="9"/>
        <v>0.59090909090909094</v>
      </c>
      <c r="U35" s="97">
        <f t="shared" si="10"/>
        <v>0</v>
      </c>
      <c r="V35" s="97">
        <f t="shared" si="11"/>
        <v>0</v>
      </c>
      <c r="W35" s="98">
        <f t="shared" si="12"/>
        <v>0</v>
      </c>
      <c r="X35" s="97">
        <f t="shared" si="13"/>
        <v>0</v>
      </c>
      <c r="Y35" s="97">
        <f t="shared" si="14"/>
        <v>0</v>
      </c>
      <c r="Z35" s="98">
        <f t="shared" si="15"/>
        <v>0</v>
      </c>
      <c r="AA35" s="97">
        <f t="shared" si="16"/>
        <v>0.14285714285714285</v>
      </c>
      <c r="AB35" s="97">
        <f t="shared" si="17"/>
        <v>0.53333333333333333</v>
      </c>
      <c r="AC35" s="98">
        <f t="shared" si="18"/>
        <v>0.40909090909090912</v>
      </c>
      <c r="AD35" s="97">
        <f t="shared" si="19"/>
        <v>0</v>
      </c>
      <c r="AE35" s="97">
        <f t="shared" si="20"/>
        <v>0</v>
      </c>
      <c r="AF35" s="98">
        <f t="shared" si="21"/>
        <v>0</v>
      </c>
      <c r="AG35" s="97">
        <f t="shared" si="22"/>
        <v>0</v>
      </c>
      <c r="AH35" s="97">
        <f t="shared" si="23"/>
        <v>0</v>
      </c>
      <c r="AI35" s="98">
        <f t="shared" si="24"/>
        <v>0</v>
      </c>
      <c r="AJ35" s="97">
        <f t="shared" si="25"/>
        <v>0</v>
      </c>
      <c r="AK35" s="97">
        <f t="shared" si="26"/>
        <v>0</v>
      </c>
      <c r="AL35" s="99">
        <f t="shared" si="27"/>
        <v>0</v>
      </c>
      <c r="AM35" s="100">
        <f t="shared" si="28"/>
        <v>13</v>
      </c>
      <c r="AN35" s="101">
        <f t="shared" si="37"/>
        <v>0.59090909090909094</v>
      </c>
      <c r="AO35" s="100">
        <f t="shared" si="29"/>
        <v>0</v>
      </c>
      <c r="AP35" s="101">
        <f t="shared" si="38"/>
        <v>0</v>
      </c>
      <c r="AQ35" s="100">
        <f t="shared" si="30"/>
        <v>0</v>
      </c>
      <c r="AR35" s="101">
        <f t="shared" si="39"/>
        <v>0</v>
      </c>
      <c r="AS35" s="100">
        <f t="shared" si="31"/>
        <v>9</v>
      </c>
      <c r="AT35" s="101">
        <f t="shared" si="40"/>
        <v>0.40909090909090912</v>
      </c>
      <c r="AU35" s="100">
        <f t="shared" si="32"/>
        <v>0</v>
      </c>
      <c r="AV35" s="101">
        <f t="shared" si="41"/>
        <v>0</v>
      </c>
      <c r="AW35" s="100">
        <f t="shared" si="33"/>
        <v>0</v>
      </c>
      <c r="AX35" s="101">
        <f t="shared" si="42"/>
        <v>0</v>
      </c>
      <c r="AY35" s="100">
        <f t="shared" si="34"/>
        <v>0</v>
      </c>
      <c r="AZ35" s="101">
        <f t="shared" si="43"/>
        <v>0</v>
      </c>
      <c r="BA35" s="102">
        <f t="shared" si="35"/>
        <v>1</v>
      </c>
    </row>
    <row r="36" spans="1:53" x14ac:dyDescent="0.3">
      <c r="A36" s="92">
        <f>[4]SockEst!A37</f>
        <v>45123</v>
      </c>
      <c r="B36" s="93">
        <f>[4]SockEst!B37</f>
        <v>197</v>
      </c>
      <c r="C36" s="94" t="str">
        <f t="shared" si="36"/>
        <v>GG</v>
      </c>
      <c r="D36" s="95">
        <f>IFERROR(VLOOKUP($A36,[5]qry_Whonnock_Species_Compositio!$A$1:$O$114,COLUMN([5]qry_Whonnock_Species_Compositio!B36), FALSE), "")</f>
        <v>18</v>
      </c>
      <c r="E36" s="95">
        <f>IFERROR(VLOOKUP($A36,[5]qry_Whonnock_Species_Compositio!$A$1:$O$114,COLUMN([5]qry_Whonnock_Species_Compositio!C36), FALSE), "")</f>
        <v>11</v>
      </c>
      <c r="F36" s="95">
        <f>IFERROR(VLOOKUP($A36,[5]qry_Whonnock_Species_Compositio!$A$1:$O$114,COLUMN([5]qry_Whonnock_Species_Compositio!D36), FALSE), "")</f>
        <v>0</v>
      </c>
      <c r="G36" s="95">
        <f>IFERROR(VLOOKUP($A36,[5]qry_Whonnock_Species_Compositio!$A$1:$O$114,COLUMN([5]qry_Whonnock_Species_Compositio!E36), FALSE), "")</f>
        <v>0</v>
      </c>
      <c r="H36" s="95">
        <f>IFERROR(VLOOKUP($A36,[5]qry_Whonnock_Species_Compositio!$A$1:$O$114,COLUMN([5]qry_Whonnock_Species_Compositio!F36), FALSE), "")</f>
        <v>0</v>
      </c>
      <c r="I36" s="95">
        <f>IFERROR(VLOOKUP($A36,[5]qry_Whonnock_Species_Compositio!$A$1:$O$114,COLUMN([5]qry_Whonnock_Species_Compositio!G36), FALSE), "")</f>
        <v>0</v>
      </c>
      <c r="J36" s="95">
        <f>IFERROR(VLOOKUP($A36,[5]qry_Whonnock_Species_Compositio!$A$1:$O$114,COLUMN([5]qry_Whonnock_Species_Compositio!H36), FALSE), "")</f>
        <v>2</v>
      </c>
      <c r="K36" s="95">
        <f>IFERROR(VLOOKUP($A36,[5]qry_Whonnock_Species_Compositio!$A$1:$O$114,COLUMN([5]qry_Whonnock_Species_Compositio!I36), FALSE), "")</f>
        <v>3</v>
      </c>
      <c r="L36" s="95">
        <f>IFERROR(VLOOKUP($A36,[5]qry_Whonnock_Species_Compositio!$A$1:$O$114,COLUMN([5]qry_Whonnock_Species_Compositio!J36), FALSE), "")</f>
        <v>0</v>
      </c>
      <c r="M36" s="95">
        <f>IFERROR(VLOOKUP($A36,[5]qry_Whonnock_Species_Compositio!$A$1:$O$114,COLUMN([5]qry_Whonnock_Species_Compositio!K36), FALSE), "")</f>
        <v>0</v>
      </c>
      <c r="N36" s="95">
        <f>IFERROR(VLOOKUP($A36,[5]qry_Whonnock_Species_Compositio!$A$1:$O$114,COLUMN([5]qry_Whonnock_Species_Compositio!L36), FALSE), "")</f>
        <v>0</v>
      </c>
      <c r="O36" s="95">
        <f>IFERROR(VLOOKUP($A36,[5]qry_Whonnock_Species_Compositio!$A$1:$O$114,COLUMN([5]qry_Whonnock_Species_Compositio!M36), FALSE), "")</f>
        <v>0</v>
      </c>
      <c r="P36" s="95">
        <f>IFERROR(VLOOKUP($A36,[5]qry_Whonnock_Species_Compositio!$A$1:$O$114,COLUMN([5]qry_Whonnock_Species_Compositio!N36), FALSE), "")</f>
        <v>0</v>
      </c>
      <c r="Q36" s="95">
        <f>IFERROR(VLOOKUP($A36,[5]qry_Whonnock_Species_Compositio!$A$1:$O$114,COLUMN([5]qry_Whonnock_Species_Compositio!O36), FALSE), "")</f>
        <v>0</v>
      </c>
      <c r="R36" s="96">
        <f t="shared" si="7"/>
        <v>0.9</v>
      </c>
      <c r="S36" s="97">
        <f t="shared" si="8"/>
        <v>0.7857142857142857</v>
      </c>
      <c r="T36" s="98">
        <f t="shared" si="9"/>
        <v>0.8529411764705882</v>
      </c>
      <c r="U36" s="97">
        <f t="shared" si="10"/>
        <v>0</v>
      </c>
      <c r="V36" s="97">
        <f t="shared" si="11"/>
        <v>0</v>
      </c>
      <c r="W36" s="98">
        <f t="shared" si="12"/>
        <v>0</v>
      </c>
      <c r="X36" s="97">
        <f t="shared" si="13"/>
        <v>0</v>
      </c>
      <c r="Y36" s="97">
        <f t="shared" si="14"/>
        <v>0</v>
      </c>
      <c r="Z36" s="98">
        <f t="shared" si="15"/>
        <v>0</v>
      </c>
      <c r="AA36" s="97">
        <f t="shared" si="16"/>
        <v>0.1</v>
      </c>
      <c r="AB36" s="97">
        <f t="shared" si="17"/>
        <v>0.21428571428571427</v>
      </c>
      <c r="AC36" s="98">
        <f t="shared" si="18"/>
        <v>0.14705882352941177</v>
      </c>
      <c r="AD36" s="97">
        <f t="shared" si="19"/>
        <v>0</v>
      </c>
      <c r="AE36" s="97">
        <f t="shared" si="20"/>
        <v>0</v>
      </c>
      <c r="AF36" s="98">
        <f t="shared" si="21"/>
        <v>0</v>
      </c>
      <c r="AG36" s="97">
        <f t="shared" si="22"/>
        <v>0</v>
      </c>
      <c r="AH36" s="97">
        <f t="shared" si="23"/>
        <v>0</v>
      </c>
      <c r="AI36" s="98">
        <f t="shared" si="24"/>
        <v>0</v>
      </c>
      <c r="AJ36" s="97">
        <f t="shared" si="25"/>
        <v>0</v>
      </c>
      <c r="AK36" s="97">
        <f t="shared" si="26"/>
        <v>0</v>
      </c>
      <c r="AL36" s="99">
        <f t="shared" si="27"/>
        <v>0</v>
      </c>
      <c r="AM36" s="100">
        <f t="shared" si="28"/>
        <v>29</v>
      </c>
      <c r="AN36" s="101">
        <f t="shared" si="37"/>
        <v>0.9</v>
      </c>
      <c r="AO36" s="100">
        <f t="shared" si="29"/>
        <v>0</v>
      </c>
      <c r="AP36" s="101">
        <f t="shared" si="38"/>
        <v>0</v>
      </c>
      <c r="AQ36" s="100">
        <f t="shared" si="30"/>
        <v>0</v>
      </c>
      <c r="AR36" s="101">
        <f t="shared" si="39"/>
        <v>0</v>
      </c>
      <c r="AS36" s="100">
        <f t="shared" si="31"/>
        <v>5</v>
      </c>
      <c r="AT36" s="101">
        <f t="shared" si="40"/>
        <v>0.1</v>
      </c>
      <c r="AU36" s="100">
        <f t="shared" si="32"/>
        <v>0</v>
      </c>
      <c r="AV36" s="101">
        <f t="shared" si="41"/>
        <v>0</v>
      </c>
      <c r="AW36" s="100">
        <f t="shared" si="33"/>
        <v>0</v>
      </c>
      <c r="AX36" s="101">
        <f t="shared" si="42"/>
        <v>0</v>
      </c>
      <c r="AY36" s="100">
        <f t="shared" si="34"/>
        <v>0</v>
      </c>
      <c r="AZ36" s="101">
        <f t="shared" si="43"/>
        <v>0</v>
      </c>
      <c r="BA36" s="102">
        <f t="shared" si="35"/>
        <v>1</v>
      </c>
    </row>
    <row r="37" spans="1:53" x14ac:dyDescent="0.3">
      <c r="A37" s="92">
        <f>[4]SockEst!A38</f>
        <v>45124</v>
      </c>
      <c r="B37" s="93">
        <f>[4]SockEst!B38</f>
        <v>198</v>
      </c>
      <c r="C37" s="94" t="str">
        <f t="shared" si="36"/>
        <v>GG</v>
      </c>
      <c r="D37" s="95">
        <f>IFERROR(VLOOKUP($A37,[5]qry_Whonnock_Species_Compositio!$A$1:$O$114,COLUMN([5]qry_Whonnock_Species_Compositio!B37), FALSE), "")</f>
        <v>12</v>
      </c>
      <c r="E37" s="95">
        <f>IFERROR(VLOOKUP($A37,[5]qry_Whonnock_Species_Compositio!$A$1:$O$114,COLUMN([5]qry_Whonnock_Species_Compositio!C37), FALSE), "")</f>
        <v>17</v>
      </c>
      <c r="F37" s="95">
        <f>IFERROR(VLOOKUP($A37,[5]qry_Whonnock_Species_Compositio!$A$1:$O$114,COLUMN([5]qry_Whonnock_Species_Compositio!D37), FALSE), "")</f>
        <v>0</v>
      </c>
      <c r="G37" s="95">
        <f>IFERROR(VLOOKUP($A37,[5]qry_Whonnock_Species_Compositio!$A$1:$O$114,COLUMN([5]qry_Whonnock_Species_Compositio!E37), FALSE), "")</f>
        <v>0</v>
      </c>
      <c r="H37" s="95">
        <f>IFERROR(VLOOKUP($A37,[5]qry_Whonnock_Species_Compositio!$A$1:$O$114,COLUMN([5]qry_Whonnock_Species_Compositio!F37), FALSE), "")</f>
        <v>0</v>
      </c>
      <c r="I37" s="95">
        <f>IFERROR(VLOOKUP($A37,[5]qry_Whonnock_Species_Compositio!$A$1:$O$114,COLUMN([5]qry_Whonnock_Species_Compositio!G37), FALSE), "")</f>
        <v>0</v>
      </c>
      <c r="J37" s="95">
        <f>IFERROR(VLOOKUP($A37,[5]qry_Whonnock_Species_Compositio!$A$1:$O$114,COLUMN([5]qry_Whonnock_Species_Compositio!H37), FALSE), "")</f>
        <v>8</v>
      </c>
      <c r="K37" s="95">
        <f>IFERROR(VLOOKUP($A37,[5]qry_Whonnock_Species_Compositio!$A$1:$O$114,COLUMN([5]qry_Whonnock_Species_Compositio!I37), FALSE), "")</f>
        <v>8</v>
      </c>
      <c r="L37" s="95">
        <f>IFERROR(VLOOKUP($A37,[5]qry_Whonnock_Species_Compositio!$A$1:$O$114,COLUMN([5]qry_Whonnock_Species_Compositio!J37), FALSE), "")</f>
        <v>0</v>
      </c>
      <c r="M37" s="95">
        <f>IFERROR(VLOOKUP($A37,[5]qry_Whonnock_Species_Compositio!$A$1:$O$114,COLUMN([5]qry_Whonnock_Species_Compositio!K37), FALSE), "")</f>
        <v>0</v>
      </c>
      <c r="N37" s="95">
        <f>IFERROR(VLOOKUP($A37,[5]qry_Whonnock_Species_Compositio!$A$1:$O$114,COLUMN([5]qry_Whonnock_Species_Compositio!L37), FALSE), "")</f>
        <v>0</v>
      </c>
      <c r="O37" s="95">
        <f>IFERROR(VLOOKUP($A37,[5]qry_Whonnock_Species_Compositio!$A$1:$O$114,COLUMN([5]qry_Whonnock_Species_Compositio!M37), FALSE), "")</f>
        <v>0</v>
      </c>
      <c r="P37" s="95">
        <f>IFERROR(VLOOKUP($A37,[5]qry_Whonnock_Species_Compositio!$A$1:$O$114,COLUMN([5]qry_Whonnock_Species_Compositio!N37), FALSE), "")</f>
        <v>0</v>
      </c>
      <c r="Q37" s="95">
        <f>IFERROR(VLOOKUP($A37,[5]qry_Whonnock_Species_Compositio!$A$1:$O$114,COLUMN([5]qry_Whonnock_Species_Compositio!O37), FALSE), "")</f>
        <v>0</v>
      </c>
      <c r="R37" s="96">
        <f t="shared" si="7"/>
        <v>0.6</v>
      </c>
      <c r="S37" s="97">
        <f t="shared" si="8"/>
        <v>0.68</v>
      </c>
      <c r="T37" s="98">
        <f t="shared" si="9"/>
        <v>0.64444444444444449</v>
      </c>
      <c r="U37" s="97">
        <f t="shared" si="10"/>
        <v>0</v>
      </c>
      <c r="V37" s="97">
        <f t="shared" si="11"/>
        <v>0</v>
      </c>
      <c r="W37" s="98">
        <f t="shared" si="12"/>
        <v>0</v>
      </c>
      <c r="X37" s="97">
        <f t="shared" si="13"/>
        <v>0</v>
      </c>
      <c r="Y37" s="97">
        <f t="shared" si="14"/>
        <v>0</v>
      </c>
      <c r="Z37" s="98">
        <f t="shared" si="15"/>
        <v>0</v>
      </c>
      <c r="AA37" s="97">
        <f t="shared" si="16"/>
        <v>0.4</v>
      </c>
      <c r="AB37" s="97">
        <f t="shared" si="17"/>
        <v>0.32</v>
      </c>
      <c r="AC37" s="98">
        <f t="shared" si="18"/>
        <v>0.35555555555555557</v>
      </c>
      <c r="AD37" s="97">
        <f t="shared" si="19"/>
        <v>0</v>
      </c>
      <c r="AE37" s="97">
        <f t="shared" si="20"/>
        <v>0</v>
      </c>
      <c r="AF37" s="98">
        <f t="shared" si="21"/>
        <v>0</v>
      </c>
      <c r="AG37" s="97">
        <f t="shared" si="22"/>
        <v>0</v>
      </c>
      <c r="AH37" s="97">
        <f t="shared" si="23"/>
        <v>0</v>
      </c>
      <c r="AI37" s="98">
        <f t="shared" si="24"/>
        <v>0</v>
      </c>
      <c r="AJ37" s="97">
        <f t="shared" si="25"/>
        <v>0</v>
      </c>
      <c r="AK37" s="97">
        <f t="shared" si="26"/>
        <v>0</v>
      </c>
      <c r="AL37" s="99">
        <f t="shared" si="27"/>
        <v>0</v>
      </c>
      <c r="AM37" s="100">
        <f t="shared" si="28"/>
        <v>29</v>
      </c>
      <c r="AN37" s="101">
        <f t="shared" si="37"/>
        <v>0.6</v>
      </c>
      <c r="AO37" s="100">
        <f t="shared" si="29"/>
        <v>0</v>
      </c>
      <c r="AP37" s="101">
        <f t="shared" si="38"/>
        <v>0</v>
      </c>
      <c r="AQ37" s="100">
        <f t="shared" si="30"/>
        <v>0</v>
      </c>
      <c r="AR37" s="101">
        <f t="shared" si="39"/>
        <v>0</v>
      </c>
      <c r="AS37" s="100">
        <f t="shared" si="31"/>
        <v>16</v>
      </c>
      <c r="AT37" s="101">
        <f t="shared" si="40"/>
        <v>0.4</v>
      </c>
      <c r="AU37" s="100">
        <f t="shared" si="32"/>
        <v>0</v>
      </c>
      <c r="AV37" s="101">
        <f t="shared" si="41"/>
        <v>0</v>
      </c>
      <c r="AW37" s="100">
        <f t="shared" si="33"/>
        <v>0</v>
      </c>
      <c r="AX37" s="101">
        <f t="shared" si="42"/>
        <v>0</v>
      </c>
      <c r="AY37" s="100">
        <f t="shared" si="34"/>
        <v>0</v>
      </c>
      <c r="AZ37" s="101">
        <f t="shared" si="43"/>
        <v>0</v>
      </c>
      <c r="BA37" s="102">
        <f t="shared" si="35"/>
        <v>1</v>
      </c>
    </row>
    <row r="38" spans="1:53" x14ac:dyDescent="0.3">
      <c r="A38" s="92">
        <f>[4]SockEst!A39</f>
        <v>45125</v>
      </c>
      <c r="B38" s="93">
        <f>[4]SockEst!B39</f>
        <v>199</v>
      </c>
      <c r="C38" s="94" t="str">
        <f t="shared" si="36"/>
        <v>GG</v>
      </c>
      <c r="D38" s="95">
        <f>IFERROR(VLOOKUP($A38,[5]qry_Whonnock_Species_Compositio!$A$1:$O$114,COLUMN([5]qry_Whonnock_Species_Compositio!B38), FALSE), "")</f>
        <v>18</v>
      </c>
      <c r="E38" s="95">
        <f>IFERROR(VLOOKUP($A38,[5]qry_Whonnock_Species_Compositio!$A$1:$O$114,COLUMN([5]qry_Whonnock_Species_Compositio!C38), FALSE), "")</f>
        <v>22</v>
      </c>
      <c r="F38" s="95">
        <f>IFERROR(VLOOKUP($A38,[5]qry_Whonnock_Species_Compositio!$A$1:$O$114,COLUMN([5]qry_Whonnock_Species_Compositio!D38), FALSE), "")</f>
        <v>0</v>
      </c>
      <c r="G38" s="95">
        <f>IFERROR(VLOOKUP($A38,[5]qry_Whonnock_Species_Compositio!$A$1:$O$114,COLUMN([5]qry_Whonnock_Species_Compositio!E38), FALSE), "")</f>
        <v>0</v>
      </c>
      <c r="H38" s="95">
        <f>IFERROR(VLOOKUP($A38,[5]qry_Whonnock_Species_Compositio!$A$1:$O$114,COLUMN([5]qry_Whonnock_Species_Compositio!F38), FALSE), "")</f>
        <v>0</v>
      </c>
      <c r="I38" s="95">
        <f>IFERROR(VLOOKUP($A38,[5]qry_Whonnock_Species_Compositio!$A$1:$O$114,COLUMN([5]qry_Whonnock_Species_Compositio!G38), FALSE), "")</f>
        <v>0</v>
      </c>
      <c r="J38" s="95">
        <f>IFERROR(VLOOKUP($A38,[5]qry_Whonnock_Species_Compositio!$A$1:$O$114,COLUMN([5]qry_Whonnock_Species_Compositio!H38), FALSE), "")</f>
        <v>8</v>
      </c>
      <c r="K38" s="95">
        <f>IFERROR(VLOOKUP($A38,[5]qry_Whonnock_Species_Compositio!$A$1:$O$114,COLUMN([5]qry_Whonnock_Species_Compositio!I38), FALSE), "")</f>
        <v>12</v>
      </c>
      <c r="L38" s="95">
        <f>IFERROR(VLOOKUP($A38,[5]qry_Whonnock_Species_Compositio!$A$1:$O$114,COLUMN([5]qry_Whonnock_Species_Compositio!J38), FALSE), "")</f>
        <v>1</v>
      </c>
      <c r="M38" s="95">
        <f>IFERROR(VLOOKUP($A38,[5]qry_Whonnock_Species_Compositio!$A$1:$O$114,COLUMN([5]qry_Whonnock_Species_Compositio!K38), FALSE), "")</f>
        <v>0</v>
      </c>
      <c r="N38" s="95">
        <f>IFERROR(VLOOKUP($A38,[5]qry_Whonnock_Species_Compositio!$A$1:$O$114,COLUMN([5]qry_Whonnock_Species_Compositio!L38), FALSE), "")</f>
        <v>0</v>
      </c>
      <c r="O38" s="95">
        <f>IFERROR(VLOOKUP($A38,[5]qry_Whonnock_Species_Compositio!$A$1:$O$114,COLUMN([5]qry_Whonnock_Species_Compositio!M38), FALSE), "")</f>
        <v>0</v>
      </c>
      <c r="P38" s="95">
        <f>IFERROR(VLOOKUP($A38,[5]qry_Whonnock_Species_Compositio!$A$1:$O$114,COLUMN([5]qry_Whonnock_Species_Compositio!N38), FALSE), "")</f>
        <v>0</v>
      </c>
      <c r="Q38" s="95">
        <f>IFERROR(VLOOKUP($A38,[5]qry_Whonnock_Species_Compositio!$A$1:$O$114,COLUMN([5]qry_Whonnock_Species_Compositio!O38), FALSE), "")</f>
        <v>0</v>
      </c>
      <c r="R38" s="96">
        <f t="shared" si="7"/>
        <v>0.66666666666666663</v>
      </c>
      <c r="S38" s="97">
        <f t="shared" si="8"/>
        <v>0.6470588235294118</v>
      </c>
      <c r="T38" s="98">
        <f t="shared" si="9"/>
        <v>0.65573770491803274</v>
      </c>
      <c r="U38" s="97">
        <f t="shared" si="10"/>
        <v>0</v>
      </c>
      <c r="V38" s="97">
        <f t="shared" si="11"/>
        <v>0</v>
      </c>
      <c r="W38" s="98">
        <f t="shared" si="12"/>
        <v>0</v>
      </c>
      <c r="X38" s="97">
        <f t="shared" si="13"/>
        <v>0</v>
      </c>
      <c r="Y38" s="97">
        <f t="shared" si="14"/>
        <v>0</v>
      </c>
      <c r="Z38" s="98">
        <f t="shared" si="15"/>
        <v>0</v>
      </c>
      <c r="AA38" s="97">
        <f t="shared" si="16"/>
        <v>0.29629629629629628</v>
      </c>
      <c r="AB38" s="97">
        <f t="shared" si="17"/>
        <v>0.35294117647058826</v>
      </c>
      <c r="AC38" s="98">
        <f t="shared" si="18"/>
        <v>0.32786885245901637</v>
      </c>
      <c r="AD38" s="97">
        <f t="shared" si="19"/>
        <v>3.7037037037037035E-2</v>
      </c>
      <c r="AE38" s="97">
        <f t="shared" si="20"/>
        <v>0</v>
      </c>
      <c r="AF38" s="98">
        <f t="shared" si="21"/>
        <v>1.6393442622950821E-2</v>
      </c>
      <c r="AG38" s="97">
        <f t="shared" si="22"/>
        <v>0</v>
      </c>
      <c r="AH38" s="97">
        <f t="shared" si="23"/>
        <v>0</v>
      </c>
      <c r="AI38" s="98">
        <f t="shared" si="24"/>
        <v>0</v>
      </c>
      <c r="AJ38" s="97">
        <f t="shared" si="25"/>
        <v>0</v>
      </c>
      <c r="AK38" s="97">
        <f t="shared" si="26"/>
        <v>0</v>
      </c>
      <c r="AL38" s="99">
        <f t="shared" si="27"/>
        <v>0</v>
      </c>
      <c r="AM38" s="100">
        <f t="shared" si="28"/>
        <v>40</v>
      </c>
      <c r="AN38" s="101">
        <f t="shared" si="37"/>
        <v>0.66666666666666663</v>
      </c>
      <c r="AO38" s="100">
        <f t="shared" si="29"/>
        <v>0</v>
      </c>
      <c r="AP38" s="101">
        <f t="shared" si="38"/>
        <v>0</v>
      </c>
      <c r="AQ38" s="100">
        <f t="shared" si="30"/>
        <v>0</v>
      </c>
      <c r="AR38" s="101">
        <f t="shared" si="39"/>
        <v>0</v>
      </c>
      <c r="AS38" s="100">
        <f t="shared" si="31"/>
        <v>20</v>
      </c>
      <c r="AT38" s="101">
        <f t="shared" si="40"/>
        <v>0.29629629629629628</v>
      </c>
      <c r="AU38" s="100">
        <f t="shared" si="32"/>
        <v>1</v>
      </c>
      <c r="AV38" s="101">
        <f t="shared" si="41"/>
        <v>3.7037037037037035E-2</v>
      </c>
      <c r="AW38" s="100">
        <f t="shared" si="33"/>
        <v>0</v>
      </c>
      <c r="AX38" s="101">
        <f t="shared" si="42"/>
        <v>0</v>
      </c>
      <c r="AY38" s="100">
        <f t="shared" si="34"/>
        <v>0</v>
      </c>
      <c r="AZ38" s="101">
        <f t="shared" si="43"/>
        <v>0</v>
      </c>
      <c r="BA38" s="102">
        <f t="shared" si="35"/>
        <v>1</v>
      </c>
    </row>
    <row r="39" spans="1:53" x14ac:dyDescent="0.3">
      <c r="A39" s="92">
        <f>[4]SockEst!A40</f>
        <v>45126</v>
      </c>
      <c r="B39" s="93">
        <f>[4]SockEst!B40</f>
        <v>200</v>
      </c>
      <c r="C39" s="94" t="str">
        <f t="shared" si="36"/>
        <v>GG</v>
      </c>
      <c r="D39" s="95">
        <f>IFERROR(VLOOKUP($A39,[5]qry_Whonnock_Species_Compositio!$A$1:$O$114,COLUMN([5]qry_Whonnock_Species_Compositio!B39), FALSE), "")</f>
        <v>15</v>
      </c>
      <c r="E39" s="95">
        <f>IFERROR(VLOOKUP($A39,[5]qry_Whonnock_Species_Compositio!$A$1:$O$114,COLUMN([5]qry_Whonnock_Species_Compositio!C39), FALSE), "")</f>
        <v>12</v>
      </c>
      <c r="F39" s="95">
        <f>IFERROR(VLOOKUP($A39,[5]qry_Whonnock_Species_Compositio!$A$1:$O$114,COLUMN([5]qry_Whonnock_Species_Compositio!D39), FALSE), "")</f>
        <v>0</v>
      </c>
      <c r="G39" s="95">
        <f>IFERROR(VLOOKUP($A39,[5]qry_Whonnock_Species_Compositio!$A$1:$O$114,COLUMN([5]qry_Whonnock_Species_Compositio!E39), FALSE), "")</f>
        <v>0</v>
      </c>
      <c r="H39" s="95">
        <f>IFERROR(VLOOKUP($A39,[5]qry_Whonnock_Species_Compositio!$A$1:$O$114,COLUMN([5]qry_Whonnock_Species_Compositio!F39), FALSE), "")</f>
        <v>0</v>
      </c>
      <c r="I39" s="95">
        <f>IFERROR(VLOOKUP($A39,[5]qry_Whonnock_Species_Compositio!$A$1:$O$114,COLUMN([5]qry_Whonnock_Species_Compositio!G39), FALSE), "")</f>
        <v>0</v>
      </c>
      <c r="J39" s="95">
        <f>IFERROR(VLOOKUP($A39,[5]qry_Whonnock_Species_Compositio!$A$1:$O$114,COLUMN([5]qry_Whonnock_Species_Compositio!H39), FALSE), "")</f>
        <v>5</v>
      </c>
      <c r="K39" s="95">
        <f>IFERROR(VLOOKUP($A39,[5]qry_Whonnock_Species_Compositio!$A$1:$O$114,COLUMN([5]qry_Whonnock_Species_Compositio!I39), FALSE), "")</f>
        <v>10</v>
      </c>
      <c r="L39" s="95">
        <f>IFERROR(VLOOKUP($A39,[5]qry_Whonnock_Species_Compositio!$A$1:$O$114,COLUMN([5]qry_Whonnock_Species_Compositio!J39), FALSE), "")</f>
        <v>0</v>
      </c>
      <c r="M39" s="95">
        <f>IFERROR(VLOOKUP($A39,[5]qry_Whonnock_Species_Compositio!$A$1:$O$114,COLUMN([5]qry_Whonnock_Species_Compositio!K39), FALSE), "")</f>
        <v>0</v>
      </c>
      <c r="N39" s="95">
        <f>IFERROR(VLOOKUP($A39,[5]qry_Whonnock_Species_Compositio!$A$1:$O$114,COLUMN([5]qry_Whonnock_Species_Compositio!L39), FALSE), "")</f>
        <v>0</v>
      </c>
      <c r="O39" s="95">
        <f>IFERROR(VLOOKUP($A39,[5]qry_Whonnock_Species_Compositio!$A$1:$O$114,COLUMN([5]qry_Whonnock_Species_Compositio!M39), FALSE), "")</f>
        <v>0</v>
      </c>
      <c r="P39" s="95">
        <f>IFERROR(VLOOKUP($A39,[5]qry_Whonnock_Species_Compositio!$A$1:$O$114,COLUMN([5]qry_Whonnock_Species_Compositio!N39), FALSE), "")</f>
        <v>0</v>
      </c>
      <c r="Q39" s="95">
        <f>IFERROR(VLOOKUP($A39,[5]qry_Whonnock_Species_Compositio!$A$1:$O$114,COLUMN([5]qry_Whonnock_Species_Compositio!O39), FALSE), "")</f>
        <v>0</v>
      </c>
      <c r="R39" s="96">
        <f t="shared" si="7"/>
        <v>0.75</v>
      </c>
      <c r="S39" s="97">
        <f t="shared" si="8"/>
        <v>0.54545454545454541</v>
      </c>
      <c r="T39" s="98">
        <f t="shared" si="9"/>
        <v>0.6428571428571429</v>
      </c>
      <c r="U39" s="97">
        <f t="shared" si="10"/>
        <v>0</v>
      </c>
      <c r="V39" s="97">
        <f t="shared" si="11"/>
        <v>0</v>
      </c>
      <c r="W39" s="98">
        <f t="shared" si="12"/>
        <v>0</v>
      </c>
      <c r="X39" s="97">
        <f t="shared" si="13"/>
        <v>0</v>
      </c>
      <c r="Y39" s="97">
        <f t="shared" si="14"/>
        <v>0</v>
      </c>
      <c r="Z39" s="98">
        <f t="shared" si="15"/>
        <v>0</v>
      </c>
      <c r="AA39" s="97">
        <f t="shared" si="16"/>
        <v>0.25</v>
      </c>
      <c r="AB39" s="97">
        <f t="shared" si="17"/>
        <v>0.45454545454545453</v>
      </c>
      <c r="AC39" s="98">
        <f t="shared" si="18"/>
        <v>0.35714285714285715</v>
      </c>
      <c r="AD39" s="97">
        <f t="shared" si="19"/>
        <v>0</v>
      </c>
      <c r="AE39" s="97">
        <f t="shared" si="20"/>
        <v>0</v>
      </c>
      <c r="AF39" s="98">
        <f t="shared" si="21"/>
        <v>0</v>
      </c>
      <c r="AG39" s="97">
        <f t="shared" si="22"/>
        <v>0</v>
      </c>
      <c r="AH39" s="97">
        <f t="shared" si="23"/>
        <v>0</v>
      </c>
      <c r="AI39" s="98">
        <f t="shared" si="24"/>
        <v>0</v>
      </c>
      <c r="AJ39" s="97">
        <f t="shared" si="25"/>
        <v>0</v>
      </c>
      <c r="AK39" s="97">
        <f t="shared" si="26"/>
        <v>0</v>
      </c>
      <c r="AL39" s="99">
        <f t="shared" si="27"/>
        <v>0</v>
      </c>
      <c r="AM39" s="100">
        <f t="shared" si="28"/>
        <v>27</v>
      </c>
      <c r="AN39" s="101">
        <f t="shared" si="37"/>
        <v>0.75</v>
      </c>
      <c r="AO39" s="100">
        <f t="shared" si="29"/>
        <v>0</v>
      </c>
      <c r="AP39" s="101">
        <f t="shared" si="38"/>
        <v>0</v>
      </c>
      <c r="AQ39" s="100">
        <f t="shared" si="30"/>
        <v>0</v>
      </c>
      <c r="AR39" s="101">
        <f t="shared" si="39"/>
        <v>0</v>
      </c>
      <c r="AS39" s="100">
        <f t="shared" si="31"/>
        <v>15</v>
      </c>
      <c r="AT39" s="101">
        <f t="shared" si="40"/>
        <v>0.25</v>
      </c>
      <c r="AU39" s="100">
        <f t="shared" si="32"/>
        <v>0</v>
      </c>
      <c r="AV39" s="101">
        <f t="shared" si="41"/>
        <v>0</v>
      </c>
      <c r="AW39" s="100">
        <f t="shared" si="33"/>
        <v>0</v>
      </c>
      <c r="AX39" s="101">
        <f t="shared" si="42"/>
        <v>0</v>
      </c>
      <c r="AY39" s="100">
        <f t="shared" si="34"/>
        <v>0</v>
      </c>
      <c r="AZ39" s="101">
        <f t="shared" si="43"/>
        <v>0</v>
      </c>
      <c r="BA39" s="102">
        <f t="shared" si="35"/>
        <v>1</v>
      </c>
    </row>
    <row r="40" spans="1:53" x14ac:dyDescent="0.3">
      <c r="A40" s="92">
        <f>[4]SockEst!A41</f>
        <v>45127</v>
      </c>
      <c r="B40" s="93">
        <f>[4]SockEst!B41</f>
        <v>201</v>
      </c>
      <c r="C40" s="94" t="str">
        <f t="shared" si="36"/>
        <v>GG</v>
      </c>
      <c r="D40" s="95">
        <f>IFERROR(VLOOKUP($A40,[5]qry_Whonnock_Species_Compositio!$A$1:$O$114,COLUMN([5]qry_Whonnock_Species_Compositio!B40), FALSE), "")</f>
        <v>7</v>
      </c>
      <c r="E40" s="95">
        <f>IFERROR(VLOOKUP($A40,[5]qry_Whonnock_Species_Compositio!$A$1:$O$114,COLUMN([5]qry_Whonnock_Species_Compositio!C40), FALSE), "")</f>
        <v>11</v>
      </c>
      <c r="F40" s="95">
        <f>IFERROR(VLOOKUP($A40,[5]qry_Whonnock_Species_Compositio!$A$1:$O$114,COLUMN([5]qry_Whonnock_Species_Compositio!D40), FALSE), "")</f>
        <v>0</v>
      </c>
      <c r="G40" s="95">
        <f>IFERROR(VLOOKUP($A40,[5]qry_Whonnock_Species_Compositio!$A$1:$O$114,COLUMN([5]qry_Whonnock_Species_Compositio!E40), FALSE), "")</f>
        <v>0</v>
      </c>
      <c r="H40" s="95">
        <f>IFERROR(VLOOKUP($A40,[5]qry_Whonnock_Species_Compositio!$A$1:$O$114,COLUMN([5]qry_Whonnock_Species_Compositio!F40), FALSE), "")</f>
        <v>0</v>
      </c>
      <c r="I40" s="95">
        <f>IFERROR(VLOOKUP($A40,[5]qry_Whonnock_Species_Compositio!$A$1:$O$114,COLUMN([5]qry_Whonnock_Species_Compositio!G40), FALSE), "")</f>
        <v>0</v>
      </c>
      <c r="J40" s="95">
        <f>IFERROR(VLOOKUP($A40,[5]qry_Whonnock_Species_Compositio!$A$1:$O$114,COLUMN([5]qry_Whonnock_Species_Compositio!H40), FALSE), "")</f>
        <v>4</v>
      </c>
      <c r="K40" s="95">
        <f>IFERROR(VLOOKUP($A40,[5]qry_Whonnock_Species_Compositio!$A$1:$O$114,COLUMN([5]qry_Whonnock_Species_Compositio!I40), FALSE), "")</f>
        <v>13</v>
      </c>
      <c r="L40" s="95">
        <f>IFERROR(VLOOKUP($A40,[5]qry_Whonnock_Species_Compositio!$A$1:$O$114,COLUMN([5]qry_Whonnock_Species_Compositio!J40), FALSE), "")</f>
        <v>2</v>
      </c>
      <c r="M40" s="95">
        <f>IFERROR(VLOOKUP($A40,[5]qry_Whonnock_Species_Compositio!$A$1:$O$114,COLUMN([5]qry_Whonnock_Species_Compositio!K40), FALSE), "")</f>
        <v>2</v>
      </c>
      <c r="N40" s="95">
        <f>IFERROR(VLOOKUP($A40,[5]qry_Whonnock_Species_Compositio!$A$1:$O$114,COLUMN([5]qry_Whonnock_Species_Compositio!L40), FALSE), "")</f>
        <v>0</v>
      </c>
      <c r="O40" s="95">
        <f>IFERROR(VLOOKUP($A40,[5]qry_Whonnock_Species_Compositio!$A$1:$O$114,COLUMN([5]qry_Whonnock_Species_Compositio!M40), FALSE), "")</f>
        <v>0</v>
      </c>
      <c r="P40" s="95">
        <f>IFERROR(VLOOKUP($A40,[5]qry_Whonnock_Species_Compositio!$A$1:$O$114,COLUMN([5]qry_Whonnock_Species_Compositio!N40), FALSE), "")</f>
        <v>0</v>
      </c>
      <c r="Q40" s="95">
        <f>IFERROR(VLOOKUP($A40,[5]qry_Whonnock_Species_Compositio!$A$1:$O$114,COLUMN([5]qry_Whonnock_Species_Compositio!O40), FALSE), "")</f>
        <v>0</v>
      </c>
      <c r="R40" s="96">
        <f t="shared" si="7"/>
        <v>0.53846153846153844</v>
      </c>
      <c r="S40" s="97">
        <f t="shared" si="8"/>
        <v>0.42307692307692307</v>
      </c>
      <c r="T40" s="98">
        <f t="shared" si="9"/>
        <v>0.46153846153846156</v>
      </c>
      <c r="U40" s="97">
        <f t="shared" si="10"/>
        <v>0</v>
      </c>
      <c r="V40" s="97">
        <f t="shared" si="11"/>
        <v>0</v>
      </c>
      <c r="W40" s="98">
        <f t="shared" si="12"/>
        <v>0</v>
      </c>
      <c r="X40" s="97">
        <f t="shared" si="13"/>
        <v>0</v>
      </c>
      <c r="Y40" s="97">
        <f t="shared" si="14"/>
        <v>0</v>
      </c>
      <c r="Z40" s="98">
        <f t="shared" si="15"/>
        <v>0</v>
      </c>
      <c r="AA40" s="97">
        <f t="shared" si="16"/>
        <v>0.30769230769230771</v>
      </c>
      <c r="AB40" s="97">
        <f t="shared" si="17"/>
        <v>0.5</v>
      </c>
      <c r="AC40" s="98">
        <f t="shared" si="18"/>
        <v>0.4358974358974359</v>
      </c>
      <c r="AD40" s="97">
        <f t="shared" si="19"/>
        <v>0.15384615384615385</v>
      </c>
      <c r="AE40" s="97">
        <f t="shared" si="20"/>
        <v>7.6923076923076927E-2</v>
      </c>
      <c r="AF40" s="98">
        <f t="shared" si="21"/>
        <v>0.10256410256410256</v>
      </c>
      <c r="AG40" s="97">
        <f t="shared" si="22"/>
        <v>0</v>
      </c>
      <c r="AH40" s="97">
        <f t="shared" si="23"/>
        <v>0</v>
      </c>
      <c r="AI40" s="98">
        <f t="shared" si="24"/>
        <v>0</v>
      </c>
      <c r="AJ40" s="97">
        <f t="shared" si="25"/>
        <v>0</v>
      </c>
      <c r="AK40" s="97">
        <f t="shared" si="26"/>
        <v>0</v>
      </c>
      <c r="AL40" s="99">
        <f t="shared" si="27"/>
        <v>0</v>
      </c>
      <c r="AM40" s="100">
        <f t="shared" si="28"/>
        <v>18</v>
      </c>
      <c r="AN40" s="101">
        <f t="shared" si="37"/>
        <v>0.53846153846153844</v>
      </c>
      <c r="AO40" s="100">
        <f t="shared" si="29"/>
        <v>0</v>
      </c>
      <c r="AP40" s="101">
        <f t="shared" si="38"/>
        <v>0</v>
      </c>
      <c r="AQ40" s="100">
        <f t="shared" si="30"/>
        <v>0</v>
      </c>
      <c r="AR40" s="101">
        <f t="shared" si="39"/>
        <v>0</v>
      </c>
      <c r="AS40" s="100">
        <f t="shared" si="31"/>
        <v>17</v>
      </c>
      <c r="AT40" s="101">
        <f t="shared" si="40"/>
        <v>0.30769230769230771</v>
      </c>
      <c r="AU40" s="100">
        <f t="shared" si="32"/>
        <v>4</v>
      </c>
      <c r="AV40" s="101">
        <f t="shared" si="41"/>
        <v>0.15384615384615385</v>
      </c>
      <c r="AW40" s="100">
        <f t="shared" si="33"/>
        <v>0</v>
      </c>
      <c r="AX40" s="101">
        <f t="shared" si="42"/>
        <v>0</v>
      </c>
      <c r="AY40" s="100">
        <f t="shared" si="34"/>
        <v>0</v>
      </c>
      <c r="AZ40" s="101">
        <f t="shared" si="43"/>
        <v>0</v>
      </c>
      <c r="BA40" s="102">
        <f t="shared" si="35"/>
        <v>1</v>
      </c>
    </row>
    <row r="41" spans="1:53" x14ac:dyDescent="0.3">
      <c r="A41" s="92">
        <f>[4]SockEst!A42</f>
        <v>45128</v>
      </c>
      <c r="B41" s="93">
        <f>[4]SockEst!B42</f>
        <v>202</v>
      </c>
      <c r="C41" s="94" t="str">
        <f t="shared" si="36"/>
        <v>TTL</v>
      </c>
      <c r="D41" s="95">
        <f>IFERROR(VLOOKUP($A41,[5]qry_Whonnock_Species_Compositio!$A$1:$O$114,COLUMN([5]qry_Whonnock_Species_Compositio!B41), FALSE), "")</f>
        <v>1</v>
      </c>
      <c r="E41" s="95">
        <f>IFERROR(VLOOKUP($A41,[5]qry_Whonnock_Species_Compositio!$A$1:$O$114,COLUMN([5]qry_Whonnock_Species_Compositio!C41), FALSE), "")</f>
        <v>1</v>
      </c>
      <c r="F41" s="95">
        <f>IFERROR(VLOOKUP($A41,[5]qry_Whonnock_Species_Compositio!$A$1:$O$114,COLUMN([5]qry_Whonnock_Species_Compositio!D41), FALSE), "")</f>
        <v>0</v>
      </c>
      <c r="G41" s="95">
        <f>IFERROR(VLOOKUP($A41,[5]qry_Whonnock_Species_Compositio!$A$1:$O$114,COLUMN([5]qry_Whonnock_Species_Compositio!E41), FALSE), "")</f>
        <v>0</v>
      </c>
      <c r="H41" s="95">
        <f>IFERROR(VLOOKUP($A41,[5]qry_Whonnock_Species_Compositio!$A$1:$O$114,COLUMN([5]qry_Whonnock_Species_Compositio!F41), FALSE), "")</f>
        <v>0</v>
      </c>
      <c r="I41" s="95">
        <f>IFERROR(VLOOKUP($A41,[5]qry_Whonnock_Species_Compositio!$A$1:$O$114,COLUMN([5]qry_Whonnock_Species_Compositio!G41), FALSE), "")</f>
        <v>0</v>
      </c>
      <c r="J41" s="95">
        <f>IFERROR(VLOOKUP($A41,[5]qry_Whonnock_Species_Compositio!$A$1:$O$114,COLUMN([5]qry_Whonnock_Species_Compositio!H41), FALSE), "")</f>
        <v>0</v>
      </c>
      <c r="K41" s="95">
        <f>IFERROR(VLOOKUP($A41,[5]qry_Whonnock_Species_Compositio!$A$1:$O$114,COLUMN([5]qry_Whonnock_Species_Compositio!I41), FALSE), "")</f>
        <v>2</v>
      </c>
      <c r="L41" s="95">
        <f>IFERROR(VLOOKUP($A41,[5]qry_Whonnock_Species_Compositio!$A$1:$O$114,COLUMN([5]qry_Whonnock_Species_Compositio!J41), FALSE), "")</f>
        <v>0</v>
      </c>
      <c r="M41" s="95">
        <f>IFERROR(VLOOKUP($A41,[5]qry_Whonnock_Species_Compositio!$A$1:$O$114,COLUMN([5]qry_Whonnock_Species_Compositio!K41), FALSE), "")</f>
        <v>0</v>
      </c>
      <c r="N41" s="95">
        <f>IFERROR(VLOOKUP($A41,[5]qry_Whonnock_Species_Compositio!$A$1:$O$114,COLUMN([5]qry_Whonnock_Species_Compositio!L41), FALSE), "")</f>
        <v>0</v>
      </c>
      <c r="O41" s="95">
        <f>IFERROR(VLOOKUP($A41,[5]qry_Whonnock_Species_Compositio!$A$1:$O$114,COLUMN([5]qry_Whonnock_Species_Compositio!M41), FALSE), "")</f>
        <v>0</v>
      </c>
      <c r="P41" s="95">
        <f>IFERROR(VLOOKUP($A41,[5]qry_Whonnock_Species_Compositio!$A$1:$O$114,COLUMN([5]qry_Whonnock_Species_Compositio!N41), FALSE), "")</f>
        <v>0</v>
      </c>
      <c r="Q41" s="95">
        <f>IFERROR(VLOOKUP($A41,[5]qry_Whonnock_Species_Compositio!$A$1:$O$114,COLUMN([5]qry_Whonnock_Species_Compositio!O41), FALSE), "")</f>
        <v>0</v>
      </c>
      <c r="R41" s="96">
        <f t="shared" si="7"/>
        <v>1</v>
      </c>
      <c r="S41" s="97">
        <f t="shared" si="8"/>
        <v>0.33333333333333331</v>
      </c>
      <c r="T41" s="98">
        <f t="shared" si="9"/>
        <v>0.5</v>
      </c>
      <c r="U41" s="97">
        <f t="shared" si="10"/>
        <v>0</v>
      </c>
      <c r="V41" s="97">
        <f t="shared" si="11"/>
        <v>0</v>
      </c>
      <c r="W41" s="98">
        <f t="shared" si="12"/>
        <v>0</v>
      </c>
      <c r="X41" s="97">
        <f t="shared" si="13"/>
        <v>0</v>
      </c>
      <c r="Y41" s="97">
        <f t="shared" si="14"/>
        <v>0</v>
      </c>
      <c r="Z41" s="98">
        <f t="shared" si="15"/>
        <v>0</v>
      </c>
      <c r="AA41" s="97">
        <f t="shared" si="16"/>
        <v>0</v>
      </c>
      <c r="AB41" s="97">
        <f t="shared" si="17"/>
        <v>0.66666666666666663</v>
      </c>
      <c r="AC41" s="98">
        <f t="shared" si="18"/>
        <v>0.5</v>
      </c>
      <c r="AD41" s="97">
        <f t="shared" si="19"/>
        <v>0</v>
      </c>
      <c r="AE41" s="97">
        <f t="shared" si="20"/>
        <v>0</v>
      </c>
      <c r="AF41" s="98">
        <f t="shared" si="21"/>
        <v>0</v>
      </c>
      <c r="AG41" s="97">
        <f t="shared" si="22"/>
        <v>0</v>
      </c>
      <c r="AH41" s="97">
        <f t="shared" si="23"/>
        <v>0</v>
      </c>
      <c r="AI41" s="98">
        <f t="shared" si="24"/>
        <v>0</v>
      </c>
      <c r="AJ41" s="97">
        <f t="shared" si="25"/>
        <v>0</v>
      </c>
      <c r="AK41" s="97">
        <f t="shared" si="26"/>
        <v>0</v>
      </c>
      <c r="AL41" s="99">
        <f t="shared" si="27"/>
        <v>0</v>
      </c>
      <c r="AM41" s="100">
        <f t="shared" si="28"/>
        <v>2</v>
      </c>
      <c r="AN41" s="101">
        <f t="shared" si="37"/>
        <v>0.5</v>
      </c>
      <c r="AO41" s="100">
        <f t="shared" si="29"/>
        <v>0</v>
      </c>
      <c r="AP41" s="101">
        <f t="shared" si="38"/>
        <v>0</v>
      </c>
      <c r="AQ41" s="100">
        <f t="shared" si="30"/>
        <v>0</v>
      </c>
      <c r="AR41" s="101">
        <f t="shared" si="39"/>
        <v>0</v>
      </c>
      <c r="AS41" s="100">
        <f t="shared" si="31"/>
        <v>2</v>
      </c>
      <c r="AT41" s="101">
        <f t="shared" si="40"/>
        <v>0.5</v>
      </c>
      <c r="AU41" s="100">
        <f t="shared" si="32"/>
        <v>0</v>
      </c>
      <c r="AV41" s="101">
        <f t="shared" si="41"/>
        <v>0</v>
      </c>
      <c r="AW41" s="100">
        <f t="shared" si="33"/>
        <v>0</v>
      </c>
      <c r="AX41" s="101">
        <f t="shared" si="42"/>
        <v>0</v>
      </c>
      <c r="AY41" s="100">
        <f t="shared" si="34"/>
        <v>0</v>
      </c>
      <c r="AZ41" s="101">
        <f t="shared" si="43"/>
        <v>0</v>
      </c>
      <c r="BA41" s="102">
        <f t="shared" si="35"/>
        <v>1</v>
      </c>
    </row>
    <row r="42" spans="1:53" x14ac:dyDescent="0.3">
      <c r="A42" s="92">
        <f>[4]SockEst!A43</f>
        <v>45129</v>
      </c>
      <c r="B42" s="93">
        <f>[4]SockEst!B43</f>
        <v>203</v>
      </c>
      <c r="C42" s="94" t="str">
        <f t="shared" si="36"/>
        <v>TTL</v>
      </c>
      <c r="D42" s="95">
        <f>IFERROR(VLOOKUP($A42,[5]qry_Whonnock_Species_Compositio!$A$1:$O$114,COLUMN([5]qry_Whonnock_Species_Compositio!B42), FALSE), "")</f>
        <v>0</v>
      </c>
      <c r="E42" s="95">
        <f>IFERROR(VLOOKUP($A42,[5]qry_Whonnock_Species_Compositio!$A$1:$O$114,COLUMN([5]qry_Whonnock_Species_Compositio!C42), FALSE), "")</f>
        <v>0</v>
      </c>
      <c r="F42" s="95">
        <f>IFERROR(VLOOKUP($A42,[5]qry_Whonnock_Species_Compositio!$A$1:$O$114,COLUMN([5]qry_Whonnock_Species_Compositio!D42), FALSE), "")</f>
        <v>0</v>
      </c>
      <c r="G42" s="95">
        <f>IFERROR(VLOOKUP($A42,[5]qry_Whonnock_Species_Compositio!$A$1:$O$114,COLUMN([5]qry_Whonnock_Species_Compositio!E42), FALSE), "")</f>
        <v>0</v>
      </c>
      <c r="H42" s="95">
        <f>IFERROR(VLOOKUP($A42,[5]qry_Whonnock_Species_Compositio!$A$1:$O$114,COLUMN([5]qry_Whonnock_Species_Compositio!F42), FALSE), "")</f>
        <v>0</v>
      </c>
      <c r="I42" s="95">
        <f>IFERROR(VLOOKUP($A42,[5]qry_Whonnock_Species_Compositio!$A$1:$O$114,COLUMN([5]qry_Whonnock_Species_Compositio!G42), FALSE), "")</f>
        <v>0</v>
      </c>
      <c r="J42" s="95">
        <f>IFERROR(VLOOKUP($A42,[5]qry_Whonnock_Species_Compositio!$A$1:$O$114,COLUMN([5]qry_Whonnock_Species_Compositio!H42), FALSE), "")</f>
        <v>0</v>
      </c>
      <c r="K42" s="95">
        <f>IFERROR(VLOOKUP($A42,[5]qry_Whonnock_Species_Compositio!$A$1:$O$114,COLUMN([5]qry_Whonnock_Species_Compositio!I42), FALSE), "")</f>
        <v>1</v>
      </c>
      <c r="L42" s="95">
        <f>IFERROR(VLOOKUP($A42,[5]qry_Whonnock_Species_Compositio!$A$1:$O$114,COLUMN([5]qry_Whonnock_Species_Compositio!J42), FALSE), "")</f>
        <v>0</v>
      </c>
      <c r="M42" s="95">
        <f>IFERROR(VLOOKUP($A42,[5]qry_Whonnock_Species_Compositio!$A$1:$O$114,COLUMN([5]qry_Whonnock_Species_Compositio!K42), FALSE), "")</f>
        <v>0</v>
      </c>
      <c r="N42" s="95">
        <f>IFERROR(VLOOKUP($A42,[5]qry_Whonnock_Species_Compositio!$A$1:$O$114,COLUMN([5]qry_Whonnock_Species_Compositio!L42), FALSE), "")</f>
        <v>0</v>
      </c>
      <c r="O42" s="95">
        <f>IFERROR(VLOOKUP($A42,[5]qry_Whonnock_Species_Compositio!$A$1:$O$114,COLUMN([5]qry_Whonnock_Species_Compositio!M42), FALSE), "")</f>
        <v>0</v>
      </c>
      <c r="P42" s="95">
        <f>IFERROR(VLOOKUP($A42,[5]qry_Whonnock_Species_Compositio!$A$1:$O$114,COLUMN([5]qry_Whonnock_Species_Compositio!N42), FALSE), "")</f>
        <v>0</v>
      </c>
      <c r="Q42" s="95">
        <f>IFERROR(VLOOKUP($A42,[5]qry_Whonnock_Species_Compositio!$A$1:$O$114,COLUMN([5]qry_Whonnock_Species_Compositio!O42), FALSE), "")</f>
        <v>0</v>
      </c>
      <c r="R42" s="96">
        <f t="shared" si="7"/>
        <v>0</v>
      </c>
      <c r="S42" s="97">
        <f t="shared" si="8"/>
        <v>0</v>
      </c>
      <c r="T42" s="98">
        <f t="shared" si="9"/>
        <v>0</v>
      </c>
      <c r="U42" s="97">
        <f t="shared" si="10"/>
        <v>0</v>
      </c>
      <c r="V42" s="97">
        <f t="shared" si="11"/>
        <v>0</v>
      </c>
      <c r="W42" s="98">
        <f t="shared" si="12"/>
        <v>0</v>
      </c>
      <c r="X42" s="97">
        <f t="shared" si="13"/>
        <v>0</v>
      </c>
      <c r="Y42" s="97">
        <f t="shared" si="14"/>
        <v>0</v>
      </c>
      <c r="Z42" s="98">
        <f t="shared" si="15"/>
        <v>0</v>
      </c>
      <c r="AA42" s="97">
        <f t="shared" si="16"/>
        <v>0</v>
      </c>
      <c r="AB42" s="97">
        <f t="shared" si="17"/>
        <v>1</v>
      </c>
      <c r="AC42" s="98">
        <f t="shared" si="18"/>
        <v>1</v>
      </c>
      <c r="AD42" s="97">
        <f t="shared" si="19"/>
        <v>0</v>
      </c>
      <c r="AE42" s="97">
        <f t="shared" si="20"/>
        <v>0</v>
      </c>
      <c r="AF42" s="98">
        <f t="shared" si="21"/>
        <v>0</v>
      </c>
      <c r="AG42" s="97">
        <f t="shared" si="22"/>
        <v>0</v>
      </c>
      <c r="AH42" s="97">
        <f t="shared" si="23"/>
        <v>0</v>
      </c>
      <c r="AI42" s="98">
        <f t="shared" si="24"/>
        <v>0</v>
      </c>
      <c r="AJ42" s="97">
        <f t="shared" si="25"/>
        <v>0</v>
      </c>
      <c r="AK42" s="97">
        <f t="shared" si="26"/>
        <v>0</v>
      </c>
      <c r="AL42" s="99">
        <f t="shared" si="27"/>
        <v>0</v>
      </c>
      <c r="AM42" s="100">
        <f t="shared" si="28"/>
        <v>0</v>
      </c>
      <c r="AN42" s="101">
        <f t="shared" si="37"/>
        <v>0</v>
      </c>
      <c r="AO42" s="100">
        <f t="shared" si="29"/>
        <v>0</v>
      </c>
      <c r="AP42" s="101">
        <f t="shared" si="38"/>
        <v>0</v>
      </c>
      <c r="AQ42" s="100">
        <f t="shared" si="30"/>
        <v>0</v>
      </c>
      <c r="AR42" s="101">
        <f t="shared" si="39"/>
        <v>0</v>
      </c>
      <c r="AS42" s="100">
        <f t="shared" si="31"/>
        <v>1</v>
      </c>
      <c r="AT42" s="101">
        <f t="shared" si="40"/>
        <v>1</v>
      </c>
      <c r="AU42" s="100">
        <f t="shared" si="32"/>
        <v>0</v>
      </c>
      <c r="AV42" s="101">
        <f t="shared" si="41"/>
        <v>0</v>
      </c>
      <c r="AW42" s="100">
        <f t="shared" si="33"/>
        <v>0</v>
      </c>
      <c r="AX42" s="101">
        <f t="shared" si="42"/>
        <v>0</v>
      </c>
      <c r="AY42" s="100">
        <f t="shared" si="34"/>
        <v>0</v>
      </c>
      <c r="AZ42" s="101">
        <f t="shared" si="43"/>
        <v>0</v>
      </c>
      <c r="BA42" s="102">
        <f t="shared" si="35"/>
        <v>1</v>
      </c>
    </row>
    <row r="43" spans="1:53" x14ac:dyDescent="0.3">
      <c r="A43" s="92">
        <f>[4]SockEst!A44</f>
        <v>45130</v>
      </c>
      <c r="B43" s="93">
        <f>[4]SockEst!B44</f>
        <v>204</v>
      </c>
      <c r="C43" s="94" t="str">
        <f t="shared" si="36"/>
        <v>TTL</v>
      </c>
      <c r="D43" s="95">
        <f>IFERROR(VLOOKUP($A43,[5]qry_Whonnock_Species_Compositio!$A$1:$O$114,COLUMN([5]qry_Whonnock_Species_Compositio!B43), FALSE), "")</f>
        <v>0</v>
      </c>
      <c r="E43" s="95">
        <f>IFERROR(VLOOKUP($A43,[5]qry_Whonnock_Species_Compositio!$A$1:$O$114,COLUMN([5]qry_Whonnock_Species_Compositio!C43), FALSE), "")</f>
        <v>2</v>
      </c>
      <c r="F43" s="95">
        <f>IFERROR(VLOOKUP($A43,[5]qry_Whonnock_Species_Compositio!$A$1:$O$114,COLUMN([5]qry_Whonnock_Species_Compositio!D43), FALSE), "")</f>
        <v>0</v>
      </c>
      <c r="G43" s="95">
        <f>IFERROR(VLOOKUP($A43,[5]qry_Whonnock_Species_Compositio!$A$1:$O$114,COLUMN([5]qry_Whonnock_Species_Compositio!E43), FALSE), "")</f>
        <v>0</v>
      </c>
      <c r="H43" s="95">
        <f>IFERROR(VLOOKUP($A43,[5]qry_Whonnock_Species_Compositio!$A$1:$O$114,COLUMN([5]qry_Whonnock_Species_Compositio!F43), FALSE), "")</f>
        <v>0</v>
      </c>
      <c r="I43" s="95">
        <f>IFERROR(VLOOKUP($A43,[5]qry_Whonnock_Species_Compositio!$A$1:$O$114,COLUMN([5]qry_Whonnock_Species_Compositio!G43), FALSE), "")</f>
        <v>0</v>
      </c>
      <c r="J43" s="95">
        <f>IFERROR(VLOOKUP($A43,[5]qry_Whonnock_Species_Compositio!$A$1:$O$114,COLUMN([5]qry_Whonnock_Species_Compositio!H43), FALSE), "")</f>
        <v>0</v>
      </c>
      <c r="K43" s="95">
        <f>IFERROR(VLOOKUP($A43,[5]qry_Whonnock_Species_Compositio!$A$1:$O$114,COLUMN([5]qry_Whonnock_Species_Compositio!I43), FALSE), "")</f>
        <v>0</v>
      </c>
      <c r="L43" s="95">
        <f>IFERROR(VLOOKUP($A43,[5]qry_Whonnock_Species_Compositio!$A$1:$O$114,COLUMN([5]qry_Whonnock_Species_Compositio!J43), FALSE), "")</f>
        <v>0</v>
      </c>
      <c r="M43" s="95">
        <f>IFERROR(VLOOKUP($A43,[5]qry_Whonnock_Species_Compositio!$A$1:$O$114,COLUMN([5]qry_Whonnock_Species_Compositio!K43), FALSE), "")</f>
        <v>0</v>
      </c>
      <c r="N43" s="95">
        <f>IFERROR(VLOOKUP($A43,[5]qry_Whonnock_Species_Compositio!$A$1:$O$114,COLUMN([5]qry_Whonnock_Species_Compositio!L43), FALSE), "")</f>
        <v>0</v>
      </c>
      <c r="O43" s="95">
        <f>IFERROR(VLOOKUP($A43,[5]qry_Whonnock_Species_Compositio!$A$1:$O$114,COLUMN([5]qry_Whonnock_Species_Compositio!M43), FALSE), "")</f>
        <v>0</v>
      </c>
      <c r="P43" s="95">
        <f>IFERROR(VLOOKUP($A43,[5]qry_Whonnock_Species_Compositio!$A$1:$O$114,COLUMN([5]qry_Whonnock_Species_Compositio!N43), FALSE), "")</f>
        <v>0</v>
      </c>
      <c r="Q43" s="95">
        <f>IFERROR(VLOOKUP($A43,[5]qry_Whonnock_Species_Compositio!$A$1:$O$114,COLUMN([5]qry_Whonnock_Species_Compositio!O43), FALSE), "")</f>
        <v>0</v>
      </c>
      <c r="R43" s="96">
        <f t="shared" si="7"/>
        <v>0</v>
      </c>
      <c r="S43" s="97">
        <f t="shared" si="8"/>
        <v>1</v>
      </c>
      <c r="T43" s="98">
        <f t="shared" si="9"/>
        <v>1</v>
      </c>
      <c r="U43" s="97">
        <f t="shared" si="10"/>
        <v>0</v>
      </c>
      <c r="V43" s="97">
        <f t="shared" si="11"/>
        <v>0</v>
      </c>
      <c r="W43" s="98">
        <f t="shared" si="12"/>
        <v>0</v>
      </c>
      <c r="X43" s="97">
        <f t="shared" si="13"/>
        <v>0</v>
      </c>
      <c r="Y43" s="97">
        <f t="shared" si="14"/>
        <v>0</v>
      </c>
      <c r="Z43" s="98">
        <f t="shared" si="15"/>
        <v>0</v>
      </c>
      <c r="AA43" s="97">
        <f t="shared" si="16"/>
        <v>0</v>
      </c>
      <c r="AB43" s="97">
        <f t="shared" si="17"/>
        <v>0</v>
      </c>
      <c r="AC43" s="98">
        <f t="shared" si="18"/>
        <v>0</v>
      </c>
      <c r="AD43" s="97">
        <f t="shared" si="19"/>
        <v>0</v>
      </c>
      <c r="AE43" s="97">
        <f t="shared" si="20"/>
        <v>0</v>
      </c>
      <c r="AF43" s="98">
        <f t="shared" si="21"/>
        <v>0</v>
      </c>
      <c r="AG43" s="97">
        <f t="shared" si="22"/>
        <v>0</v>
      </c>
      <c r="AH43" s="97">
        <f t="shared" si="23"/>
        <v>0</v>
      </c>
      <c r="AI43" s="98">
        <f t="shared" si="24"/>
        <v>0</v>
      </c>
      <c r="AJ43" s="97">
        <f t="shared" si="25"/>
        <v>0</v>
      </c>
      <c r="AK43" s="97">
        <f t="shared" si="26"/>
        <v>0</v>
      </c>
      <c r="AL43" s="99">
        <f t="shared" si="27"/>
        <v>0</v>
      </c>
      <c r="AM43" s="100">
        <f t="shared" si="28"/>
        <v>2</v>
      </c>
      <c r="AN43" s="101">
        <f t="shared" si="37"/>
        <v>1</v>
      </c>
      <c r="AO43" s="100">
        <f t="shared" si="29"/>
        <v>0</v>
      </c>
      <c r="AP43" s="101">
        <f t="shared" si="38"/>
        <v>0</v>
      </c>
      <c r="AQ43" s="100">
        <f t="shared" si="30"/>
        <v>0</v>
      </c>
      <c r="AR43" s="101">
        <f t="shared" si="39"/>
        <v>0</v>
      </c>
      <c r="AS43" s="100">
        <f t="shared" si="31"/>
        <v>0</v>
      </c>
      <c r="AT43" s="101">
        <f t="shared" si="40"/>
        <v>0</v>
      </c>
      <c r="AU43" s="100">
        <f t="shared" si="32"/>
        <v>0</v>
      </c>
      <c r="AV43" s="101">
        <f t="shared" si="41"/>
        <v>0</v>
      </c>
      <c r="AW43" s="100">
        <f t="shared" si="33"/>
        <v>0</v>
      </c>
      <c r="AX43" s="101">
        <f t="shared" si="42"/>
        <v>0</v>
      </c>
      <c r="AY43" s="100">
        <f t="shared" si="34"/>
        <v>0</v>
      </c>
      <c r="AZ43" s="101">
        <f t="shared" si="43"/>
        <v>0</v>
      </c>
      <c r="BA43" s="102">
        <f t="shared" si="35"/>
        <v>1</v>
      </c>
    </row>
    <row r="44" spans="1:53" x14ac:dyDescent="0.3">
      <c r="A44" s="92">
        <f>[4]SockEst!A45</f>
        <v>45131</v>
      </c>
      <c r="B44" s="93">
        <f>[4]SockEst!B45</f>
        <v>205</v>
      </c>
      <c r="C44" s="94" t="str">
        <f t="shared" si="36"/>
        <v>TTL</v>
      </c>
      <c r="D44" s="95">
        <f>IFERROR(VLOOKUP($A44,[5]qry_Whonnock_Species_Compositio!$A$1:$O$114,COLUMN([5]qry_Whonnock_Species_Compositio!B44), FALSE), "")</f>
        <v>2</v>
      </c>
      <c r="E44" s="95">
        <f>IFERROR(VLOOKUP($A44,[5]qry_Whonnock_Species_Compositio!$A$1:$O$114,COLUMN([5]qry_Whonnock_Species_Compositio!C44), FALSE), "")</f>
        <v>3</v>
      </c>
      <c r="F44" s="95">
        <f>IFERROR(VLOOKUP($A44,[5]qry_Whonnock_Species_Compositio!$A$1:$O$114,COLUMN([5]qry_Whonnock_Species_Compositio!D44), FALSE), "")</f>
        <v>0</v>
      </c>
      <c r="G44" s="95">
        <f>IFERROR(VLOOKUP($A44,[5]qry_Whonnock_Species_Compositio!$A$1:$O$114,COLUMN([5]qry_Whonnock_Species_Compositio!E44), FALSE), "")</f>
        <v>0</v>
      </c>
      <c r="H44" s="95">
        <f>IFERROR(VLOOKUP($A44,[5]qry_Whonnock_Species_Compositio!$A$1:$O$114,COLUMN([5]qry_Whonnock_Species_Compositio!F44), FALSE), "")</f>
        <v>0</v>
      </c>
      <c r="I44" s="95">
        <f>IFERROR(VLOOKUP($A44,[5]qry_Whonnock_Species_Compositio!$A$1:$O$114,COLUMN([5]qry_Whonnock_Species_Compositio!G44), FALSE), "")</f>
        <v>0</v>
      </c>
      <c r="J44" s="95">
        <f>IFERROR(VLOOKUP($A44,[5]qry_Whonnock_Species_Compositio!$A$1:$O$114,COLUMN([5]qry_Whonnock_Species_Compositio!H44), FALSE), "")</f>
        <v>1</v>
      </c>
      <c r="K44" s="95">
        <f>IFERROR(VLOOKUP($A44,[5]qry_Whonnock_Species_Compositio!$A$1:$O$114,COLUMN([5]qry_Whonnock_Species_Compositio!I44), FALSE), "")</f>
        <v>0</v>
      </c>
      <c r="L44" s="95">
        <f>IFERROR(VLOOKUP($A44,[5]qry_Whonnock_Species_Compositio!$A$1:$O$114,COLUMN([5]qry_Whonnock_Species_Compositio!J44), FALSE), "")</f>
        <v>0</v>
      </c>
      <c r="M44" s="95">
        <f>IFERROR(VLOOKUP($A44,[5]qry_Whonnock_Species_Compositio!$A$1:$O$114,COLUMN([5]qry_Whonnock_Species_Compositio!K44), FALSE), "")</f>
        <v>0</v>
      </c>
      <c r="N44" s="95">
        <f>IFERROR(VLOOKUP($A44,[5]qry_Whonnock_Species_Compositio!$A$1:$O$114,COLUMN([5]qry_Whonnock_Species_Compositio!L44), FALSE), "")</f>
        <v>0</v>
      </c>
      <c r="O44" s="95">
        <f>IFERROR(VLOOKUP($A44,[5]qry_Whonnock_Species_Compositio!$A$1:$O$114,COLUMN([5]qry_Whonnock_Species_Compositio!M44), FALSE), "")</f>
        <v>0</v>
      </c>
      <c r="P44" s="95">
        <f>IFERROR(VLOOKUP($A44,[5]qry_Whonnock_Species_Compositio!$A$1:$O$114,COLUMN([5]qry_Whonnock_Species_Compositio!N44), FALSE), "")</f>
        <v>0</v>
      </c>
      <c r="Q44" s="95">
        <f>IFERROR(VLOOKUP($A44,[5]qry_Whonnock_Species_Compositio!$A$1:$O$114,COLUMN([5]qry_Whonnock_Species_Compositio!O44), FALSE), "")</f>
        <v>0</v>
      </c>
      <c r="R44" s="96">
        <f t="shared" si="7"/>
        <v>0.66666666666666663</v>
      </c>
      <c r="S44" s="97">
        <f t="shared" si="8"/>
        <v>1</v>
      </c>
      <c r="T44" s="98">
        <f t="shared" si="9"/>
        <v>0.83333333333333337</v>
      </c>
      <c r="U44" s="97">
        <f t="shared" si="10"/>
        <v>0</v>
      </c>
      <c r="V44" s="97">
        <f t="shared" si="11"/>
        <v>0</v>
      </c>
      <c r="W44" s="98">
        <f t="shared" si="12"/>
        <v>0</v>
      </c>
      <c r="X44" s="97">
        <f t="shared" si="13"/>
        <v>0</v>
      </c>
      <c r="Y44" s="97">
        <f t="shared" si="14"/>
        <v>0</v>
      </c>
      <c r="Z44" s="98">
        <f t="shared" si="15"/>
        <v>0</v>
      </c>
      <c r="AA44" s="97">
        <f t="shared" si="16"/>
        <v>0.33333333333333331</v>
      </c>
      <c r="AB44" s="97">
        <f t="shared" si="17"/>
        <v>0</v>
      </c>
      <c r="AC44" s="98">
        <f t="shared" si="18"/>
        <v>0.16666666666666666</v>
      </c>
      <c r="AD44" s="97">
        <f t="shared" si="19"/>
        <v>0</v>
      </c>
      <c r="AE44" s="97">
        <f t="shared" si="20"/>
        <v>0</v>
      </c>
      <c r="AF44" s="98">
        <f t="shared" si="21"/>
        <v>0</v>
      </c>
      <c r="AG44" s="97">
        <f t="shared" si="22"/>
        <v>0</v>
      </c>
      <c r="AH44" s="97">
        <f t="shared" si="23"/>
        <v>0</v>
      </c>
      <c r="AI44" s="98">
        <f t="shared" si="24"/>
        <v>0</v>
      </c>
      <c r="AJ44" s="97">
        <f t="shared" si="25"/>
        <v>0</v>
      </c>
      <c r="AK44" s="97">
        <f t="shared" si="26"/>
        <v>0</v>
      </c>
      <c r="AL44" s="99">
        <f t="shared" si="27"/>
        <v>0</v>
      </c>
      <c r="AM44" s="100">
        <f t="shared" si="28"/>
        <v>5</v>
      </c>
      <c r="AN44" s="101">
        <f t="shared" si="37"/>
        <v>0.83333333333333337</v>
      </c>
      <c r="AO44" s="100">
        <f t="shared" si="29"/>
        <v>0</v>
      </c>
      <c r="AP44" s="101">
        <f t="shared" si="38"/>
        <v>0</v>
      </c>
      <c r="AQ44" s="100">
        <f t="shared" si="30"/>
        <v>0</v>
      </c>
      <c r="AR44" s="101">
        <f t="shared" si="39"/>
        <v>0</v>
      </c>
      <c r="AS44" s="100">
        <f t="shared" si="31"/>
        <v>1</v>
      </c>
      <c r="AT44" s="101">
        <f t="shared" si="40"/>
        <v>0.16666666666666666</v>
      </c>
      <c r="AU44" s="100">
        <f t="shared" si="32"/>
        <v>0</v>
      </c>
      <c r="AV44" s="101">
        <f t="shared" si="41"/>
        <v>0</v>
      </c>
      <c r="AW44" s="100">
        <f t="shared" si="33"/>
        <v>0</v>
      </c>
      <c r="AX44" s="101">
        <f t="shared" si="42"/>
        <v>0</v>
      </c>
      <c r="AY44" s="100">
        <f t="shared" si="34"/>
        <v>0</v>
      </c>
      <c r="AZ44" s="101">
        <f t="shared" si="43"/>
        <v>0</v>
      </c>
      <c r="BA44" s="102">
        <f t="shared" si="35"/>
        <v>1</v>
      </c>
    </row>
    <row r="45" spans="1:53" x14ac:dyDescent="0.3">
      <c r="A45" s="92">
        <f>[4]SockEst!A46</f>
        <v>45132</v>
      </c>
      <c r="B45" s="93">
        <f>[4]SockEst!B46</f>
        <v>206</v>
      </c>
      <c r="C45" s="94" t="str">
        <f t="shared" si="36"/>
        <v>TTL</v>
      </c>
      <c r="D45" s="95">
        <f>IFERROR(VLOOKUP($A45,[5]qry_Whonnock_Species_Compositio!$A$1:$O$114,COLUMN([5]qry_Whonnock_Species_Compositio!B45), FALSE), "")</f>
        <v>1</v>
      </c>
      <c r="E45" s="95">
        <f>IFERROR(VLOOKUP($A45,[5]qry_Whonnock_Species_Compositio!$A$1:$O$114,COLUMN([5]qry_Whonnock_Species_Compositio!C45), FALSE), "")</f>
        <v>1</v>
      </c>
      <c r="F45" s="95">
        <f>IFERROR(VLOOKUP($A45,[5]qry_Whonnock_Species_Compositio!$A$1:$O$114,COLUMN([5]qry_Whonnock_Species_Compositio!D45), FALSE), "")</f>
        <v>0</v>
      </c>
      <c r="G45" s="95">
        <f>IFERROR(VLOOKUP($A45,[5]qry_Whonnock_Species_Compositio!$A$1:$O$114,COLUMN([5]qry_Whonnock_Species_Compositio!E45), FALSE), "")</f>
        <v>0</v>
      </c>
      <c r="H45" s="95">
        <f>IFERROR(VLOOKUP($A45,[5]qry_Whonnock_Species_Compositio!$A$1:$O$114,COLUMN([5]qry_Whonnock_Species_Compositio!F45), FALSE), "")</f>
        <v>0</v>
      </c>
      <c r="I45" s="95">
        <f>IFERROR(VLOOKUP($A45,[5]qry_Whonnock_Species_Compositio!$A$1:$O$114,COLUMN([5]qry_Whonnock_Species_Compositio!G45), FALSE), "")</f>
        <v>0</v>
      </c>
      <c r="J45" s="95">
        <f>IFERROR(VLOOKUP($A45,[5]qry_Whonnock_Species_Compositio!$A$1:$O$114,COLUMN([5]qry_Whonnock_Species_Compositio!H45), FALSE), "")</f>
        <v>0</v>
      </c>
      <c r="K45" s="95">
        <f>IFERROR(VLOOKUP($A45,[5]qry_Whonnock_Species_Compositio!$A$1:$O$114,COLUMN([5]qry_Whonnock_Species_Compositio!I45), FALSE), "")</f>
        <v>6</v>
      </c>
      <c r="L45" s="95">
        <f>IFERROR(VLOOKUP($A45,[5]qry_Whonnock_Species_Compositio!$A$1:$O$114,COLUMN([5]qry_Whonnock_Species_Compositio!J45), FALSE), "")</f>
        <v>0</v>
      </c>
      <c r="M45" s="95">
        <f>IFERROR(VLOOKUP($A45,[5]qry_Whonnock_Species_Compositio!$A$1:$O$114,COLUMN([5]qry_Whonnock_Species_Compositio!K45), FALSE), "")</f>
        <v>0</v>
      </c>
      <c r="N45" s="95">
        <f>IFERROR(VLOOKUP($A45,[5]qry_Whonnock_Species_Compositio!$A$1:$O$114,COLUMN([5]qry_Whonnock_Species_Compositio!L45), FALSE), "")</f>
        <v>0</v>
      </c>
      <c r="O45" s="95">
        <f>IFERROR(VLOOKUP($A45,[5]qry_Whonnock_Species_Compositio!$A$1:$O$114,COLUMN([5]qry_Whonnock_Species_Compositio!M45), FALSE), "")</f>
        <v>0</v>
      </c>
      <c r="P45" s="95">
        <f>IFERROR(VLOOKUP($A45,[5]qry_Whonnock_Species_Compositio!$A$1:$O$114,COLUMN([5]qry_Whonnock_Species_Compositio!N45), FALSE), "")</f>
        <v>0</v>
      </c>
      <c r="Q45" s="95">
        <f>IFERROR(VLOOKUP($A45,[5]qry_Whonnock_Species_Compositio!$A$1:$O$114,COLUMN([5]qry_Whonnock_Species_Compositio!O45), FALSE), "")</f>
        <v>0</v>
      </c>
      <c r="R45" s="96">
        <f t="shared" si="7"/>
        <v>1</v>
      </c>
      <c r="S45" s="97">
        <f t="shared" si="8"/>
        <v>0.14285714285714285</v>
      </c>
      <c r="T45" s="98">
        <f t="shared" si="9"/>
        <v>0.25</v>
      </c>
      <c r="U45" s="97">
        <f t="shared" si="10"/>
        <v>0</v>
      </c>
      <c r="V45" s="97">
        <f t="shared" si="11"/>
        <v>0</v>
      </c>
      <c r="W45" s="98">
        <f t="shared" si="12"/>
        <v>0</v>
      </c>
      <c r="X45" s="97">
        <f t="shared" si="13"/>
        <v>0</v>
      </c>
      <c r="Y45" s="97">
        <f t="shared" si="14"/>
        <v>0</v>
      </c>
      <c r="Z45" s="98">
        <f t="shared" si="15"/>
        <v>0</v>
      </c>
      <c r="AA45" s="97">
        <f t="shared" si="16"/>
        <v>0</v>
      </c>
      <c r="AB45" s="97">
        <f t="shared" si="17"/>
        <v>0.8571428571428571</v>
      </c>
      <c r="AC45" s="98">
        <f t="shared" si="18"/>
        <v>0.75</v>
      </c>
      <c r="AD45" s="97">
        <f t="shared" si="19"/>
        <v>0</v>
      </c>
      <c r="AE45" s="97">
        <f t="shared" si="20"/>
        <v>0</v>
      </c>
      <c r="AF45" s="98">
        <f t="shared" si="21"/>
        <v>0</v>
      </c>
      <c r="AG45" s="97">
        <f t="shared" si="22"/>
        <v>0</v>
      </c>
      <c r="AH45" s="97">
        <f t="shared" si="23"/>
        <v>0</v>
      </c>
      <c r="AI45" s="98">
        <f t="shared" si="24"/>
        <v>0</v>
      </c>
      <c r="AJ45" s="97">
        <f t="shared" si="25"/>
        <v>0</v>
      </c>
      <c r="AK45" s="97">
        <f t="shared" si="26"/>
        <v>0</v>
      </c>
      <c r="AL45" s="99">
        <f t="shared" si="27"/>
        <v>0</v>
      </c>
      <c r="AM45" s="100">
        <f t="shared" si="28"/>
        <v>2</v>
      </c>
      <c r="AN45" s="101">
        <f t="shared" si="37"/>
        <v>0.25</v>
      </c>
      <c r="AO45" s="100">
        <f t="shared" si="29"/>
        <v>0</v>
      </c>
      <c r="AP45" s="101">
        <f t="shared" si="38"/>
        <v>0</v>
      </c>
      <c r="AQ45" s="100">
        <f t="shared" si="30"/>
        <v>0</v>
      </c>
      <c r="AR45" s="101">
        <f t="shared" si="39"/>
        <v>0</v>
      </c>
      <c r="AS45" s="100">
        <f t="shared" si="31"/>
        <v>6</v>
      </c>
      <c r="AT45" s="101">
        <f t="shared" si="40"/>
        <v>0.75</v>
      </c>
      <c r="AU45" s="100">
        <f t="shared" si="32"/>
        <v>0</v>
      </c>
      <c r="AV45" s="101">
        <f t="shared" si="41"/>
        <v>0</v>
      </c>
      <c r="AW45" s="100">
        <f t="shared" si="33"/>
        <v>0</v>
      </c>
      <c r="AX45" s="101">
        <f t="shared" si="42"/>
        <v>0</v>
      </c>
      <c r="AY45" s="100">
        <f t="shared" si="34"/>
        <v>0</v>
      </c>
      <c r="AZ45" s="101">
        <f t="shared" si="43"/>
        <v>0</v>
      </c>
      <c r="BA45" s="102">
        <f t="shared" si="35"/>
        <v>1</v>
      </c>
    </row>
    <row r="46" spans="1:53" x14ac:dyDescent="0.3">
      <c r="A46" s="92">
        <f>[4]SockEst!A47</f>
        <v>45133</v>
      </c>
      <c r="B46" s="93">
        <f>[4]SockEst!B47</f>
        <v>207</v>
      </c>
      <c r="C46" s="94" t="str">
        <f t="shared" si="36"/>
        <v>TTL</v>
      </c>
      <c r="D46" s="95">
        <f>IFERROR(VLOOKUP($A46,[5]qry_Whonnock_Species_Compositio!$A$1:$O$114,COLUMN([5]qry_Whonnock_Species_Compositio!B46), FALSE), "")</f>
        <v>0</v>
      </c>
      <c r="E46" s="95">
        <f>IFERROR(VLOOKUP($A46,[5]qry_Whonnock_Species_Compositio!$A$1:$O$114,COLUMN([5]qry_Whonnock_Species_Compositio!C46), FALSE), "")</f>
        <v>4</v>
      </c>
      <c r="F46" s="95">
        <f>IFERROR(VLOOKUP($A46,[5]qry_Whonnock_Species_Compositio!$A$1:$O$114,COLUMN([5]qry_Whonnock_Species_Compositio!D46), FALSE), "")</f>
        <v>0</v>
      </c>
      <c r="G46" s="95">
        <f>IFERROR(VLOOKUP($A46,[5]qry_Whonnock_Species_Compositio!$A$1:$O$114,COLUMN([5]qry_Whonnock_Species_Compositio!E46), FALSE), "")</f>
        <v>0</v>
      </c>
      <c r="H46" s="95">
        <f>IFERROR(VLOOKUP($A46,[5]qry_Whonnock_Species_Compositio!$A$1:$O$114,COLUMN([5]qry_Whonnock_Species_Compositio!F46), FALSE), "")</f>
        <v>0</v>
      </c>
      <c r="I46" s="95">
        <f>IFERROR(VLOOKUP($A46,[5]qry_Whonnock_Species_Compositio!$A$1:$O$114,COLUMN([5]qry_Whonnock_Species_Compositio!G46), FALSE), "")</f>
        <v>0</v>
      </c>
      <c r="J46" s="95">
        <f>IFERROR(VLOOKUP($A46,[5]qry_Whonnock_Species_Compositio!$A$1:$O$114,COLUMN([5]qry_Whonnock_Species_Compositio!H46), FALSE), "")</f>
        <v>1</v>
      </c>
      <c r="K46" s="95">
        <f>IFERROR(VLOOKUP($A46,[5]qry_Whonnock_Species_Compositio!$A$1:$O$114,COLUMN([5]qry_Whonnock_Species_Compositio!I46), FALSE), "")</f>
        <v>2</v>
      </c>
      <c r="L46" s="95">
        <f>IFERROR(VLOOKUP($A46,[5]qry_Whonnock_Species_Compositio!$A$1:$O$114,COLUMN([5]qry_Whonnock_Species_Compositio!J46), FALSE), "")</f>
        <v>0</v>
      </c>
      <c r="M46" s="95">
        <f>IFERROR(VLOOKUP($A46,[5]qry_Whonnock_Species_Compositio!$A$1:$O$114,COLUMN([5]qry_Whonnock_Species_Compositio!K46), FALSE), "")</f>
        <v>0</v>
      </c>
      <c r="N46" s="95">
        <f>IFERROR(VLOOKUP($A46,[5]qry_Whonnock_Species_Compositio!$A$1:$O$114,COLUMN([5]qry_Whonnock_Species_Compositio!L46), FALSE), "")</f>
        <v>0</v>
      </c>
      <c r="O46" s="95">
        <f>IFERROR(VLOOKUP($A46,[5]qry_Whonnock_Species_Compositio!$A$1:$O$114,COLUMN([5]qry_Whonnock_Species_Compositio!M46), FALSE), "")</f>
        <v>0</v>
      </c>
      <c r="P46" s="95">
        <f>IFERROR(VLOOKUP($A46,[5]qry_Whonnock_Species_Compositio!$A$1:$O$114,COLUMN([5]qry_Whonnock_Species_Compositio!N46), FALSE), "")</f>
        <v>0</v>
      </c>
      <c r="Q46" s="95">
        <f>IFERROR(VLOOKUP($A46,[5]qry_Whonnock_Species_Compositio!$A$1:$O$114,COLUMN([5]qry_Whonnock_Species_Compositio!O46), FALSE), "")</f>
        <v>0</v>
      </c>
      <c r="R46" s="96">
        <f t="shared" si="7"/>
        <v>0</v>
      </c>
      <c r="S46" s="97">
        <f t="shared" si="8"/>
        <v>0.66666666666666663</v>
      </c>
      <c r="T46" s="98">
        <f t="shared" si="9"/>
        <v>0.5714285714285714</v>
      </c>
      <c r="U46" s="97">
        <f t="shared" si="10"/>
        <v>0</v>
      </c>
      <c r="V46" s="97">
        <f t="shared" si="11"/>
        <v>0</v>
      </c>
      <c r="W46" s="98">
        <f t="shared" si="12"/>
        <v>0</v>
      </c>
      <c r="X46" s="97">
        <f t="shared" si="13"/>
        <v>0</v>
      </c>
      <c r="Y46" s="97">
        <f t="shared" si="14"/>
        <v>0</v>
      </c>
      <c r="Z46" s="98">
        <f t="shared" si="15"/>
        <v>0</v>
      </c>
      <c r="AA46" s="97">
        <f t="shared" si="16"/>
        <v>1</v>
      </c>
      <c r="AB46" s="97">
        <f t="shared" si="17"/>
        <v>0.33333333333333331</v>
      </c>
      <c r="AC46" s="98">
        <f t="shared" si="18"/>
        <v>0.42857142857142855</v>
      </c>
      <c r="AD46" s="97">
        <f t="shared" si="19"/>
        <v>0</v>
      </c>
      <c r="AE46" s="97">
        <f t="shared" si="20"/>
        <v>0</v>
      </c>
      <c r="AF46" s="98">
        <f t="shared" si="21"/>
        <v>0</v>
      </c>
      <c r="AG46" s="97">
        <f t="shared" si="22"/>
        <v>0</v>
      </c>
      <c r="AH46" s="97">
        <f t="shared" si="23"/>
        <v>0</v>
      </c>
      <c r="AI46" s="98">
        <f t="shared" si="24"/>
        <v>0</v>
      </c>
      <c r="AJ46" s="97">
        <f t="shared" si="25"/>
        <v>0</v>
      </c>
      <c r="AK46" s="97">
        <f t="shared" si="26"/>
        <v>0</v>
      </c>
      <c r="AL46" s="99">
        <f t="shared" si="27"/>
        <v>0</v>
      </c>
      <c r="AM46" s="100">
        <f t="shared" si="28"/>
        <v>4</v>
      </c>
      <c r="AN46" s="101">
        <f t="shared" si="37"/>
        <v>0.5714285714285714</v>
      </c>
      <c r="AO46" s="100">
        <f t="shared" si="29"/>
        <v>0</v>
      </c>
      <c r="AP46" s="101">
        <f t="shared" si="38"/>
        <v>0</v>
      </c>
      <c r="AQ46" s="100">
        <f t="shared" si="30"/>
        <v>0</v>
      </c>
      <c r="AR46" s="101">
        <f t="shared" si="39"/>
        <v>0</v>
      </c>
      <c r="AS46" s="100">
        <f t="shared" si="31"/>
        <v>3</v>
      </c>
      <c r="AT46" s="101">
        <f t="shared" si="40"/>
        <v>0.42857142857142855</v>
      </c>
      <c r="AU46" s="100">
        <f t="shared" si="32"/>
        <v>0</v>
      </c>
      <c r="AV46" s="101">
        <f t="shared" si="41"/>
        <v>0</v>
      </c>
      <c r="AW46" s="100">
        <f t="shared" si="33"/>
        <v>0</v>
      </c>
      <c r="AX46" s="101">
        <f t="shared" si="42"/>
        <v>0</v>
      </c>
      <c r="AY46" s="100">
        <f t="shared" si="34"/>
        <v>0</v>
      </c>
      <c r="AZ46" s="101">
        <f t="shared" si="43"/>
        <v>0</v>
      </c>
      <c r="BA46" s="102">
        <f t="shared" si="35"/>
        <v>1</v>
      </c>
    </row>
    <row r="47" spans="1:53" x14ac:dyDescent="0.3">
      <c r="A47" s="92">
        <f>[4]SockEst!A48</f>
        <v>45134</v>
      </c>
      <c r="B47" s="93">
        <f>[4]SockEst!B48</f>
        <v>208</v>
      </c>
      <c r="C47" s="94" t="str">
        <f>IFERROR(IF(AM47&gt;15,"GG", "TTL"),"")</f>
        <v>TTL</v>
      </c>
      <c r="D47" s="95">
        <f>IFERROR(VLOOKUP($A47,[5]qry_Whonnock_Species_Compositio!$A$1:$O$114,COLUMN([5]qry_Whonnock_Species_Compositio!B47), FALSE), "")</f>
        <v>0</v>
      </c>
      <c r="E47" s="95">
        <f>IFERROR(VLOOKUP($A47,[5]qry_Whonnock_Species_Compositio!$A$1:$O$114,COLUMN([5]qry_Whonnock_Species_Compositio!C47), FALSE), "")</f>
        <v>2</v>
      </c>
      <c r="F47" s="95">
        <f>IFERROR(VLOOKUP($A47,[5]qry_Whonnock_Species_Compositio!$A$1:$O$114,COLUMN([5]qry_Whonnock_Species_Compositio!D47), FALSE), "")</f>
        <v>0</v>
      </c>
      <c r="G47" s="95">
        <f>IFERROR(VLOOKUP($A47,[5]qry_Whonnock_Species_Compositio!$A$1:$O$114,COLUMN([5]qry_Whonnock_Species_Compositio!E47), FALSE), "")</f>
        <v>0</v>
      </c>
      <c r="H47" s="95">
        <f>IFERROR(VLOOKUP($A47,[5]qry_Whonnock_Species_Compositio!$A$1:$O$114,COLUMN([5]qry_Whonnock_Species_Compositio!F47), FALSE), "")</f>
        <v>0</v>
      </c>
      <c r="I47" s="95">
        <f>IFERROR(VLOOKUP($A47,[5]qry_Whonnock_Species_Compositio!$A$1:$O$114,COLUMN([5]qry_Whonnock_Species_Compositio!G47), FALSE), "")</f>
        <v>0</v>
      </c>
      <c r="J47" s="95">
        <f>IFERROR(VLOOKUP($A47,[5]qry_Whonnock_Species_Compositio!$A$1:$O$114,COLUMN([5]qry_Whonnock_Species_Compositio!H47), FALSE), "")</f>
        <v>0</v>
      </c>
      <c r="K47" s="95">
        <f>IFERROR(VLOOKUP($A47,[5]qry_Whonnock_Species_Compositio!$A$1:$O$114,COLUMN([5]qry_Whonnock_Species_Compositio!I47), FALSE), "")</f>
        <v>6</v>
      </c>
      <c r="L47" s="95">
        <f>IFERROR(VLOOKUP($A47,[5]qry_Whonnock_Species_Compositio!$A$1:$O$114,COLUMN([5]qry_Whonnock_Species_Compositio!J47), FALSE), "")</f>
        <v>0</v>
      </c>
      <c r="M47" s="95">
        <f>IFERROR(VLOOKUP($A47,[5]qry_Whonnock_Species_Compositio!$A$1:$O$114,COLUMN([5]qry_Whonnock_Species_Compositio!K47), FALSE), "")</f>
        <v>0</v>
      </c>
      <c r="N47" s="95">
        <f>IFERROR(VLOOKUP($A47,[5]qry_Whonnock_Species_Compositio!$A$1:$O$114,COLUMN([5]qry_Whonnock_Species_Compositio!L47), FALSE), "")</f>
        <v>0</v>
      </c>
      <c r="O47" s="95">
        <f>IFERROR(VLOOKUP($A47,[5]qry_Whonnock_Species_Compositio!$A$1:$O$114,COLUMN([5]qry_Whonnock_Species_Compositio!M47), FALSE), "")</f>
        <v>0</v>
      </c>
      <c r="P47" s="95">
        <f>IFERROR(VLOOKUP($A47,[5]qry_Whonnock_Species_Compositio!$A$1:$O$114,COLUMN([5]qry_Whonnock_Species_Compositio!N47), FALSE), "")</f>
        <v>0</v>
      </c>
      <c r="Q47" s="95">
        <f>IFERROR(VLOOKUP($A47,[5]qry_Whonnock_Species_Compositio!$A$1:$O$114,COLUMN([5]qry_Whonnock_Species_Compositio!O47), FALSE), "")</f>
        <v>0</v>
      </c>
      <c r="R47" s="96">
        <f t="shared" si="7"/>
        <v>0</v>
      </c>
      <c r="S47" s="97">
        <f t="shared" si="8"/>
        <v>0.25</v>
      </c>
      <c r="T47" s="98">
        <f t="shared" si="9"/>
        <v>0.25</v>
      </c>
      <c r="U47" s="97">
        <f t="shared" si="10"/>
        <v>0</v>
      </c>
      <c r="V47" s="97">
        <f t="shared" si="11"/>
        <v>0</v>
      </c>
      <c r="W47" s="98">
        <f t="shared" si="12"/>
        <v>0</v>
      </c>
      <c r="X47" s="97">
        <f t="shared" si="13"/>
        <v>0</v>
      </c>
      <c r="Y47" s="97">
        <f t="shared" si="14"/>
        <v>0</v>
      </c>
      <c r="Z47" s="98">
        <f t="shared" si="15"/>
        <v>0</v>
      </c>
      <c r="AA47" s="97">
        <f t="shared" si="16"/>
        <v>0</v>
      </c>
      <c r="AB47" s="97">
        <f t="shared" si="17"/>
        <v>0.75</v>
      </c>
      <c r="AC47" s="98">
        <f t="shared" si="18"/>
        <v>0.75</v>
      </c>
      <c r="AD47" s="97">
        <f t="shared" si="19"/>
        <v>0</v>
      </c>
      <c r="AE47" s="97">
        <f t="shared" si="20"/>
        <v>0</v>
      </c>
      <c r="AF47" s="98">
        <f t="shared" si="21"/>
        <v>0</v>
      </c>
      <c r="AG47" s="97">
        <f t="shared" si="22"/>
        <v>0</v>
      </c>
      <c r="AH47" s="97">
        <f t="shared" si="23"/>
        <v>0</v>
      </c>
      <c r="AI47" s="98">
        <f t="shared" si="24"/>
        <v>0</v>
      </c>
      <c r="AJ47" s="97">
        <f t="shared" si="25"/>
        <v>0</v>
      </c>
      <c r="AK47" s="97">
        <f t="shared" si="26"/>
        <v>0</v>
      </c>
      <c r="AL47" s="99">
        <f t="shared" si="27"/>
        <v>0</v>
      </c>
      <c r="AM47" s="100">
        <f t="shared" si="28"/>
        <v>2</v>
      </c>
      <c r="AN47" s="101">
        <f t="shared" si="37"/>
        <v>0.25</v>
      </c>
      <c r="AO47" s="100">
        <f t="shared" si="29"/>
        <v>0</v>
      </c>
      <c r="AP47" s="101">
        <f t="shared" si="38"/>
        <v>0</v>
      </c>
      <c r="AQ47" s="100">
        <f t="shared" si="30"/>
        <v>0</v>
      </c>
      <c r="AR47" s="101">
        <f t="shared" si="39"/>
        <v>0</v>
      </c>
      <c r="AS47" s="100">
        <f t="shared" si="31"/>
        <v>6</v>
      </c>
      <c r="AT47" s="101">
        <f t="shared" si="40"/>
        <v>0.75</v>
      </c>
      <c r="AU47" s="100">
        <f t="shared" si="32"/>
        <v>0</v>
      </c>
      <c r="AV47" s="101">
        <f t="shared" si="41"/>
        <v>0</v>
      </c>
      <c r="AW47" s="100">
        <f t="shared" si="33"/>
        <v>0</v>
      </c>
      <c r="AX47" s="101">
        <f t="shared" si="42"/>
        <v>0</v>
      </c>
      <c r="AY47" s="100">
        <f t="shared" si="34"/>
        <v>0</v>
      </c>
      <c r="AZ47" s="101">
        <f t="shared" si="43"/>
        <v>0</v>
      </c>
      <c r="BA47" s="102">
        <f t="shared" si="35"/>
        <v>1</v>
      </c>
    </row>
    <row r="48" spans="1:53" x14ac:dyDescent="0.3">
      <c r="A48" s="92">
        <f>[4]SockEst!A49</f>
        <v>45135</v>
      </c>
      <c r="B48" s="93">
        <f>[4]SockEst!B49</f>
        <v>209</v>
      </c>
      <c r="C48" s="94" t="str">
        <f t="shared" si="36"/>
        <v>TTL</v>
      </c>
      <c r="D48" s="95">
        <f>IFERROR(VLOOKUP($A48,[5]qry_Whonnock_Species_Compositio!$A$1:$O$114,COLUMN([5]qry_Whonnock_Species_Compositio!B48), FALSE), "")</f>
        <v>8</v>
      </c>
      <c r="E48" s="95">
        <f>IFERROR(VLOOKUP($A48,[5]qry_Whonnock_Species_Compositio!$A$1:$O$114,COLUMN([5]qry_Whonnock_Species_Compositio!C48), FALSE), "")</f>
        <v>1</v>
      </c>
      <c r="F48" s="95">
        <f>IFERROR(VLOOKUP($A48,[5]qry_Whonnock_Species_Compositio!$A$1:$O$114,COLUMN([5]qry_Whonnock_Species_Compositio!D48), FALSE), "")</f>
        <v>0</v>
      </c>
      <c r="G48" s="95">
        <f>IFERROR(VLOOKUP($A48,[5]qry_Whonnock_Species_Compositio!$A$1:$O$114,COLUMN([5]qry_Whonnock_Species_Compositio!E48), FALSE), "")</f>
        <v>0</v>
      </c>
      <c r="H48" s="95">
        <f>IFERROR(VLOOKUP($A48,[5]qry_Whonnock_Species_Compositio!$A$1:$O$114,COLUMN([5]qry_Whonnock_Species_Compositio!F48), FALSE), "")</f>
        <v>0</v>
      </c>
      <c r="I48" s="95">
        <f>IFERROR(VLOOKUP($A48,[5]qry_Whonnock_Species_Compositio!$A$1:$O$114,COLUMN([5]qry_Whonnock_Species_Compositio!G48), FALSE), "")</f>
        <v>0</v>
      </c>
      <c r="J48" s="95">
        <f>IFERROR(VLOOKUP($A48,[5]qry_Whonnock_Species_Compositio!$A$1:$O$114,COLUMN([5]qry_Whonnock_Species_Compositio!H48), FALSE), "")</f>
        <v>1</v>
      </c>
      <c r="K48" s="95">
        <f>IFERROR(VLOOKUP($A48,[5]qry_Whonnock_Species_Compositio!$A$1:$O$114,COLUMN([5]qry_Whonnock_Species_Compositio!I48), FALSE), "")</f>
        <v>1</v>
      </c>
      <c r="L48" s="95">
        <f>IFERROR(VLOOKUP($A48,[5]qry_Whonnock_Species_Compositio!$A$1:$O$114,COLUMN([5]qry_Whonnock_Species_Compositio!J48), FALSE), "")</f>
        <v>0</v>
      </c>
      <c r="M48" s="95">
        <f>IFERROR(VLOOKUP($A48,[5]qry_Whonnock_Species_Compositio!$A$1:$O$114,COLUMN([5]qry_Whonnock_Species_Compositio!K48), FALSE), "")</f>
        <v>0</v>
      </c>
      <c r="N48" s="95">
        <f>IFERROR(VLOOKUP($A48,[5]qry_Whonnock_Species_Compositio!$A$1:$O$114,COLUMN([5]qry_Whonnock_Species_Compositio!L48), FALSE), "")</f>
        <v>0</v>
      </c>
      <c r="O48" s="95">
        <f>IFERROR(VLOOKUP($A48,[5]qry_Whonnock_Species_Compositio!$A$1:$O$114,COLUMN([5]qry_Whonnock_Species_Compositio!M48), FALSE), "")</f>
        <v>0</v>
      </c>
      <c r="P48" s="95">
        <f>IFERROR(VLOOKUP($A48,[5]qry_Whonnock_Species_Compositio!$A$1:$O$114,COLUMN([5]qry_Whonnock_Species_Compositio!N48), FALSE), "")</f>
        <v>0</v>
      </c>
      <c r="Q48" s="95">
        <f>IFERROR(VLOOKUP($A48,[5]qry_Whonnock_Species_Compositio!$A$1:$O$114,COLUMN([5]qry_Whonnock_Species_Compositio!O48), FALSE), "")</f>
        <v>0</v>
      </c>
      <c r="R48" s="96">
        <f t="shared" si="7"/>
        <v>0.88888888888888884</v>
      </c>
      <c r="S48" s="97">
        <f t="shared" si="8"/>
        <v>0.5</v>
      </c>
      <c r="T48" s="98">
        <f t="shared" si="9"/>
        <v>0.81818181818181823</v>
      </c>
      <c r="U48" s="97">
        <f t="shared" si="10"/>
        <v>0</v>
      </c>
      <c r="V48" s="97">
        <f t="shared" si="11"/>
        <v>0</v>
      </c>
      <c r="W48" s="98">
        <f t="shared" si="12"/>
        <v>0</v>
      </c>
      <c r="X48" s="97">
        <f t="shared" si="13"/>
        <v>0</v>
      </c>
      <c r="Y48" s="97">
        <f t="shared" si="14"/>
        <v>0</v>
      </c>
      <c r="Z48" s="98">
        <f t="shared" si="15"/>
        <v>0</v>
      </c>
      <c r="AA48" s="97">
        <f t="shared" si="16"/>
        <v>0.1111111111111111</v>
      </c>
      <c r="AB48" s="97">
        <f t="shared" si="17"/>
        <v>0.5</v>
      </c>
      <c r="AC48" s="98">
        <f t="shared" si="18"/>
        <v>0.18181818181818182</v>
      </c>
      <c r="AD48" s="97">
        <f t="shared" si="19"/>
        <v>0</v>
      </c>
      <c r="AE48" s="97">
        <f t="shared" si="20"/>
        <v>0</v>
      </c>
      <c r="AF48" s="98">
        <f t="shared" si="21"/>
        <v>0</v>
      </c>
      <c r="AG48" s="97">
        <f t="shared" si="22"/>
        <v>0</v>
      </c>
      <c r="AH48" s="97">
        <f t="shared" si="23"/>
        <v>0</v>
      </c>
      <c r="AI48" s="98">
        <f t="shared" si="24"/>
        <v>0</v>
      </c>
      <c r="AJ48" s="97">
        <f t="shared" si="25"/>
        <v>0</v>
      </c>
      <c r="AK48" s="97">
        <f t="shared" si="26"/>
        <v>0</v>
      </c>
      <c r="AL48" s="99">
        <f t="shared" si="27"/>
        <v>0</v>
      </c>
      <c r="AM48" s="100">
        <f t="shared" si="28"/>
        <v>9</v>
      </c>
      <c r="AN48" s="101">
        <f t="shared" si="37"/>
        <v>0.81818181818181823</v>
      </c>
      <c r="AO48" s="100">
        <f t="shared" si="29"/>
        <v>0</v>
      </c>
      <c r="AP48" s="101">
        <f t="shared" si="38"/>
        <v>0</v>
      </c>
      <c r="AQ48" s="100">
        <f t="shared" si="30"/>
        <v>0</v>
      </c>
      <c r="AR48" s="101">
        <f t="shared" si="39"/>
        <v>0</v>
      </c>
      <c r="AS48" s="100">
        <f t="shared" si="31"/>
        <v>2</v>
      </c>
      <c r="AT48" s="101">
        <f t="shared" si="40"/>
        <v>0.18181818181818182</v>
      </c>
      <c r="AU48" s="100">
        <f t="shared" si="32"/>
        <v>0</v>
      </c>
      <c r="AV48" s="101">
        <f t="shared" si="41"/>
        <v>0</v>
      </c>
      <c r="AW48" s="100">
        <f t="shared" si="33"/>
        <v>0</v>
      </c>
      <c r="AX48" s="101">
        <f t="shared" si="42"/>
        <v>0</v>
      </c>
      <c r="AY48" s="100">
        <f t="shared" si="34"/>
        <v>0</v>
      </c>
      <c r="AZ48" s="101">
        <f t="shared" si="43"/>
        <v>0</v>
      </c>
      <c r="BA48" s="102">
        <f t="shared" si="35"/>
        <v>1</v>
      </c>
    </row>
    <row r="49" spans="1:53" x14ac:dyDescent="0.3">
      <c r="A49" s="92">
        <f>[4]SockEst!A50</f>
        <v>45136</v>
      </c>
      <c r="B49" s="93">
        <f>[4]SockEst!B50</f>
        <v>210</v>
      </c>
      <c r="C49" s="94" t="str">
        <f t="shared" si="36"/>
        <v>TTL</v>
      </c>
      <c r="D49" s="95">
        <f>IFERROR(VLOOKUP($A49,[5]qry_Whonnock_Species_Compositio!$A$1:$O$114,COLUMN([5]qry_Whonnock_Species_Compositio!B49), FALSE), "")</f>
        <v>0</v>
      </c>
      <c r="E49" s="95">
        <f>IFERROR(VLOOKUP($A49,[5]qry_Whonnock_Species_Compositio!$A$1:$O$114,COLUMN([5]qry_Whonnock_Species_Compositio!C49), FALSE), "")</f>
        <v>3</v>
      </c>
      <c r="F49" s="95">
        <f>IFERROR(VLOOKUP($A49,[5]qry_Whonnock_Species_Compositio!$A$1:$O$114,COLUMN([5]qry_Whonnock_Species_Compositio!D49), FALSE), "")</f>
        <v>0</v>
      </c>
      <c r="G49" s="95">
        <f>IFERROR(VLOOKUP($A49,[5]qry_Whonnock_Species_Compositio!$A$1:$O$114,COLUMN([5]qry_Whonnock_Species_Compositio!E49), FALSE), "")</f>
        <v>0</v>
      </c>
      <c r="H49" s="95">
        <f>IFERROR(VLOOKUP($A49,[5]qry_Whonnock_Species_Compositio!$A$1:$O$114,COLUMN([5]qry_Whonnock_Species_Compositio!F49), FALSE), "")</f>
        <v>0</v>
      </c>
      <c r="I49" s="95">
        <f>IFERROR(VLOOKUP($A49,[5]qry_Whonnock_Species_Compositio!$A$1:$O$114,COLUMN([5]qry_Whonnock_Species_Compositio!G49), FALSE), "")</f>
        <v>0</v>
      </c>
      <c r="J49" s="95">
        <f>IFERROR(VLOOKUP($A49,[5]qry_Whonnock_Species_Compositio!$A$1:$O$114,COLUMN([5]qry_Whonnock_Species_Compositio!H49), FALSE), "")</f>
        <v>3</v>
      </c>
      <c r="K49" s="95">
        <f>IFERROR(VLOOKUP($A49,[5]qry_Whonnock_Species_Compositio!$A$1:$O$114,COLUMN([5]qry_Whonnock_Species_Compositio!I49), FALSE), "")</f>
        <v>3</v>
      </c>
      <c r="L49" s="95">
        <f>IFERROR(VLOOKUP($A49,[5]qry_Whonnock_Species_Compositio!$A$1:$O$114,COLUMN([5]qry_Whonnock_Species_Compositio!J49), FALSE), "")</f>
        <v>0</v>
      </c>
      <c r="M49" s="95">
        <f>IFERROR(VLOOKUP($A49,[5]qry_Whonnock_Species_Compositio!$A$1:$O$114,COLUMN([5]qry_Whonnock_Species_Compositio!K49), FALSE), "")</f>
        <v>0</v>
      </c>
      <c r="N49" s="95">
        <f>IFERROR(VLOOKUP($A49,[5]qry_Whonnock_Species_Compositio!$A$1:$O$114,COLUMN([5]qry_Whonnock_Species_Compositio!L49), FALSE), "")</f>
        <v>0</v>
      </c>
      <c r="O49" s="95">
        <f>IFERROR(VLOOKUP($A49,[5]qry_Whonnock_Species_Compositio!$A$1:$O$114,COLUMN([5]qry_Whonnock_Species_Compositio!M49), FALSE), "")</f>
        <v>0</v>
      </c>
      <c r="P49" s="95">
        <f>IFERROR(VLOOKUP($A49,[5]qry_Whonnock_Species_Compositio!$A$1:$O$114,COLUMN([5]qry_Whonnock_Species_Compositio!N49), FALSE), "")</f>
        <v>0</v>
      </c>
      <c r="Q49" s="95">
        <f>IFERROR(VLOOKUP($A49,[5]qry_Whonnock_Species_Compositio!$A$1:$O$114,COLUMN([5]qry_Whonnock_Species_Compositio!O49), FALSE), "")</f>
        <v>0</v>
      </c>
      <c r="R49" s="96">
        <f t="shared" si="7"/>
        <v>0</v>
      </c>
      <c r="S49" s="97">
        <f t="shared" si="8"/>
        <v>0.5</v>
      </c>
      <c r="T49" s="98">
        <f t="shared" si="9"/>
        <v>0.33333333333333331</v>
      </c>
      <c r="U49" s="97">
        <f t="shared" si="10"/>
        <v>0</v>
      </c>
      <c r="V49" s="97">
        <f t="shared" si="11"/>
        <v>0</v>
      </c>
      <c r="W49" s="98">
        <f t="shared" si="12"/>
        <v>0</v>
      </c>
      <c r="X49" s="97">
        <f t="shared" si="13"/>
        <v>0</v>
      </c>
      <c r="Y49" s="97">
        <f t="shared" si="14"/>
        <v>0</v>
      </c>
      <c r="Z49" s="98">
        <f t="shared" si="15"/>
        <v>0</v>
      </c>
      <c r="AA49" s="97">
        <f t="shared" si="16"/>
        <v>1</v>
      </c>
      <c r="AB49" s="97">
        <f t="shared" si="17"/>
        <v>0.5</v>
      </c>
      <c r="AC49" s="98">
        <f t="shared" si="18"/>
        <v>0.66666666666666663</v>
      </c>
      <c r="AD49" s="97">
        <f t="shared" si="19"/>
        <v>0</v>
      </c>
      <c r="AE49" s="97">
        <f t="shared" si="20"/>
        <v>0</v>
      </c>
      <c r="AF49" s="98">
        <f t="shared" si="21"/>
        <v>0</v>
      </c>
      <c r="AG49" s="97">
        <f t="shared" si="22"/>
        <v>0</v>
      </c>
      <c r="AH49" s="97">
        <f t="shared" si="23"/>
        <v>0</v>
      </c>
      <c r="AI49" s="98">
        <f t="shared" si="24"/>
        <v>0</v>
      </c>
      <c r="AJ49" s="97">
        <f t="shared" si="25"/>
        <v>0</v>
      </c>
      <c r="AK49" s="97">
        <f t="shared" si="26"/>
        <v>0</v>
      </c>
      <c r="AL49" s="99">
        <f t="shared" si="27"/>
        <v>0</v>
      </c>
      <c r="AM49" s="100">
        <f t="shared" si="28"/>
        <v>3</v>
      </c>
      <c r="AN49" s="101">
        <f t="shared" si="37"/>
        <v>0.33333333333333331</v>
      </c>
      <c r="AO49" s="100">
        <f t="shared" si="29"/>
        <v>0</v>
      </c>
      <c r="AP49" s="101">
        <f t="shared" si="38"/>
        <v>0</v>
      </c>
      <c r="AQ49" s="100">
        <f t="shared" si="30"/>
        <v>0</v>
      </c>
      <c r="AR49" s="101">
        <f t="shared" si="39"/>
        <v>0</v>
      </c>
      <c r="AS49" s="100">
        <f t="shared" si="31"/>
        <v>6</v>
      </c>
      <c r="AT49" s="101">
        <f t="shared" si="40"/>
        <v>0.66666666666666663</v>
      </c>
      <c r="AU49" s="100">
        <f t="shared" si="32"/>
        <v>0</v>
      </c>
      <c r="AV49" s="101">
        <f t="shared" si="41"/>
        <v>0</v>
      </c>
      <c r="AW49" s="100">
        <f t="shared" si="33"/>
        <v>0</v>
      </c>
      <c r="AX49" s="101">
        <f t="shared" si="42"/>
        <v>0</v>
      </c>
      <c r="AY49" s="100">
        <f t="shared" si="34"/>
        <v>0</v>
      </c>
      <c r="AZ49" s="101">
        <f t="shared" si="43"/>
        <v>0</v>
      </c>
      <c r="BA49" s="102">
        <f t="shared" si="35"/>
        <v>1</v>
      </c>
    </row>
    <row r="50" spans="1:53" x14ac:dyDescent="0.3">
      <c r="A50" s="92">
        <f>[4]SockEst!A51</f>
        <v>45137</v>
      </c>
      <c r="B50" s="93">
        <f>[4]SockEst!B51</f>
        <v>211</v>
      </c>
      <c r="C50" s="94" t="str">
        <f t="shared" si="36"/>
        <v>TTL</v>
      </c>
      <c r="D50" s="95">
        <f>IFERROR(VLOOKUP($A50,[5]qry_Whonnock_Species_Compositio!$A$1:$O$114,COLUMN([5]qry_Whonnock_Species_Compositio!B50), FALSE), "")</f>
        <v>2</v>
      </c>
      <c r="E50" s="95">
        <f>IFERROR(VLOOKUP($A50,[5]qry_Whonnock_Species_Compositio!$A$1:$O$114,COLUMN([5]qry_Whonnock_Species_Compositio!C50), FALSE), "")</f>
        <v>3</v>
      </c>
      <c r="F50" s="95">
        <f>IFERROR(VLOOKUP($A50,[5]qry_Whonnock_Species_Compositio!$A$1:$O$114,COLUMN([5]qry_Whonnock_Species_Compositio!D50), FALSE), "")</f>
        <v>0</v>
      </c>
      <c r="G50" s="95">
        <f>IFERROR(VLOOKUP($A50,[5]qry_Whonnock_Species_Compositio!$A$1:$O$114,COLUMN([5]qry_Whonnock_Species_Compositio!E50), FALSE), "")</f>
        <v>0</v>
      </c>
      <c r="H50" s="95">
        <f>IFERROR(VLOOKUP($A50,[5]qry_Whonnock_Species_Compositio!$A$1:$O$114,COLUMN([5]qry_Whonnock_Species_Compositio!F50), FALSE), "")</f>
        <v>0</v>
      </c>
      <c r="I50" s="95">
        <f>IFERROR(VLOOKUP($A50,[5]qry_Whonnock_Species_Compositio!$A$1:$O$114,COLUMN([5]qry_Whonnock_Species_Compositio!G50), FALSE), "")</f>
        <v>0</v>
      </c>
      <c r="J50" s="95">
        <f>IFERROR(VLOOKUP($A50,[5]qry_Whonnock_Species_Compositio!$A$1:$O$114,COLUMN([5]qry_Whonnock_Species_Compositio!H50), FALSE), "")</f>
        <v>2</v>
      </c>
      <c r="K50" s="95">
        <f>IFERROR(VLOOKUP($A50,[5]qry_Whonnock_Species_Compositio!$A$1:$O$114,COLUMN([5]qry_Whonnock_Species_Compositio!I50), FALSE), "")</f>
        <v>4</v>
      </c>
      <c r="L50" s="95">
        <f>IFERROR(VLOOKUP($A50,[5]qry_Whonnock_Species_Compositio!$A$1:$O$114,COLUMN([5]qry_Whonnock_Species_Compositio!J50), FALSE), "")</f>
        <v>0</v>
      </c>
      <c r="M50" s="95">
        <f>IFERROR(VLOOKUP($A50,[5]qry_Whonnock_Species_Compositio!$A$1:$O$114,COLUMN([5]qry_Whonnock_Species_Compositio!K50), FALSE), "")</f>
        <v>0</v>
      </c>
      <c r="N50" s="95">
        <f>IFERROR(VLOOKUP($A50,[5]qry_Whonnock_Species_Compositio!$A$1:$O$114,COLUMN([5]qry_Whonnock_Species_Compositio!L50), FALSE), "")</f>
        <v>0</v>
      </c>
      <c r="O50" s="95">
        <f>IFERROR(VLOOKUP($A50,[5]qry_Whonnock_Species_Compositio!$A$1:$O$114,COLUMN([5]qry_Whonnock_Species_Compositio!M50), FALSE), "")</f>
        <v>0</v>
      </c>
      <c r="P50" s="95">
        <f>IFERROR(VLOOKUP($A50,[5]qry_Whonnock_Species_Compositio!$A$1:$O$114,COLUMN([5]qry_Whonnock_Species_Compositio!N50), FALSE), "")</f>
        <v>0</v>
      </c>
      <c r="Q50" s="95">
        <f>IFERROR(VLOOKUP($A50,[5]qry_Whonnock_Species_Compositio!$A$1:$O$114,COLUMN([5]qry_Whonnock_Species_Compositio!O50), FALSE), "")</f>
        <v>0</v>
      </c>
      <c r="R50" s="96">
        <f t="shared" si="7"/>
        <v>0.5</v>
      </c>
      <c r="S50" s="97">
        <f t="shared" si="8"/>
        <v>0.42857142857142855</v>
      </c>
      <c r="T50" s="98">
        <f t="shared" si="9"/>
        <v>0.45454545454545453</v>
      </c>
      <c r="U50" s="97">
        <f t="shared" si="10"/>
        <v>0</v>
      </c>
      <c r="V50" s="97">
        <f t="shared" si="11"/>
        <v>0</v>
      </c>
      <c r="W50" s="98">
        <f t="shared" si="12"/>
        <v>0</v>
      </c>
      <c r="X50" s="97">
        <f t="shared" si="13"/>
        <v>0</v>
      </c>
      <c r="Y50" s="97">
        <f t="shared" si="14"/>
        <v>0</v>
      </c>
      <c r="Z50" s="98">
        <f t="shared" si="15"/>
        <v>0</v>
      </c>
      <c r="AA50" s="97">
        <f t="shared" si="16"/>
        <v>0.5</v>
      </c>
      <c r="AB50" s="97">
        <f t="shared" si="17"/>
        <v>0.5714285714285714</v>
      </c>
      <c r="AC50" s="98">
        <f t="shared" si="18"/>
        <v>0.54545454545454541</v>
      </c>
      <c r="AD50" s="97">
        <f t="shared" si="19"/>
        <v>0</v>
      </c>
      <c r="AE50" s="97">
        <f t="shared" si="20"/>
        <v>0</v>
      </c>
      <c r="AF50" s="98">
        <f t="shared" si="21"/>
        <v>0</v>
      </c>
      <c r="AG50" s="97">
        <f t="shared" si="22"/>
        <v>0</v>
      </c>
      <c r="AH50" s="97">
        <f t="shared" si="23"/>
        <v>0</v>
      </c>
      <c r="AI50" s="98">
        <f t="shared" si="24"/>
        <v>0</v>
      </c>
      <c r="AJ50" s="97">
        <f t="shared" si="25"/>
        <v>0</v>
      </c>
      <c r="AK50" s="97">
        <f t="shared" si="26"/>
        <v>0</v>
      </c>
      <c r="AL50" s="99">
        <f t="shared" si="27"/>
        <v>0</v>
      </c>
      <c r="AM50" s="100">
        <f t="shared" si="28"/>
        <v>5</v>
      </c>
      <c r="AN50" s="101">
        <f t="shared" si="37"/>
        <v>0.45454545454545453</v>
      </c>
      <c r="AO50" s="100">
        <f t="shared" si="29"/>
        <v>0</v>
      </c>
      <c r="AP50" s="101">
        <f t="shared" si="38"/>
        <v>0</v>
      </c>
      <c r="AQ50" s="100">
        <f t="shared" si="30"/>
        <v>0</v>
      </c>
      <c r="AR50" s="101">
        <f t="shared" si="39"/>
        <v>0</v>
      </c>
      <c r="AS50" s="100">
        <f t="shared" si="31"/>
        <v>6</v>
      </c>
      <c r="AT50" s="101">
        <f t="shared" si="40"/>
        <v>0.54545454545454541</v>
      </c>
      <c r="AU50" s="100">
        <f t="shared" si="32"/>
        <v>0</v>
      </c>
      <c r="AV50" s="101">
        <f t="shared" si="41"/>
        <v>0</v>
      </c>
      <c r="AW50" s="100">
        <f t="shared" si="33"/>
        <v>0</v>
      </c>
      <c r="AX50" s="101">
        <f t="shared" si="42"/>
        <v>0</v>
      </c>
      <c r="AY50" s="100">
        <f t="shared" si="34"/>
        <v>0</v>
      </c>
      <c r="AZ50" s="101">
        <f t="shared" si="43"/>
        <v>0</v>
      </c>
      <c r="BA50" s="102">
        <f t="shared" si="35"/>
        <v>1</v>
      </c>
    </row>
    <row r="51" spans="1:53" x14ac:dyDescent="0.3">
      <c r="A51" s="92">
        <f>[4]SockEst!A52</f>
        <v>45138</v>
      </c>
      <c r="B51" s="93">
        <f>[4]SockEst!B52</f>
        <v>212</v>
      </c>
      <c r="C51" s="94" t="str">
        <f t="shared" si="36"/>
        <v>GG</v>
      </c>
      <c r="D51" s="95">
        <f>IFERROR(VLOOKUP($A51,[5]qry_Whonnock_Species_Compositio!$A$1:$O$114,COLUMN([5]qry_Whonnock_Species_Compositio!B51), FALSE), "")</f>
        <v>7</v>
      </c>
      <c r="E51" s="95">
        <f>IFERROR(VLOOKUP($A51,[5]qry_Whonnock_Species_Compositio!$A$1:$O$114,COLUMN([5]qry_Whonnock_Species_Compositio!C51), FALSE), "")</f>
        <v>12</v>
      </c>
      <c r="F51" s="95">
        <f>IFERROR(VLOOKUP($A51,[5]qry_Whonnock_Species_Compositio!$A$1:$O$114,COLUMN([5]qry_Whonnock_Species_Compositio!D51), FALSE), "")</f>
        <v>0</v>
      </c>
      <c r="G51" s="95">
        <f>IFERROR(VLOOKUP($A51,[5]qry_Whonnock_Species_Compositio!$A$1:$O$114,COLUMN([5]qry_Whonnock_Species_Compositio!E51), FALSE), "")</f>
        <v>0</v>
      </c>
      <c r="H51" s="95">
        <f>IFERROR(VLOOKUP($A51,[5]qry_Whonnock_Species_Compositio!$A$1:$O$114,COLUMN([5]qry_Whonnock_Species_Compositio!F51), FALSE), "")</f>
        <v>0</v>
      </c>
      <c r="I51" s="95">
        <f>IFERROR(VLOOKUP($A51,[5]qry_Whonnock_Species_Compositio!$A$1:$O$114,COLUMN([5]qry_Whonnock_Species_Compositio!G51), FALSE), "")</f>
        <v>0</v>
      </c>
      <c r="J51" s="95">
        <f>IFERROR(VLOOKUP($A51,[5]qry_Whonnock_Species_Compositio!$A$1:$O$114,COLUMN([5]qry_Whonnock_Species_Compositio!H51), FALSE), "")</f>
        <v>1</v>
      </c>
      <c r="K51" s="95">
        <f>IFERROR(VLOOKUP($A51,[5]qry_Whonnock_Species_Compositio!$A$1:$O$114,COLUMN([5]qry_Whonnock_Species_Compositio!I51), FALSE), "")</f>
        <v>5</v>
      </c>
      <c r="L51" s="95">
        <f>IFERROR(VLOOKUP($A51,[5]qry_Whonnock_Species_Compositio!$A$1:$O$114,COLUMN([5]qry_Whonnock_Species_Compositio!J51), FALSE), "")</f>
        <v>0</v>
      </c>
      <c r="M51" s="95">
        <f>IFERROR(VLOOKUP($A51,[5]qry_Whonnock_Species_Compositio!$A$1:$O$114,COLUMN([5]qry_Whonnock_Species_Compositio!K51), FALSE), "")</f>
        <v>0</v>
      </c>
      <c r="N51" s="95">
        <f>IFERROR(VLOOKUP($A51,[5]qry_Whonnock_Species_Compositio!$A$1:$O$114,COLUMN([5]qry_Whonnock_Species_Compositio!L51), FALSE), "")</f>
        <v>0</v>
      </c>
      <c r="O51" s="95">
        <f>IFERROR(VLOOKUP($A51,[5]qry_Whonnock_Species_Compositio!$A$1:$O$114,COLUMN([5]qry_Whonnock_Species_Compositio!M51), FALSE), "")</f>
        <v>0</v>
      </c>
      <c r="P51" s="95">
        <f>IFERROR(VLOOKUP($A51,[5]qry_Whonnock_Species_Compositio!$A$1:$O$114,COLUMN([5]qry_Whonnock_Species_Compositio!N51), FALSE), "")</f>
        <v>0</v>
      </c>
      <c r="Q51" s="95">
        <f>IFERROR(VLOOKUP($A51,[5]qry_Whonnock_Species_Compositio!$A$1:$O$114,COLUMN([5]qry_Whonnock_Species_Compositio!O51), FALSE), "")</f>
        <v>0</v>
      </c>
      <c r="R51" s="96">
        <f t="shared" si="7"/>
        <v>0.875</v>
      </c>
      <c r="S51" s="97">
        <f t="shared" si="8"/>
        <v>0.70588235294117652</v>
      </c>
      <c r="T51" s="98">
        <f t="shared" si="9"/>
        <v>0.76</v>
      </c>
      <c r="U51" s="97">
        <f t="shared" si="10"/>
        <v>0</v>
      </c>
      <c r="V51" s="97">
        <f t="shared" si="11"/>
        <v>0</v>
      </c>
      <c r="W51" s="98">
        <f t="shared" si="12"/>
        <v>0</v>
      </c>
      <c r="X51" s="97">
        <f t="shared" si="13"/>
        <v>0</v>
      </c>
      <c r="Y51" s="97">
        <f t="shared" si="14"/>
        <v>0</v>
      </c>
      <c r="Z51" s="98">
        <f t="shared" si="15"/>
        <v>0</v>
      </c>
      <c r="AA51" s="97">
        <f t="shared" si="16"/>
        <v>0.125</v>
      </c>
      <c r="AB51" s="97">
        <f t="shared" si="17"/>
        <v>0.29411764705882354</v>
      </c>
      <c r="AC51" s="98">
        <f t="shared" si="18"/>
        <v>0.24</v>
      </c>
      <c r="AD51" s="97">
        <f t="shared" si="19"/>
        <v>0</v>
      </c>
      <c r="AE51" s="97">
        <f t="shared" si="20"/>
        <v>0</v>
      </c>
      <c r="AF51" s="98">
        <f t="shared" si="21"/>
        <v>0</v>
      </c>
      <c r="AG51" s="97">
        <f t="shared" si="22"/>
        <v>0</v>
      </c>
      <c r="AH51" s="97">
        <f t="shared" si="23"/>
        <v>0</v>
      </c>
      <c r="AI51" s="98">
        <f t="shared" si="24"/>
        <v>0</v>
      </c>
      <c r="AJ51" s="97">
        <f t="shared" si="25"/>
        <v>0</v>
      </c>
      <c r="AK51" s="97">
        <f t="shared" si="26"/>
        <v>0</v>
      </c>
      <c r="AL51" s="99">
        <f t="shared" si="27"/>
        <v>0</v>
      </c>
      <c r="AM51" s="100">
        <f t="shared" si="28"/>
        <v>19</v>
      </c>
      <c r="AN51" s="101">
        <f t="shared" si="37"/>
        <v>0.875</v>
      </c>
      <c r="AO51" s="100">
        <f t="shared" si="29"/>
        <v>0</v>
      </c>
      <c r="AP51" s="101">
        <f t="shared" si="38"/>
        <v>0</v>
      </c>
      <c r="AQ51" s="100">
        <f t="shared" si="30"/>
        <v>0</v>
      </c>
      <c r="AR51" s="101">
        <f t="shared" si="39"/>
        <v>0</v>
      </c>
      <c r="AS51" s="100">
        <f t="shared" si="31"/>
        <v>6</v>
      </c>
      <c r="AT51" s="101">
        <f t="shared" si="40"/>
        <v>0.125</v>
      </c>
      <c r="AU51" s="100">
        <f t="shared" si="32"/>
        <v>0</v>
      </c>
      <c r="AV51" s="101">
        <f t="shared" si="41"/>
        <v>0</v>
      </c>
      <c r="AW51" s="100">
        <f t="shared" si="33"/>
        <v>0</v>
      </c>
      <c r="AX51" s="101">
        <f t="shared" si="42"/>
        <v>0</v>
      </c>
      <c r="AY51" s="100">
        <f t="shared" si="34"/>
        <v>0</v>
      </c>
      <c r="AZ51" s="101">
        <f t="shared" si="43"/>
        <v>0</v>
      </c>
      <c r="BA51" s="102">
        <f t="shared" si="35"/>
        <v>1</v>
      </c>
    </row>
    <row r="52" spans="1:53" x14ac:dyDescent="0.3">
      <c r="A52" s="92">
        <f>[4]SockEst!A53</f>
        <v>45139</v>
      </c>
      <c r="B52" s="93">
        <f>[4]SockEst!B53</f>
        <v>213</v>
      </c>
      <c r="C52" s="94" t="str">
        <f t="shared" si="36"/>
        <v>TTL</v>
      </c>
      <c r="D52" s="95">
        <f>IFERROR(VLOOKUP($A52,[5]qry_Whonnock_Species_Compositio!$A$1:$O$114,COLUMN([5]qry_Whonnock_Species_Compositio!B52), FALSE), "")</f>
        <v>2</v>
      </c>
      <c r="E52" s="95">
        <f>IFERROR(VLOOKUP($A52,[5]qry_Whonnock_Species_Compositio!$A$1:$O$114,COLUMN([5]qry_Whonnock_Species_Compositio!C52), FALSE), "")</f>
        <v>9</v>
      </c>
      <c r="F52" s="95">
        <f>IFERROR(VLOOKUP($A52,[5]qry_Whonnock_Species_Compositio!$A$1:$O$114,COLUMN([5]qry_Whonnock_Species_Compositio!D52), FALSE), "")</f>
        <v>0</v>
      </c>
      <c r="G52" s="95">
        <f>IFERROR(VLOOKUP($A52,[5]qry_Whonnock_Species_Compositio!$A$1:$O$114,COLUMN([5]qry_Whonnock_Species_Compositio!E52), FALSE), "")</f>
        <v>0</v>
      </c>
      <c r="H52" s="95">
        <f>IFERROR(VLOOKUP($A52,[5]qry_Whonnock_Species_Compositio!$A$1:$O$114,COLUMN([5]qry_Whonnock_Species_Compositio!F52), FALSE), "")</f>
        <v>0</v>
      </c>
      <c r="I52" s="95">
        <f>IFERROR(VLOOKUP($A52,[5]qry_Whonnock_Species_Compositio!$A$1:$O$114,COLUMN([5]qry_Whonnock_Species_Compositio!G52), FALSE), "")</f>
        <v>0</v>
      </c>
      <c r="J52" s="95">
        <f>IFERROR(VLOOKUP($A52,[5]qry_Whonnock_Species_Compositio!$A$1:$O$114,COLUMN([5]qry_Whonnock_Species_Compositio!H52), FALSE), "")</f>
        <v>1</v>
      </c>
      <c r="K52" s="95">
        <f>IFERROR(VLOOKUP($A52,[5]qry_Whonnock_Species_Compositio!$A$1:$O$114,COLUMN([5]qry_Whonnock_Species_Compositio!I52), FALSE), "")</f>
        <v>6</v>
      </c>
      <c r="L52" s="95">
        <f>IFERROR(VLOOKUP($A52,[5]qry_Whonnock_Species_Compositio!$A$1:$O$114,COLUMN([5]qry_Whonnock_Species_Compositio!J52), FALSE), "")</f>
        <v>0</v>
      </c>
      <c r="M52" s="95">
        <f>IFERROR(VLOOKUP($A52,[5]qry_Whonnock_Species_Compositio!$A$1:$O$114,COLUMN([5]qry_Whonnock_Species_Compositio!K52), FALSE), "")</f>
        <v>0</v>
      </c>
      <c r="N52" s="95">
        <f>IFERROR(VLOOKUP($A52,[5]qry_Whonnock_Species_Compositio!$A$1:$O$114,COLUMN([5]qry_Whonnock_Species_Compositio!L52), FALSE), "")</f>
        <v>0</v>
      </c>
      <c r="O52" s="95">
        <f>IFERROR(VLOOKUP($A52,[5]qry_Whonnock_Species_Compositio!$A$1:$O$114,COLUMN([5]qry_Whonnock_Species_Compositio!M52), FALSE), "")</f>
        <v>0</v>
      </c>
      <c r="P52" s="95">
        <f>IFERROR(VLOOKUP($A52,[5]qry_Whonnock_Species_Compositio!$A$1:$O$114,COLUMN([5]qry_Whonnock_Species_Compositio!N52), FALSE), "")</f>
        <v>0</v>
      </c>
      <c r="Q52" s="95">
        <f>IFERROR(VLOOKUP($A52,[5]qry_Whonnock_Species_Compositio!$A$1:$O$114,COLUMN([5]qry_Whonnock_Species_Compositio!O52), FALSE), "")</f>
        <v>0</v>
      </c>
      <c r="R52" s="96">
        <f t="shared" si="7"/>
        <v>0.66666666666666663</v>
      </c>
      <c r="S52" s="97">
        <f t="shared" si="8"/>
        <v>0.6</v>
      </c>
      <c r="T52" s="98">
        <f t="shared" si="9"/>
        <v>0.61111111111111116</v>
      </c>
      <c r="U52" s="97">
        <f t="shared" si="10"/>
        <v>0</v>
      </c>
      <c r="V52" s="97">
        <f t="shared" si="11"/>
        <v>0</v>
      </c>
      <c r="W52" s="98">
        <f t="shared" si="12"/>
        <v>0</v>
      </c>
      <c r="X52" s="97">
        <f t="shared" si="13"/>
        <v>0</v>
      </c>
      <c r="Y52" s="97">
        <f t="shared" si="14"/>
        <v>0</v>
      </c>
      <c r="Z52" s="98">
        <f t="shared" si="15"/>
        <v>0</v>
      </c>
      <c r="AA52" s="97">
        <f t="shared" si="16"/>
        <v>0.33333333333333331</v>
      </c>
      <c r="AB52" s="97">
        <f t="shared" si="17"/>
        <v>0.4</v>
      </c>
      <c r="AC52" s="98">
        <f t="shared" si="18"/>
        <v>0.3888888888888889</v>
      </c>
      <c r="AD52" s="97">
        <f t="shared" si="19"/>
        <v>0</v>
      </c>
      <c r="AE52" s="97">
        <f t="shared" si="20"/>
        <v>0</v>
      </c>
      <c r="AF52" s="98">
        <f t="shared" si="21"/>
        <v>0</v>
      </c>
      <c r="AG52" s="97">
        <f t="shared" si="22"/>
        <v>0</v>
      </c>
      <c r="AH52" s="97">
        <f t="shared" si="23"/>
        <v>0</v>
      </c>
      <c r="AI52" s="98">
        <f t="shared" si="24"/>
        <v>0</v>
      </c>
      <c r="AJ52" s="97">
        <f t="shared" si="25"/>
        <v>0</v>
      </c>
      <c r="AK52" s="97">
        <f t="shared" si="26"/>
        <v>0</v>
      </c>
      <c r="AL52" s="99">
        <f t="shared" si="27"/>
        <v>0</v>
      </c>
      <c r="AM52" s="100">
        <f t="shared" si="28"/>
        <v>11</v>
      </c>
      <c r="AN52" s="101">
        <f t="shared" si="37"/>
        <v>0.61111111111111116</v>
      </c>
      <c r="AO52" s="100">
        <f t="shared" si="29"/>
        <v>0</v>
      </c>
      <c r="AP52" s="101">
        <f t="shared" si="38"/>
        <v>0</v>
      </c>
      <c r="AQ52" s="100">
        <f t="shared" si="30"/>
        <v>0</v>
      </c>
      <c r="AR52" s="101">
        <f t="shared" si="39"/>
        <v>0</v>
      </c>
      <c r="AS52" s="100">
        <f t="shared" si="31"/>
        <v>7</v>
      </c>
      <c r="AT52" s="101">
        <f t="shared" si="40"/>
        <v>0.3888888888888889</v>
      </c>
      <c r="AU52" s="100">
        <f t="shared" si="32"/>
        <v>0</v>
      </c>
      <c r="AV52" s="101">
        <f t="shared" si="41"/>
        <v>0</v>
      </c>
      <c r="AW52" s="100">
        <f t="shared" si="33"/>
        <v>0</v>
      </c>
      <c r="AX52" s="101">
        <f t="shared" si="42"/>
        <v>0</v>
      </c>
      <c r="AY52" s="100">
        <f t="shared" si="34"/>
        <v>0</v>
      </c>
      <c r="AZ52" s="101">
        <f t="shared" si="43"/>
        <v>0</v>
      </c>
      <c r="BA52" s="102">
        <f t="shared" si="35"/>
        <v>1</v>
      </c>
    </row>
    <row r="53" spans="1:53" x14ac:dyDescent="0.3">
      <c r="A53" s="92">
        <f>[4]SockEst!A54</f>
        <v>45140</v>
      </c>
      <c r="B53" s="93">
        <f>[4]SockEst!B54</f>
        <v>214</v>
      </c>
      <c r="C53" s="94" t="str">
        <f t="shared" si="36"/>
        <v>GG</v>
      </c>
      <c r="D53" s="95">
        <f>IFERROR(VLOOKUP($A53,[5]qry_Whonnock_Species_Compositio!$A$1:$O$114,COLUMN([5]qry_Whonnock_Species_Compositio!B53), FALSE), "")</f>
        <v>4</v>
      </c>
      <c r="E53" s="95">
        <f>IFERROR(VLOOKUP($A53,[5]qry_Whonnock_Species_Compositio!$A$1:$O$114,COLUMN([5]qry_Whonnock_Species_Compositio!C53), FALSE), "")</f>
        <v>16</v>
      </c>
      <c r="F53" s="95">
        <f>IFERROR(VLOOKUP($A53,[5]qry_Whonnock_Species_Compositio!$A$1:$O$114,COLUMN([5]qry_Whonnock_Species_Compositio!D53), FALSE), "")</f>
        <v>0</v>
      </c>
      <c r="G53" s="95">
        <f>IFERROR(VLOOKUP($A53,[5]qry_Whonnock_Species_Compositio!$A$1:$O$114,COLUMN([5]qry_Whonnock_Species_Compositio!E53), FALSE), "")</f>
        <v>0</v>
      </c>
      <c r="H53" s="95">
        <f>IFERROR(VLOOKUP($A53,[5]qry_Whonnock_Species_Compositio!$A$1:$O$114,COLUMN([5]qry_Whonnock_Species_Compositio!F53), FALSE), "")</f>
        <v>0</v>
      </c>
      <c r="I53" s="95">
        <f>IFERROR(VLOOKUP($A53,[5]qry_Whonnock_Species_Compositio!$A$1:$O$114,COLUMN([5]qry_Whonnock_Species_Compositio!G53), FALSE), "")</f>
        <v>0</v>
      </c>
      <c r="J53" s="95">
        <f>IFERROR(VLOOKUP($A53,[5]qry_Whonnock_Species_Compositio!$A$1:$O$114,COLUMN([5]qry_Whonnock_Species_Compositio!H53), FALSE), "")</f>
        <v>3</v>
      </c>
      <c r="K53" s="95">
        <f>IFERROR(VLOOKUP($A53,[5]qry_Whonnock_Species_Compositio!$A$1:$O$114,COLUMN([5]qry_Whonnock_Species_Compositio!I53), FALSE), "")</f>
        <v>4</v>
      </c>
      <c r="L53" s="95">
        <f>IFERROR(VLOOKUP($A53,[5]qry_Whonnock_Species_Compositio!$A$1:$O$114,COLUMN([5]qry_Whonnock_Species_Compositio!J53), FALSE), "")</f>
        <v>1</v>
      </c>
      <c r="M53" s="95">
        <f>IFERROR(VLOOKUP($A53,[5]qry_Whonnock_Species_Compositio!$A$1:$O$114,COLUMN([5]qry_Whonnock_Species_Compositio!K53), FALSE), "")</f>
        <v>0</v>
      </c>
      <c r="N53" s="95">
        <f>IFERROR(VLOOKUP($A53,[5]qry_Whonnock_Species_Compositio!$A$1:$O$114,COLUMN([5]qry_Whonnock_Species_Compositio!L53), FALSE), "")</f>
        <v>0</v>
      </c>
      <c r="O53" s="95">
        <f>IFERROR(VLOOKUP($A53,[5]qry_Whonnock_Species_Compositio!$A$1:$O$114,COLUMN([5]qry_Whonnock_Species_Compositio!M53), FALSE), "")</f>
        <v>0</v>
      </c>
      <c r="P53" s="95">
        <f>IFERROR(VLOOKUP($A53,[5]qry_Whonnock_Species_Compositio!$A$1:$O$114,COLUMN([5]qry_Whonnock_Species_Compositio!N53), FALSE), "")</f>
        <v>0</v>
      </c>
      <c r="Q53" s="95">
        <f>IFERROR(VLOOKUP($A53,[5]qry_Whonnock_Species_Compositio!$A$1:$O$114,COLUMN([5]qry_Whonnock_Species_Compositio!O53), FALSE), "")</f>
        <v>0</v>
      </c>
      <c r="R53" s="96">
        <f t="shared" si="7"/>
        <v>0.5</v>
      </c>
      <c r="S53" s="97">
        <f t="shared" si="8"/>
        <v>0.8</v>
      </c>
      <c r="T53" s="98">
        <f t="shared" si="9"/>
        <v>0.7142857142857143</v>
      </c>
      <c r="U53" s="97">
        <f t="shared" si="10"/>
        <v>0</v>
      </c>
      <c r="V53" s="97">
        <f t="shared" si="11"/>
        <v>0</v>
      </c>
      <c r="W53" s="98">
        <f t="shared" si="12"/>
        <v>0</v>
      </c>
      <c r="X53" s="97">
        <f t="shared" si="13"/>
        <v>0</v>
      </c>
      <c r="Y53" s="97">
        <f t="shared" si="14"/>
        <v>0</v>
      </c>
      <c r="Z53" s="98">
        <f t="shared" si="15"/>
        <v>0</v>
      </c>
      <c r="AA53" s="97">
        <f t="shared" si="16"/>
        <v>0.375</v>
      </c>
      <c r="AB53" s="97">
        <f t="shared" si="17"/>
        <v>0.2</v>
      </c>
      <c r="AC53" s="98">
        <f t="shared" si="18"/>
        <v>0.25</v>
      </c>
      <c r="AD53" s="97">
        <f t="shared" si="19"/>
        <v>0.125</v>
      </c>
      <c r="AE53" s="97">
        <f t="shared" si="20"/>
        <v>0</v>
      </c>
      <c r="AF53" s="98">
        <f t="shared" si="21"/>
        <v>3.5714285714285712E-2</v>
      </c>
      <c r="AG53" s="97">
        <f t="shared" si="22"/>
        <v>0</v>
      </c>
      <c r="AH53" s="97">
        <f t="shared" si="23"/>
        <v>0</v>
      </c>
      <c r="AI53" s="98">
        <f t="shared" si="24"/>
        <v>0</v>
      </c>
      <c r="AJ53" s="97">
        <f t="shared" si="25"/>
        <v>0</v>
      </c>
      <c r="AK53" s="97">
        <f t="shared" si="26"/>
        <v>0</v>
      </c>
      <c r="AL53" s="99">
        <f t="shared" si="27"/>
        <v>0</v>
      </c>
      <c r="AM53" s="100">
        <f t="shared" si="28"/>
        <v>20</v>
      </c>
      <c r="AN53" s="101">
        <f t="shared" si="37"/>
        <v>0.5</v>
      </c>
      <c r="AO53" s="100">
        <f t="shared" si="29"/>
        <v>0</v>
      </c>
      <c r="AP53" s="101">
        <f t="shared" si="38"/>
        <v>0</v>
      </c>
      <c r="AQ53" s="100">
        <f t="shared" si="30"/>
        <v>0</v>
      </c>
      <c r="AR53" s="101">
        <f t="shared" si="39"/>
        <v>0</v>
      </c>
      <c r="AS53" s="100">
        <f t="shared" si="31"/>
        <v>7</v>
      </c>
      <c r="AT53" s="101">
        <f t="shared" si="40"/>
        <v>0.375</v>
      </c>
      <c r="AU53" s="100">
        <f t="shared" si="32"/>
        <v>1</v>
      </c>
      <c r="AV53" s="101">
        <f t="shared" si="41"/>
        <v>0.125</v>
      </c>
      <c r="AW53" s="100">
        <f t="shared" si="33"/>
        <v>0</v>
      </c>
      <c r="AX53" s="101">
        <f t="shared" si="42"/>
        <v>0</v>
      </c>
      <c r="AY53" s="100">
        <f t="shared" si="34"/>
        <v>0</v>
      </c>
      <c r="AZ53" s="101">
        <f t="shared" si="43"/>
        <v>0</v>
      </c>
      <c r="BA53" s="102">
        <f t="shared" si="35"/>
        <v>1</v>
      </c>
    </row>
    <row r="54" spans="1:53" x14ac:dyDescent="0.3">
      <c r="A54" s="92">
        <f>[4]SockEst!A55</f>
        <v>45141</v>
      </c>
      <c r="B54" s="93">
        <f>[4]SockEst!B55</f>
        <v>215</v>
      </c>
      <c r="C54" s="94" t="str">
        <f t="shared" si="36"/>
        <v>GG</v>
      </c>
      <c r="D54" s="95">
        <f>IFERROR(VLOOKUP($A54,[5]qry_Whonnock_Species_Compositio!$A$1:$O$114,COLUMN([5]qry_Whonnock_Species_Compositio!B54), FALSE), "")</f>
        <v>11</v>
      </c>
      <c r="E54" s="95">
        <f>IFERROR(VLOOKUP($A54,[5]qry_Whonnock_Species_Compositio!$A$1:$O$114,COLUMN([5]qry_Whonnock_Species_Compositio!C54), FALSE), "")</f>
        <v>10</v>
      </c>
      <c r="F54" s="95">
        <f>IFERROR(VLOOKUP($A54,[5]qry_Whonnock_Species_Compositio!$A$1:$O$114,COLUMN([5]qry_Whonnock_Species_Compositio!D54), FALSE), "")</f>
        <v>0</v>
      </c>
      <c r="G54" s="95">
        <f>IFERROR(VLOOKUP($A54,[5]qry_Whonnock_Species_Compositio!$A$1:$O$114,COLUMN([5]qry_Whonnock_Species_Compositio!E54), FALSE), "")</f>
        <v>0</v>
      </c>
      <c r="H54" s="95">
        <f>IFERROR(VLOOKUP($A54,[5]qry_Whonnock_Species_Compositio!$A$1:$O$114,COLUMN([5]qry_Whonnock_Species_Compositio!F54), FALSE), "")</f>
        <v>0</v>
      </c>
      <c r="I54" s="95">
        <f>IFERROR(VLOOKUP($A54,[5]qry_Whonnock_Species_Compositio!$A$1:$O$114,COLUMN([5]qry_Whonnock_Species_Compositio!G54), FALSE), "")</f>
        <v>0</v>
      </c>
      <c r="J54" s="95">
        <f>IFERROR(VLOOKUP($A54,[5]qry_Whonnock_Species_Compositio!$A$1:$O$114,COLUMN([5]qry_Whonnock_Species_Compositio!H54), FALSE), "")</f>
        <v>4</v>
      </c>
      <c r="K54" s="95">
        <f>IFERROR(VLOOKUP($A54,[5]qry_Whonnock_Species_Compositio!$A$1:$O$114,COLUMN([5]qry_Whonnock_Species_Compositio!I54), FALSE), "")</f>
        <v>12</v>
      </c>
      <c r="L54" s="95">
        <f>IFERROR(VLOOKUP($A54,[5]qry_Whonnock_Species_Compositio!$A$1:$O$114,COLUMN([5]qry_Whonnock_Species_Compositio!J54), FALSE), "")</f>
        <v>0</v>
      </c>
      <c r="M54" s="95">
        <f>IFERROR(VLOOKUP($A54,[5]qry_Whonnock_Species_Compositio!$A$1:$O$114,COLUMN([5]qry_Whonnock_Species_Compositio!K54), FALSE), "")</f>
        <v>0</v>
      </c>
      <c r="N54" s="95">
        <f>IFERROR(VLOOKUP($A54,[5]qry_Whonnock_Species_Compositio!$A$1:$O$114,COLUMN([5]qry_Whonnock_Species_Compositio!L54), FALSE), "")</f>
        <v>0</v>
      </c>
      <c r="O54" s="95">
        <f>IFERROR(VLOOKUP($A54,[5]qry_Whonnock_Species_Compositio!$A$1:$O$114,COLUMN([5]qry_Whonnock_Species_Compositio!M54), FALSE), "")</f>
        <v>0</v>
      </c>
      <c r="P54" s="95">
        <f>IFERROR(VLOOKUP($A54,[5]qry_Whonnock_Species_Compositio!$A$1:$O$114,COLUMN([5]qry_Whonnock_Species_Compositio!N54), FALSE), "")</f>
        <v>0</v>
      </c>
      <c r="Q54" s="95">
        <f>IFERROR(VLOOKUP($A54,[5]qry_Whonnock_Species_Compositio!$A$1:$O$114,COLUMN([5]qry_Whonnock_Species_Compositio!O54), FALSE), "")</f>
        <v>0</v>
      </c>
      <c r="R54" s="96">
        <f t="shared" si="7"/>
        <v>0.73333333333333328</v>
      </c>
      <c r="S54" s="97">
        <f t="shared" si="8"/>
        <v>0.45454545454545453</v>
      </c>
      <c r="T54" s="98">
        <f t="shared" si="9"/>
        <v>0.56756756756756754</v>
      </c>
      <c r="U54" s="97">
        <f t="shared" si="10"/>
        <v>0</v>
      </c>
      <c r="V54" s="97">
        <f t="shared" si="11"/>
        <v>0</v>
      </c>
      <c r="W54" s="98">
        <f t="shared" si="12"/>
        <v>0</v>
      </c>
      <c r="X54" s="97">
        <f t="shared" si="13"/>
        <v>0</v>
      </c>
      <c r="Y54" s="97">
        <f t="shared" si="14"/>
        <v>0</v>
      </c>
      <c r="Z54" s="98">
        <f t="shared" si="15"/>
        <v>0</v>
      </c>
      <c r="AA54" s="97">
        <f t="shared" si="16"/>
        <v>0.26666666666666666</v>
      </c>
      <c r="AB54" s="97">
        <f t="shared" si="17"/>
        <v>0.54545454545454541</v>
      </c>
      <c r="AC54" s="98">
        <f t="shared" si="18"/>
        <v>0.43243243243243246</v>
      </c>
      <c r="AD54" s="97">
        <f t="shared" si="19"/>
        <v>0</v>
      </c>
      <c r="AE54" s="97">
        <f t="shared" si="20"/>
        <v>0</v>
      </c>
      <c r="AF54" s="98">
        <f t="shared" si="21"/>
        <v>0</v>
      </c>
      <c r="AG54" s="97">
        <f t="shared" si="22"/>
        <v>0</v>
      </c>
      <c r="AH54" s="97">
        <f t="shared" si="23"/>
        <v>0</v>
      </c>
      <c r="AI54" s="98">
        <f t="shared" si="24"/>
        <v>0</v>
      </c>
      <c r="AJ54" s="97">
        <f t="shared" si="25"/>
        <v>0</v>
      </c>
      <c r="AK54" s="97">
        <f t="shared" si="26"/>
        <v>0</v>
      </c>
      <c r="AL54" s="99">
        <f t="shared" si="27"/>
        <v>0</v>
      </c>
      <c r="AM54" s="100">
        <f t="shared" si="28"/>
        <v>21</v>
      </c>
      <c r="AN54" s="101">
        <f>IF($AM54&lt;15,T54,R54)</f>
        <v>0.73333333333333328</v>
      </c>
      <c r="AO54" s="100">
        <f t="shared" si="29"/>
        <v>0</v>
      </c>
      <c r="AP54" s="101">
        <f t="shared" si="38"/>
        <v>0</v>
      </c>
      <c r="AQ54" s="100">
        <f t="shared" si="30"/>
        <v>0</v>
      </c>
      <c r="AR54" s="101">
        <f t="shared" si="39"/>
        <v>0</v>
      </c>
      <c r="AS54" s="100">
        <f t="shared" si="31"/>
        <v>16</v>
      </c>
      <c r="AT54" s="101">
        <f t="shared" si="40"/>
        <v>0.26666666666666666</v>
      </c>
      <c r="AU54" s="100">
        <f t="shared" si="32"/>
        <v>0</v>
      </c>
      <c r="AV54" s="101">
        <f t="shared" si="41"/>
        <v>0</v>
      </c>
      <c r="AW54" s="100">
        <f t="shared" si="33"/>
        <v>0</v>
      </c>
      <c r="AX54" s="101">
        <f t="shared" si="42"/>
        <v>0</v>
      </c>
      <c r="AY54" s="100">
        <f t="shared" si="34"/>
        <v>0</v>
      </c>
      <c r="AZ54" s="101">
        <f t="shared" si="43"/>
        <v>0</v>
      </c>
      <c r="BA54" s="102">
        <f t="shared" si="35"/>
        <v>1</v>
      </c>
    </row>
    <row r="55" spans="1:53" x14ac:dyDescent="0.3">
      <c r="A55" s="92">
        <f>[4]SockEst!A56</f>
        <v>45142</v>
      </c>
      <c r="B55" s="93">
        <f>[4]SockEst!B56</f>
        <v>216</v>
      </c>
      <c r="C55" s="94" t="str">
        <f t="shared" si="36"/>
        <v>TTL</v>
      </c>
      <c r="D55" s="95">
        <f>IFERROR(VLOOKUP($A55,[5]qry_Whonnock_Species_Compositio!$A$1:$O$114,COLUMN([5]qry_Whonnock_Species_Compositio!B55), FALSE), "")</f>
        <v>6</v>
      </c>
      <c r="E55" s="95">
        <f>IFERROR(VLOOKUP($A55,[5]qry_Whonnock_Species_Compositio!$A$1:$O$114,COLUMN([5]qry_Whonnock_Species_Compositio!C55), FALSE), "")</f>
        <v>9</v>
      </c>
      <c r="F55" s="95">
        <f>IFERROR(VLOOKUP($A55,[5]qry_Whonnock_Species_Compositio!$A$1:$O$114,COLUMN([5]qry_Whonnock_Species_Compositio!D55), FALSE), "")</f>
        <v>0</v>
      </c>
      <c r="G55" s="95">
        <f>IFERROR(VLOOKUP($A55,[5]qry_Whonnock_Species_Compositio!$A$1:$O$114,COLUMN([5]qry_Whonnock_Species_Compositio!E55), FALSE), "")</f>
        <v>0</v>
      </c>
      <c r="H55" s="95">
        <f>IFERROR(VLOOKUP($A55,[5]qry_Whonnock_Species_Compositio!$A$1:$O$114,COLUMN([5]qry_Whonnock_Species_Compositio!F55), FALSE), "")</f>
        <v>0</v>
      </c>
      <c r="I55" s="95">
        <f>IFERROR(VLOOKUP($A55,[5]qry_Whonnock_Species_Compositio!$A$1:$O$114,COLUMN([5]qry_Whonnock_Species_Compositio!G55), FALSE), "")</f>
        <v>0</v>
      </c>
      <c r="J55" s="95">
        <f>IFERROR(VLOOKUP($A55,[5]qry_Whonnock_Species_Compositio!$A$1:$O$114,COLUMN([5]qry_Whonnock_Species_Compositio!H55), FALSE), "")</f>
        <v>3</v>
      </c>
      <c r="K55" s="95">
        <f>IFERROR(VLOOKUP($A55,[5]qry_Whonnock_Species_Compositio!$A$1:$O$114,COLUMN([5]qry_Whonnock_Species_Compositio!I55), FALSE), "")</f>
        <v>5</v>
      </c>
      <c r="L55" s="95">
        <f>IFERROR(VLOOKUP($A55,[5]qry_Whonnock_Species_Compositio!$A$1:$O$114,COLUMN([5]qry_Whonnock_Species_Compositio!J55), FALSE), "")</f>
        <v>0</v>
      </c>
      <c r="M55" s="95">
        <f>IFERROR(VLOOKUP($A55,[5]qry_Whonnock_Species_Compositio!$A$1:$O$114,COLUMN([5]qry_Whonnock_Species_Compositio!K55), FALSE), "")</f>
        <v>0</v>
      </c>
      <c r="N55" s="95">
        <f>IFERROR(VLOOKUP($A55,[5]qry_Whonnock_Species_Compositio!$A$1:$O$114,COLUMN([5]qry_Whonnock_Species_Compositio!L55), FALSE), "")</f>
        <v>0</v>
      </c>
      <c r="O55" s="95">
        <f>IFERROR(VLOOKUP($A55,[5]qry_Whonnock_Species_Compositio!$A$1:$O$114,COLUMN([5]qry_Whonnock_Species_Compositio!M55), FALSE), "")</f>
        <v>0</v>
      </c>
      <c r="P55" s="95">
        <f>IFERROR(VLOOKUP($A55,[5]qry_Whonnock_Species_Compositio!$A$1:$O$114,COLUMN([5]qry_Whonnock_Species_Compositio!N55), FALSE), "")</f>
        <v>0</v>
      </c>
      <c r="Q55" s="95">
        <f>IFERROR(VLOOKUP($A55,[5]qry_Whonnock_Species_Compositio!$A$1:$O$114,COLUMN([5]qry_Whonnock_Species_Compositio!O55), FALSE), "")</f>
        <v>0</v>
      </c>
      <c r="R55" s="96">
        <f t="shared" si="7"/>
        <v>0.66666666666666663</v>
      </c>
      <c r="S55" s="97">
        <f t="shared" si="8"/>
        <v>0.6428571428571429</v>
      </c>
      <c r="T55" s="98">
        <f t="shared" si="9"/>
        <v>0.65217391304347827</v>
      </c>
      <c r="U55" s="97">
        <f t="shared" si="10"/>
        <v>0</v>
      </c>
      <c r="V55" s="97">
        <f t="shared" si="11"/>
        <v>0</v>
      </c>
      <c r="W55" s="98">
        <f t="shared" si="12"/>
        <v>0</v>
      </c>
      <c r="X55" s="97">
        <f t="shared" si="13"/>
        <v>0</v>
      </c>
      <c r="Y55" s="97">
        <f t="shared" si="14"/>
        <v>0</v>
      </c>
      <c r="Z55" s="98">
        <f t="shared" si="15"/>
        <v>0</v>
      </c>
      <c r="AA55" s="97">
        <f t="shared" si="16"/>
        <v>0.33333333333333331</v>
      </c>
      <c r="AB55" s="97">
        <f t="shared" si="17"/>
        <v>0.35714285714285715</v>
      </c>
      <c r="AC55" s="98">
        <f t="shared" si="18"/>
        <v>0.34782608695652173</v>
      </c>
      <c r="AD55" s="97">
        <f t="shared" si="19"/>
        <v>0</v>
      </c>
      <c r="AE55" s="97">
        <f t="shared" si="20"/>
        <v>0</v>
      </c>
      <c r="AF55" s="98">
        <f t="shared" si="21"/>
        <v>0</v>
      </c>
      <c r="AG55" s="97">
        <f t="shared" si="22"/>
        <v>0</v>
      </c>
      <c r="AH55" s="97">
        <f t="shared" si="23"/>
        <v>0</v>
      </c>
      <c r="AI55" s="98">
        <f t="shared" si="24"/>
        <v>0</v>
      </c>
      <c r="AJ55" s="97">
        <f t="shared" si="25"/>
        <v>0</v>
      </c>
      <c r="AK55" s="97">
        <f t="shared" si="26"/>
        <v>0</v>
      </c>
      <c r="AL55" s="99">
        <f t="shared" si="27"/>
        <v>0</v>
      </c>
      <c r="AM55" s="100">
        <f t="shared" si="28"/>
        <v>15</v>
      </c>
      <c r="AN55" s="101">
        <f t="shared" si="37"/>
        <v>0.66666666666666663</v>
      </c>
      <c r="AO55" s="100">
        <f t="shared" si="29"/>
        <v>0</v>
      </c>
      <c r="AP55" s="101">
        <f t="shared" si="38"/>
        <v>0</v>
      </c>
      <c r="AQ55" s="100">
        <f t="shared" si="30"/>
        <v>0</v>
      </c>
      <c r="AR55" s="101">
        <f t="shared" si="39"/>
        <v>0</v>
      </c>
      <c r="AS55" s="100">
        <f t="shared" si="31"/>
        <v>8</v>
      </c>
      <c r="AT55" s="101">
        <f t="shared" si="40"/>
        <v>0.33333333333333331</v>
      </c>
      <c r="AU55" s="100">
        <f t="shared" si="32"/>
        <v>0</v>
      </c>
      <c r="AV55" s="101">
        <f t="shared" si="41"/>
        <v>0</v>
      </c>
      <c r="AW55" s="100">
        <f t="shared" si="33"/>
        <v>0</v>
      </c>
      <c r="AX55" s="101">
        <f t="shared" si="42"/>
        <v>0</v>
      </c>
      <c r="AY55" s="100">
        <f t="shared" si="34"/>
        <v>0</v>
      </c>
      <c r="AZ55" s="101">
        <f t="shared" si="43"/>
        <v>0</v>
      </c>
      <c r="BA55" s="102">
        <f t="shared" si="35"/>
        <v>1</v>
      </c>
    </row>
    <row r="56" spans="1:53" x14ac:dyDescent="0.3">
      <c r="A56" s="92">
        <f>[4]SockEst!A57</f>
        <v>45143</v>
      </c>
      <c r="B56" s="93">
        <f>[4]SockEst!B57</f>
        <v>217</v>
      </c>
      <c r="C56" s="94" t="str">
        <f t="shared" si="36"/>
        <v>GG</v>
      </c>
      <c r="D56" s="95">
        <f>IFERROR(VLOOKUP($A56,[5]qry_Whonnock_Species_Compositio!$A$1:$O$114,COLUMN([5]qry_Whonnock_Species_Compositio!B56), FALSE), "")</f>
        <v>28</v>
      </c>
      <c r="E56" s="95">
        <f>IFERROR(VLOOKUP($A56,[5]qry_Whonnock_Species_Compositio!$A$1:$O$114,COLUMN([5]qry_Whonnock_Species_Compositio!C56), FALSE), "")</f>
        <v>30</v>
      </c>
      <c r="F56" s="95">
        <f>IFERROR(VLOOKUP($A56,[5]qry_Whonnock_Species_Compositio!$A$1:$O$114,COLUMN([5]qry_Whonnock_Species_Compositio!D56), FALSE), "")</f>
        <v>0</v>
      </c>
      <c r="G56" s="95">
        <f>IFERROR(VLOOKUP($A56,[5]qry_Whonnock_Species_Compositio!$A$1:$O$114,COLUMN([5]qry_Whonnock_Species_Compositio!E56), FALSE), "")</f>
        <v>0</v>
      </c>
      <c r="H56" s="95">
        <f>IFERROR(VLOOKUP($A56,[5]qry_Whonnock_Species_Compositio!$A$1:$O$114,COLUMN([5]qry_Whonnock_Species_Compositio!F56), FALSE), "")</f>
        <v>0</v>
      </c>
      <c r="I56" s="95">
        <f>IFERROR(VLOOKUP($A56,[5]qry_Whonnock_Species_Compositio!$A$1:$O$114,COLUMN([5]qry_Whonnock_Species_Compositio!G56), FALSE), "")</f>
        <v>0</v>
      </c>
      <c r="J56" s="95">
        <f>IFERROR(VLOOKUP($A56,[5]qry_Whonnock_Species_Compositio!$A$1:$O$114,COLUMN([5]qry_Whonnock_Species_Compositio!H56), FALSE), "")</f>
        <v>7</v>
      </c>
      <c r="K56" s="95">
        <f>IFERROR(VLOOKUP($A56,[5]qry_Whonnock_Species_Compositio!$A$1:$O$114,COLUMN([5]qry_Whonnock_Species_Compositio!I56), FALSE), "")</f>
        <v>12</v>
      </c>
      <c r="L56" s="95">
        <f>IFERROR(VLOOKUP($A56,[5]qry_Whonnock_Species_Compositio!$A$1:$O$114,COLUMN([5]qry_Whonnock_Species_Compositio!J56), FALSE), "")</f>
        <v>0</v>
      </c>
      <c r="M56" s="95">
        <f>IFERROR(VLOOKUP($A56,[5]qry_Whonnock_Species_Compositio!$A$1:$O$114,COLUMN([5]qry_Whonnock_Species_Compositio!K56), FALSE), "")</f>
        <v>0</v>
      </c>
      <c r="N56" s="95">
        <f>IFERROR(VLOOKUP($A56,[5]qry_Whonnock_Species_Compositio!$A$1:$O$114,COLUMN([5]qry_Whonnock_Species_Compositio!L56), FALSE), "")</f>
        <v>0</v>
      </c>
      <c r="O56" s="95">
        <f>IFERROR(VLOOKUP($A56,[5]qry_Whonnock_Species_Compositio!$A$1:$O$114,COLUMN([5]qry_Whonnock_Species_Compositio!M56), FALSE), "")</f>
        <v>0</v>
      </c>
      <c r="P56" s="95">
        <f>IFERROR(VLOOKUP($A56,[5]qry_Whonnock_Species_Compositio!$A$1:$O$114,COLUMN([5]qry_Whonnock_Species_Compositio!N56), FALSE), "")</f>
        <v>0</v>
      </c>
      <c r="Q56" s="95">
        <f>IFERROR(VLOOKUP($A56,[5]qry_Whonnock_Species_Compositio!$A$1:$O$114,COLUMN([5]qry_Whonnock_Species_Compositio!O56), FALSE), "")</f>
        <v>0</v>
      </c>
      <c r="R56" s="96">
        <f t="shared" si="7"/>
        <v>0.8</v>
      </c>
      <c r="S56" s="97">
        <f t="shared" si="8"/>
        <v>0.7142857142857143</v>
      </c>
      <c r="T56" s="98">
        <f t="shared" si="9"/>
        <v>0.75324675324675328</v>
      </c>
      <c r="U56" s="97">
        <f t="shared" si="10"/>
        <v>0</v>
      </c>
      <c r="V56" s="97">
        <f t="shared" si="11"/>
        <v>0</v>
      </c>
      <c r="W56" s="98">
        <f t="shared" si="12"/>
        <v>0</v>
      </c>
      <c r="X56" s="97">
        <f t="shared" si="13"/>
        <v>0</v>
      </c>
      <c r="Y56" s="97">
        <f t="shared" si="14"/>
        <v>0</v>
      </c>
      <c r="Z56" s="98">
        <f t="shared" si="15"/>
        <v>0</v>
      </c>
      <c r="AA56" s="97">
        <f t="shared" si="16"/>
        <v>0.2</v>
      </c>
      <c r="AB56" s="97">
        <f t="shared" si="17"/>
        <v>0.2857142857142857</v>
      </c>
      <c r="AC56" s="98">
        <f t="shared" si="18"/>
        <v>0.24675324675324675</v>
      </c>
      <c r="AD56" s="97">
        <f t="shared" si="19"/>
        <v>0</v>
      </c>
      <c r="AE56" s="97">
        <f t="shared" si="20"/>
        <v>0</v>
      </c>
      <c r="AF56" s="98">
        <f t="shared" si="21"/>
        <v>0</v>
      </c>
      <c r="AG56" s="97">
        <f t="shared" si="22"/>
        <v>0</v>
      </c>
      <c r="AH56" s="97">
        <f t="shared" si="23"/>
        <v>0</v>
      </c>
      <c r="AI56" s="98">
        <f t="shared" si="24"/>
        <v>0</v>
      </c>
      <c r="AJ56" s="97">
        <f t="shared" si="25"/>
        <v>0</v>
      </c>
      <c r="AK56" s="97">
        <f t="shared" si="26"/>
        <v>0</v>
      </c>
      <c r="AL56" s="99">
        <f t="shared" si="27"/>
        <v>0</v>
      </c>
      <c r="AM56" s="100">
        <f t="shared" si="28"/>
        <v>58</v>
      </c>
      <c r="AN56" s="101">
        <f t="shared" si="37"/>
        <v>0.8</v>
      </c>
      <c r="AO56" s="100">
        <f t="shared" si="29"/>
        <v>0</v>
      </c>
      <c r="AP56" s="101">
        <f t="shared" si="38"/>
        <v>0</v>
      </c>
      <c r="AQ56" s="100">
        <f t="shared" si="30"/>
        <v>0</v>
      </c>
      <c r="AR56" s="101">
        <f t="shared" si="39"/>
        <v>0</v>
      </c>
      <c r="AS56" s="100">
        <f t="shared" si="31"/>
        <v>19</v>
      </c>
      <c r="AT56" s="101">
        <f t="shared" si="40"/>
        <v>0.2</v>
      </c>
      <c r="AU56" s="100">
        <f t="shared" si="32"/>
        <v>0</v>
      </c>
      <c r="AV56" s="101">
        <f t="shared" si="41"/>
        <v>0</v>
      </c>
      <c r="AW56" s="100">
        <f t="shared" si="33"/>
        <v>0</v>
      </c>
      <c r="AX56" s="101">
        <f t="shared" si="42"/>
        <v>0</v>
      </c>
      <c r="AY56" s="100">
        <f t="shared" si="34"/>
        <v>0</v>
      </c>
      <c r="AZ56" s="101">
        <f t="shared" si="43"/>
        <v>0</v>
      </c>
      <c r="BA56" s="102">
        <f t="shared" si="35"/>
        <v>1</v>
      </c>
    </row>
    <row r="57" spans="1:53" x14ac:dyDescent="0.3">
      <c r="A57" s="92">
        <f>[4]SockEst!A58</f>
        <v>45144</v>
      </c>
      <c r="B57" s="93">
        <f>[4]SockEst!B58</f>
        <v>218</v>
      </c>
      <c r="C57" s="94" t="str">
        <f t="shared" si="36"/>
        <v>GG</v>
      </c>
      <c r="D57" s="95">
        <f>IFERROR(VLOOKUP($A57,[5]qry_Whonnock_Species_Compositio!$A$1:$O$114,COLUMN([5]qry_Whonnock_Species_Compositio!B57), FALSE), "")</f>
        <v>12</v>
      </c>
      <c r="E57" s="95">
        <f>IFERROR(VLOOKUP($A57,[5]qry_Whonnock_Species_Compositio!$A$1:$O$114,COLUMN([5]qry_Whonnock_Species_Compositio!C57), FALSE), "")</f>
        <v>19</v>
      </c>
      <c r="F57" s="95">
        <f>IFERROR(VLOOKUP($A57,[5]qry_Whonnock_Species_Compositio!$A$1:$O$114,COLUMN([5]qry_Whonnock_Species_Compositio!D57), FALSE), "")</f>
        <v>0</v>
      </c>
      <c r="G57" s="95">
        <f>IFERROR(VLOOKUP($A57,[5]qry_Whonnock_Species_Compositio!$A$1:$O$114,COLUMN([5]qry_Whonnock_Species_Compositio!E57), FALSE), "")</f>
        <v>0</v>
      </c>
      <c r="H57" s="95">
        <f>IFERROR(VLOOKUP($A57,[5]qry_Whonnock_Species_Compositio!$A$1:$O$114,COLUMN([5]qry_Whonnock_Species_Compositio!F57), FALSE), "")</f>
        <v>0</v>
      </c>
      <c r="I57" s="95">
        <f>IFERROR(VLOOKUP($A57,[5]qry_Whonnock_Species_Compositio!$A$1:$O$114,COLUMN([5]qry_Whonnock_Species_Compositio!G57), FALSE), "")</f>
        <v>1</v>
      </c>
      <c r="J57" s="95">
        <f>IFERROR(VLOOKUP($A57,[5]qry_Whonnock_Species_Compositio!$A$1:$O$114,COLUMN([5]qry_Whonnock_Species_Compositio!H57), FALSE), "")</f>
        <v>8</v>
      </c>
      <c r="K57" s="95">
        <f>IFERROR(VLOOKUP($A57,[5]qry_Whonnock_Species_Compositio!$A$1:$O$114,COLUMN([5]qry_Whonnock_Species_Compositio!I57), FALSE), "")</f>
        <v>18</v>
      </c>
      <c r="L57" s="95">
        <f>IFERROR(VLOOKUP($A57,[5]qry_Whonnock_Species_Compositio!$A$1:$O$114,COLUMN([5]qry_Whonnock_Species_Compositio!J57), FALSE), "")</f>
        <v>0</v>
      </c>
      <c r="M57" s="95">
        <f>IFERROR(VLOOKUP($A57,[5]qry_Whonnock_Species_Compositio!$A$1:$O$114,COLUMN([5]qry_Whonnock_Species_Compositio!K57), FALSE), "")</f>
        <v>0</v>
      </c>
      <c r="N57" s="95">
        <f>IFERROR(VLOOKUP($A57,[5]qry_Whonnock_Species_Compositio!$A$1:$O$114,COLUMN([5]qry_Whonnock_Species_Compositio!L57), FALSE), "")</f>
        <v>0</v>
      </c>
      <c r="O57" s="95">
        <f>IFERROR(VLOOKUP($A57,[5]qry_Whonnock_Species_Compositio!$A$1:$O$114,COLUMN([5]qry_Whonnock_Species_Compositio!M57), FALSE), "")</f>
        <v>0</v>
      </c>
      <c r="P57" s="95">
        <f>IFERROR(VLOOKUP($A57,[5]qry_Whonnock_Species_Compositio!$A$1:$O$114,COLUMN([5]qry_Whonnock_Species_Compositio!N57), FALSE), "")</f>
        <v>0</v>
      </c>
      <c r="Q57" s="95">
        <f>IFERROR(VLOOKUP($A57,[5]qry_Whonnock_Species_Compositio!$A$1:$O$114,COLUMN([5]qry_Whonnock_Species_Compositio!O57), FALSE), "")</f>
        <v>0</v>
      </c>
      <c r="R57" s="96">
        <f t="shared" si="7"/>
        <v>0.6</v>
      </c>
      <c r="S57" s="97">
        <f t="shared" si="8"/>
        <v>0.5</v>
      </c>
      <c r="T57" s="98">
        <f t="shared" si="9"/>
        <v>0.53448275862068961</v>
      </c>
      <c r="U57" s="97">
        <f t="shared" si="10"/>
        <v>0</v>
      </c>
      <c r="V57" s="97">
        <f t="shared" si="11"/>
        <v>0</v>
      </c>
      <c r="W57" s="98">
        <f t="shared" si="12"/>
        <v>0</v>
      </c>
      <c r="X57" s="97">
        <f t="shared" si="13"/>
        <v>0</v>
      </c>
      <c r="Y57" s="97">
        <f t="shared" si="14"/>
        <v>2.6315789473684209E-2</v>
      </c>
      <c r="Z57" s="98">
        <f t="shared" si="15"/>
        <v>1.7241379310344827E-2</v>
      </c>
      <c r="AA57" s="97">
        <f t="shared" si="16"/>
        <v>0.4</v>
      </c>
      <c r="AB57" s="97">
        <f t="shared" si="17"/>
        <v>0.47368421052631576</v>
      </c>
      <c r="AC57" s="98">
        <f t="shared" si="18"/>
        <v>0.44827586206896552</v>
      </c>
      <c r="AD57" s="97">
        <f t="shared" si="19"/>
        <v>0</v>
      </c>
      <c r="AE57" s="97">
        <f t="shared" si="20"/>
        <v>0</v>
      </c>
      <c r="AF57" s="98">
        <f t="shared" si="21"/>
        <v>0</v>
      </c>
      <c r="AG57" s="97">
        <f t="shared" si="22"/>
        <v>0</v>
      </c>
      <c r="AH57" s="97">
        <f t="shared" si="23"/>
        <v>0</v>
      </c>
      <c r="AI57" s="98">
        <f t="shared" si="24"/>
        <v>0</v>
      </c>
      <c r="AJ57" s="97">
        <f t="shared" si="25"/>
        <v>0</v>
      </c>
      <c r="AK57" s="97">
        <f t="shared" si="26"/>
        <v>0</v>
      </c>
      <c r="AL57" s="99">
        <f t="shared" si="27"/>
        <v>0</v>
      </c>
      <c r="AM57" s="100">
        <f t="shared" si="28"/>
        <v>31</v>
      </c>
      <c r="AN57" s="101">
        <f t="shared" si="37"/>
        <v>0.6</v>
      </c>
      <c r="AO57" s="100">
        <f t="shared" si="29"/>
        <v>0</v>
      </c>
      <c r="AP57" s="101">
        <f>IF($AM57&lt;15,W57,U57)</f>
        <v>0</v>
      </c>
      <c r="AQ57" s="100">
        <f t="shared" si="30"/>
        <v>1</v>
      </c>
      <c r="AR57" s="101">
        <f>IF($AM57&lt;15,Z57,X57)</f>
        <v>0</v>
      </c>
      <c r="AS57" s="100">
        <f t="shared" si="31"/>
        <v>26</v>
      </c>
      <c r="AT57" s="101">
        <f>IF($AM57&lt;15,AC57,AA57)</f>
        <v>0.4</v>
      </c>
      <c r="AU57" s="100">
        <f t="shared" si="32"/>
        <v>0</v>
      </c>
      <c r="AV57" s="101">
        <f t="shared" si="41"/>
        <v>0</v>
      </c>
      <c r="AW57" s="100">
        <f t="shared" si="33"/>
        <v>0</v>
      </c>
      <c r="AX57" s="101">
        <f t="shared" si="42"/>
        <v>0</v>
      </c>
      <c r="AY57" s="100">
        <f t="shared" si="34"/>
        <v>0</v>
      </c>
      <c r="AZ57" s="101">
        <f t="shared" si="43"/>
        <v>0</v>
      </c>
      <c r="BA57" s="102">
        <f t="shared" si="35"/>
        <v>1</v>
      </c>
    </row>
    <row r="58" spans="1:53" x14ac:dyDescent="0.3">
      <c r="A58" s="92">
        <f>[4]SockEst!A59</f>
        <v>45145</v>
      </c>
      <c r="B58" s="93">
        <f>[4]SockEst!B59</f>
        <v>219</v>
      </c>
      <c r="C58" s="94" t="str">
        <f t="shared" si="36"/>
        <v>TTL</v>
      </c>
      <c r="D58" s="95">
        <f>IFERROR(VLOOKUP($A58,[5]qry_Whonnock_Species_Compositio!$A$1:$O$114,COLUMN([5]qry_Whonnock_Species_Compositio!B58), FALSE), "")</f>
        <v>4</v>
      </c>
      <c r="E58" s="95">
        <f>IFERROR(VLOOKUP($A58,[5]qry_Whonnock_Species_Compositio!$A$1:$O$114,COLUMN([5]qry_Whonnock_Species_Compositio!C58), FALSE), "")</f>
        <v>7</v>
      </c>
      <c r="F58" s="95">
        <f>IFERROR(VLOOKUP($A58,[5]qry_Whonnock_Species_Compositio!$A$1:$O$114,COLUMN([5]qry_Whonnock_Species_Compositio!D58), FALSE), "")</f>
        <v>0</v>
      </c>
      <c r="G58" s="95">
        <f>IFERROR(VLOOKUP($A58,[5]qry_Whonnock_Species_Compositio!$A$1:$O$114,COLUMN([5]qry_Whonnock_Species_Compositio!E58), FALSE), "")</f>
        <v>0</v>
      </c>
      <c r="H58" s="95">
        <f>IFERROR(VLOOKUP($A58,[5]qry_Whonnock_Species_Compositio!$A$1:$O$114,COLUMN([5]qry_Whonnock_Species_Compositio!F58), FALSE), "")</f>
        <v>0</v>
      </c>
      <c r="I58" s="95">
        <f>IFERROR(VLOOKUP($A58,[5]qry_Whonnock_Species_Compositio!$A$1:$O$114,COLUMN([5]qry_Whonnock_Species_Compositio!G58), FALSE), "")</f>
        <v>0</v>
      </c>
      <c r="J58" s="95">
        <f>IFERROR(VLOOKUP($A58,[5]qry_Whonnock_Species_Compositio!$A$1:$O$114,COLUMN([5]qry_Whonnock_Species_Compositio!H58), FALSE), "")</f>
        <v>3</v>
      </c>
      <c r="K58" s="95">
        <f>IFERROR(VLOOKUP($A58,[5]qry_Whonnock_Species_Compositio!$A$1:$O$114,COLUMN([5]qry_Whonnock_Species_Compositio!I58), FALSE), "")</f>
        <v>6</v>
      </c>
      <c r="L58" s="95">
        <f>IFERROR(VLOOKUP($A58,[5]qry_Whonnock_Species_Compositio!$A$1:$O$114,COLUMN([5]qry_Whonnock_Species_Compositio!J58), FALSE), "")</f>
        <v>2</v>
      </c>
      <c r="M58" s="95">
        <f>IFERROR(VLOOKUP($A58,[5]qry_Whonnock_Species_Compositio!$A$1:$O$114,COLUMN([5]qry_Whonnock_Species_Compositio!K58), FALSE), "")</f>
        <v>0</v>
      </c>
      <c r="N58" s="95">
        <f>IFERROR(VLOOKUP($A58,[5]qry_Whonnock_Species_Compositio!$A$1:$O$114,COLUMN([5]qry_Whonnock_Species_Compositio!L58), FALSE), "")</f>
        <v>0</v>
      </c>
      <c r="O58" s="95">
        <f>IFERROR(VLOOKUP($A58,[5]qry_Whonnock_Species_Compositio!$A$1:$O$114,COLUMN([5]qry_Whonnock_Species_Compositio!M58), FALSE), "")</f>
        <v>0</v>
      </c>
      <c r="P58" s="95">
        <f>IFERROR(VLOOKUP($A58,[5]qry_Whonnock_Species_Compositio!$A$1:$O$114,COLUMN([5]qry_Whonnock_Species_Compositio!N58), FALSE), "")</f>
        <v>0</v>
      </c>
      <c r="Q58" s="95">
        <f>IFERROR(VLOOKUP($A58,[5]qry_Whonnock_Species_Compositio!$A$1:$O$114,COLUMN([5]qry_Whonnock_Species_Compositio!O58), FALSE), "")</f>
        <v>0</v>
      </c>
      <c r="R58" s="96">
        <f t="shared" si="7"/>
        <v>0.44444444444444442</v>
      </c>
      <c r="S58" s="97">
        <f t="shared" si="8"/>
        <v>0.53846153846153844</v>
      </c>
      <c r="T58" s="98">
        <f t="shared" si="9"/>
        <v>0.5</v>
      </c>
      <c r="U58" s="97">
        <f t="shared" si="10"/>
        <v>0</v>
      </c>
      <c r="V58" s="97">
        <f t="shared" si="11"/>
        <v>0</v>
      </c>
      <c r="W58" s="98">
        <f t="shared" si="12"/>
        <v>0</v>
      </c>
      <c r="X58" s="97">
        <f t="shared" si="13"/>
        <v>0</v>
      </c>
      <c r="Y58" s="97">
        <f t="shared" si="14"/>
        <v>0</v>
      </c>
      <c r="Z58" s="98">
        <f t="shared" si="15"/>
        <v>0</v>
      </c>
      <c r="AA58" s="97">
        <f t="shared" si="16"/>
        <v>0.33333333333333331</v>
      </c>
      <c r="AB58" s="97">
        <f t="shared" si="17"/>
        <v>0.46153846153846156</v>
      </c>
      <c r="AC58" s="98">
        <f t="shared" si="18"/>
        <v>0.40909090909090912</v>
      </c>
      <c r="AD58" s="97">
        <f t="shared" si="19"/>
        <v>0.22222222222222221</v>
      </c>
      <c r="AE58" s="97">
        <f t="shared" si="20"/>
        <v>0</v>
      </c>
      <c r="AF58" s="98">
        <f t="shared" si="21"/>
        <v>9.0909090909090912E-2</v>
      </c>
      <c r="AG58" s="97">
        <f t="shared" si="22"/>
        <v>0</v>
      </c>
      <c r="AH58" s="97">
        <f t="shared" si="23"/>
        <v>0</v>
      </c>
      <c r="AI58" s="98">
        <f t="shared" si="24"/>
        <v>0</v>
      </c>
      <c r="AJ58" s="97">
        <f t="shared" si="25"/>
        <v>0</v>
      </c>
      <c r="AK58" s="97">
        <f t="shared" si="26"/>
        <v>0</v>
      </c>
      <c r="AL58" s="99">
        <f t="shared" si="27"/>
        <v>0</v>
      </c>
      <c r="AM58" s="100">
        <f t="shared" si="28"/>
        <v>11</v>
      </c>
      <c r="AN58" s="101">
        <f t="shared" si="37"/>
        <v>0.5</v>
      </c>
      <c r="AO58" s="100">
        <f t="shared" si="29"/>
        <v>0</v>
      </c>
      <c r="AP58" s="101">
        <f t="shared" si="38"/>
        <v>0</v>
      </c>
      <c r="AQ58" s="100">
        <f t="shared" si="30"/>
        <v>0</v>
      </c>
      <c r="AR58" s="101">
        <f t="shared" si="39"/>
        <v>0</v>
      </c>
      <c r="AS58" s="100">
        <f t="shared" si="31"/>
        <v>9</v>
      </c>
      <c r="AT58" s="101">
        <f t="shared" si="40"/>
        <v>0.40909090909090912</v>
      </c>
      <c r="AU58" s="100">
        <f t="shared" si="32"/>
        <v>2</v>
      </c>
      <c r="AV58" s="101">
        <f t="shared" si="41"/>
        <v>9.0909090909090912E-2</v>
      </c>
      <c r="AW58" s="100">
        <f t="shared" si="33"/>
        <v>0</v>
      </c>
      <c r="AX58" s="101">
        <f t="shared" si="42"/>
        <v>0</v>
      </c>
      <c r="AY58" s="100">
        <f t="shared" si="34"/>
        <v>0</v>
      </c>
      <c r="AZ58" s="101">
        <f t="shared" si="43"/>
        <v>0</v>
      </c>
      <c r="BA58" s="102">
        <f t="shared" si="35"/>
        <v>1</v>
      </c>
    </row>
    <row r="59" spans="1:53" x14ac:dyDescent="0.3">
      <c r="A59" s="92">
        <f>[4]SockEst!A60</f>
        <v>45146</v>
      </c>
      <c r="B59" s="93">
        <f>[4]SockEst!B60</f>
        <v>220</v>
      </c>
      <c r="C59" s="94" t="str">
        <f t="shared" si="36"/>
        <v>TTL</v>
      </c>
      <c r="D59" s="95">
        <f>IFERROR(VLOOKUP($A59,[5]qry_Whonnock_Species_Compositio!$A$1:$O$114,COLUMN([5]qry_Whonnock_Species_Compositio!B59), FALSE), "")</f>
        <v>5</v>
      </c>
      <c r="E59" s="95">
        <f>IFERROR(VLOOKUP($A59,[5]qry_Whonnock_Species_Compositio!$A$1:$O$114,COLUMN([5]qry_Whonnock_Species_Compositio!C59), FALSE), "")</f>
        <v>7</v>
      </c>
      <c r="F59" s="95">
        <f>IFERROR(VLOOKUP($A59,[5]qry_Whonnock_Species_Compositio!$A$1:$O$114,COLUMN([5]qry_Whonnock_Species_Compositio!D59), FALSE), "")</f>
        <v>0</v>
      </c>
      <c r="G59" s="95">
        <f>IFERROR(VLOOKUP($A59,[5]qry_Whonnock_Species_Compositio!$A$1:$O$114,COLUMN([5]qry_Whonnock_Species_Compositio!E59), FALSE), "")</f>
        <v>0</v>
      </c>
      <c r="H59" s="95">
        <f>IFERROR(VLOOKUP($A59,[5]qry_Whonnock_Species_Compositio!$A$1:$O$114,COLUMN([5]qry_Whonnock_Species_Compositio!F59), FALSE), "")</f>
        <v>0</v>
      </c>
      <c r="I59" s="95">
        <f>IFERROR(VLOOKUP($A59,[5]qry_Whonnock_Species_Compositio!$A$1:$O$114,COLUMN([5]qry_Whonnock_Species_Compositio!G59), FALSE), "")</f>
        <v>0</v>
      </c>
      <c r="J59" s="95">
        <f>IFERROR(VLOOKUP($A59,[5]qry_Whonnock_Species_Compositio!$A$1:$O$114,COLUMN([5]qry_Whonnock_Species_Compositio!H59), FALSE), "")</f>
        <v>5</v>
      </c>
      <c r="K59" s="95">
        <f>IFERROR(VLOOKUP($A59,[5]qry_Whonnock_Species_Compositio!$A$1:$O$114,COLUMN([5]qry_Whonnock_Species_Compositio!I59), FALSE), "")</f>
        <v>6</v>
      </c>
      <c r="L59" s="95">
        <f>IFERROR(VLOOKUP($A59,[5]qry_Whonnock_Species_Compositio!$A$1:$O$114,COLUMN([5]qry_Whonnock_Species_Compositio!J59), FALSE), "")</f>
        <v>0</v>
      </c>
      <c r="M59" s="95">
        <f>IFERROR(VLOOKUP($A59,[5]qry_Whonnock_Species_Compositio!$A$1:$O$114,COLUMN([5]qry_Whonnock_Species_Compositio!K59), FALSE), "")</f>
        <v>0</v>
      </c>
      <c r="N59" s="95">
        <f>IFERROR(VLOOKUP($A59,[5]qry_Whonnock_Species_Compositio!$A$1:$O$114,COLUMN([5]qry_Whonnock_Species_Compositio!L59), FALSE), "")</f>
        <v>0</v>
      </c>
      <c r="O59" s="95">
        <f>IFERROR(VLOOKUP($A59,[5]qry_Whonnock_Species_Compositio!$A$1:$O$114,COLUMN([5]qry_Whonnock_Species_Compositio!M59), FALSE), "")</f>
        <v>0</v>
      </c>
      <c r="P59" s="95">
        <f>IFERROR(VLOOKUP($A59,[5]qry_Whonnock_Species_Compositio!$A$1:$O$114,COLUMN([5]qry_Whonnock_Species_Compositio!N59), FALSE), "")</f>
        <v>0</v>
      </c>
      <c r="Q59" s="95">
        <f>IFERROR(VLOOKUP($A59,[5]qry_Whonnock_Species_Compositio!$A$1:$O$114,COLUMN([5]qry_Whonnock_Species_Compositio!O59), FALSE), "")</f>
        <v>0</v>
      </c>
      <c r="R59" s="96">
        <f t="shared" si="7"/>
        <v>0.5</v>
      </c>
      <c r="S59" s="97">
        <f t="shared" si="8"/>
        <v>0.53846153846153844</v>
      </c>
      <c r="T59" s="98">
        <f t="shared" si="9"/>
        <v>0.52173913043478259</v>
      </c>
      <c r="U59" s="97">
        <f t="shared" si="10"/>
        <v>0</v>
      </c>
      <c r="V59" s="97">
        <f t="shared" si="11"/>
        <v>0</v>
      </c>
      <c r="W59" s="98">
        <f t="shared" si="12"/>
        <v>0</v>
      </c>
      <c r="X59" s="97">
        <f t="shared" si="13"/>
        <v>0</v>
      </c>
      <c r="Y59" s="97">
        <f t="shared" si="14"/>
        <v>0</v>
      </c>
      <c r="Z59" s="98">
        <f t="shared" si="15"/>
        <v>0</v>
      </c>
      <c r="AA59" s="97">
        <f t="shared" si="16"/>
        <v>0.5</v>
      </c>
      <c r="AB59" s="97">
        <f t="shared" si="17"/>
        <v>0.46153846153846156</v>
      </c>
      <c r="AC59" s="98">
        <f t="shared" si="18"/>
        <v>0.47826086956521741</v>
      </c>
      <c r="AD59" s="97">
        <f t="shared" si="19"/>
        <v>0</v>
      </c>
      <c r="AE59" s="97">
        <f t="shared" si="20"/>
        <v>0</v>
      </c>
      <c r="AF59" s="98">
        <f t="shared" si="21"/>
        <v>0</v>
      </c>
      <c r="AG59" s="97">
        <f t="shared" si="22"/>
        <v>0</v>
      </c>
      <c r="AH59" s="97">
        <f t="shared" si="23"/>
        <v>0</v>
      </c>
      <c r="AI59" s="98">
        <f t="shared" si="24"/>
        <v>0</v>
      </c>
      <c r="AJ59" s="97">
        <f t="shared" si="25"/>
        <v>0</v>
      </c>
      <c r="AK59" s="97">
        <f t="shared" si="26"/>
        <v>0</v>
      </c>
      <c r="AL59" s="99">
        <f t="shared" si="27"/>
        <v>0</v>
      </c>
      <c r="AM59" s="100">
        <f t="shared" si="28"/>
        <v>12</v>
      </c>
      <c r="AN59" s="101">
        <f t="shared" si="37"/>
        <v>0.52173913043478259</v>
      </c>
      <c r="AO59" s="100">
        <f t="shared" si="29"/>
        <v>0</v>
      </c>
      <c r="AP59" s="101">
        <f t="shared" si="38"/>
        <v>0</v>
      </c>
      <c r="AQ59" s="100">
        <f t="shared" si="30"/>
        <v>0</v>
      </c>
      <c r="AR59" s="101">
        <f t="shared" si="39"/>
        <v>0</v>
      </c>
      <c r="AS59" s="100">
        <f t="shared" si="31"/>
        <v>11</v>
      </c>
      <c r="AT59" s="101">
        <f>IF($AM59&lt;15,AC59,AA59)</f>
        <v>0.47826086956521741</v>
      </c>
      <c r="AU59" s="100">
        <f t="shared" si="32"/>
        <v>0</v>
      </c>
      <c r="AV59" s="101">
        <f t="shared" si="41"/>
        <v>0</v>
      </c>
      <c r="AW59" s="100">
        <f t="shared" si="33"/>
        <v>0</v>
      </c>
      <c r="AX59" s="101">
        <f t="shared" si="42"/>
        <v>0</v>
      </c>
      <c r="AY59" s="100">
        <f t="shared" si="34"/>
        <v>0</v>
      </c>
      <c r="AZ59" s="101">
        <f t="shared" si="43"/>
        <v>0</v>
      </c>
      <c r="BA59" s="102">
        <f t="shared" si="35"/>
        <v>1</v>
      </c>
    </row>
    <row r="60" spans="1:53" x14ac:dyDescent="0.3">
      <c r="A60" s="92">
        <f>[4]SockEst!A61</f>
        <v>45147</v>
      </c>
      <c r="B60" s="93">
        <f>[4]SockEst!B61</f>
        <v>221</v>
      </c>
      <c r="C60" s="94" t="str">
        <f t="shared" si="36"/>
        <v>TTL</v>
      </c>
      <c r="D60" s="95">
        <f>IFERROR(VLOOKUP($A60,[5]qry_Whonnock_Species_Compositio!$A$1:$O$114,COLUMN([5]qry_Whonnock_Species_Compositio!B60), FALSE), "")</f>
        <v>4</v>
      </c>
      <c r="E60" s="95">
        <f>IFERROR(VLOOKUP($A60,[5]qry_Whonnock_Species_Compositio!$A$1:$O$114,COLUMN([5]qry_Whonnock_Species_Compositio!C60), FALSE), "")</f>
        <v>5</v>
      </c>
      <c r="F60" s="95">
        <f>IFERROR(VLOOKUP($A60,[5]qry_Whonnock_Species_Compositio!$A$1:$O$114,COLUMN([5]qry_Whonnock_Species_Compositio!D60), FALSE), "")</f>
        <v>0</v>
      </c>
      <c r="G60" s="95">
        <f>IFERROR(VLOOKUP($A60,[5]qry_Whonnock_Species_Compositio!$A$1:$O$114,COLUMN([5]qry_Whonnock_Species_Compositio!E60), FALSE), "")</f>
        <v>0</v>
      </c>
      <c r="H60" s="95">
        <f>IFERROR(VLOOKUP($A60,[5]qry_Whonnock_Species_Compositio!$A$1:$O$114,COLUMN([5]qry_Whonnock_Species_Compositio!F60), FALSE), "")</f>
        <v>0</v>
      </c>
      <c r="I60" s="95">
        <f>IFERROR(VLOOKUP($A60,[5]qry_Whonnock_Species_Compositio!$A$1:$O$114,COLUMN([5]qry_Whonnock_Species_Compositio!G60), FALSE), "")</f>
        <v>0</v>
      </c>
      <c r="J60" s="95">
        <f>IFERROR(VLOOKUP($A60,[5]qry_Whonnock_Species_Compositio!$A$1:$O$114,COLUMN([5]qry_Whonnock_Species_Compositio!H60), FALSE), "")</f>
        <v>1</v>
      </c>
      <c r="K60" s="95">
        <f>IFERROR(VLOOKUP($A60,[5]qry_Whonnock_Species_Compositio!$A$1:$O$114,COLUMN([5]qry_Whonnock_Species_Compositio!I60), FALSE), "")</f>
        <v>2</v>
      </c>
      <c r="L60" s="95">
        <f>IFERROR(VLOOKUP($A60,[5]qry_Whonnock_Species_Compositio!$A$1:$O$114,COLUMN([5]qry_Whonnock_Species_Compositio!J60), FALSE), "")</f>
        <v>0</v>
      </c>
      <c r="M60" s="95">
        <f>IFERROR(VLOOKUP($A60,[5]qry_Whonnock_Species_Compositio!$A$1:$O$114,COLUMN([5]qry_Whonnock_Species_Compositio!K60), FALSE), "")</f>
        <v>0</v>
      </c>
      <c r="N60" s="95">
        <f>IFERROR(VLOOKUP($A60,[5]qry_Whonnock_Species_Compositio!$A$1:$O$114,COLUMN([5]qry_Whonnock_Species_Compositio!L60), FALSE), "")</f>
        <v>0</v>
      </c>
      <c r="O60" s="95">
        <f>IFERROR(VLOOKUP($A60,[5]qry_Whonnock_Species_Compositio!$A$1:$O$114,COLUMN([5]qry_Whonnock_Species_Compositio!M60), FALSE), "")</f>
        <v>0</v>
      </c>
      <c r="P60" s="95">
        <f>IFERROR(VLOOKUP($A60,[5]qry_Whonnock_Species_Compositio!$A$1:$O$114,COLUMN([5]qry_Whonnock_Species_Compositio!N60), FALSE), "")</f>
        <v>0</v>
      </c>
      <c r="Q60" s="95">
        <f>IFERROR(VLOOKUP($A60,[5]qry_Whonnock_Species_Compositio!$A$1:$O$114,COLUMN([5]qry_Whonnock_Species_Compositio!O60), FALSE), "")</f>
        <v>0</v>
      </c>
      <c r="R60" s="96">
        <f t="shared" si="7"/>
        <v>0.8</v>
      </c>
      <c r="S60" s="97">
        <f t="shared" si="8"/>
        <v>0.7142857142857143</v>
      </c>
      <c r="T60" s="98">
        <f t="shared" si="9"/>
        <v>0.75</v>
      </c>
      <c r="U60" s="97">
        <f t="shared" si="10"/>
        <v>0</v>
      </c>
      <c r="V60" s="97">
        <f t="shared" si="11"/>
        <v>0</v>
      </c>
      <c r="W60" s="98">
        <f t="shared" si="12"/>
        <v>0</v>
      </c>
      <c r="X60" s="97">
        <f t="shared" si="13"/>
        <v>0</v>
      </c>
      <c r="Y60" s="97">
        <f t="shared" si="14"/>
        <v>0</v>
      </c>
      <c r="Z60" s="98">
        <f t="shared" si="15"/>
        <v>0</v>
      </c>
      <c r="AA60" s="97">
        <f t="shared" si="16"/>
        <v>0.2</v>
      </c>
      <c r="AB60" s="97">
        <f t="shared" si="17"/>
        <v>0.2857142857142857</v>
      </c>
      <c r="AC60" s="98">
        <f t="shared" si="18"/>
        <v>0.25</v>
      </c>
      <c r="AD60" s="97">
        <f t="shared" si="19"/>
        <v>0</v>
      </c>
      <c r="AE60" s="97">
        <f t="shared" si="20"/>
        <v>0</v>
      </c>
      <c r="AF60" s="98">
        <f t="shared" si="21"/>
        <v>0</v>
      </c>
      <c r="AG60" s="97">
        <f t="shared" si="22"/>
        <v>0</v>
      </c>
      <c r="AH60" s="97">
        <f t="shared" si="23"/>
        <v>0</v>
      </c>
      <c r="AI60" s="98">
        <f t="shared" si="24"/>
        <v>0</v>
      </c>
      <c r="AJ60" s="97">
        <f t="shared" si="25"/>
        <v>0</v>
      </c>
      <c r="AK60" s="97">
        <f t="shared" si="26"/>
        <v>0</v>
      </c>
      <c r="AL60" s="99">
        <f t="shared" si="27"/>
        <v>0</v>
      </c>
      <c r="AM60" s="100">
        <f t="shared" si="28"/>
        <v>9</v>
      </c>
      <c r="AN60" s="101">
        <f t="shared" si="37"/>
        <v>0.75</v>
      </c>
      <c r="AO60" s="100">
        <f t="shared" si="29"/>
        <v>0</v>
      </c>
      <c r="AP60" s="101">
        <f t="shared" si="38"/>
        <v>0</v>
      </c>
      <c r="AQ60" s="100">
        <f t="shared" si="30"/>
        <v>0</v>
      </c>
      <c r="AR60" s="101">
        <f t="shared" si="39"/>
        <v>0</v>
      </c>
      <c r="AS60" s="100">
        <f t="shared" si="31"/>
        <v>3</v>
      </c>
      <c r="AT60" s="101">
        <f t="shared" si="40"/>
        <v>0.25</v>
      </c>
      <c r="AU60" s="100">
        <f t="shared" si="32"/>
        <v>0</v>
      </c>
      <c r="AV60" s="101">
        <f t="shared" si="41"/>
        <v>0</v>
      </c>
      <c r="AW60" s="100">
        <f t="shared" si="33"/>
        <v>0</v>
      </c>
      <c r="AX60" s="101">
        <f t="shared" si="42"/>
        <v>0</v>
      </c>
      <c r="AY60" s="100">
        <f t="shared" si="34"/>
        <v>0</v>
      </c>
      <c r="AZ60" s="101">
        <f t="shared" si="43"/>
        <v>0</v>
      </c>
      <c r="BA60" s="102">
        <f t="shared" si="35"/>
        <v>1</v>
      </c>
    </row>
    <row r="61" spans="1:53" x14ac:dyDescent="0.3">
      <c r="A61" s="92">
        <f>[4]SockEst!A62</f>
        <v>45148</v>
      </c>
      <c r="B61" s="93">
        <f>[4]SockEst!B62</f>
        <v>222</v>
      </c>
      <c r="C61" s="94" t="str">
        <f t="shared" si="36"/>
        <v>GG</v>
      </c>
      <c r="D61" s="95">
        <f>IFERROR(VLOOKUP($A61,[5]qry_Whonnock_Species_Compositio!$A$1:$O$114,COLUMN([5]qry_Whonnock_Species_Compositio!B61), FALSE), "")</f>
        <v>14</v>
      </c>
      <c r="E61" s="95">
        <f>IFERROR(VLOOKUP($A61,[5]qry_Whonnock_Species_Compositio!$A$1:$O$114,COLUMN([5]qry_Whonnock_Species_Compositio!C61), FALSE), "")</f>
        <v>10</v>
      </c>
      <c r="F61" s="95">
        <f>IFERROR(VLOOKUP($A61,[5]qry_Whonnock_Species_Compositio!$A$1:$O$114,COLUMN([5]qry_Whonnock_Species_Compositio!D61), FALSE), "")</f>
        <v>0</v>
      </c>
      <c r="G61" s="95">
        <f>IFERROR(VLOOKUP($A61,[5]qry_Whonnock_Species_Compositio!$A$1:$O$114,COLUMN([5]qry_Whonnock_Species_Compositio!E61), FALSE), "")</f>
        <v>0</v>
      </c>
      <c r="H61" s="95">
        <f>IFERROR(VLOOKUP($A61,[5]qry_Whonnock_Species_Compositio!$A$1:$O$114,COLUMN([5]qry_Whonnock_Species_Compositio!F61), FALSE), "")</f>
        <v>0</v>
      </c>
      <c r="I61" s="95">
        <f>IFERROR(VLOOKUP($A61,[5]qry_Whonnock_Species_Compositio!$A$1:$O$114,COLUMN([5]qry_Whonnock_Species_Compositio!G61), FALSE), "")</f>
        <v>0</v>
      </c>
      <c r="J61" s="95">
        <f>IFERROR(VLOOKUP($A61,[5]qry_Whonnock_Species_Compositio!$A$1:$O$114,COLUMN([5]qry_Whonnock_Species_Compositio!H61), FALSE), "")</f>
        <v>7</v>
      </c>
      <c r="K61" s="95">
        <f>IFERROR(VLOOKUP($A61,[5]qry_Whonnock_Species_Compositio!$A$1:$O$114,COLUMN([5]qry_Whonnock_Species_Compositio!I61), FALSE), "")</f>
        <v>7</v>
      </c>
      <c r="L61" s="95">
        <f>IFERROR(VLOOKUP($A61,[5]qry_Whonnock_Species_Compositio!$A$1:$O$114,COLUMN([5]qry_Whonnock_Species_Compositio!J61), FALSE), "")</f>
        <v>0</v>
      </c>
      <c r="M61" s="95">
        <f>IFERROR(VLOOKUP($A61,[5]qry_Whonnock_Species_Compositio!$A$1:$O$114,COLUMN([5]qry_Whonnock_Species_Compositio!K61), FALSE), "")</f>
        <v>0</v>
      </c>
      <c r="N61" s="95">
        <f>IFERROR(VLOOKUP($A61,[5]qry_Whonnock_Species_Compositio!$A$1:$O$114,COLUMN([5]qry_Whonnock_Species_Compositio!L61), FALSE), "")</f>
        <v>0</v>
      </c>
      <c r="O61" s="95">
        <f>IFERROR(VLOOKUP($A61,[5]qry_Whonnock_Species_Compositio!$A$1:$O$114,COLUMN([5]qry_Whonnock_Species_Compositio!M61), FALSE), "")</f>
        <v>0</v>
      </c>
      <c r="P61" s="95">
        <f>IFERROR(VLOOKUP($A61,[5]qry_Whonnock_Species_Compositio!$A$1:$O$114,COLUMN([5]qry_Whonnock_Species_Compositio!N61), FALSE), "")</f>
        <v>0</v>
      </c>
      <c r="Q61" s="95">
        <f>IFERROR(VLOOKUP($A61,[5]qry_Whonnock_Species_Compositio!$A$1:$O$114,COLUMN([5]qry_Whonnock_Species_Compositio!O61), FALSE), "")</f>
        <v>0</v>
      </c>
      <c r="R61" s="96">
        <f t="shared" si="7"/>
        <v>0.66666666666666663</v>
      </c>
      <c r="S61" s="97">
        <f t="shared" si="8"/>
        <v>0.58823529411764708</v>
      </c>
      <c r="T61" s="98">
        <f t="shared" si="9"/>
        <v>0.63157894736842102</v>
      </c>
      <c r="U61" s="97">
        <f t="shared" si="10"/>
        <v>0</v>
      </c>
      <c r="V61" s="97">
        <f t="shared" si="11"/>
        <v>0</v>
      </c>
      <c r="W61" s="98">
        <f t="shared" si="12"/>
        <v>0</v>
      </c>
      <c r="X61" s="97">
        <f t="shared" si="13"/>
        <v>0</v>
      </c>
      <c r="Y61" s="97">
        <f t="shared" si="14"/>
        <v>0</v>
      </c>
      <c r="Z61" s="98">
        <f t="shared" si="15"/>
        <v>0</v>
      </c>
      <c r="AA61" s="97">
        <f t="shared" si="16"/>
        <v>0.33333333333333331</v>
      </c>
      <c r="AB61" s="97">
        <f t="shared" si="17"/>
        <v>0.41176470588235292</v>
      </c>
      <c r="AC61" s="98">
        <f t="shared" si="18"/>
        <v>0.36842105263157893</v>
      </c>
      <c r="AD61" s="97">
        <f t="shared" si="19"/>
        <v>0</v>
      </c>
      <c r="AE61" s="97">
        <f t="shared" si="20"/>
        <v>0</v>
      </c>
      <c r="AF61" s="98">
        <f t="shared" si="21"/>
        <v>0</v>
      </c>
      <c r="AG61" s="97">
        <f t="shared" si="22"/>
        <v>0</v>
      </c>
      <c r="AH61" s="97">
        <f t="shared" si="23"/>
        <v>0</v>
      </c>
      <c r="AI61" s="98">
        <f t="shared" si="24"/>
        <v>0</v>
      </c>
      <c r="AJ61" s="97">
        <f t="shared" si="25"/>
        <v>0</v>
      </c>
      <c r="AK61" s="97">
        <f t="shared" si="26"/>
        <v>0</v>
      </c>
      <c r="AL61" s="99">
        <f t="shared" si="27"/>
        <v>0</v>
      </c>
      <c r="AM61" s="100">
        <f t="shared" si="28"/>
        <v>24</v>
      </c>
      <c r="AN61" s="101">
        <f t="shared" si="37"/>
        <v>0.66666666666666663</v>
      </c>
      <c r="AO61" s="100">
        <f t="shared" si="29"/>
        <v>0</v>
      </c>
      <c r="AP61" s="101">
        <f t="shared" si="38"/>
        <v>0</v>
      </c>
      <c r="AQ61" s="100">
        <f t="shared" si="30"/>
        <v>0</v>
      </c>
      <c r="AR61" s="101">
        <f t="shared" si="39"/>
        <v>0</v>
      </c>
      <c r="AS61" s="100">
        <f t="shared" si="31"/>
        <v>14</v>
      </c>
      <c r="AT61" s="101">
        <f t="shared" si="40"/>
        <v>0.33333333333333331</v>
      </c>
      <c r="AU61" s="100">
        <f t="shared" si="32"/>
        <v>0</v>
      </c>
      <c r="AV61" s="101">
        <f t="shared" si="41"/>
        <v>0</v>
      </c>
      <c r="AW61" s="100">
        <f t="shared" si="33"/>
        <v>0</v>
      </c>
      <c r="AX61" s="101">
        <f t="shared" si="42"/>
        <v>0</v>
      </c>
      <c r="AY61" s="100">
        <f t="shared" si="34"/>
        <v>0</v>
      </c>
      <c r="AZ61" s="101">
        <f t="shared" si="43"/>
        <v>0</v>
      </c>
      <c r="BA61" s="102">
        <f t="shared" si="35"/>
        <v>1</v>
      </c>
    </row>
    <row r="62" spans="1:53" x14ac:dyDescent="0.3">
      <c r="A62" s="92">
        <f>[4]SockEst!A63</f>
        <v>45149</v>
      </c>
      <c r="B62" s="93">
        <f>[4]SockEst!B63</f>
        <v>223</v>
      </c>
      <c r="C62" s="94" t="str">
        <f t="shared" si="36"/>
        <v>GG</v>
      </c>
      <c r="D62" s="95">
        <f>IFERROR(VLOOKUP($A62,[5]qry_Whonnock_Species_Compositio!$A$1:$O$114,COLUMN([5]qry_Whonnock_Species_Compositio!B62), FALSE), "")</f>
        <v>33</v>
      </c>
      <c r="E62" s="95">
        <f>IFERROR(VLOOKUP($A62,[5]qry_Whonnock_Species_Compositio!$A$1:$O$114,COLUMN([5]qry_Whonnock_Species_Compositio!C62), FALSE), "")</f>
        <v>11</v>
      </c>
      <c r="F62" s="95">
        <f>IFERROR(VLOOKUP($A62,[5]qry_Whonnock_Species_Compositio!$A$1:$O$114,COLUMN([5]qry_Whonnock_Species_Compositio!D62), FALSE), "")</f>
        <v>0</v>
      </c>
      <c r="G62" s="95">
        <f>IFERROR(VLOOKUP($A62,[5]qry_Whonnock_Species_Compositio!$A$1:$O$114,COLUMN([5]qry_Whonnock_Species_Compositio!E62), FALSE), "")</f>
        <v>0</v>
      </c>
      <c r="H62" s="95">
        <f>IFERROR(VLOOKUP($A62,[5]qry_Whonnock_Species_Compositio!$A$1:$O$114,COLUMN([5]qry_Whonnock_Species_Compositio!F62), FALSE), "")</f>
        <v>0</v>
      </c>
      <c r="I62" s="95">
        <f>IFERROR(VLOOKUP($A62,[5]qry_Whonnock_Species_Compositio!$A$1:$O$114,COLUMN([5]qry_Whonnock_Species_Compositio!G62), FALSE), "")</f>
        <v>0</v>
      </c>
      <c r="J62" s="95">
        <f>IFERROR(VLOOKUP($A62,[5]qry_Whonnock_Species_Compositio!$A$1:$O$114,COLUMN([5]qry_Whonnock_Species_Compositio!H62), FALSE), "")</f>
        <v>5</v>
      </c>
      <c r="K62" s="95">
        <f>IFERROR(VLOOKUP($A62,[5]qry_Whonnock_Species_Compositio!$A$1:$O$114,COLUMN([5]qry_Whonnock_Species_Compositio!I62), FALSE), "")</f>
        <v>7</v>
      </c>
      <c r="L62" s="95">
        <f>IFERROR(VLOOKUP($A62,[5]qry_Whonnock_Species_Compositio!$A$1:$O$114,COLUMN([5]qry_Whonnock_Species_Compositio!J62), FALSE), "")</f>
        <v>0</v>
      </c>
      <c r="M62" s="95">
        <f>IFERROR(VLOOKUP($A62,[5]qry_Whonnock_Species_Compositio!$A$1:$O$114,COLUMN([5]qry_Whonnock_Species_Compositio!K62), FALSE), "")</f>
        <v>0</v>
      </c>
      <c r="N62" s="95">
        <f>IFERROR(VLOOKUP($A62,[5]qry_Whonnock_Species_Compositio!$A$1:$O$114,COLUMN([5]qry_Whonnock_Species_Compositio!L62), FALSE), "")</f>
        <v>0</v>
      </c>
      <c r="O62" s="95">
        <f>IFERROR(VLOOKUP($A62,[5]qry_Whonnock_Species_Compositio!$A$1:$O$114,COLUMN([5]qry_Whonnock_Species_Compositio!M62), FALSE), "")</f>
        <v>0</v>
      </c>
      <c r="P62" s="95">
        <f>IFERROR(VLOOKUP($A62,[5]qry_Whonnock_Species_Compositio!$A$1:$O$114,COLUMN([5]qry_Whonnock_Species_Compositio!N62), FALSE), "")</f>
        <v>0</v>
      </c>
      <c r="Q62" s="95">
        <f>IFERROR(VLOOKUP($A62,[5]qry_Whonnock_Species_Compositio!$A$1:$O$114,COLUMN([5]qry_Whonnock_Species_Compositio!O62), FALSE), "")</f>
        <v>0</v>
      </c>
      <c r="R62" s="96">
        <f t="shared" si="7"/>
        <v>0.86842105263157898</v>
      </c>
      <c r="S62" s="97">
        <f t="shared" si="8"/>
        <v>0.61111111111111116</v>
      </c>
      <c r="T62" s="98">
        <f t="shared" si="9"/>
        <v>0.7857142857142857</v>
      </c>
      <c r="U62" s="97">
        <f t="shared" si="10"/>
        <v>0</v>
      </c>
      <c r="V62" s="97">
        <f t="shared" si="11"/>
        <v>0</v>
      </c>
      <c r="W62" s="98">
        <f t="shared" si="12"/>
        <v>0</v>
      </c>
      <c r="X62" s="97">
        <f t="shared" si="13"/>
        <v>0</v>
      </c>
      <c r="Y62" s="97">
        <f t="shared" si="14"/>
        <v>0</v>
      </c>
      <c r="Z62" s="98">
        <f t="shared" si="15"/>
        <v>0</v>
      </c>
      <c r="AA62" s="97">
        <f t="shared" si="16"/>
        <v>0.13157894736842105</v>
      </c>
      <c r="AB62" s="97">
        <f t="shared" si="17"/>
        <v>0.3888888888888889</v>
      </c>
      <c r="AC62" s="98">
        <f t="shared" si="18"/>
        <v>0.21428571428571427</v>
      </c>
      <c r="AD62" s="97">
        <f t="shared" si="19"/>
        <v>0</v>
      </c>
      <c r="AE62" s="97">
        <f t="shared" si="20"/>
        <v>0</v>
      </c>
      <c r="AF62" s="98">
        <f t="shared" si="21"/>
        <v>0</v>
      </c>
      <c r="AG62" s="97">
        <f t="shared" si="22"/>
        <v>0</v>
      </c>
      <c r="AH62" s="97">
        <f t="shared" si="23"/>
        <v>0</v>
      </c>
      <c r="AI62" s="98">
        <f t="shared" si="24"/>
        <v>0</v>
      </c>
      <c r="AJ62" s="97">
        <f t="shared" si="25"/>
        <v>0</v>
      </c>
      <c r="AK62" s="97">
        <f t="shared" si="26"/>
        <v>0</v>
      </c>
      <c r="AL62" s="99">
        <f t="shared" si="27"/>
        <v>0</v>
      </c>
      <c r="AM62" s="100">
        <f t="shared" si="28"/>
        <v>44</v>
      </c>
      <c r="AN62" s="101">
        <f t="shared" si="37"/>
        <v>0.86842105263157898</v>
      </c>
      <c r="AO62" s="100">
        <f t="shared" si="29"/>
        <v>0</v>
      </c>
      <c r="AP62" s="101">
        <f t="shared" si="38"/>
        <v>0</v>
      </c>
      <c r="AQ62" s="100">
        <f t="shared" si="30"/>
        <v>0</v>
      </c>
      <c r="AR62" s="101">
        <f t="shared" si="39"/>
        <v>0</v>
      </c>
      <c r="AS62" s="100">
        <f t="shared" si="31"/>
        <v>12</v>
      </c>
      <c r="AT62" s="101">
        <f t="shared" si="40"/>
        <v>0.13157894736842105</v>
      </c>
      <c r="AU62" s="100">
        <f t="shared" si="32"/>
        <v>0</v>
      </c>
      <c r="AV62" s="101">
        <f t="shared" si="41"/>
        <v>0</v>
      </c>
      <c r="AW62" s="100">
        <f t="shared" si="33"/>
        <v>0</v>
      </c>
      <c r="AX62" s="101">
        <f t="shared" si="42"/>
        <v>0</v>
      </c>
      <c r="AY62" s="100">
        <f t="shared" si="34"/>
        <v>0</v>
      </c>
      <c r="AZ62" s="101">
        <f t="shared" si="43"/>
        <v>0</v>
      </c>
      <c r="BA62" s="102">
        <f t="shared" si="35"/>
        <v>1</v>
      </c>
    </row>
    <row r="63" spans="1:53" x14ac:dyDescent="0.3">
      <c r="A63" s="92">
        <f>[4]SockEst!A64</f>
        <v>45150</v>
      </c>
      <c r="B63" s="93">
        <f>[4]SockEst!B64</f>
        <v>224</v>
      </c>
      <c r="C63" s="94" t="str">
        <f t="shared" si="36"/>
        <v>GG</v>
      </c>
      <c r="D63" s="95">
        <f>IFERROR(VLOOKUP($A63,[5]qry_Whonnock_Species_Compositio!$A$1:$O$114,COLUMN([5]qry_Whonnock_Species_Compositio!B63), FALSE), "")</f>
        <v>56</v>
      </c>
      <c r="E63" s="95">
        <f>IFERROR(VLOOKUP($A63,[5]qry_Whonnock_Species_Compositio!$A$1:$O$114,COLUMN([5]qry_Whonnock_Species_Compositio!C63), FALSE), "")</f>
        <v>16</v>
      </c>
      <c r="F63" s="95">
        <f>IFERROR(VLOOKUP($A63,[5]qry_Whonnock_Species_Compositio!$A$1:$O$114,COLUMN([5]qry_Whonnock_Species_Compositio!D63), FALSE), "")</f>
        <v>0</v>
      </c>
      <c r="G63" s="95">
        <f>IFERROR(VLOOKUP($A63,[5]qry_Whonnock_Species_Compositio!$A$1:$O$114,COLUMN([5]qry_Whonnock_Species_Compositio!E63), FALSE), "")</f>
        <v>0</v>
      </c>
      <c r="H63" s="95">
        <f>IFERROR(VLOOKUP($A63,[5]qry_Whonnock_Species_Compositio!$A$1:$O$114,COLUMN([5]qry_Whonnock_Species_Compositio!F63), FALSE), "")</f>
        <v>1</v>
      </c>
      <c r="I63" s="95">
        <f>IFERROR(VLOOKUP($A63,[5]qry_Whonnock_Species_Compositio!$A$1:$O$114,COLUMN([5]qry_Whonnock_Species_Compositio!G63), FALSE), "")</f>
        <v>0</v>
      </c>
      <c r="J63" s="95">
        <f>IFERROR(VLOOKUP($A63,[5]qry_Whonnock_Species_Compositio!$A$1:$O$114,COLUMN([5]qry_Whonnock_Species_Compositio!H63), FALSE), "")</f>
        <v>20</v>
      </c>
      <c r="K63" s="95">
        <f>IFERROR(VLOOKUP($A63,[5]qry_Whonnock_Species_Compositio!$A$1:$O$114,COLUMN([5]qry_Whonnock_Species_Compositio!I63), FALSE), "")</f>
        <v>7</v>
      </c>
      <c r="L63" s="95">
        <f>IFERROR(VLOOKUP($A63,[5]qry_Whonnock_Species_Compositio!$A$1:$O$114,COLUMN([5]qry_Whonnock_Species_Compositio!J63), FALSE), "")</f>
        <v>0</v>
      </c>
      <c r="M63" s="95">
        <f>IFERROR(VLOOKUP($A63,[5]qry_Whonnock_Species_Compositio!$A$1:$O$114,COLUMN([5]qry_Whonnock_Species_Compositio!K63), FALSE), "")</f>
        <v>0</v>
      </c>
      <c r="N63" s="95">
        <f>IFERROR(VLOOKUP($A63,[5]qry_Whonnock_Species_Compositio!$A$1:$O$114,COLUMN([5]qry_Whonnock_Species_Compositio!L63), FALSE), "")</f>
        <v>0</v>
      </c>
      <c r="O63" s="95">
        <f>IFERROR(VLOOKUP($A63,[5]qry_Whonnock_Species_Compositio!$A$1:$O$114,COLUMN([5]qry_Whonnock_Species_Compositio!M63), FALSE), "")</f>
        <v>0</v>
      </c>
      <c r="P63" s="95">
        <f>IFERROR(VLOOKUP($A63,[5]qry_Whonnock_Species_Compositio!$A$1:$O$114,COLUMN([5]qry_Whonnock_Species_Compositio!N63), FALSE), "")</f>
        <v>0</v>
      </c>
      <c r="Q63" s="95">
        <f>IFERROR(VLOOKUP($A63,[5]qry_Whonnock_Species_Compositio!$A$1:$O$114,COLUMN([5]qry_Whonnock_Species_Compositio!O63), FALSE), "")</f>
        <v>0</v>
      </c>
      <c r="R63" s="96">
        <f t="shared" si="7"/>
        <v>0.72727272727272729</v>
      </c>
      <c r="S63" s="97">
        <f t="shared" si="8"/>
        <v>0.69565217391304346</v>
      </c>
      <c r="T63" s="98">
        <f t="shared" si="9"/>
        <v>0.72</v>
      </c>
      <c r="U63" s="97">
        <f t="shared" si="10"/>
        <v>0</v>
      </c>
      <c r="V63" s="97">
        <f t="shared" si="11"/>
        <v>0</v>
      </c>
      <c r="W63" s="98">
        <f t="shared" si="12"/>
        <v>0</v>
      </c>
      <c r="X63" s="97">
        <f t="shared" si="13"/>
        <v>1.2987012987012988E-2</v>
      </c>
      <c r="Y63" s="97">
        <f t="shared" si="14"/>
        <v>0</v>
      </c>
      <c r="Z63" s="98">
        <f t="shared" si="15"/>
        <v>0.01</v>
      </c>
      <c r="AA63" s="97">
        <f t="shared" si="16"/>
        <v>0.25974025974025972</v>
      </c>
      <c r="AB63" s="97">
        <f t="shared" si="17"/>
        <v>0.30434782608695654</v>
      </c>
      <c r="AC63" s="98">
        <f t="shared" si="18"/>
        <v>0.27</v>
      </c>
      <c r="AD63" s="97">
        <f t="shared" si="19"/>
        <v>0</v>
      </c>
      <c r="AE63" s="97">
        <f t="shared" si="20"/>
        <v>0</v>
      </c>
      <c r="AF63" s="98">
        <f t="shared" si="21"/>
        <v>0</v>
      </c>
      <c r="AG63" s="97">
        <f t="shared" si="22"/>
        <v>0</v>
      </c>
      <c r="AH63" s="97">
        <f t="shared" si="23"/>
        <v>0</v>
      </c>
      <c r="AI63" s="98">
        <f t="shared" si="24"/>
        <v>0</v>
      </c>
      <c r="AJ63" s="97">
        <f t="shared" si="25"/>
        <v>0</v>
      </c>
      <c r="AK63" s="97">
        <f t="shared" si="26"/>
        <v>0</v>
      </c>
      <c r="AL63" s="99">
        <f t="shared" si="27"/>
        <v>0</v>
      </c>
      <c r="AM63" s="100">
        <f t="shared" si="28"/>
        <v>72</v>
      </c>
      <c r="AN63" s="101">
        <f t="shared" si="37"/>
        <v>0.72727272727272729</v>
      </c>
      <c r="AO63" s="100">
        <f t="shared" si="29"/>
        <v>0</v>
      </c>
      <c r="AP63" s="101">
        <f t="shared" si="38"/>
        <v>0</v>
      </c>
      <c r="AQ63" s="100">
        <f t="shared" si="30"/>
        <v>1</v>
      </c>
      <c r="AR63" s="101">
        <f t="shared" si="39"/>
        <v>1.2987012987012988E-2</v>
      </c>
      <c r="AS63" s="100">
        <f t="shared" si="31"/>
        <v>27</v>
      </c>
      <c r="AT63" s="101">
        <f t="shared" si="40"/>
        <v>0.25974025974025972</v>
      </c>
      <c r="AU63" s="100">
        <f t="shared" si="32"/>
        <v>0</v>
      </c>
      <c r="AV63" s="101">
        <f t="shared" si="41"/>
        <v>0</v>
      </c>
      <c r="AW63" s="100">
        <f t="shared" si="33"/>
        <v>0</v>
      </c>
      <c r="AX63" s="101">
        <f t="shared" si="42"/>
        <v>0</v>
      </c>
      <c r="AY63" s="100">
        <f t="shared" si="34"/>
        <v>0</v>
      </c>
      <c r="AZ63" s="101">
        <f t="shared" si="43"/>
        <v>0</v>
      </c>
      <c r="BA63" s="102">
        <f t="shared" si="35"/>
        <v>1</v>
      </c>
    </row>
    <row r="64" spans="1:53" x14ac:dyDescent="0.3">
      <c r="A64" s="92">
        <f>[4]SockEst!A65</f>
        <v>45151</v>
      </c>
      <c r="B64" s="93">
        <f>[4]SockEst!B65</f>
        <v>225</v>
      </c>
      <c r="C64" s="94" t="str">
        <f t="shared" si="36"/>
        <v>GG</v>
      </c>
      <c r="D64" s="95">
        <f>IFERROR(VLOOKUP($A64,[5]qry_Whonnock_Species_Compositio!$A$1:$O$114,COLUMN([5]qry_Whonnock_Species_Compositio!B64), FALSE), "")</f>
        <v>43</v>
      </c>
      <c r="E64" s="95">
        <f>IFERROR(VLOOKUP($A64,[5]qry_Whonnock_Species_Compositio!$A$1:$O$114,COLUMN([5]qry_Whonnock_Species_Compositio!C64), FALSE), "")</f>
        <v>17</v>
      </c>
      <c r="F64" s="95">
        <f>IFERROR(VLOOKUP($A64,[5]qry_Whonnock_Species_Compositio!$A$1:$O$114,COLUMN([5]qry_Whonnock_Species_Compositio!D64), FALSE), "")</f>
        <v>0</v>
      </c>
      <c r="G64" s="95">
        <f>IFERROR(VLOOKUP($A64,[5]qry_Whonnock_Species_Compositio!$A$1:$O$114,COLUMN([5]qry_Whonnock_Species_Compositio!E64), FALSE), "")</f>
        <v>0</v>
      </c>
      <c r="H64" s="95">
        <f>IFERROR(VLOOKUP($A64,[5]qry_Whonnock_Species_Compositio!$A$1:$O$114,COLUMN([5]qry_Whonnock_Species_Compositio!F64), FALSE), "")</f>
        <v>0</v>
      </c>
      <c r="I64" s="95">
        <f>IFERROR(VLOOKUP($A64,[5]qry_Whonnock_Species_Compositio!$A$1:$O$114,COLUMN([5]qry_Whonnock_Species_Compositio!G64), FALSE), "")</f>
        <v>0</v>
      </c>
      <c r="J64" s="95">
        <f>IFERROR(VLOOKUP($A64,[5]qry_Whonnock_Species_Compositio!$A$1:$O$114,COLUMN([5]qry_Whonnock_Species_Compositio!H64), FALSE), "")</f>
        <v>9</v>
      </c>
      <c r="K64" s="95">
        <f>IFERROR(VLOOKUP($A64,[5]qry_Whonnock_Species_Compositio!$A$1:$O$114,COLUMN([5]qry_Whonnock_Species_Compositio!I64), FALSE), "")</f>
        <v>1</v>
      </c>
      <c r="L64" s="95">
        <f>IFERROR(VLOOKUP($A64,[5]qry_Whonnock_Species_Compositio!$A$1:$O$114,COLUMN([5]qry_Whonnock_Species_Compositio!J64), FALSE), "")</f>
        <v>0</v>
      </c>
      <c r="M64" s="95">
        <f>IFERROR(VLOOKUP($A64,[5]qry_Whonnock_Species_Compositio!$A$1:$O$114,COLUMN([5]qry_Whonnock_Species_Compositio!K64), FALSE), "")</f>
        <v>0</v>
      </c>
      <c r="N64" s="95">
        <f>IFERROR(VLOOKUP($A64,[5]qry_Whonnock_Species_Compositio!$A$1:$O$114,COLUMN([5]qry_Whonnock_Species_Compositio!L64), FALSE), "")</f>
        <v>0</v>
      </c>
      <c r="O64" s="95">
        <f>IFERROR(VLOOKUP($A64,[5]qry_Whonnock_Species_Compositio!$A$1:$O$114,COLUMN([5]qry_Whonnock_Species_Compositio!M64), FALSE), "")</f>
        <v>0</v>
      </c>
      <c r="P64" s="95">
        <f>IFERROR(VLOOKUP($A64,[5]qry_Whonnock_Species_Compositio!$A$1:$O$114,COLUMN([5]qry_Whonnock_Species_Compositio!N64), FALSE), "")</f>
        <v>0</v>
      </c>
      <c r="Q64" s="95">
        <f>IFERROR(VLOOKUP($A64,[5]qry_Whonnock_Species_Compositio!$A$1:$O$114,COLUMN([5]qry_Whonnock_Species_Compositio!O64), FALSE), "")</f>
        <v>0</v>
      </c>
      <c r="R64" s="96">
        <f t="shared" si="7"/>
        <v>0.82692307692307687</v>
      </c>
      <c r="S64" s="97">
        <f t="shared" si="8"/>
        <v>0.94444444444444442</v>
      </c>
      <c r="T64" s="98">
        <f t="shared" si="9"/>
        <v>0.8571428571428571</v>
      </c>
      <c r="U64" s="97">
        <f t="shared" si="10"/>
        <v>0</v>
      </c>
      <c r="V64" s="97">
        <f t="shared" si="11"/>
        <v>0</v>
      </c>
      <c r="W64" s="98">
        <f t="shared" si="12"/>
        <v>0</v>
      </c>
      <c r="X64" s="97">
        <f t="shared" si="13"/>
        <v>0</v>
      </c>
      <c r="Y64" s="97">
        <f t="shared" si="14"/>
        <v>0</v>
      </c>
      <c r="Z64" s="98">
        <f t="shared" si="15"/>
        <v>0</v>
      </c>
      <c r="AA64" s="97">
        <f t="shared" si="16"/>
        <v>0.17307692307692307</v>
      </c>
      <c r="AB64" s="97">
        <f t="shared" si="17"/>
        <v>5.5555555555555552E-2</v>
      </c>
      <c r="AC64" s="98">
        <f t="shared" si="18"/>
        <v>0.14285714285714285</v>
      </c>
      <c r="AD64" s="97">
        <f t="shared" si="19"/>
        <v>0</v>
      </c>
      <c r="AE64" s="97">
        <f t="shared" si="20"/>
        <v>0</v>
      </c>
      <c r="AF64" s="98">
        <f t="shared" si="21"/>
        <v>0</v>
      </c>
      <c r="AG64" s="97">
        <f t="shared" si="22"/>
        <v>0</v>
      </c>
      <c r="AH64" s="97">
        <f t="shared" si="23"/>
        <v>0</v>
      </c>
      <c r="AI64" s="98">
        <f t="shared" si="24"/>
        <v>0</v>
      </c>
      <c r="AJ64" s="97">
        <f t="shared" si="25"/>
        <v>0</v>
      </c>
      <c r="AK64" s="97">
        <f t="shared" si="26"/>
        <v>0</v>
      </c>
      <c r="AL64" s="99">
        <f t="shared" si="27"/>
        <v>0</v>
      </c>
      <c r="AM64" s="100">
        <f t="shared" si="28"/>
        <v>60</v>
      </c>
      <c r="AN64" s="101">
        <f t="shared" si="37"/>
        <v>0.82692307692307687</v>
      </c>
      <c r="AO64" s="100">
        <f t="shared" si="29"/>
        <v>0</v>
      </c>
      <c r="AP64" s="101">
        <f t="shared" si="38"/>
        <v>0</v>
      </c>
      <c r="AQ64" s="100">
        <f t="shared" si="30"/>
        <v>0</v>
      </c>
      <c r="AR64" s="101">
        <f t="shared" si="39"/>
        <v>0</v>
      </c>
      <c r="AS64" s="100">
        <f t="shared" si="31"/>
        <v>10</v>
      </c>
      <c r="AT64" s="101">
        <f t="shared" si="40"/>
        <v>0.17307692307692307</v>
      </c>
      <c r="AU64" s="100">
        <f t="shared" si="32"/>
        <v>0</v>
      </c>
      <c r="AV64" s="101">
        <f t="shared" si="41"/>
        <v>0</v>
      </c>
      <c r="AW64" s="100">
        <f t="shared" si="33"/>
        <v>0</v>
      </c>
      <c r="AX64" s="101">
        <f t="shared" si="42"/>
        <v>0</v>
      </c>
      <c r="AY64" s="100">
        <f t="shared" si="34"/>
        <v>0</v>
      </c>
      <c r="AZ64" s="101">
        <f t="shared" si="43"/>
        <v>0</v>
      </c>
      <c r="BA64" s="102">
        <f t="shared" si="35"/>
        <v>1</v>
      </c>
    </row>
    <row r="65" spans="1:53" x14ac:dyDescent="0.3">
      <c r="A65" s="92">
        <f>[4]SockEst!A66</f>
        <v>45152</v>
      </c>
      <c r="B65" s="93">
        <f>[4]SockEst!B66</f>
        <v>226</v>
      </c>
      <c r="C65" s="94" t="str">
        <f t="shared" si="36"/>
        <v>GG</v>
      </c>
      <c r="D65" s="95">
        <f>IFERROR(VLOOKUP($A65,[5]qry_Whonnock_Species_Compositio!$A$1:$O$114,COLUMN([5]qry_Whonnock_Species_Compositio!B65), FALSE), "")</f>
        <v>66</v>
      </c>
      <c r="E65" s="95">
        <f>IFERROR(VLOOKUP($A65,[5]qry_Whonnock_Species_Compositio!$A$1:$O$114,COLUMN([5]qry_Whonnock_Species_Compositio!C65), FALSE), "")</f>
        <v>18</v>
      </c>
      <c r="F65" s="95">
        <f>IFERROR(VLOOKUP($A65,[5]qry_Whonnock_Species_Compositio!$A$1:$O$114,COLUMN([5]qry_Whonnock_Species_Compositio!D65), FALSE), "")</f>
        <v>0</v>
      </c>
      <c r="G65" s="95">
        <f>IFERROR(VLOOKUP($A65,[5]qry_Whonnock_Species_Compositio!$A$1:$O$114,COLUMN([5]qry_Whonnock_Species_Compositio!E65), FALSE), "")</f>
        <v>0</v>
      </c>
      <c r="H65" s="95">
        <f>IFERROR(VLOOKUP($A65,[5]qry_Whonnock_Species_Compositio!$A$1:$O$114,COLUMN([5]qry_Whonnock_Species_Compositio!F65), FALSE), "")</f>
        <v>0</v>
      </c>
      <c r="I65" s="95">
        <f>IFERROR(VLOOKUP($A65,[5]qry_Whonnock_Species_Compositio!$A$1:$O$114,COLUMN([5]qry_Whonnock_Species_Compositio!G65), FALSE), "")</f>
        <v>0</v>
      </c>
      <c r="J65" s="95">
        <f>IFERROR(VLOOKUP($A65,[5]qry_Whonnock_Species_Compositio!$A$1:$O$114,COLUMN([5]qry_Whonnock_Species_Compositio!H65), FALSE), "")</f>
        <v>5</v>
      </c>
      <c r="K65" s="95">
        <f>IFERROR(VLOOKUP($A65,[5]qry_Whonnock_Species_Compositio!$A$1:$O$114,COLUMN([5]qry_Whonnock_Species_Compositio!I65), FALSE), "")</f>
        <v>1</v>
      </c>
      <c r="L65" s="95">
        <f>IFERROR(VLOOKUP($A65,[5]qry_Whonnock_Species_Compositio!$A$1:$O$114,COLUMN([5]qry_Whonnock_Species_Compositio!J65), FALSE), "")</f>
        <v>0</v>
      </c>
      <c r="M65" s="95">
        <f>IFERROR(VLOOKUP($A65,[5]qry_Whonnock_Species_Compositio!$A$1:$O$114,COLUMN([5]qry_Whonnock_Species_Compositio!K65), FALSE), "")</f>
        <v>0</v>
      </c>
      <c r="N65" s="95">
        <f>IFERROR(VLOOKUP($A65,[5]qry_Whonnock_Species_Compositio!$A$1:$O$114,COLUMN([5]qry_Whonnock_Species_Compositio!L65), FALSE), "")</f>
        <v>0</v>
      </c>
      <c r="O65" s="95">
        <f>IFERROR(VLOOKUP($A65,[5]qry_Whonnock_Species_Compositio!$A$1:$O$114,COLUMN([5]qry_Whonnock_Species_Compositio!M65), FALSE), "")</f>
        <v>0</v>
      </c>
      <c r="P65" s="95">
        <f>IFERROR(VLOOKUP($A65,[5]qry_Whonnock_Species_Compositio!$A$1:$O$114,COLUMN([5]qry_Whonnock_Species_Compositio!N65), FALSE), "")</f>
        <v>0</v>
      </c>
      <c r="Q65" s="95">
        <f>IFERROR(VLOOKUP($A65,[5]qry_Whonnock_Species_Compositio!$A$1:$O$114,COLUMN([5]qry_Whonnock_Species_Compositio!O65), FALSE), "")</f>
        <v>0</v>
      </c>
      <c r="R65" s="96">
        <f t="shared" si="7"/>
        <v>0.92957746478873238</v>
      </c>
      <c r="S65" s="97">
        <f t="shared" si="8"/>
        <v>0.94736842105263153</v>
      </c>
      <c r="T65" s="98">
        <f t="shared" si="9"/>
        <v>0.93333333333333335</v>
      </c>
      <c r="U65" s="97">
        <f t="shared" si="10"/>
        <v>0</v>
      </c>
      <c r="V65" s="97">
        <f t="shared" si="11"/>
        <v>0</v>
      </c>
      <c r="W65" s="98">
        <f t="shared" si="12"/>
        <v>0</v>
      </c>
      <c r="X65" s="97">
        <f t="shared" si="13"/>
        <v>0</v>
      </c>
      <c r="Y65" s="97">
        <f t="shared" si="14"/>
        <v>0</v>
      </c>
      <c r="Z65" s="98">
        <f t="shared" si="15"/>
        <v>0</v>
      </c>
      <c r="AA65" s="97">
        <f t="shared" si="16"/>
        <v>7.0422535211267609E-2</v>
      </c>
      <c r="AB65" s="97">
        <f t="shared" si="17"/>
        <v>5.2631578947368418E-2</v>
      </c>
      <c r="AC65" s="98">
        <f t="shared" si="18"/>
        <v>6.6666666666666666E-2</v>
      </c>
      <c r="AD65" s="97">
        <f t="shared" si="19"/>
        <v>0</v>
      </c>
      <c r="AE65" s="97">
        <f t="shared" si="20"/>
        <v>0</v>
      </c>
      <c r="AF65" s="98">
        <f t="shared" si="21"/>
        <v>0</v>
      </c>
      <c r="AG65" s="97">
        <f t="shared" si="22"/>
        <v>0</v>
      </c>
      <c r="AH65" s="97">
        <f t="shared" si="23"/>
        <v>0</v>
      </c>
      <c r="AI65" s="98">
        <f t="shared" si="24"/>
        <v>0</v>
      </c>
      <c r="AJ65" s="97">
        <f t="shared" si="25"/>
        <v>0</v>
      </c>
      <c r="AK65" s="97">
        <f t="shared" si="26"/>
        <v>0</v>
      </c>
      <c r="AL65" s="99">
        <f t="shared" si="27"/>
        <v>0</v>
      </c>
      <c r="AM65" s="100">
        <f t="shared" si="28"/>
        <v>84</v>
      </c>
      <c r="AN65" s="101">
        <f t="shared" si="37"/>
        <v>0.92957746478873238</v>
      </c>
      <c r="AO65" s="100">
        <f t="shared" si="29"/>
        <v>0</v>
      </c>
      <c r="AP65" s="101">
        <f t="shared" si="38"/>
        <v>0</v>
      </c>
      <c r="AQ65" s="100">
        <f t="shared" si="30"/>
        <v>0</v>
      </c>
      <c r="AR65" s="101">
        <f t="shared" si="39"/>
        <v>0</v>
      </c>
      <c r="AS65" s="100">
        <f t="shared" si="31"/>
        <v>6</v>
      </c>
      <c r="AT65" s="101">
        <f t="shared" si="40"/>
        <v>7.0422535211267609E-2</v>
      </c>
      <c r="AU65" s="100">
        <f t="shared" si="32"/>
        <v>0</v>
      </c>
      <c r="AV65" s="101">
        <f t="shared" si="41"/>
        <v>0</v>
      </c>
      <c r="AW65" s="100">
        <f t="shared" si="33"/>
        <v>0</v>
      </c>
      <c r="AX65" s="101">
        <f t="shared" si="42"/>
        <v>0</v>
      </c>
      <c r="AY65" s="100">
        <f t="shared" si="34"/>
        <v>0</v>
      </c>
      <c r="AZ65" s="101">
        <f t="shared" si="43"/>
        <v>0</v>
      </c>
      <c r="BA65" s="102">
        <f t="shared" si="35"/>
        <v>1</v>
      </c>
    </row>
    <row r="66" spans="1:53" x14ac:dyDescent="0.3">
      <c r="A66" s="92">
        <f>[4]SockEst!A67</f>
        <v>45153</v>
      </c>
      <c r="B66" s="93">
        <f>[4]SockEst!B67</f>
        <v>227</v>
      </c>
      <c r="C66" s="94" t="str">
        <f t="shared" si="36"/>
        <v>GG</v>
      </c>
      <c r="D66" s="95">
        <f>IFERROR(VLOOKUP($A66,[5]qry_Whonnock_Species_Compositio!$A$1:$O$114,COLUMN([5]qry_Whonnock_Species_Compositio!B66), FALSE), "")</f>
        <v>98</v>
      </c>
      <c r="E66" s="95">
        <f>IFERROR(VLOOKUP($A66,[5]qry_Whonnock_Species_Compositio!$A$1:$O$114,COLUMN([5]qry_Whonnock_Species_Compositio!C66), FALSE), "")</f>
        <v>11</v>
      </c>
      <c r="F66" s="95">
        <f>IFERROR(VLOOKUP($A66,[5]qry_Whonnock_Species_Compositio!$A$1:$O$114,COLUMN([5]qry_Whonnock_Species_Compositio!D66), FALSE), "")</f>
        <v>0</v>
      </c>
      <c r="G66" s="95">
        <f>IFERROR(VLOOKUP($A66,[5]qry_Whonnock_Species_Compositio!$A$1:$O$114,COLUMN([5]qry_Whonnock_Species_Compositio!E66), FALSE), "")</f>
        <v>0</v>
      </c>
      <c r="H66" s="95">
        <f>IFERROR(VLOOKUP($A66,[5]qry_Whonnock_Species_Compositio!$A$1:$O$114,COLUMN([5]qry_Whonnock_Species_Compositio!F66), FALSE), "")</f>
        <v>1</v>
      </c>
      <c r="I66" s="95">
        <f>IFERROR(VLOOKUP($A66,[5]qry_Whonnock_Species_Compositio!$A$1:$O$114,COLUMN([5]qry_Whonnock_Species_Compositio!G66), FALSE), "")</f>
        <v>0</v>
      </c>
      <c r="J66" s="95">
        <f>IFERROR(VLOOKUP($A66,[5]qry_Whonnock_Species_Compositio!$A$1:$O$114,COLUMN([5]qry_Whonnock_Species_Compositio!H66), FALSE), "")</f>
        <v>17</v>
      </c>
      <c r="K66" s="95">
        <f>IFERROR(VLOOKUP($A66,[5]qry_Whonnock_Species_Compositio!$A$1:$O$114,COLUMN([5]qry_Whonnock_Species_Compositio!I66), FALSE), "")</f>
        <v>7</v>
      </c>
      <c r="L66" s="95">
        <f>IFERROR(VLOOKUP($A66,[5]qry_Whonnock_Species_Compositio!$A$1:$O$114,COLUMN([5]qry_Whonnock_Species_Compositio!J66), FALSE), "")</f>
        <v>2</v>
      </c>
      <c r="M66" s="95">
        <f>IFERROR(VLOOKUP($A66,[5]qry_Whonnock_Species_Compositio!$A$1:$O$114,COLUMN([5]qry_Whonnock_Species_Compositio!K66), FALSE), "")</f>
        <v>0</v>
      </c>
      <c r="N66" s="95">
        <f>IFERROR(VLOOKUP($A66,[5]qry_Whonnock_Species_Compositio!$A$1:$O$114,COLUMN([5]qry_Whonnock_Species_Compositio!L66), FALSE), "")</f>
        <v>0</v>
      </c>
      <c r="O66" s="95">
        <f>IFERROR(VLOOKUP($A66,[5]qry_Whonnock_Species_Compositio!$A$1:$O$114,COLUMN([5]qry_Whonnock_Species_Compositio!M66), FALSE), "")</f>
        <v>0</v>
      </c>
      <c r="P66" s="95">
        <f>IFERROR(VLOOKUP($A66,[5]qry_Whonnock_Species_Compositio!$A$1:$O$114,COLUMN([5]qry_Whonnock_Species_Compositio!N66), FALSE), "")</f>
        <v>0</v>
      </c>
      <c r="Q66" s="95">
        <f>IFERROR(VLOOKUP($A66,[5]qry_Whonnock_Species_Compositio!$A$1:$O$114,COLUMN([5]qry_Whonnock_Species_Compositio!O66), FALSE), "")</f>
        <v>0</v>
      </c>
      <c r="R66" s="96">
        <f t="shared" si="7"/>
        <v>0.83050847457627119</v>
      </c>
      <c r="S66" s="97">
        <f t="shared" si="8"/>
        <v>0.61111111111111116</v>
      </c>
      <c r="T66" s="98">
        <f t="shared" si="9"/>
        <v>0.80147058823529416</v>
      </c>
      <c r="U66" s="97">
        <f t="shared" si="10"/>
        <v>0</v>
      </c>
      <c r="V66" s="97">
        <f t="shared" si="11"/>
        <v>0</v>
      </c>
      <c r="W66" s="98">
        <f t="shared" si="12"/>
        <v>0</v>
      </c>
      <c r="X66" s="97">
        <f t="shared" si="13"/>
        <v>8.4745762711864406E-3</v>
      </c>
      <c r="Y66" s="97">
        <f t="shared" si="14"/>
        <v>0</v>
      </c>
      <c r="Z66" s="98">
        <f t="shared" si="15"/>
        <v>7.3529411764705881E-3</v>
      </c>
      <c r="AA66" s="97">
        <f t="shared" si="16"/>
        <v>0.1440677966101695</v>
      </c>
      <c r="AB66" s="97">
        <f t="shared" si="17"/>
        <v>0.3888888888888889</v>
      </c>
      <c r="AC66" s="98">
        <f t="shared" si="18"/>
        <v>0.17647058823529413</v>
      </c>
      <c r="AD66" s="97">
        <f t="shared" si="19"/>
        <v>1.6949152542372881E-2</v>
      </c>
      <c r="AE66" s="97">
        <f t="shared" si="20"/>
        <v>0</v>
      </c>
      <c r="AF66" s="98">
        <f t="shared" si="21"/>
        <v>1.4705882352941176E-2</v>
      </c>
      <c r="AG66" s="97">
        <f t="shared" si="22"/>
        <v>0</v>
      </c>
      <c r="AH66" s="97">
        <f t="shared" si="23"/>
        <v>0</v>
      </c>
      <c r="AI66" s="98">
        <f t="shared" si="24"/>
        <v>0</v>
      </c>
      <c r="AJ66" s="97">
        <f t="shared" si="25"/>
        <v>0</v>
      </c>
      <c r="AK66" s="97">
        <f t="shared" si="26"/>
        <v>0</v>
      </c>
      <c r="AL66" s="99">
        <f t="shared" si="27"/>
        <v>0</v>
      </c>
      <c r="AM66" s="100">
        <f t="shared" si="28"/>
        <v>109</v>
      </c>
      <c r="AN66" s="101">
        <f t="shared" si="37"/>
        <v>0.83050847457627119</v>
      </c>
      <c r="AO66" s="100">
        <f t="shared" si="29"/>
        <v>0</v>
      </c>
      <c r="AP66" s="101">
        <f t="shared" si="38"/>
        <v>0</v>
      </c>
      <c r="AQ66" s="100">
        <f t="shared" si="30"/>
        <v>1</v>
      </c>
      <c r="AR66" s="101">
        <f t="shared" si="39"/>
        <v>8.4745762711864406E-3</v>
      </c>
      <c r="AS66" s="100">
        <f t="shared" si="31"/>
        <v>24</v>
      </c>
      <c r="AT66" s="101">
        <f t="shared" si="40"/>
        <v>0.1440677966101695</v>
      </c>
      <c r="AU66" s="100">
        <f t="shared" si="32"/>
        <v>2</v>
      </c>
      <c r="AV66" s="101">
        <f t="shared" si="41"/>
        <v>1.6949152542372881E-2</v>
      </c>
      <c r="AW66" s="100">
        <f t="shared" si="33"/>
        <v>0</v>
      </c>
      <c r="AX66" s="101">
        <f t="shared" si="42"/>
        <v>0</v>
      </c>
      <c r="AY66" s="100">
        <f t="shared" si="34"/>
        <v>0</v>
      </c>
      <c r="AZ66" s="101">
        <f t="shared" si="43"/>
        <v>0</v>
      </c>
      <c r="BA66" s="102">
        <f t="shared" si="35"/>
        <v>1</v>
      </c>
    </row>
    <row r="67" spans="1:53" x14ac:dyDescent="0.3">
      <c r="A67" s="92">
        <f>[4]SockEst!A68</f>
        <v>45154</v>
      </c>
      <c r="B67" s="93">
        <f>[4]SockEst!B68</f>
        <v>228</v>
      </c>
      <c r="C67" s="94" t="str">
        <f t="shared" si="36"/>
        <v>GG</v>
      </c>
      <c r="D67" s="95">
        <f>IFERROR(VLOOKUP($A67,[5]qry_Whonnock_Species_Compositio!$A$1:$O$114,COLUMN([5]qry_Whonnock_Species_Compositio!B67), FALSE), "")</f>
        <v>86</v>
      </c>
      <c r="E67" s="95">
        <f>IFERROR(VLOOKUP($A67,[5]qry_Whonnock_Species_Compositio!$A$1:$O$114,COLUMN([5]qry_Whonnock_Species_Compositio!C67), FALSE), "")</f>
        <v>52</v>
      </c>
      <c r="F67" s="95">
        <f>IFERROR(VLOOKUP($A67,[5]qry_Whonnock_Species_Compositio!$A$1:$O$114,COLUMN([5]qry_Whonnock_Species_Compositio!D67), FALSE), "")</f>
        <v>0</v>
      </c>
      <c r="G67" s="95">
        <f>IFERROR(VLOOKUP($A67,[5]qry_Whonnock_Species_Compositio!$A$1:$O$114,COLUMN([5]qry_Whonnock_Species_Compositio!E67), FALSE), "")</f>
        <v>0</v>
      </c>
      <c r="H67" s="95">
        <f>IFERROR(VLOOKUP($A67,[5]qry_Whonnock_Species_Compositio!$A$1:$O$114,COLUMN([5]qry_Whonnock_Species_Compositio!F67), FALSE), "")</f>
        <v>2</v>
      </c>
      <c r="I67" s="95">
        <f>IFERROR(VLOOKUP($A67,[5]qry_Whonnock_Species_Compositio!$A$1:$O$114,COLUMN([5]qry_Whonnock_Species_Compositio!G67), FALSE), "")</f>
        <v>2</v>
      </c>
      <c r="J67" s="95">
        <f>IFERROR(VLOOKUP($A67,[5]qry_Whonnock_Species_Compositio!$A$1:$O$114,COLUMN([5]qry_Whonnock_Species_Compositio!H67), FALSE), "")</f>
        <v>4</v>
      </c>
      <c r="K67" s="95">
        <f>IFERROR(VLOOKUP($A67,[5]qry_Whonnock_Species_Compositio!$A$1:$O$114,COLUMN([5]qry_Whonnock_Species_Compositio!I67), FALSE), "")</f>
        <v>11</v>
      </c>
      <c r="L67" s="95">
        <f>IFERROR(VLOOKUP($A67,[5]qry_Whonnock_Species_Compositio!$A$1:$O$114,COLUMN([5]qry_Whonnock_Species_Compositio!J67), FALSE), "")</f>
        <v>1</v>
      </c>
      <c r="M67" s="95">
        <f>IFERROR(VLOOKUP($A67,[5]qry_Whonnock_Species_Compositio!$A$1:$O$114,COLUMN([5]qry_Whonnock_Species_Compositio!K67), FALSE), "")</f>
        <v>0</v>
      </c>
      <c r="N67" s="95">
        <f>IFERROR(VLOOKUP($A67,[5]qry_Whonnock_Species_Compositio!$A$1:$O$114,COLUMN([5]qry_Whonnock_Species_Compositio!L67), FALSE), "")</f>
        <v>0</v>
      </c>
      <c r="O67" s="95">
        <f>IFERROR(VLOOKUP($A67,[5]qry_Whonnock_Species_Compositio!$A$1:$O$114,COLUMN([5]qry_Whonnock_Species_Compositio!M67), FALSE), "")</f>
        <v>0</v>
      </c>
      <c r="P67" s="95">
        <f>IFERROR(VLOOKUP($A67,[5]qry_Whonnock_Species_Compositio!$A$1:$O$114,COLUMN([5]qry_Whonnock_Species_Compositio!N67), FALSE), "")</f>
        <v>0</v>
      </c>
      <c r="Q67" s="95">
        <f>IFERROR(VLOOKUP($A67,[5]qry_Whonnock_Species_Compositio!$A$1:$O$114,COLUMN([5]qry_Whonnock_Species_Compositio!O67), FALSE), "")</f>
        <v>0</v>
      </c>
      <c r="R67" s="96">
        <f t="shared" si="7"/>
        <v>0.92473118279569888</v>
      </c>
      <c r="S67" s="97">
        <f t="shared" si="8"/>
        <v>0.8</v>
      </c>
      <c r="T67" s="98">
        <f t="shared" si="9"/>
        <v>0.87341772151898733</v>
      </c>
      <c r="U67" s="97">
        <f t="shared" si="10"/>
        <v>0</v>
      </c>
      <c r="V67" s="97">
        <f t="shared" si="11"/>
        <v>0</v>
      </c>
      <c r="W67" s="98">
        <f t="shared" si="12"/>
        <v>0</v>
      </c>
      <c r="X67" s="97">
        <f t="shared" si="13"/>
        <v>2.1505376344086023E-2</v>
      </c>
      <c r="Y67" s="97">
        <f t="shared" si="14"/>
        <v>3.0769230769230771E-2</v>
      </c>
      <c r="Z67" s="98">
        <f t="shared" si="15"/>
        <v>2.5316455696202531E-2</v>
      </c>
      <c r="AA67" s="97">
        <f t="shared" si="16"/>
        <v>4.3010752688172046E-2</v>
      </c>
      <c r="AB67" s="97">
        <f t="shared" si="17"/>
        <v>0.16923076923076924</v>
      </c>
      <c r="AC67" s="98">
        <f t="shared" si="18"/>
        <v>9.49367088607595E-2</v>
      </c>
      <c r="AD67" s="97">
        <f t="shared" si="19"/>
        <v>1.0752688172043012E-2</v>
      </c>
      <c r="AE67" s="97">
        <f t="shared" si="20"/>
        <v>0</v>
      </c>
      <c r="AF67" s="98">
        <f t="shared" si="21"/>
        <v>6.3291139240506328E-3</v>
      </c>
      <c r="AG67" s="97">
        <f t="shared" si="22"/>
        <v>0</v>
      </c>
      <c r="AH67" s="97">
        <f t="shared" si="23"/>
        <v>0</v>
      </c>
      <c r="AI67" s="98">
        <f t="shared" si="24"/>
        <v>0</v>
      </c>
      <c r="AJ67" s="97">
        <f t="shared" si="25"/>
        <v>0</v>
      </c>
      <c r="AK67" s="97">
        <f t="shared" si="26"/>
        <v>0</v>
      </c>
      <c r="AL67" s="99">
        <f t="shared" si="27"/>
        <v>0</v>
      </c>
      <c r="AM67" s="100">
        <f t="shared" si="28"/>
        <v>138</v>
      </c>
      <c r="AN67" s="101">
        <f t="shared" si="37"/>
        <v>0.92473118279569888</v>
      </c>
      <c r="AO67" s="100">
        <f t="shared" si="29"/>
        <v>0</v>
      </c>
      <c r="AP67" s="101">
        <f t="shared" si="38"/>
        <v>0</v>
      </c>
      <c r="AQ67" s="100">
        <f t="shared" si="30"/>
        <v>4</v>
      </c>
      <c r="AR67" s="101">
        <f t="shared" si="39"/>
        <v>2.1505376344086023E-2</v>
      </c>
      <c r="AS67" s="100">
        <f t="shared" si="31"/>
        <v>15</v>
      </c>
      <c r="AT67" s="101">
        <f t="shared" si="40"/>
        <v>4.3010752688172046E-2</v>
      </c>
      <c r="AU67" s="100">
        <f t="shared" si="32"/>
        <v>1</v>
      </c>
      <c r="AV67" s="101">
        <f t="shared" si="41"/>
        <v>1.0752688172043012E-2</v>
      </c>
      <c r="AW67" s="100">
        <f t="shared" si="33"/>
        <v>0</v>
      </c>
      <c r="AX67" s="101">
        <f t="shared" si="42"/>
        <v>0</v>
      </c>
      <c r="AY67" s="100">
        <f t="shared" si="34"/>
        <v>0</v>
      </c>
      <c r="AZ67" s="101">
        <f t="shared" si="43"/>
        <v>0</v>
      </c>
      <c r="BA67" s="102">
        <f t="shared" si="35"/>
        <v>0.99999999999999989</v>
      </c>
    </row>
    <row r="68" spans="1:53" x14ac:dyDescent="0.3">
      <c r="A68" s="92">
        <f>[4]SockEst!A69</f>
        <v>45155</v>
      </c>
      <c r="B68" s="93">
        <f>[4]SockEst!B69</f>
        <v>229</v>
      </c>
      <c r="C68" s="94" t="str">
        <f t="shared" si="36"/>
        <v>GG</v>
      </c>
      <c r="D68" s="95">
        <f>IFERROR(VLOOKUP($A68,[5]qry_Whonnock_Species_Compositio!$A$1:$O$114,COLUMN([5]qry_Whonnock_Species_Compositio!B68), FALSE), "")</f>
        <v>107</v>
      </c>
      <c r="E68" s="95">
        <f>IFERROR(VLOOKUP($A68,[5]qry_Whonnock_Species_Compositio!$A$1:$O$114,COLUMN([5]qry_Whonnock_Species_Compositio!C68), FALSE), "")</f>
        <v>71</v>
      </c>
      <c r="F68" s="95">
        <f>IFERROR(VLOOKUP($A68,[5]qry_Whonnock_Species_Compositio!$A$1:$O$114,COLUMN([5]qry_Whonnock_Species_Compositio!D68), FALSE), "")</f>
        <v>0</v>
      </c>
      <c r="G68" s="95">
        <f>IFERROR(VLOOKUP($A68,[5]qry_Whonnock_Species_Compositio!$A$1:$O$114,COLUMN([5]qry_Whonnock_Species_Compositio!E68), FALSE), "")</f>
        <v>0</v>
      </c>
      <c r="H68" s="95">
        <f>IFERROR(VLOOKUP($A68,[5]qry_Whonnock_Species_Compositio!$A$1:$O$114,COLUMN([5]qry_Whonnock_Species_Compositio!F68), FALSE), "")</f>
        <v>1</v>
      </c>
      <c r="I68" s="95">
        <f>IFERROR(VLOOKUP($A68,[5]qry_Whonnock_Species_Compositio!$A$1:$O$114,COLUMN([5]qry_Whonnock_Species_Compositio!G68), FALSE), "")</f>
        <v>2</v>
      </c>
      <c r="J68" s="95">
        <f>IFERROR(VLOOKUP($A68,[5]qry_Whonnock_Species_Compositio!$A$1:$O$114,COLUMN([5]qry_Whonnock_Species_Compositio!H68), FALSE), "")</f>
        <v>2</v>
      </c>
      <c r="K68" s="95">
        <f>IFERROR(VLOOKUP($A68,[5]qry_Whonnock_Species_Compositio!$A$1:$O$114,COLUMN([5]qry_Whonnock_Species_Compositio!I68), FALSE), "")</f>
        <v>5</v>
      </c>
      <c r="L68" s="95">
        <f>IFERROR(VLOOKUP($A68,[5]qry_Whonnock_Species_Compositio!$A$1:$O$114,COLUMN([5]qry_Whonnock_Species_Compositio!J68), FALSE), "")</f>
        <v>2</v>
      </c>
      <c r="M68" s="95">
        <f>IFERROR(VLOOKUP($A68,[5]qry_Whonnock_Species_Compositio!$A$1:$O$114,COLUMN([5]qry_Whonnock_Species_Compositio!K68), FALSE), "")</f>
        <v>2</v>
      </c>
      <c r="N68" s="95">
        <f>IFERROR(VLOOKUP($A68,[5]qry_Whonnock_Species_Compositio!$A$1:$O$114,COLUMN([5]qry_Whonnock_Species_Compositio!L68), FALSE), "")</f>
        <v>0</v>
      </c>
      <c r="O68" s="95">
        <f>IFERROR(VLOOKUP($A68,[5]qry_Whonnock_Species_Compositio!$A$1:$O$114,COLUMN([5]qry_Whonnock_Species_Compositio!M68), FALSE), "")</f>
        <v>0</v>
      </c>
      <c r="P68" s="95">
        <f>IFERROR(VLOOKUP($A68,[5]qry_Whonnock_Species_Compositio!$A$1:$O$114,COLUMN([5]qry_Whonnock_Species_Compositio!N68), FALSE), "")</f>
        <v>0</v>
      </c>
      <c r="Q68" s="95">
        <f>IFERROR(VLOOKUP($A68,[5]qry_Whonnock_Species_Compositio!$A$1:$O$114,COLUMN([5]qry_Whonnock_Species_Compositio!O68), FALSE), "")</f>
        <v>0</v>
      </c>
      <c r="R68" s="96">
        <f t="shared" si="7"/>
        <v>0.9553571428571429</v>
      </c>
      <c r="S68" s="97">
        <f t="shared" si="8"/>
        <v>0.88749999999999996</v>
      </c>
      <c r="T68" s="98">
        <f t="shared" si="9"/>
        <v>0.92708333333333337</v>
      </c>
      <c r="U68" s="97">
        <f t="shared" si="10"/>
        <v>0</v>
      </c>
      <c r="V68" s="97">
        <f t="shared" si="11"/>
        <v>0</v>
      </c>
      <c r="W68" s="98">
        <f t="shared" si="12"/>
        <v>0</v>
      </c>
      <c r="X68" s="97">
        <f t="shared" si="13"/>
        <v>8.9285714285714281E-3</v>
      </c>
      <c r="Y68" s="97">
        <f t="shared" si="14"/>
        <v>2.5000000000000001E-2</v>
      </c>
      <c r="Z68" s="98">
        <f t="shared" si="15"/>
        <v>1.5625E-2</v>
      </c>
      <c r="AA68" s="97">
        <f t="shared" si="16"/>
        <v>1.7857142857142856E-2</v>
      </c>
      <c r="AB68" s="97">
        <f t="shared" si="17"/>
        <v>6.25E-2</v>
      </c>
      <c r="AC68" s="98">
        <f t="shared" si="18"/>
        <v>3.6458333333333336E-2</v>
      </c>
      <c r="AD68" s="97">
        <f t="shared" si="19"/>
        <v>1.7857142857142856E-2</v>
      </c>
      <c r="AE68" s="97">
        <f t="shared" si="20"/>
        <v>2.5000000000000001E-2</v>
      </c>
      <c r="AF68" s="98">
        <f t="shared" si="21"/>
        <v>2.0833333333333332E-2</v>
      </c>
      <c r="AG68" s="97">
        <f t="shared" si="22"/>
        <v>0</v>
      </c>
      <c r="AH68" s="97">
        <f t="shared" si="23"/>
        <v>0</v>
      </c>
      <c r="AI68" s="98">
        <f t="shared" si="24"/>
        <v>0</v>
      </c>
      <c r="AJ68" s="97">
        <f t="shared" si="25"/>
        <v>0</v>
      </c>
      <c r="AK68" s="97">
        <f t="shared" si="26"/>
        <v>0</v>
      </c>
      <c r="AL68" s="99">
        <f t="shared" si="27"/>
        <v>0</v>
      </c>
      <c r="AM68" s="100">
        <f t="shared" si="28"/>
        <v>178</v>
      </c>
      <c r="AN68" s="101">
        <f t="shared" si="37"/>
        <v>0.9553571428571429</v>
      </c>
      <c r="AO68" s="100">
        <f t="shared" si="29"/>
        <v>0</v>
      </c>
      <c r="AP68" s="101">
        <f t="shared" si="38"/>
        <v>0</v>
      </c>
      <c r="AQ68" s="100">
        <f t="shared" si="30"/>
        <v>3</v>
      </c>
      <c r="AR68" s="101">
        <f t="shared" si="39"/>
        <v>8.9285714285714281E-3</v>
      </c>
      <c r="AS68" s="100">
        <f t="shared" si="31"/>
        <v>7</v>
      </c>
      <c r="AT68" s="101">
        <f t="shared" si="40"/>
        <v>1.7857142857142856E-2</v>
      </c>
      <c r="AU68" s="100">
        <f t="shared" si="32"/>
        <v>4</v>
      </c>
      <c r="AV68" s="101">
        <f t="shared" si="41"/>
        <v>1.7857142857142856E-2</v>
      </c>
      <c r="AW68" s="100">
        <f t="shared" si="33"/>
        <v>0</v>
      </c>
      <c r="AX68" s="101">
        <f t="shared" si="42"/>
        <v>0</v>
      </c>
      <c r="AY68" s="100">
        <f t="shared" si="34"/>
        <v>0</v>
      </c>
      <c r="AZ68" s="101">
        <f t="shared" si="43"/>
        <v>0</v>
      </c>
      <c r="BA68" s="102">
        <f t="shared" si="35"/>
        <v>1</v>
      </c>
    </row>
    <row r="69" spans="1:53" x14ac:dyDescent="0.3">
      <c r="A69" s="92">
        <f>[4]SockEst!A70</f>
        <v>45156</v>
      </c>
      <c r="B69" s="93">
        <f>[4]SockEst!B70</f>
        <v>230</v>
      </c>
      <c r="C69" s="94" t="str">
        <f t="shared" si="36"/>
        <v>GG</v>
      </c>
      <c r="D69" s="95">
        <f>IFERROR(VLOOKUP($A69,[5]qry_Whonnock_Species_Compositio!$A$1:$O$114,COLUMN([5]qry_Whonnock_Species_Compositio!B69), FALSE), "")</f>
        <v>90</v>
      </c>
      <c r="E69" s="95">
        <f>IFERROR(VLOOKUP($A69,[5]qry_Whonnock_Species_Compositio!$A$1:$O$114,COLUMN([5]qry_Whonnock_Species_Compositio!C69), FALSE), "")</f>
        <v>54</v>
      </c>
      <c r="F69" s="95">
        <f>IFERROR(VLOOKUP($A69,[5]qry_Whonnock_Species_Compositio!$A$1:$O$114,COLUMN([5]qry_Whonnock_Species_Compositio!D69), FALSE), "")</f>
        <v>0</v>
      </c>
      <c r="G69" s="95">
        <f>IFERROR(VLOOKUP($A69,[5]qry_Whonnock_Species_Compositio!$A$1:$O$114,COLUMN([5]qry_Whonnock_Species_Compositio!E69), FALSE), "")</f>
        <v>0</v>
      </c>
      <c r="H69" s="95">
        <f>IFERROR(VLOOKUP($A69,[5]qry_Whonnock_Species_Compositio!$A$1:$O$114,COLUMN([5]qry_Whonnock_Species_Compositio!F69), FALSE), "")</f>
        <v>2</v>
      </c>
      <c r="I69" s="95">
        <f>IFERROR(VLOOKUP($A69,[5]qry_Whonnock_Species_Compositio!$A$1:$O$114,COLUMN([5]qry_Whonnock_Species_Compositio!G69), FALSE), "")</f>
        <v>1</v>
      </c>
      <c r="J69" s="95">
        <f>IFERROR(VLOOKUP($A69,[5]qry_Whonnock_Species_Compositio!$A$1:$O$114,COLUMN([5]qry_Whonnock_Species_Compositio!H69), FALSE), "")</f>
        <v>2</v>
      </c>
      <c r="K69" s="95">
        <f>IFERROR(VLOOKUP($A69,[5]qry_Whonnock_Species_Compositio!$A$1:$O$114,COLUMN([5]qry_Whonnock_Species_Compositio!I69), FALSE), "")</f>
        <v>9</v>
      </c>
      <c r="L69" s="95">
        <f>IFERROR(VLOOKUP($A69,[5]qry_Whonnock_Species_Compositio!$A$1:$O$114,COLUMN([5]qry_Whonnock_Species_Compositio!J69), FALSE), "")</f>
        <v>2</v>
      </c>
      <c r="M69" s="95">
        <f>IFERROR(VLOOKUP($A69,[5]qry_Whonnock_Species_Compositio!$A$1:$O$114,COLUMN([5]qry_Whonnock_Species_Compositio!K69), FALSE), "")</f>
        <v>0</v>
      </c>
      <c r="N69" s="95">
        <f>IFERROR(VLOOKUP($A69,[5]qry_Whonnock_Species_Compositio!$A$1:$O$114,COLUMN([5]qry_Whonnock_Species_Compositio!L69), FALSE), "")</f>
        <v>0</v>
      </c>
      <c r="O69" s="95">
        <f>IFERROR(VLOOKUP($A69,[5]qry_Whonnock_Species_Compositio!$A$1:$O$114,COLUMN([5]qry_Whonnock_Species_Compositio!M69), FALSE), "")</f>
        <v>0</v>
      </c>
      <c r="P69" s="95">
        <f>IFERROR(VLOOKUP($A69,[5]qry_Whonnock_Species_Compositio!$A$1:$O$114,COLUMN([5]qry_Whonnock_Species_Compositio!N69), FALSE), "")</f>
        <v>0</v>
      </c>
      <c r="Q69" s="95">
        <f>IFERROR(VLOOKUP($A69,[5]qry_Whonnock_Species_Compositio!$A$1:$O$114,COLUMN([5]qry_Whonnock_Species_Compositio!O69), FALSE), "")</f>
        <v>0</v>
      </c>
      <c r="R69" s="96">
        <f t="shared" si="7"/>
        <v>0.9375</v>
      </c>
      <c r="S69" s="97">
        <f t="shared" si="8"/>
        <v>0.84375</v>
      </c>
      <c r="T69" s="98">
        <f t="shared" si="9"/>
        <v>0.9</v>
      </c>
      <c r="U69" s="97">
        <f t="shared" si="10"/>
        <v>0</v>
      </c>
      <c r="V69" s="97">
        <f t="shared" si="11"/>
        <v>0</v>
      </c>
      <c r="W69" s="98">
        <f t="shared" si="12"/>
        <v>0</v>
      </c>
      <c r="X69" s="97">
        <f t="shared" si="13"/>
        <v>2.0833333333333332E-2</v>
      </c>
      <c r="Y69" s="97">
        <f t="shared" si="14"/>
        <v>1.5625E-2</v>
      </c>
      <c r="Z69" s="98">
        <f t="shared" si="15"/>
        <v>1.8749999999999999E-2</v>
      </c>
      <c r="AA69" s="97">
        <f t="shared" si="16"/>
        <v>2.0833333333333332E-2</v>
      </c>
      <c r="AB69" s="97">
        <f t="shared" si="17"/>
        <v>0.140625</v>
      </c>
      <c r="AC69" s="98">
        <f t="shared" si="18"/>
        <v>6.8750000000000006E-2</v>
      </c>
      <c r="AD69" s="97">
        <f t="shared" si="19"/>
        <v>2.0833333333333332E-2</v>
      </c>
      <c r="AE69" s="97">
        <f t="shared" si="20"/>
        <v>0</v>
      </c>
      <c r="AF69" s="98">
        <f t="shared" si="21"/>
        <v>1.2500000000000001E-2</v>
      </c>
      <c r="AG69" s="97">
        <f t="shared" si="22"/>
        <v>0</v>
      </c>
      <c r="AH69" s="97">
        <f t="shared" si="23"/>
        <v>0</v>
      </c>
      <c r="AI69" s="98">
        <f t="shared" si="24"/>
        <v>0</v>
      </c>
      <c r="AJ69" s="97">
        <f t="shared" si="25"/>
        <v>0</v>
      </c>
      <c r="AK69" s="97">
        <f t="shared" si="26"/>
        <v>0</v>
      </c>
      <c r="AL69" s="99">
        <f t="shared" si="27"/>
        <v>0</v>
      </c>
      <c r="AM69" s="100">
        <f t="shared" si="28"/>
        <v>144</v>
      </c>
      <c r="AN69" s="101">
        <f t="shared" si="37"/>
        <v>0.9375</v>
      </c>
      <c r="AO69" s="100">
        <f t="shared" si="29"/>
        <v>0</v>
      </c>
      <c r="AP69" s="101">
        <f t="shared" si="38"/>
        <v>0</v>
      </c>
      <c r="AQ69" s="100">
        <f t="shared" si="30"/>
        <v>3</v>
      </c>
      <c r="AR69" s="101">
        <f t="shared" si="39"/>
        <v>2.0833333333333332E-2</v>
      </c>
      <c r="AS69" s="100">
        <f t="shared" si="31"/>
        <v>11</v>
      </c>
      <c r="AT69" s="101">
        <f t="shared" si="40"/>
        <v>2.0833333333333332E-2</v>
      </c>
      <c r="AU69" s="100">
        <f t="shared" si="32"/>
        <v>2</v>
      </c>
      <c r="AV69" s="101">
        <f t="shared" si="41"/>
        <v>2.0833333333333332E-2</v>
      </c>
      <c r="AW69" s="100">
        <f t="shared" si="33"/>
        <v>0</v>
      </c>
      <c r="AX69" s="101">
        <f t="shared" si="42"/>
        <v>0</v>
      </c>
      <c r="AY69" s="100">
        <f t="shared" si="34"/>
        <v>0</v>
      </c>
      <c r="AZ69" s="101">
        <f t="shared" si="43"/>
        <v>0</v>
      </c>
      <c r="BA69" s="102">
        <f t="shared" si="35"/>
        <v>1</v>
      </c>
    </row>
    <row r="70" spans="1:53" x14ac:dyDescent="0.3">
      <c r="A70" s="92">
        <f>[4]SockEst!A71</f>
        <v>45157</v>
      </c>
      <c r="B70" s="93">
        <f>[4]SockEst!B71</f>
        <v>231</v>
      </c>
      <c r="C70" s="94" t="str">
        <f t="shared" si="36"/>
        <v>GG</v>
      </c>
      <c r="D70" s="95">
        <f>IFERROR(VLOOKUP($A70,[5]qry_Whonnock_Species_Compositio!$A$1:$O$114,COLUMN([5]qry_Whonnock_Species_Compositio!B70), FALSE), "")</f>
        <v>98</v>
      </c>
      <c r="E70" s="95">
        <f>IFERROR(VLOOKUP($A70,[5]qry_Whonnock_Species_Compositio!$A$1:$O$114,COLUMN([5]qry_Whonnock_Species_Compositio!C70), FALSE), "")</f>
        <v>82</v>
      </c>
      <c r="F70" s="95">
        <f>IFERROR(VLOOKUP($A70,[5]qry_Whonnock_Species_Compositio!$A$1:$O$114,COLUMN([5]qry_Whonnock_Species_Compositio!D70), FALSE), "")</f>
        <v>0</v>
      </c>
      <c r="G70" s="95">
        <f>IFERROR(VLOOKUP($A70,[5]qry_Whonnock_Species_Compositio!$A$1:$O$114,COLUMN([5]qry_Whonnock_Species_Compositio!E70), FALSE), "")</f>
        <v>0</v>
      </c>
      <c r="H70" s="95">
        <f>IFERROR(VLOOKUP($A70,[5]qry_Whonnock_Species_Compositio!$A$1:$O$114,COLUMN([5]qry_Whonnock_Species_Compositio!F70), FALSE), "")</f>
        <v>13</v>
      </c>
      <c r="I70" s="95">
        <f>IFERROR(VLOOKUP($A70,[5]qry_Whonnock_Species_Compositio!$A$1:$O$114,COLUMN([5]qry_Whonnock_Species_Compositio!G70), FALSE), "")</f>
        <v>1</v>
      </c>
      <c r="J70" s="95">
        <f>IFERROR(VLOOKUP($A70,[5]qry_Whonnock_Species_Compositio!$A$1:$O$114,COLUMN([5]qry_Whonnock_Species_Compositio!H70), FALSE), "")</f>
        <v>7</v>
      </c>
      <c r="K70" s="95">
        <f>IFERROR(VLOOKUP($A70,[5]qry_Whonnock_Species_Compositio!$A$1:$O$114,COLUMN([5]qry_Whonnock_Species_Compositio!I70), FALSE), "")</f>
        <v>17</v>
      </c>
      <c r="L70" s="95">
        <f>IFERROR(VLOOKUP($A70,[5]qry_Whonnock_Species_Compositio!$A$1:$O$114,COLUMN([5]qry_Whonnock_Species_Compositio!J70), FALSE), "")</f>
        <v>2</v>
      </c>
      <c r="M70" s="95">
        <f>IFERROR(VLOOKUP($A70,[5]qry_Whonnock_Species_Compositio!$A$1:$O$114,COLUMN([5]qry_Whonnock_Species_Compositio!K70), FALSE), "")</f>
        <v>1</v>
      </c>
      <c r="N70" s="95">
        <f>IFERROR(VLOOKUP($A70,[5]qry_Whonnock_Species_Compositio!$A$1:$O$114,COLUMN([5]qry_Whonnock_Species_Compositio!L70), FALSE), "")</f>
        <v>0</v>
      </c>
      <c r="O70" s="95">
        <f>IFERROR(VLOOKUP($A70,[5]qry_Whonnock_Species_Compositio!$A$1:$O$114,COLUMN([5]qry_Whonnock_Species_Compositio!M70), FALSE), "")</f>
        <v>0</v>
      </c>
      <c r="P70" s="95">
        <f>IFERROR(VLOOKUP($A70,[5]qry_Whonnock_Species_Compositio!$A$1:$O$114,COLUMN([5]qry_Whonnock_Species_Compositio!N70), FALSE), "")</f>
        <v>0</v>
      </c>
      <c r="Q70" s="95">
        <f>IFERROR(VLOOKUP($A70,[5]qry_Whonnock_Species_Compositio!$A$1:$O$114,COLUMN([5]qry_Whonnock_Species_Compositio!O70), FALSE), "")</f>
        <v>0</v>
      </c>
      <c r="R70" s="96">
        <f t="shared" ref="R70:R132" si="44">IF(D70="","",IF(($D70+$F70+$H70+$J70+$L70+$N70+$P70)=0,0,$D70/($D70+$F70+$H70+$J70+$L70+$N70+$P70)))</f>
        <v>0.81666666666666665</v>
      </c>
      <c r="S70" s="97">
        <f t="shared" ref="S70:S132" si="45">IF(E70="","",IF(($E70+$G70+$I70+$K70+$M70+$O70+$Q70)=0,0,$E70/($E70+$G70+$I70+$K70+$M70+$O70+$Q70)))</f>
        <v>0.81188118811881194</v>
      </c>
      <c r="T70" s="98">
        <f t="shared" ref="T70:T132" si="46">IF(AND(D70="",E70=""),"",IF(SUM($D70:$Q70)=0,0,SUM($D70:$E70)/SUM($D70:$Q70)))</f>
        <v>0.81447963800904977</v>
      </c>
      <c r="U70" s="97">
        <f t="shared" ref="U70:U132" si="47">IF(F70="","",IF(($D70+$F70+$H70+$J70+$L70+$N70+$P70)=0,0,$F70/($D70+$F70+$H70+$J70+$L70+$N70+$P70)))</f>
        <v>0</v>
      </c>
      <c r="V70" s="97">
        <f t="shared" ref="V70:V132" si="48">IF(G70="","",IF(($E70+$G70+$I70+$K70+$M70+$O70+$Q70)=0,0,$G70/($E70+$G70+$I70+$K70+$M70+$O70+$Q70)))</f>
        <v>0</v>
      </c>
      <c r="W70" s="98">
        <f t="shared" ref="W70:W132" si="49">IF(AND(F70="",G70=""),"",IF(SUM($D70:$Q70)=0,0,SUM($F70:$G70)/SUM($D70:$Q70)))</f>
        <v>0</v>
      </c>
      <c r="X70" s="97">
        <f t="shared" ref="X70:X132" si="50">IF(H70="","",IF(($D70+$F70+$H70+$J70+$L70+$N70+$P70)=0,0,$H70/($D70+$F70+$H70+$J70+$L70+$N70+$P70)))</f>
        <v>0.10833333333333334</v>
      </c>
      <c r="Y70" s="97">
        <f t="shared" ref="Y70:Y132" si="51">IF(I70="","",IF(($E70+$G70+$I70+$K70+$M70+$O70+$Q70)=0,0,$I70/($E70+$G70+$I70+$K70+$M70+$O70+$Q70)))</f>
        <v>9.9009900990099011E-3</v>
      </c>
      <c r="Z70" s="98">
        <f t="shared" ref="Z70:Z132" si="52">IF(AND(H70="",I70=""),"",IF(SUM($D70:$Q70)=0,0,SUM($H70:$I70)/SUM($D70:$Q70)))</f>
        <v>6.3348416289592757E-2</v>
      </c>
      <c r="AA70" s="97">
        <f t="shared" ref="AA70:AA132" si="53">IF(J70="","",IF(($D70+$F70+$H70+$J70+$L70+$N70+$P70)=0,0,$J70/($D70+$F70+$H70+$J70+$L70+$N70+$P70)))</f>
        <v>5.8333333333333334E-2</v>
      </c>
      <c r="AB70" s="97">
        <f t="shared" ref="AB70:AB132" si="54">IF(K70="","",IF(($E70+$G70+$I70+$K70+$M70+$O70+$Q70)=0,0,$K70/($E70+$G70+$I70+$K70+$M70+$O70+$Q70)))</f>
        <v>0.16831683168316833</v>
      </c>
      <c r="AC70" s="98">
        <f t="shared" ref="AC70:AC132" si="55">IF(AND(J70="",K70=""),"",IF(SUM($D70:$Q70)=0,0,SUM($J70:$K70)/SUM($D70:$Q70)))</f>
        <v>0.10859728506787331</v>
      </c>
      <c r="AD70" s="97">
        <f t="shared" ref="AD70:AD132" si="56">IF(L70="","",IF(($D70+$F70+$H70+$J70+$L70+$N70+$P70)=0,0,$L70/($D70+$F70+$H70+$J70+$L70+$N70+$P70)))</f>
        <v>1.6666666666666666E-2</v>
      </c>
      <c r="AE70" s="97">
        <f t="shared" ref="AE70:AE132" si="57">IF(M70="","",IF(($E70+$G70+$I70+$K70+$M70+$O70+$Q70)=0,0,$M70/($E70+$G70+$I70+$K70+$M70+$O70+$Q70)))</f>
        <v>9.9009900990099011E-3</v>
      </c>
      <c r="AF70" s="98">
        <f t="shared" ref="AF70:AF132" si="58">IF(AND(L70="",M70=""),"",IF(SUM($D70:$Q70)=0,0,SUM($L70:$M70)/SUM($D70:$Q70)))</f>
        <v>1.3574660633484163E-2</v>
      </c>
      <c r="AG70" s="97">
        <f t="shared" ref="AG70:AG132" si="59">IF(N70="","",IF(($D70+$F70+$H70+$J70+$L70+$N70+$P70)=0,0,$N70/($D70+$F70+$H70+$J70+$L70+$N70+$P70)))</f>
        <v>0</v>
      </c>
      <c r="AH70" s="97">
        <f t="shared" ref="AH70:AH132" si="60">IF(O70="","",IF(($E70+$G70+$I70+$K70+$M70+$O70+$Q70)=0,0,$O70/($E70+$G70+$I70+$K70+$M70+$O70+$Q70)))</f>
        <v>0</v>
      </c>
      <c r="AI70" s="98">
        <f t="shared" ref="AI70:AI132" si="61">IF(AND(N70="",O70=""),"",IF(SUM($D70:$Q70)=0,0,SUM($N70:$O70)/SUM($D70:$Q70)))</f>
        <v>0</v>
      </c>
      <c r="AJ70" s="97">
        <f t="shared" ref="AJ70:AJ132" si="62">IF(P70="","",IF(($D70+$F70+$H70+$J70+$L70+$N70+$P70)=0,0,$P70/($D70+$F70+$H70+$J70+$L70+$N70+$P70)))</f>
        <v>0</v>
      </c>
      <c r="AK70" s="97">
        <f t="shared" ref="AK70:AK132" si="63">IF(Q70="","",IF(($E70+$G70+$I70+$K70+$M70+$O70+$Q70)=0,0,$Q70/($E70+$G70+$I70+$K70+$M70+$O70+$Q70)))</f>
        <v>0</v>
      </c>
      <c r="AL70" s="99">
        <f t="shared" ref="AL70:AL132" si="64">IF(AND(P70="",Q70=""),"",IF(SUM($D70:$Q70)=0,0,SUM($P70:$Q70)/SUM($D70:$Q70)))</f>
        <v>0</v>
      </c>
      <c r="AM70" s="100">
        <f t="shared" ref="AM70:AM132" si="65">IF(AND(D70="",E70=""),"",SUM(D70:E70))</f>
        <v>180</v>
      </c>
      <c r="AN70" s="101">
        <f t="shared" si="37"/>
        <v>0.81666666666666665</v>
      </c>
      <c r="AO70" s="100">
        <f t="shared" ref="AO70:AO132" si="66">IF(AND(F70="",G70=""),"",SUM(F70:G70))</f>
        <v>0</v>
      </c>
      <c r="AP70" s="101">
        <f t="shared" si="38"/>
        <v>0</v>
      </c>
      <c r="AQ70" s="100">
        <f t="shared" ref="AQ70:AQ132" si="67">IF(AND(H70="",I70=""),"",SUM(H70:I70))</f>
        <v>14</v>
      </c>
      <c r="AR70" s="101">
        <f t="shared" si="39"/>
        <v>0.10833333333333334</v>
      </c>
      <c r="AS70" s="100">
        <f t="shared" ref="AS70:AS132" si="68">IF(AND(J70="",K70=""),"",SUM(J70:K70))</f>
        <v>24</v>
      </c>
      <c r="AT70" s="101">
        <f t="shared" si="40"/>
        <v>5.8333333333333334E-2</v>
      </c>
      <c r="AU70" s="100">
        <f t="shared" ref="AU70:AU132" si="69">IF(AND(L70="",M70=""),"",SUM(L70:M70))</f>
        <v>3</v>
      </c>
      <c r="AV70" s="101">
        <f t="shared" si="41"/>
        <v>1.6666666666666666E-2</v>
      </c>
      <c r="AW70" s="100">
        <f t="shared" ref="AW70:AW132" si="70">IF(AND(N70="",O70=""),"",SUM(N70:O70))</f>
        <v>0</v>
      </c>
      <c r="AX70" s="101">
        <f t="shared" si="42"/>
        <v>0</v>
      </c>
      <c r="AY70" s="100">
        <f t="shared" ref="AY70:AY132" si="71">IF(AND(P70="",Q70=""),"",SUM(P70:Q70))</f>
        <v>0</v>
      </c>
      <c r="AZ70" s="101">
        <f t="shared" si="43"/>
        <v>0</v>
      </c>
      <c r="BA70" s="102">
        <f t="shared" ref="BA70:BA132" si="72">SUM(AN70,AP70,AR70,AT70,AV70,AX70,AZ70)</f>
        <v>1</v>
      </c>
    </row>
    <row r="71" spans="1:53" x14ac:dyDescent="0.3">
      <c r="A71" s="92">
        <f>[4]SockEst!A72</f>
        <v>45158</v>
      </c>
      <c r="B71" s="93">
        <f>[4]SockEst!B72</f>
        <v>232</v>
      </c>
      <c r="C71" s="94" t="str">
        <f t="shared" si="36"/>
        <v>GG</v>
      </c>
      <c r="D71" s="95">
        <f>IFERROR(VLOOKUP($A71,[5]qry_Whonnock_Species_Compositio!$A$1:$O$114,COLUMN([5]qry_Whonnock_Species_Compositio!B71), FALSE), "")</f>
        <v>118</v>
      </c>
      <c r="E71" s="95">
        <f>IFERROR(VLOOKUP($A71,[5]qry_Whonnock_Species_Compositio!$A$1:$O$114,COLUMN([5]qry_Whonnock_Species_Compositio!C71), FALSE), "")</f>
        <v>42</v>
      </c>
      <c r="F71" s="95">
        <f>IFERROR(VLOOKUP($A71,[5]qry_Whonnock_Species_Compositio!$A$1:$O$114,COLUMN([5]qry_Whonnock_Species_Compositio!D71), FALSE), "")</f>
        <v>0</v>
      </c>
      <c r="G71" s="95">
        <f>IFERROR(VLOOKUP($A71,[5]qry_Whonnock_Species_Compositio!$A$1:$O$114,COLUMN([5]qry_Whonnock_Species_Compositio!E71), FALSE), "")</f>
        <v>0</v>
      </c>
      <c r="H71" s="95">
        <f>IFERROR(VLOOKUP($A71,[5]qry_Whonnock_Species_Compositio!$A$1:$O$114,COLUMN([5]qry_Whonnock_Species_Compositio!F71), FALSE), "")</f>
        <v>27</v>
      </c>
      <c r="I71" s="95">
        <f>IFERROR(VLOOKUP($A71,[5]qry_Whonnock_Species_Compositio!$A$1:$O$114,COLUMN([5]qry_Whonnock_Species_Compositio!G71), FALSE), "")</f>
        <v>1</v>
      </c>
      <c r="J71" s="95">
        <f>IFERROR(VLOOKUP($A71,[5]qry_Whonnock_Species_Compositio!$A$1:$O$114,COLUMN([5]qry_Whonnock_Species_Compositio!H71), FALSE), "")</f>
        <v>32</v>
      </c>
      <c r="K71" s="95">
        <f>IFERROR(VLOOKUP($A71,[5]qry_Whonnock_Species_Compositio!$A$1:$O$114,COLUMN([5]qry_Whonnock_Species_Compositio!I71), FALSE), "")</f>
        <v>12</v>
      </c>
      <c r="L71" s="95">
        <f>IFERROR(VLOOKUP($A71,[5]qry_Whonnock_Species_Compositio!$A$1:$O$114,COLUMN([5]qry_Whonnock_Species_Compositio!J71), FALSE), "")</f>
        <v>3</v>
      </c>
      <c r="M71" s="95">
        <f>IFERROR(VLOOKUP($A71,[5]qry_Whonnock_Species_Compositio!$A$1:$O$114,COLUMN([5]qry_Whonnock_Species_Compositio!K71), FALSE), "")</f>
        <v>0</v>
      </c>
      <c r="N71" s="95">
        <f>IFERROR(VLOOKUP($A71,[5]qry_Whonnock_Species_Compositio!$A$1:$O$114,COLUMN([5]qry_Whonnock_Species_Compositio!L71), FALSE), "")</f>
        <v>1</v>
      </c>
      <c r="O71" s="95">
        <f>IFERROR(VLOOKUP($A71,[5]qry_Whonnock_Species_Compositio!$A$1:$O$114,COLUMN([5]qry_Whonnock_Species_Compositio!M71), FALSE), "")</f>
        <v>0</v>
      </c>
      <c r="P71" s="95">
        <f>IFERROR(VLOOKUP($A71,[5]qry_Whonnock_Species_Compositio!$A$1:$O$114,COLUMN([5]qry_Whonnock_Species_Compositio!N71), FALSE), "")</f>
        <v>0</v>
      </c>
      <c r="Q71" s="95">
        <f>IFERROR(VLOOKUP($A71,[5]qry_Whonnock_Species_Compositio!$A$1:$O$114,COLUMN([5]qry_Whonnock_Species_Compositio!O71), FALSE), "")</f>
        <v>0</v>
      </c>
      <c r="R71" s="96">
        <f t="shared" si="44"/>
        <v>0.65193370165745856</v>
      </c>
      <c r="S71" s="97">
        <f t="shared" si="45"/>
        <v>0.76363636363636367</v>
      </c>
      <c r="T71" s="98">
        <f t="shared" si="46"/>
        <v>0.67796610169491522</v>
      </c>
      <c r="U71" s="97">
        <f t="shared" si="47"/>
        <v>0</v>
      </c>
      <c r="V71" s="97">
        <f t="shared" si="48"/>
        <v>0</v>
      </c>
      <c r="W71" s="98">
        <f t="shared" si="49"/>
        <v>0</v>
      </c>
      <c r="X71" s="97">
        <f t="shared" si="50"/>
        <v>0.14917127071823205</v>
      </c>
      <c r="Y71" s="97">
        <f t="shared" si="51"/>
        <v>1.8181818181818181E-2</v>
      </c>
      <c r="Z71" s="98">
        <f t="shared" si="52"/>
        <v>0.11864406779661017</v>
      </c>
      <c r="AA71" s="97">
        <f t="shared" si="53"/>
        <v>0.17679558011049723</v>
      </c>
      <c r="AB71" s="97">
        <f t="shared" si="54"/>
        <v>0.21818181818181817</v>
      </c>
      <c r="AC71" s="98">
        <f t="shared" si="55"/>
        <v>0.1864406779661017</v>
      </c>
      <c r="AD71" s="97">
        <f t="shared" si="56"/>
        <v>1.6574585635359115E-2</v>
      </c>
      <c r="AE71" s="97">
        <f t="shared" si="57"/>
        <v>0</v>
      </c>
      <c r="AF71" s="98">
        <f t="shared" si="58"/>
        <v>1.2711864406779662E-2</v>
      </c>
      <c r="AG71" s="97">
        <f t="shared" si="59"/>
        <v>5.5248618784530384E-3</v>
      </c>
      <c r="AH71" s="97">
        <f t="shared" si="60"/>
        <v>0</v>
      </c>
      <c r="AI71" s="98">
        <f t="shared" si="61"/>
        <v>4.2372881355932203E-3</v>
      </c>
      <c r="AJ71" s="97">
        <f t="shared" si="62"/>
        <v>0</v>
      </c>
      <c r="AK71" s="97">
        <f t="shared" si="63"/>
        <v>0</v>
      </c>
      <c r="AL71" s="99">
        <f t="shared" si="64"/>
        <v>0</v>
      </c>
      <c r="AM71" s="100">
        <f t="shared" si="65"/>
        <v>160</v>
      </c>
      <c r="AN71" s="101">
        <f t="shared" si="37"/>
        <v>0.65193370165745856</v>
      </c>
      <c r="AO71" s="100">
        <f t="shared" si="66"/>
        <v>0</v>
      </c>
      <c r="AP71" s="101">
        <f t="shared" si="38"/>
        <v>0</v>
      </c>
      <c r="AQ71" s="100">
        <f t="shared" si="67"/>
        <v>28</v>
      </c>
      <c r="AR71" s="101">
        <f t="shared" si="39"/>
        <v>0.14917127071823205</v>
      </c>
      <c r="AS71" s="100">
        <f t="shared" si="68"/>
        <v>44</v>
      </c>
      <c r="AT71" s="101">
        <f t="shared" si="40"/>
        <v>0.17679558011049723</v>
      </c>
      <c r="AU71" s="100">
        <f t="shared" si="69"/>
        <v>3</v>
      </c>
      <c r="AV71" s="101">
        <f t="shared" si="41"/>
        <v>1.6574585635359115E-2</v>
      </c>
      <c r="AW71" s="100">
        <f t="shared" si="70"/>
        <v>1</v>
      </c>
      <c r="AX71" s="101">
        <f t="shared" si="42"/>
        <v>5.5248618784530384E-3</v>
      </c>
      <c r="AY71" s="100">
        <f t="shared" si="71"/>
        <v>0</v>
      </c>
      <c r="AZ71" s="101">
        <f t="shared" si="43"/>
        <v>0</v>
      </c>
      <c r="BA71" s="102">
        <f t="shared" si="72"/>
        <v>1</v>
      </c>
    </row>
    <row r="72" spans="1:53" x14ac:dyDescent="0.3">
      <c r="A72" s="92">
        <f>[4]SockEst!A73</f>
        <v>45159</v>
      </c>
      <c r="B72" s="93">
        <f>[4]SockEst!B73</f>
        <v>233</v>
      </c>
      <c r="C72" s="94" t="str">
        <f t="shared" si="36"/>
        <v>GG</v>
      </c>
      <c r="D72" s="95">
        <f>IFERROR(VLOOKUP($A72,[5]qry_Whonnock_Species_Compositio!$A$1:$O$114,COLUMN([5]qry_Whonnock_Species_Compositio!B72), FALSE), "")</f>
        <v>38</v>
      </c>
      <c r="E72" s="95">
        <f>IFERROR(VLOOKUP($A72,[5]qry_Whonnock_Species_Compositio!$A$1:$O$114,COLUMN([5]qry_Whonnock_Species_Compositio!C72), FALSE), "")</f>
        <v>5</v>
      </c>
      <c r="F72" s="95">
        <f>IFERROR(VLOOKUP($A72,[5]qry_Whonnock_Species_Compositio!$A$1:$O$114,COLUMN([5]qry_Whonnock_Species_Compositio!D72), FALSE), "")</f>
        <v>0</v>
      </c>
      <c r="G72" s="95">
        <f>IFERROR(VLOOKUP($A72,[5]qry_Whonnock_Species_Compositio!$A$1:$O$114,COLUMN([5]qry_Whonnock_Species_Compositio!E72), FALSE), "")</f>
        <v>0</v>
      </c>
      <c r="H72" s="95">
        <f>IFERROR(VLOOKUP($A72,[5]qry_Whonnock_Species_Compositio!$A$1:$O$114,COLUMN([5]qry_Whonnock_Species_Compositio!F72), FALSE), "")</f>
        <v>9</v>
      </c>
      <c r="I72" s="95">
        <f>IFERROR(VLOOKUP($A72,[5]qry_Whonnock_Species_Compositio!$A$1:$O$114,COLUMN([5]qry_Whonnock_Species_Compositio!G72), FALSE), "")</f>
        <v>0</v>
      </c>
      <c r="J72" s="95">
        <f>IFERROR(VLOOKUP($A72,[5]qry_Whonnock_Species_Compositio!$A$1:$O$114,COLUMN([5]qry_Whonnock_Species_Compositio!H72), FALSE), "")</f>
        <v>24</v>
      </c>
      <c r="K72" s="95">
        <f>IFERROR(VLOOKUP($A72,[5]qry_Whonnock_Species_Compositio!$A$1:$O$114,COLUMN([5]qry_Whonnock_Species_Compositio!I72), FALSE), "")</f>
        <v>0</v>
      </c>
      <c r="L72" s="95">
        <f>IFERROR(VLOOKUP($A72,[5]qry_Whonnock_Species_Compositio!$A$1:$O$114,COLUMN([5]qry_Whonnock_Species_Compositio!J72), FALSE), "")</f>
        <v>1</v>
      </c>
      <c r="M72" s="95">
        <f>IFERROR(VLOOKUP($A72,[5]qry_Whonnock_Species_Compositio!$A$1:$O$114,COLUMN([5]qry_Whonnock_Species_Compositio!K72), FALSE), "")</f>
        <v>0</v>
      </c>
      <c r="N72" s="95">
        <f>IFERROR(VLOOKUP($A72,[5]qry_Whonnock_Species_Compositio!$A$1:$O$114,COLUMN([5]qry_Whonnock_Species_Compositio!L72), FALSE), "")</f>
        <v>0</v>
      </c>
      <c r="O72" s="95">
        <f>IFERROR(VLOOKUP($A72,[5]qry_Whonnock_Species_Compositio!$A$1:$O$114,COLUMN([5]qry_Whonnock_Species_Compositio!M72), FALSE), "")</f>
        <v>0</v>
      </c>
      <c r="P72" s="95">
        <f>IFERROR(VLOOKUP($A72,[5]qry_Whonnock_Species_Compositio!$A$1:$O$114,COLUMN([5]qry_Whonnock_Species_Compositio!N72), FALSE), "")</f>
        <v>0</v>
      </c>
      <c r="Q72" s="95">
        <f>IFERROR(VLOOKUP($A72,[5]qry_Whonnock_Species_Compositio!$A$1:$O$114,COLUMN([5]qry_Whonnock_Species_Compositio!O72), FALSE), "")</f>
        <v>0</v>
      </c>
      <c r="R72" s="96">
        <f t="shared" si="44"/>
        <v>0.52777777777777779</v>
      </c>
      <c r="S72" s="97">
        <f t="shared" si="45"/>
        <v>1</v>
      </c>
      <c r="T72" s="98">
        <f t="shared" si="46"/>
        <v>0.55844155844155841</v>
      </c>
      <c r="U72" s="97">
        <f t="shared" si="47"/>
        <v>0</v>
      </c>
      <c r="V72" s="97">
        <f t="shared" si="48"/>
        <v>0</v>
      </c>
      <c r="W72" s="98">
        <f t="shared" si="49"/>
        <v>0</v>
      </c>
      <c r="X72" s="97">
        <f t="shared" si="50"/>
        <v>0.125</v>
      </c>
      <c r="Y72" s="97">
        <f t="shared" si="51"/>
        <v>0</v>
      </c>
      <c r="Z72" s="98">
        <f t="shared" si="52"/>
        <v>0.11688311688311688</v>
      </c>
      <c r="AA72" s="97">
        <f t="shared" si="53"/>
        <v>0.33333333333333331</v>
      </c>
      <c r="AB72" s="97">
        <f t="shared" si="54"/>
        <v>0</v>
      </c>
      <c r="AC72" s="98">
        <f t="shared" si="55"/>
        <v>0.31168831168831168</v>
      </c>
      <c r="AD72" s="97">
        <f t="shared" si="56"/>
        <v>1.3888888888888888E-2</v>
      </c>
      <c r="AE72" s="97">
        <f t="shared" si="57"/>
        <v>0</v>
      </c>
      <c r="AF72" s="98">
        <f t="shared" si="58"/>
        <v>1.2987012987012988E-2</v>
      </c>
      <c r="AG72" s="97">
        <f t="shared" si="59"/>
        <v>0</v>
      </c>
      <c r="AH72" s="97">
        <f t="shared" si="60"/>
        <v>0</v>
      </c>
      <c r="AI72" s="98">
        <f t="shared" si="61"/>
        <v>0</v>
      </c>
      <c r="AJ72" s="97">
        <f t="shared" si="62"/>
        <v>0</v>
      </c>
      <c r="AK72" s="97">
        <f t="shared" si="63"/>
        <v>0</v>
      </c>
      <c r="AL72" s="99">
        <f t="shared" si="64"/>
        <v>0</v>
      </c>
      <c r="AM72" s="100">
        <f t="shared" si="65"/>
        <v>43</v>
      </c>
      <c r="AN72" s="101">
        <f t="shared" si="37"/>
        <v>0.52777777777777779</v>
      </c>
      <c r="AO72" s="100">
        <f t="shared" si="66"/>
        <v>0</v>
      </c>
      <c r="AP72" s="101">
        <f t="shared" si="38"/>
        <v>0</v>
      </c>
      <c r="AQ72" s="100">
        <f t="shared" si="67"/>
        <v>9</v>
      </c>
      <c r="AR72" s="101">
        <f t="shared" si="39"/>
        <v>0.125</v>
      </c>
      <c r="AS72" s="100">
        <f t="shared" si="68"/>
        <v>24</v>
      </c>
      <c r="AT72" s="101">
        <f t="shared" si="40"/>
        <v>0.33333333333333331</v>
      </c>
      <c r="AU72" s="100">
        <f t="shared" si="69"/>
        <v>1</v>
      </c>
      <c r="AV72" s="101">
        <f t="shared" si="41"/>
        <v>1.3888888888888888E-2</v>
      </c>
      <c r="AW72" s="100">
        <f t="shared" si="70"/>
        <v>0</v>
      </c>
      <c r="AX72" s="101">
        <f t="shared" si="42"/>
        <v>0</v>
      </c>
      <c r="AY72" s="100">
        <f t="shared" si="71"/>
        <v>0</v>
      </c>
      <c r="AZ72" s="101">
        <f t="shared" si="43"/>
        <v>0</v>
      </c>
      <c r="BA72" s="102">
        <f t="shared" si="72"/>
        <v>1</v>
      </c>
    </row>
    <row r="73" spans="1:53" x14ac:dyDescent="0.3">
      <c r="A73" s="92">
        <f>[4]SockEst!A74</f>
        <v>45160</v>
      </c>
      <c r="B73" s="93">
        <f>[4]SockEst!B74</f>
        <v>234</v>
      </c>
      <c r="C73" s="94" t="str">
        <f t="shared" si="36"/>
        <v>GG</v>
      </c>
      <c r="D73" s="95">
        <f>IFERROR(VLOOKUP($A73,[5]qry_Whonnock_Species_Compositio!$A$1:$O$114,COLUMN([5]qry_Whonnock_Species_Compositio!B73), FALSE), "")</f>
        <v>33</v>
      </c>
      <c r="E73" s="95">
        <f>IFERROR(VLOOKUP($A73,[5]qry_Whonnock_Species_Compositio!$A$1:$O$114,COLUMN([5]qry_Whonnock_Species_Compositio!C73), FALSE), "")</f>
        <v>13</v>
      </c>
      <c r="F73" s="95">
        <f>IFERROR(VLOOKUP($A73,[5]qry_Whonnock_Species_Compositio!$A$1:$O$114,COLUMN([5]qry_Whonnock_Species_Compositio!D73), FALSE), "")</f>
        <v>1</v>
      </c>
      <c r="G73" s="95">
        <f>IFERROR(VLOOKUP($A73,[5]qry_Whonnock_Species_Compositio!$A$1:$O$114,COLUMN([5]qry_Whonnock_Species_Compositio!E73), FALSE), "")</f>
        <v>0</v>
      </c>
      <c r="H73" s="95">
        <f>IFERROR(VLOOKUP($A73,[5]qry_Whonnock_Species_Compositio!$A$1:$O$114,COLUMN([5]qry_Whonnock_Species_Compositio!F73), FALSE), "")</f>
        <v>9</v>
      </c>
      <c r="I73" s="95">
        <f>IFERROR(VLOOKUP($A73,[5]qry_Whonnock_Species_Compositio!$A$1:$O$114,COLUMN([5]qry_Whonnock_Species_Compositio!G73), FALSE), "")</f>
        <v>4</v>
      </c>
      <c r="J73" s="95">
        <f>IFERROR(VLOOKUP($A73,[5]qry_Whonnock_Species_Compositio!$A$1:$O$114,COLUMN([5]qry_Whonnock_Species_Compositio!H73), FALSE), "")</f>
        <v>50</v>
      </c>
      <c r="K73" s="95">
        <f>IFERROR(VLOOKUP($A73,[5]qry_Whonnock_Species_Compositio!$A$1:$O$114,COLUMN([5]qry_Whonnock_Species_Compositio!I73), FALSE), "")</f>
        <v>28</v>
      </c>
      <c r="L73" s="95">
        <f>IFERROR(VLOOKUP($A73,[5]qry_Whonnock_Species_Compositio!$A$1:$O$114,COLUMN([5]qry_Whonnock_Species_Compositio!J73), FALSE), "")</f>
        <v>4</v>
      </c>
      <c r="M73" s="95">
        <f>IFERROR(VLOOKUP($A73,[5]qry_Whonnock_Species_Compositio!$A$1:$O$114,COLUMN([5]qry_Whonnock_Species_Compositio!K73), FALSE), "")</f>
        <v>0</v>
      </c>
      <c r="N73" s="95">
        <f>IFERROR(VLOOKUP($A73,[5]qry_Whonnock_Species_Compositio!$A$1:$O$114,COLUMN([5]qry_Whonnock_Species_Compositio!L73), FALSE), "")</f>
        <v>1</v>
      </c>
      <c r="O73" s="95">
        <f>IFERROR(VLOOKUP($A73,[5]qry_Whonnock_Species_Compositio!$A$1:$O$114,COLUMN([5]qry_Whonnock_Species_Compositio!M73), FALSE), "")</f>
        <v>0</v>
      </c>
      <c r="P73" s="95">
        <f>IFERROR(VLOOKUP($A73,[5]qry_Whonnock_Species_Compositio!$A$1:$O$114,COLUMN([5]qry_Whonnock_Species_Compositio!N73), FALSE), "")</f>
        <v>0</v>
      </c>
      <c r="Q73" s="95">
        <f>IFERROR(VLOOKUP($A73,[5]qry_Whonnock_Species_Compositio!$A$1:$O$114,COLUMN([5]qry_Whonnock_Species_Compositio!O73), FALSE), "")</f>
        <v>0</v>
      </c>
      <c r="R73" s="96">
        <f t="shared" si="44"/>
        <v>0.33673469387755101</v>
      </c>
      <c r="S73" s="97">
        <f t="shared" si="45"/>
        <v>0.28888888888888886</v>
      </c>
      <c r="T73" s="98">
        <f t="shared" si="46"/>
        <v>0.32167832167832167</v>
      </c>
      <c r="U73" s="97">
        <f t="shared" si="47"/>
        <v>1.020408163265306E-2</v>
      </c>
      <c r="V73" s="97">
        <f t="shared" si="48"/>
        <v>0</v>
      </c>
      <c r="W73" s="98">
        <f t="shared" si="49"/>
        <v>6.993006993006993E-3</v>
      </c>
      <c r="X73" s="97">
        <f t="shared" si="50"/>
        <v>9.1836734693877556E-2</v>
      </c>
      <c r="Y73" s="97">
        <f t="shared" si="51"/>
        <v>8.8888888888888892E-2</v>
      </c>
      <c r="Z73" s="98">
        <f t="shared" si="52"/>
        <v>9.0909090909090912E-2</v>
      </c>
      <c r="AA73" s="97">
        <f t="shared" si="53"/>
        <v>0.51020408163265307</v>
      </c>
      <c r="AB73" s="97">
        <f t="shared" si="54"/>
        <v>0.62222222222222223</v>
      </c>
      <c r="AC73" s="98">
        <f t="shared" si="55"/>
        <v>0.54545454545454541</v>
      </c>
      <c r="AD73" s="97">
        <f t="shared" si="56"/>
        <v>4.0816326530612242E-2</v>
      </c>
      <c r="AE73" s="97">
        <f t="shared" si="57"/>
        <v>0</v>
      </c>
      <c r="AF73" s="98">
        <f t="shared" si="58"/>
        <v>2.7972027972027972E-2</v>
      </c>
      <c r="AG73" s="97">
        <f t="shared" si="59"/>
        <v>1.020408163265306E-2</v>
      </c>
      <c r="AH73" s="97">
        <f t="shared" si="60"/>
        <v>0</v>
      </c>
      <c r="AI73" s="98">
        <f t="shared" si="61"/>
        <v>6.993006993006993E-3</v>
      </c>
      <c r="AJ73" s="97">
        <f t="shared" si="62"/>
        <v>0</v>
      </c>
      <c r="AK73" s="97">
        <f t="shared" si="63"/>
        <v>0</v>
      </c>
      <c r="AL73" s="99">
        <f t="shared" si="64"/>
        <v>0</v>
      </c>
      <c r="AM73" s="100">
        <f t="shared" si="65"/>
        <v>46</v>
      </c>
      <c r="AN73" s="101">
        <f t="shared" si="37"/>
        <v>0.33673469387755101</v>
      </c>
      <c r="AO73" s="100">
        <f t="shared" si="66"/>
        <v>1</v>
      </c>
      <c r="AP73" s="101">
        <f t="shared" si="38"/>
        <v>1.020408163265306E-2</v>
      </c>
      <c r="AQ73" s="100">
        <f t="shared" si="67"/>
        <v>13</v>
      </c>
      <c r="AR73" s="101">
        <f t="shared" si="39"/>
        <v>9.1836734693877556E-2</v>
      </c>
      <c r="AS73" s="100">
        <f t="shared" si="68"/>
        <v>78</v>
      </c>
      <c r="AT73" s="101">
        <f t="shared" si="40"/>
        <v>0.51020408163265307</v>
      </c>
      <c r="AU73" s="100">
        <f t="shared" si="69"/>
        <v>4</v>
      </c>
      <c r="AV73" s="101">
        <f t="shared" si="41"/>
        <v>4.0816326530612242E-2</v>
      </c>
      <c r="AW73" s="100">
        <f t="shared" si="70"/>
        <v>1</v>
      </c>
      <c r="AX73" s="101">
        <f t="shared" si="42"/>
        <v>1.020408163265306E-2</v>
      </c>
      <c r="AY73" s="100">
        <f t="shared" si="71"/>
        <v>0</v>
      </c>
      <c r="AZ73" s="101">
        <f t="shared" si="43"/>
        <v>0</v>
      </c>
      <c r="BA73" s="102">
        <f t="shared" si="72"/>
        <v>1</v>
      </c>
    </row>
    <row r="74" spans="1:53" x14ac:dyDescent="0.3">
      <c r="A74" s="92">
        <f>[4]SockEst!A75</f>
        <v>45161</v>
      </c>
      <c r="B74" s="93">
        <f>[4]SockEst!B75</f>
        <v>235</v>
      </c>
      <c r="C74" s="94" t="str">
        <f t="shared" ref="C74:C132" si="73">IFERROR(IF(AM74&gt;15,"GG", "TTL"),"")</f>
        <v>GG</v>
      </c>
      <c r="D74" s="95">
        <f>IFERROR(VLOOKUP($A74,[5]qry_Whonnock_Species_Compositio!$A$1:$O$114,COLUMN([5]qry_Whonnock_Species_Compositio!B74), FALSE), "")</f>
        <v>31</v>
      </c>
      <c r="E74" s="95">
        <f>IFERROR(VLOOKUP($A74,[5]qry_Whonnock_Species_Compositio!$A$1:$O$114,COLUMN([5]qry_Whonnock_Species_Compositio!C74), FALSE), "")</f>
        <v>19</v>
      </c>
      <c r="F74" s="95">
        <f>IFERROR(VLOOKUP($A74,[5]qry_Whonnock_Species_Compositio!$A$1:$O$114,COLUMN([5]qry_Whonnock_Species_Compositio!D74), FALSE), "")</f>
        <v>0</v>
      </c>
      <c r="G74" s="95">
        <f>IFERROR(VLOOKUP($A74,[5]qry_Whonnock_Species_Compositio!$A$1:$O$114,COLUMN([5]qry_Whonnock_Species_Compositio!E74), FALSE), "")</f>
        <v>0</v>
      </c>
      <c r="H74" s="95">
        <f>IFERROR(VLOOKUP($A74,[5]qry_Whonnock_Species_Compositio!$A$1:$O$114,COLUMN([5]qry_Whonnock_Species_Compositio!F74), FALSE), "")</f>
        <v>17</v>
      </c>
      <c r="I74" s="95">
        <f>IFERROR(VLOOKUP($A74,[5]qry_Whonnock_Species_Compositio!$A$1:$O$114,COLUMN([5]qry_Whonnock_Species_Compositio!G74), FALSE), "")</f>
        <v>14</v>
      </c>
      <c r="J74" s="95">
        <f>IFERROR(VLOOKUP($A74,[5]qry_Whonnock_Species_Compositio!$A$1:$O$114,COLUMN([5]qry_Whonnock_Species_Compositio!H74), FALSE), "")</f>
        <v>22</v>
      </c>
      <c r="K74" s="95">
        <f>IFERROR(VLOOKUP($A74,[5]qry_Whonnock_Species_Compositio!$A$1:$O$114,COLUMN([5]qry_Whonnock_Species_Compositio!I74), FALSE), "")</f>
        <v>35</v>
      </c>
      <c r="L74" s="95">
        <f>IFERROR(VLOOKUP($A74,[5]qry_Whonnock_Species_Compositio!$A$1:$O$114,COLUMN([5]qry_Whonnock_Species_Compositio!J74), FALSE), "")</f>
        <v>3</v>
      </c>
      <c r="M74" s="95">
        <f>IFERROR(VLOOKUP($A74,[5]qry_Whonnock_Species_Compositio!$A$1:$O$114,COLUMN([5]qry_Whonnock_Species_Compositio!K74), FALSE), "")</f>
        <v>1</v>
      </c>
      <c r="N74" s="95">
        <f>IFERROR(VLOOKUP($A74,[5]qry_Whonnock_Species_Compositio!$A$1:$O$114,COLUMN([5]qry_Whonnock_Species_Compositio!L74), FALSE), "")</f>
        <v>0</v>
      </c>
      <c r="O74" s="95">
        <f>IFERROR(VLOOKUP($A74,[5]qry_Whonnock_Species_Compositio!$A$1:$O$114,COLUMN([5]qry_Whonnock_Species_Compositio!M74), FALSE), "")</f>
        <v>0</v>
      </c>
      <c r="P74" s="95">
        <f>IFERROR(VLOOKUP($A74,[5]qry_Whonnock_Species_Compositio!$A$1:$O$114,COLUMN([5]qry_Whonnock_Species_Compositio!N74), FALSE), "")</f>
        <v>0</v>
      </c>
      <c r="Q74" s="95">
        <f>IFERROR(VLOOKUP($A74,[5]qry_Whonnock_Species_Compositio!$A$1:$O$114,COLUMN([5]qry_Whonnock_Species_Compositio!O74), FALSE), "")</f>
        <v>0</v>
      </c>
      <c r="R74" s="96">
        <f t="shared" si="44"/>
        <v>0.42465753424657532</v>
      </c>
      <c r="S74" s="97">
        <f t="shared" si="45"/>
        <v>0.27536231884057971</v>
      </c>
      <c r="T74" s="98">
        <f t="shared" si="46"/>
        <v>0.352112676056338</v>
      </c>
      <c r="U74" s="97">
        <f t="shared" si="47"/>
        <v>0</v>
      </c>
      <c r="V74" s="97">
        <f t="shared" si="48"/>
        <v>0</v>
      </c>
      <c r="W74" s="98">
        <f t="shared" si="49"/>
        <v>0</v>
      </c>
      <c r="X74" s="97">
        <f t="shared" si="50"/>
        <v>0.23287671232876711</v>
      </c>
      <c r="Y74" s="97">
        <f t="shared" si="51"/>
        <v>0.20289855072463769</v>
      </c>
      <c r="Z74" s="98">
        <f t="shared" si="52"/>
        <v>0.21830985915492956</v>
      </c>
      <c r="AA74" s="97">
        <f t="shared" si="53"/>
        <v>0.30136986301369861</v>
      </c>
      <c r="AB74" s="97">
        <f t="shared" si="54"/>
        <v>0.50724637681159424</v>
      </c>
      <c r="AC74" s="98">
        <f t="shared" si="55"/>
        <v>0.40140845070422537</v>
      </c>
      <c r="AD74" s="97">
        <f t="shared" si="56"/>
        <v>4.1095890410958902E-2</v>
      </c>
      <c r="AE74" s="97">
        <f t="shared" si="57"/>
        <v>1.4492753623188406E-2</v>
      </c>
      <c r="AF74" s="98">
        <f t="shared" si="58"/>
        <v>2.8169014084507043E-2</v>
      </c>
      <c r="AG74" s="97">
        <f t="shared" si="59"/>
        <v>0</v>
      </c>
      <c r="AH74" s="97">
        <f t="shared" si="60"/>
        <v>0</v>
      </c>
      <c r="AI74" s="98">
        <f t="shared" si="61"/>
        <v>0</v>
      </c>
      <c r="AJ74" s="97">
        <f t="shared" si="62"/>
        <v>0</v>
      </c>
      <c r="AK74" s="97">
        <f t="shared" si="63"/>
        <v>0</v>
      </c>
      <c r="AL74" s="99">
        <f t="shared" si="64"/>
        <v>0</v>
      </c>
      <c r="AM74" s="100">
        <f t="shared" si="65"/>
        <v>50</v>
      </c>
      <c r="AN74" s="101">
        <f t="shared" si="37"/>
        <v>0.42465753424657532</v>
      </c>
      <c r="AO74" s="100">
        <f t="shared" si="66"/>
        <v>0</v>
      </c>
      <c r="AP74" s="101">
        <f t="shared" si="38"/>
        <v>0</v>
      </c>
      <c r="AQ74" s="100">
        <f t="shared" si="67"/>
        <v>31</v>
      </c>
      <c r="AR74" s="101">
        <f t="shared" si="39"/>
        <v>0.23287671232876711</v>
      </c>
      <c r="AS74" s="100">
        <f t="shared" si="68"/>
        <v>57</v>
      </c>
      <c r="AT74" s="101">
        <f t="shared" si="40"/>
        <v>0.30136986301369861</v>
      </c>
      <c r="AU74" s="100">
        <f t="shared" si="69"/>
        <v>4</v>
      </c>
      <c r="AV74" s="101">
        <f t="shared" si="41"/>
        <v>4.1095890410958902E-2</v>
      </c>
      <c r="AW74" s="100">
        <f t="shared" si="70"/>
        <v>0</v>
      </c>
      <c r="AX74" s="101">
        <f t="shared" si="42"/>
        <v>0</v>
      </c>
      <c r="AY74" s="100">
        <f t="shared" si="71"/>
        <v>0</v>
      </c>
      <c r="AZ74" s="101">
        <f t="shared" si="43"/>
        <v>0</v>
      </c>
      <c r="BA74" s="102">
        <f t="shared" si="72"/>
        <v>1</v>
      </c>
    </row>
    <row r="75" spans="1:53" x14ac:dyDescent="0.3">
      <c r="A75" s="92">
        <f>[4]SockEst!A76</f>
        <v>45162</v>
      </c>
      <c r="B75" s="93">
        <f>[4]SockEst!B76</f>
        <v>236</v>
      </c>
      <c r="C75" s="94" t="str">
        <f t="shared" si="73"/>
        <v>GG</v>
      </c>
      <c r="D75" s="95">
        <f>IFERROR(VLOOKUP($A75,[5]qry_Whonnock_Species_Compositio!$A$1:$O$114,COLUMN([5]qry_Whonnock_Species_Compositio!B75), FALSE), "")</f>
        <v>25</v>
      </c>
      <c r="E75" s="95">
        <f>IFERROR(VLOOKUP($A75,[5]qry_Whonnock_Species_Compositio!$A$1:$O$114,COLUMN([5]qry_Whonnock_Species_Compositio!C75), FALSE), "")</f>
        <v>26</v>
      </c>
      <c r="F75" s="95">
        <f>IFERROR(VLOOKUP($A75,[5]qry_Whonnock_Species_Compositio!$A$1:$O$114,COLUMN([5]qry_Whonnock_Species_Compositio!D75), FALSE), "")</f>
        <v>0</v>
      </c>
      <c r="G75" s="95">
        <f>IFERROR(VLOOKUP($A75,[5]qry_Whonnock_Species_Compositio!$A$1:$O$114,COLUMN([5]qry_Whonnock_Species_Compositio!E75), FALSE), "")</f>
        <v>0</v>
      </c>
      <c r="H75" s="95">
        <f>IFERROR(VLOOKUP($A75,[5]qry_Whonnock_Species_Compositio!$A$1:$O$114,COLUMN([5]qry_Whonnock_Species_Compositio!F75), FALSE), "")</f>
        <v>14</v>
      </c>
      <c r="I75" s="95">
        <f>IFERROR(VLOOKUP($A75,[5]qry_Whonnock_Species_Compositio!$A$1:$O$114,COLUMN([5]qry_Whonnock_Species_Compositio!G75), FALSE), "")</f>
        <v>3</v>
      </c>
      <c r="J75" s="95">
        <f>IFERROR(VLOOKUP($A75,[5]qry_Whonnock_Species_Compositio!$A$1:$O$114,COLUMN([5]qry_Whonnock_Species_Compositio!H75), FALSE), "")</f>
        <v>5</v>
      </c>
      <c r="K75" s="95">
        <f>IFERROR(VLOOKUP($A75,[5]qry_Whonnock_Species_Compositio!$A$1:$O$114,COLUMN([5]qry_Whonnock_Species_Compositio!I75), FALSE), "")</f>
        <v>31</v>
      </c>
      <c r="L75" s="95">
        <f>IFERROR(VLOOKUP($A75,[5]qry_Whonnock_Species_Compositio!$A$1:$O$114,COLUMN([5]qry_Whonnock_Species_Compositio!J75), FALSE), "")</f>
        <v>0</v>
      </c>
      <c r="M75" s="95">
        <f>IFERROR(VLOOKUP($A75,[5]qry_Whonnock_Species_Compositio!$A$1:$O$114,COLUMN([5]qry_Whonnock_Species_Compositio!K75), FALSE), "")</f>
        <v>0</v>
      </c>
      <c r="N75" s="95">
        <f>IFERROR(VLOOKUP($A75,[5]qry_Whonnock_Species_Compositio!$A$1:$O$114,COLUMN([5]qry_Whonnock_Species_Compositio!L75), FALSE), "")</f>
        <v>0</v>
      </c>
      <c r="O75" s="95">
        <f>IFERROR(VLOOKUP($A75,[5]qry_Whonnock_Species_Compositio!$A$1:$O$114,COLUMN([5]qry_Whonnock_Species_Compositio!M75), FALSE), "")</f>
        <v>0</v>
      </c>
      <c r="P75" s="95">
        <f>IFERROR(VLOOKUP($A75,[5]qry_Whonnock_Species_Compositio!$A$1:$O$114,COLUMN([5]qry_Whonnock_Species_Compositio!N75), FALSE), "")</f>
        <v>0</v>
      </c>
      <c r="Q75" s="95">
        <f>IFERROR(VLOOKUP($A75,[5]qry_Whonnock_Species_Compositio!$A$1:$O$114,COLUMN([5]qry_Whonnock_Species_Compositio!O75), FALSE), "")</f>
        <v>0</v>
      </c>
      <c r="R75" s="96">
        <f t="shared" si="44"/>
        <v>0.56818181818181823</v>
      </c>
      <c r="S75" s="97">
        <f t="shared" si="45"/>
        <v>0.43333333333333335</v>
      </c>
      <c r="T75" s="98">
        <f t="shared" si="46"/>
        <v>0.49038461538461536</v>
      </c>
      <c r="U75" s="97">
        <f t="shared" si="47"/>
        <v>0</v>
      </c>
      <c r="V75" s="97">
        <f t="shared" si="48"/>
        <v>0</v>
      </c>
      <c r="W75" s="98">
        <f t="shared" si="49"/>
        <v>0</v>
      </c>
      <c r="X75" s="97">
        <f t="shared" si="50"/>
        <v>0.31818181818181818</v>
      </c>
      <c r="Y75" s="97">
        <f t="shared" si="51"/>
        <v>0.05</v>
      </c>
      <c r="Z75" s="98">
        <f t="shared" si="52"/>
        <v>0.16346153846153846</v>
      </c>
      <c r="AA75" s="97">
        <f t="shared" si="53"/>
        <v>0.11363636363636363</v>
      </c>
      <c r="AB75" s="97">
        <f t="shared" si="54"/>
        <v>0.51666666666666672</v>
      </c>
      <c r="AC75" s="98">
        <f t="shared" si="55"/>
        <v>0.34615384615384615</v>
      </c>
      <c r="AD75" s="97">
        <f t="shared" si="56"/>
        <v>0</v>
      </c>
      <c r="AE75" s="97">
        <f t="shared" si="57"/>
        <v>0</v>
      </c>
      <c r="AF75" s="98">
        <f t="shared" si="58"/>
        <v>0</v>
      </c>
      <c r="AG75" s="97">
        <f t="shared" si="59"/>
        <v>0</v>
      </c>
      <c r="AH75" s="97">
        <f t="shared" si="60"/>
        <v>0</v>
      </c>
      <c r="AI75" s="98">
        <f t="shared" si="61"/>
        <v>0</v>
      </c>
      <c r="AJ75" s="97">
        <f t="shared" si="62"/>
        <v>0</v>
      </c>
      <c r="AK75" s="97">
        <f t="shared" si="63"/>
        <v>0</v>
      </c>
      <c r="AL75" s="99">
        <f t="shared" si="64"/>
        <v>0</v>
      </c>
      <c r="AM75" s="100">
        <f t="shared" si="65"/>
        <v>51</v>
      </c>
      <c r="AN75" s="101">
        <f t="shared" si="37"/>
        <v>0.56818181818181823</v>
      </c>
      <c r="AO75" s="100">
        <f t="shared" si="66"/>
        <v>0</v>
      </c>
      <c r="AP75" s="101">
        <f t="shared" si="38"/>
        <v>0</v>
      </c>
      <c r="AQ75" s="100">
        <f t="shared" si="67"/>
        <v>17</v>
      </c>
      <c r="AR75" s="101">
        <f t="shared" si="39"/>
        <v>0.31818181818181818</v>
      </c>
      <c r="AS75" s="100">
        <f t="shared" si="68"/>
        <v>36</v>
      </c>
      <c r="AT75" s="101">
        <f t="shared" si="40"/>
        <v>0.11363636363636363</v>
      </c>
      <c r="AU75" s="100">
        <f t="shared" si="69"/>
        <v>0</v>
      </c>
      <c r="AV75" s="101">
        <f t="shared" si="41"/>
        <v>0</v>
      </c>
      <c r="AW75" s="100">
        <f t="shared" si="70"/>
        <v>0</v>
      </c>
      <c r="AX75" s="101">
        <f t="shared" si="42"/>
        <v>0</v>
      </c>
      <c r="AY75" s="100">
        <f t="shared" si="71"/>
        <v>0</v>
      </c>
      <c r="AZ75" s="101">
        <f t="shared" si="43"/>
        <v>0</v>
      </c>
      <c r="BA75" s="102">
        <f t="shared" si="72"/>
        <v>1</v>
      </c>
    </row>
    <row r="76" spans="1:53" x14ac:dyDescent="0.3">
      <c r="A76" s="92">
        <f>[4]SockEst!A77</f>
        <v>45163</v>
      </c>
      <c r="B76" s="93">
        <f>[4]SockEst!B77</f>
        <v>237</v>
      </c>
      <c r="C76" s="94" t="str">
        <f t="shared" si="73"/>
        <v>GG</v>
      </c>
      <c r="D76" s="95">
        <f>IFERROR(VLOOKUP($A76,[5]qry_Whonnock_Species_Compositio!$A$1:$O$114,COLUMN([5]qry_Whonnock_Species_Compositio!B76), FALSE), "")</f>
        <v>36</v>
      </c>
      <c r="E76" s="95">
        <f>IFERROR(VLOOKUP($A76,[5]qry_Whonnock_Species_Compositio!$A$1:$O$114,COLUMN([5]qry_Whonnock_Species_Compositio!C76), FALSE), "")</f>
        <v>27</v>
      </c>
      <c r="F76" s="95">
        <f>IFERROR(VLOOKUP($A76,[5]qry_Whonnock_Species_Compositio!$A$1:$O$114,COLUMN([5]qry_Whonnock_Species_Compositio!D76), FALSE), "")</f>
        <v>0</v>
      </c>
      <c r="G76" s="95">
        <f>IFERROR(VLOOKUP($A76,[5]qry_Whonnock_Species_Compositio!$A$1:$O$114,COLUMN([5]qry_Whonnock_Species_Compositio!E76), FALSE), "")</f>
        <v>0</v>
      </c>
      <c r="H76" s="95">
        <f>IFERROR(VLOOKUP($A76,[5]qry_Whonnock_Species_Compositio!$A$1:$O$114,COLUMN([5]qry_Whonnock_Species_Compositio!F76), FALSE), "")</f>
        <v>11</v>
      </c>
      <c r="I76" s="95">
        <f>IFERROR(VLOOKUP($A76,[5]qry_Whonnock_Species_Compositio!$A$1:$O$114,COLUMN([5]qry_Whonnock_Species_Compositio!G76), FALSE), "")</f>
        <v>12</v>
      </c>
      <c r="J76" s="95">
        <f>IFERROR(VLOOKUP($A76,[5]qry_Whonnock_Species_Compositio!$A$1:$O$114,COLUMN([5]qry_Whonnock_Species_Compositio!H76), FALSE), "")</f>
        <v>10</v>
      </c>
      <c r="K76" s="95">
        <f>IFERROR(VLOOKUP($A76,[5]qry_Whonnock_Species_Compositio!$A$1:$O$114,COLUMN([5]qry_Whonnock_Species_Compositio!I76), FALSE), "")</f>
        <v>16</v>
      </c>
      <c r="L76" s="95">
        <f>IFERROR(VLOOKUP($A76,[5]qry_Whonnock_Species_Compositio!$A$1:$O$114,COLUMN([5]qry_Whonnock_Species_Compositio!J76), FALSE), "")</f>
        <v>0</v>
      </c>
      <c r="M76" s="95">
        <f>IFERROR(VLOOKUP($A76,[5]qry_Whonnock_Species_Compositio!$A$1:$O$114,COLUMN([5]qry_Whonnock_Species_Compositio!K76), FALSE), "")</f>
        <v>0</v>
      </c>
      <c r="N76" s="95">
        <f>IFERROR(VLOOKUP($A76,[5]qry_Whonnock_Species_Compositio!$A$1:$O$114,COLUMN([5]qry_Whonnock_Species_Compositio!L76), FALSE), "")</f>
        <v>0</v>
      </c>
      <c r="O76" s="95">
        <f>IFERROR(VLOOKUP($A76,[5]qry_Whonnock_Species_Compositio!$A$1:$O$114,COLUMN([5]qry_Whonnock_Species_Compositio!M76), FALSE), "")</f>
        <v>1</v>
      </c>
      <c r="P76" s="95">
        <f>IFERROR(VLOOKUP($A76,[5]qry_Whonnock_Species_Compositio!$A$1:$O$114,COLUMN([5]qry_Whonnock_Species_Compositio!N76), FALSE), "")</f>
        <v>0</v>
      </c>
      <c r="Q76" s="95">
        <f>IFERROR(VLOOKUP($A76,[5]qry_Whonnock_Species_Compositio!$A$1:$O$114,COLUMN([5]qry_Whonnock_Species_Compositio!O76), FALSE), "")</f>
        <v>0</v>
      </c>
      <c r="R76" s="96">
        <f t="shared" si="44"/>
        <v>0.63157894736842102</v>
      </c>
      <c r="S76" s="97">
        <f t="shared" si="45"/>
        <v>0.48214285714285715</v>
      </c>
      <c r="T76" s="98">
        <f t="shared" si="46"/>
        <v>0.55752212389380529</v>
      </c>
      <c r="U76" s="97">
        <f t="shared" si="47"/>
        <v>0</v>
      </c>
      <c r="V76" s="97">
        <f t="shared" si="48"/>
        <v>0</v>
      </c>
      <c r="W76" s="98">
        <f t="shared" si="49"/>
        <v>0</v>
      </c>
      <c r="X76" s="97">
        <f t="shared" si="50"/>
        <v>0.19298245614035087</v>
      </c>
      <c r="Y76" s="97">
        <f t="shared" si="51"/>
        <v>0.21428571428571427</v>
      </c>
      <c r="Z76" s="98">
        <f t="shared" si="52"/>
        <v>0.20353982300884957</v>
      </c>
      <c r="AA76" s="97">
        <f t="shared" si="53"/>
        <v>0.17543859649122806</v>
      </c>
      <c r="AB76" s="97">
        <f t="shared" si="54"/>
        <v>0.2857142857142857</v>
      </c>
      <c r="AC76" s="98">
        <f t="shared" si="55"/>
        <v>0.23008849557522124</v>
      </c>
      <c r="AD76" s="97">
        <f t="shared" si="56"/>
        <v>0</v>
      </c>
      <c r="AE76" s="97">
        <f t="shared" si="57"/>
        <v>0</v>
      </c>
      <c r="AF76" s="98">
        <f t="shared" si="58"/>
        <v>0</v>
      </c>
      <c r="AG76" s="97">
        <f t="shared" si="59"/>
        <v>0</v>
      </c>
      <c r="AH76" s="97">
        <f t="shared" si="60"/>
        <v>1.7857142857142856E-2</v>
      </c>
      <c r="AI76" s="98">
        <f t="shared" si="61"/>
        <v>8.8495575221238937E-3</v>
      </c>
      <c r="AJ76" s="97">
        <f t="shared" si="62"/>
        <v>0</v>
      </c>
      <c r="AK76" s="97">
        <f t="shared" si="63"/>
        <v>0</v>
      </c>
      <c r="AL76" s="99">
        <f t="shared" si="64"/>
        <v>0</v>
      </c>
      <c r="AM76" s="100">
        <f t="shared" si="65"/>
        <v>63</v>
      </c>
      <c r="AN76" s="101">
        <f t="shared" si="37"/>
        <v>0.63157894736842102</v>
      </c>
      <c r="AO76" s="100">
        <f t="shared" si="66"/>
        <v>0</v>
      </c>
      <c r="AP76" s="101">
        <f t="shared" si="38"/>
        <v>0</v>
      </c>
      <c r="AQ76" s="100">
        <f t="shared" si="67"/>
        <v>23</v>
      </c>
      <c r="AR76" s="101">
        <f t="shared" si="39"/>
        <v>0.19298245614035087</v>
      </c>
      <c r="AS76" s="100">
        <f t="shared" si="68"/>
        <v>26</v>
      </c>
      <c r="AT76" s="101">
        <f t="shared" si="40"/>
        <v>0.17543859649122806</v>
      </c>
      <c r="AU76" s="100">
        <f t="shared" si="69"/>
        <v>0</v>
      </c>
      <c r="AV76" s="101">
        <f t="shared" si="41"/>
        <v>0</v>
      </c>
      <c r="AW76" s="100">
        <f t="shared" si="70"/>
        <v>1</v>
      </c>
      <c r="AX76" s="101">
        <f t="shared" si="42"/>
        <v>0</v>
      </c>
      <c r="AY76" s="100">
        <f t="shared" si="71"/>
        <v>0</v>
      </c>
      <c r="AZ76" s="101">
        <f t="shared" si="43"/>
        <v>0</v>
      </c>
      <c r="BA76" s="102">
        <f t="shared" si="72"/>
        <v>0.99999999999999989</v>
      </c>
    </row>
    <row r="77" spans="1:53" x14ac:dyDescent="0.3">
      <c r="A77" s="92">
        <f>[4]SockEst!A78</f>
        <v>45164</v>
      </c>
      <c r="B77" s="93">
        <f>[4]SockEst!B78</f>
        <v>238</v>
      </c>
      <c r="C77" s="94" t="str">
        <f t="shared" si="73"/>
        <v>GG</v>
      </c>
      <c r="D77" s="95">
        <f>IFERROR(VLOOKUP($A77,[5]qry_Whonnock_Species_Compositio!$A$1:$O$114,COLUMN([5]qry_Whonnock_Species_Compositio!B77), FALSE), "")</f>
        <v>29</v>
      </c>
      <c r="E77" s="95">
        <f>IFERROR(VLOOKUP($A77,[5]qry_Whonnock_Species_Compositio!$A$1:$O$114,COLUMN([5]qry_Whonnock_Species_Compositio!C77), FALSE), "")</f>
        <v>7</v>
      </c>
      <c r="F77" s="95">
        <f>IFERROR(VLOOKUP($A77,[5]qry_Whonnock_Species_Compositio!$A$1:$O$114,COLUMN([5]qry_Whonnock_Species_Compositio!D77), FALSE), "")</f>
        <v>0</v>
      </c>
      <c r="G77" s="95">
        <f>IFERROR(VLOOKUP($A77,[5]qry_Whonnock_Species_Compositio!$A$1:$O$114,COLUMN([5]qry_Whonnock_Species_Compositio!E77), FALSE), "")</f>
        <v>0</v>
      </c>
      <c r="H77" s="95">
        <f>IFERROR(VLOOKUP($A77,[5]qry_Whonnock_Species_Compositio!$A$1:$O$114,COLUMN([5]qry_Whonnock_Species_Compositio!F77), FALSE), "")</f>
        <v>34</v>
      </c>
      <c r="I77" s="95">
        <f>IFERROR(VLOOKUP($A77,[5]qry_Whonnock_Species_Compositio!$A$1:$O$114,COLUMN([5]qry_Whonnock_Species_Compositio!G77), FALSE), "")</f>
        <v>12</v>
      </c>
      <c r="J77" s="95">
        <f>IFERROR(VLOOKUP($A77,[5]qry_Whonnock_Species_Compositio!$A$1:$O$114,COLUMN([5]qry_Whonnock_Species_Compositio!H77), FALSE), "")</f>
        <v>31</v>
      </c>
      <c r="K77" s="95">
        <f>IFERROR(VLOOKUP($A77,[5]qry_Whonnock_Species_Compositio!$A$1:$O$114,COLUMN([5]qry_Whonnock_Species_Compositio!I77), FALSE), "")</f>
        <v>11</v>
      </c>
      <c r="L77" s="95">
        <f>IFERROR(VLOOKUP($A77,[5]qry_Whonnock_Species_Compositio!$A$1:$O$114,COLUMN([5]qry_Whonnock_Species_Compositio!J77), FALSE), "")</f>
        <v>2</v>
      </c>
      <c r="M77" s="95">
        <f>IFERROR(VLOOKUP($A77,[5]qry_Whonnock_Species_Compositio!$A$1:$O$114,COLUMN([5]qry_Whonnock_Species_Compositio!K77), FALSE), "")</f>
        <v>0</v>
      </c>
      <c r="N77" s="95">
        <f>IFERROR(VLOOKUP($A77,[5]qry_Whonnock_Species_Compositio!$A$1:$O$114,COLUMN([5]qry_Whonnock_Species_Compositio!L77), FALSE), "")</f>
        <v>1</v>
      </c>
      <c r="O77" s="95">
        <f>IFERROR(VLOOKUP($A77,[5]qry_Whonnock_Species_Compositio!$A$1:$O$114,COLUMN([5]qry_Whonnock_Species_Compositio!M77), FALSE), "")</f>
        <v>0</v>
      </c>
      <c r="P77" s="95">
        <f>IFERROR(VLOOKUP($A77,[5]qry_Whonnock_Species_Compositio!$A$1:$O$114,COLUMN([5]qry_Whonnock_Species_Compositio!N77), FALSE), "")</f>
        <v>0</v>
      </c>
      <c r="Q77" s="95">
        <f>IFERROR(VLOOKUP($A77,[5]qry_Whonnock_Species_Compositio!$A$1:$O$114,COLUMN([5]qry_Whonnock_Species_Compositio!O77), FALSE), "")</f>
        <v>0</v>
      </c>
      <c r="R77" s="96">
        <f t="shared" si="44"/>
        <v>0.29896907216494845</v>
      </c>
      <c r="S77" s="97">
        <f t="shared" si="45"/>
        <v>0.23333333333333334</v>
      </c>
      <c r="T77" s="98">
        <f t="shared" si="46"/>
        <v>0.28346456692913385</v>
      </c>
      <c r="U77" s="97">
        <f t="shared" si="47"/>
        <v>0</v>
      </c>
      <c r="V77" s="97">
        <f t="shared" si="48"/>
        <v>0</v>
      </c>
      <c r="W77" s="98">
        <f t="shared" si="49"/>
        <v>0</v>
      </c>
      <c r="X77" s="97">
        <f t="shared" si="50"/>
        <v>0.35051546391752575</v>
      </c>
      <c r="Y77" s="97">
        <f t="shared" si="51"/>
        <v>0.4</v>
      </c>
      <c r="Z77" s="98">
        <f t="shared" si="52"/>
        <v>0.36220472440944884</v>
      </c>
      <c r="AA77" s="97">
        <f t="shared" si="53"/>
        <v>0.31958762886597936</v>
      </c>
      <c r="AB77" s="97">
        <f t="shared" si="54"/>
        <v>0.36666666666666664</v>
      </c>
      <c r="AC77" s="98">
        <f t="shared" si="55"/>
        <v>0.33070866141732286</v>
      </c>
      <c r="AD77" s="97">
        <f t="shared" si="56"/>
        <v>2.0618556701030927E-2</v>
      </c>
      <c r="AE77" s="97">
        <f t="shared" si="57"/>
        <v>0</v>
      </c>
      <c r="AF77" s="98">
        <f t="shared" si="58"/>
        <v>1.5748031496062992E-2</v>
      </c>
      <c r="AG77" s="97">
        <f t="shared" si="59"/>
        <v>1.0309278350515464E-2</v>
      </c>
      <c r="AH77" s="97">
        <f t="shared" si="60"/>
        <v>0</v>
      </c>
      <c r="AI77" s="98">
        <f t="shared" si="61"/>
        <v>7.874015748031496E-3</v>
      </c>
      <c r="AJ77" s="97">
        <f t="shared" si="62"/>
        <v>0</v>
      </c>
      <c r="AK77" s="97">
        <f t="shared" si="63"/>
        <v>0</v>
      </c>
      <c r="AL77" s="99">
        <f t="shared" si="64"/>
        <v>0</v>
      </c>
      <c r="AM77" s="100">
        <f t="shared" si="65"/>
        <v>36</v>
      </c>
      <c r="AN77" s="101">
        <f t="shared" ref="AN77:AN132" si="74">IF($AM77&lt;15,T77,R77)</f>
        <v>0.29896907216494845</v>
      </c>
      <c r="AO77" s="100">
        <f t="shared" si="66"/>
        <v>0</v>
      </c>
      <c r="AP77" s="101">
        <f t="shared" ref="AP77:AP132" si="75">IF($AM77&lt;15,W77,U77)</f>
        <v>0</v>
      </c>
      <c r="AQ77" s="100">
        <f t="shared" si="67"/>
        <v>46</v>
      </c>
      <c r="AR77" s="101">
        <f t="shared" ref="AR77:AR132" si="76">IF($AM77&lt;15,Z77,X77)</f>
        <v>0.35051546391752575</v>
      </c>
      <c r="AS77" s="100">
        <f t="shared" si="68"/>
        <v>42</v>
      </c>
      <c r="AT77" s="101">
        <f t="shared" ref="AT77:AT132" si="77">IF($AM77&lt;15,AC77,AA77)</f>
        <v>0.31958762886597936</v>
      </c>
      <c r="AU77" s="100">
        <f t="shared" si="69"/>
        <v>2</v>
      </c>
      <c r="AV77" s="101">
        <f t="shared" ref="AV77:AV132" si="78">IF($AM77&lt;15,AF77,AD77)</f>
        <v>2.0618556701030927E-2</v>
      </c>
      <c r="AW77" s="100">
        <f t="shared" si="70"/>
        <v>1</v>
      </c>
      <c r="AX77" s="101">
        <f t="shared" ref="AX77:AX132" si="79">IF($AM77&lt;15,AI77,AG77)</f>
        <v>1.0309278350515464E-2</v>
      </c>
      <c r="AY77" s="100">
        <f t="shared" si="71"/>
        <v>0</v>
      </c>
      <c r="AZ77" s="101">
        <f t="shared" ref="AZ77:AZ132" si="80">IF($AM77&lt;15,AL77,AJ77)</f>
        <v>0</v>
      </c>
      <c r="BA77" s="102">
        <f t="shared" si="72"/>
        <v>0.99999999999999989</v>
      </c>
    </row>
    <row r="78" spans="1:53" x14ac:dyDescent="0.3">
      <c r="A78" s="92">
        <f>[4]SockEst!A79</f>
        <v>45165</v>
      </c>
      <c r="B78" s="93">
        <f>[4]SockEst!B79</f>
        <v>239</v>
      </c>
      <c r="C78" s="94" t="str">
        <f t="shared" si="73"/>
        <v>GG</v>
      </c>
      <c r="D78" s="95">
        <f>IFERROR(VLOOKUP($A78,[5]qry_Whonnock_Species_Compositio!$A$1:$O$114,COLUMN([5]qry_Whonnock_Species_Compositio!B78), FALSE), "")</f>
        <v>17</v>
      </c>
      <c r="E78" s="95">
        <f>IFERROR(VLOOKUP($A78,[5]qry_Whonnock_Species_Compositio!$A$1:$O$114,COLUMN([5]qry_Whonnock_Species_Compositio!C78), FALSE), "")</f>
        <v>11</v>
      </c>
      <c r="F78" s="95">
        <f>IFERROR(VLOOKUP($A78,[5]qry_Whonnock_Species_Compositio!$A$1:$O$114,COLUMN([5]qry_Whonnock_Species_Compositio!D78), FALSE), "")</f>
        <v>0</v>
      </c>
      <c r="G78" s="95">
        <f>IFERROR(VLOOKUP($A78,[5]qry_Whonnock_Species_Compositio!$A$1:$O$114,COLUMN([5]qry_Whonnock_Species_Compositio!E78), FALSE), "")</f>
        <v>0</v>
      </c>
      <c r="H78" s="95">
        <f>IFERROR(VLOOKUP($A78,[5]qry_Whonnock_Species_Compositio!$A$1:$O$114,COLUMN([5]qry_Whonnock_Species_Compositio!F78), FALSE), "")</f>
        <v>21</v>
      </c>
      <c r="I78" s="95">
        <f>IFERROR(VLOOKUP($A78,[5]qry_Whonnock_Species_Compositio!$A$1:$O$114,COLUMN([5]qry_Whonnock_Species_Compositio!G78), FALSE), "")</f>
        <v>19</v>
      </c>
      <c r="J78" s="95">
        <f>IFERROR(VLOOKUP($A78,[5]qry_Whonnock_Species_Compositio!$A$1:$O$114,COLUMN([5]qry_Whonnock_Species_Compositio!H78), FALSE), "")</f>
        <v>5</v>
      </c>
      <c r="K78" s="95">
        <f>IFERROR(VLOOKUP($A78,[5]qry_Whonnock_Species_Compositio!$A$1:$O$114,COLUMN([5]qry_Whonnock_Species_Compositio!I78), FALSE), "")</f>
        <v>17</v>
      </c>
      <c r="L78" s="95">
        <f>IFERROR(VLOOKUP($A78,[5]qry_Whonnock_Species_Compositio!$A$1:$O$114,COLUMN([5]qry_Whonnock_Species_Compositio!J78), FALSE), "")</f>
        <v>1</v>
      </c>
      <c r="M78" s="95">
        <f>IFERROR(VLOOKUP($A78,[5]qry_Whonnock_Species_Compositio!$A$1:$O$114,COLUMN([5]qry_Whonnock_Species_Compositio!K78), FALSE), "")</f>
        <v>0</v>
      </c>
      <c r="N78" s="95">
        <f>IFERROR(VLOOKUP($A78,[5]qry_Whonnock_Species_Compositio!$A$1:$O$114,COLUMN([5]qry_Whonnock_Species_Compositio!L78), FALSE), "")</f>
        <v>0</v>
      </c>
      <c r="O78" s="95">
        <f>IFERROR(VLOOKUP($A78,[5]qry_Whonnock_Species_Compositio!$A$1:$O$114,COLUMN([5]qry_Whonnock_Species_Compositio!M78), FALSE), "")</f>
        <v>0</v>
      </c>
      <c r="P78" s="95">
        <f>IFERROR(VLOOKUP($A78,[5]qry_Whonnock_Species_Compositio!$A$1:$O$114,COLUMN([5]qry_Whonnock_Species_Compositio!N78), FALSE), "")</f>
        <v>0</v>
      </c>
      <c r="Q78" s="95">
        <f>IFERROR(VLOOKUP($A78,[5]qry_Whonnock_Species_Compositio!$A$1:$O$114,COLUMN([5]qry_Whonnock_Species_Compositio!O78), FALSE), "")</f>
        <v>0</v>
      </c>
      <c r="R78" s="96">
        <f t="shared" si="44"/>
        <v>0.38636363636363635</v>
      </c>
      <c r="S78" s="97">
        <f t="shared" si="45"/>
        <v>0.23404255319148937</v>
      </c>
      <c r="T78" s="98">
        <f t="shared" si="46"/>
        <v>0.30769230769230771</v>
      </c>
      <c r="U78" s="97">
        <f t="shared" si="47"/>
        <v>0</v>
      </c>
      <c r="V78" s="97">
        <f t="shared" si="48"/>
        <v>0</v>
      </c>
      <c r="W78" s="98">
        <f t="shared" si="49"/>
        <v>0</v>
      </c>
      <c r="X78" s="97">
        <f t="shared" si="50"/>
        <v>0.47727272727272729</v>
      </c>
      <c r="Y78" s="97">
        <f t="shared" si="51"/>
        <v>0.40425531914893614</v>
      </c>
      <c r="Z78" s="98">
        <f t="shared" si="52"/>
        <v>0.43956043956043955</v>
      </c>
      <c r="AA78" s="97">
        <f t="shared" si="53"/>
        <v>0.11363636363636363</v>
      </c>
      <c r="AB78" s="97">
        <f t="shared" si="54"/>
        <v>0.36170212765957449</v>
      </c>
      <c r="AC78" s="98">
        <f t="shared" si="55"/>
        <v>0.24175824175824176</v>
      </c>
      <c r="AD78" s="97">
        <f t="shared" si="56"/>
        <v>2.2727272727272728E-2</v>
      </c>
      <c r="AE78" s="97">
        <f t="shared" si="57"/>
        <v>0</v>
      </c>
      <c r="AF78" s="98">
        <f t="shared" si="58"/>
        <v>1.098901098901099E-2</v>
      </c>
      <c r="AG78" s="97">
        <f t="shared" si="59"/>
        <v>0</v>
      </c>
      <c r="AH78" s="97">
        <f t="shared" si="60"/>
        <v>0</v>
      </c>
      <c r="AI78" s="98">
        <f t="shared" si="61"/>
        <v>0</v>
      </c>
      <c r="AJ78" s="97">
        <f t="shared" si="62"/>
        <v>0</v>
      </c>
      <c r="AK78" s="97">
        <f t="shared" si="63"/>
        <v>0</v>
      </c>
      <c r="AL78" s="99">
        <f t="shared" si="64"/>
        <v>0</v>
      </c>
      <c r="AM78" s="100">
        <f t="shared" si="65"/>
        <v>28</v>
      </c>
      <c r="AN78" s="101">
        <f t="shared" si="74"/>
        <v>0.38636363636363635</v>
      </c>
      <c r="AO78" s="100">
        <f t="shared" si="66"/>
        <v>0</v>
      </c>
      <c r="AP78" s="101">
        <f t="shared" si="75"/>
        <v>0</v>
      </c>
      <c r="AQ78" s="100">
        <f t="shared" si="67"/>
        <v>40</v>
      </c>
      <c r="AR78" s="101">
        <f t="shared" si="76"/>
        <v>0.47727272727272729</v>
      </c>
      <c r="AS78" s="100">
        <f t="shared" si="68"/>
        <v>22</v>
      </c>
      <c r="AT78" s="101">
        <f t="shared" si="77"/>
        <v>0.11363636363636363</v>
      </c>
      <c r="AU78" s="100">
        <f t="shared" si="69"/>
        <v>1</v>
      </c>
      <c r="AV78" s="101">
        <f t="shared" si="78"/>
        <v>2.2727272727272728E-2</v>
      </c>
      <c r="AW78" s="100">
        <f t="shared" si="70"/>
        <v>0</v>
      </c>
      <c r="AX78" s="101">
        <f t="shared" si="79"/>
        <v>0</v>
      </c>
      <c r="AY78" s="100">
        <f t="shared" si="71"/>
        <v>0</v>
      </c>
      <c r="AZ78" s="101">
        <f t="shared" si="80"/>
        <v>0</v>
      </c>
      <c r="BA78" s="102">
        <f t="shared" si="72"/>
        <v>1</v>
      </c>
    </row>
    <row r="79" spans="1:53" x14ac:dyDescent="0.3">
      <c r="A79" s="92">
        <f>[4]SockEst!A80</f>
        <v>45166</v>
      </c>
      <c r="B79" s="93">
        <f>[4]SockEst!B80</f>
        <v>240</v>
      </c>
      <c r="C79" s="94" t="str">
        <f t="shared" si="73"/>
        <v>GG</v>
      </c>
      <c r="D79" s="95">
        <f>IFERROR(VLOOKUP($A79,[5]qry_Whonnock_Species_Compositio!$A$1:$O$114,COLUMN([5]qry_Whonnock_Species_Compositio!B79), FALSE), "")</f>
        <v>10</v>
      </c>
      <c r="E79" s="95">
        <f>IFERROR(VLOOKUP($A79,[5]qry_Whonnock_Species_Compositio!$A$1:$O$114,COLUMN([5]qry_Whonnock_Species_Compositio!C79), FALSE), "")</f>
        <v>6</v>
      </c>
      <c r="F79" s="95">
        <f>IFERROR(VLOOKUP($A79,[5]qry_Whonnock_Species_Compositio!$A$1:$O$114,COLUMN([5]qry_Whonnock_Species_Compositio!D79), FALSE), "")</f>
        <v>0</v>
      </c>
      <c r="G79" s="95">
        <f>IFERROR(VLOOKUP($A79,[5]qry_Whonnock_Species_Compositio!$A$1:$O$114,COLUMN([5]qry_Whonnock_Species_Compositio!E79), FALSE), "")</f>
        <v>0</v>
      </c>
      <c r="H79" s="95">
        <f>IFERROR(VLOOKUP($A79,[5]qry_Whonnock_Species_Compositio!$A$1:$O$114,COLUMN([5]qry_Whonnock_Species_Compositio!F79), FALSE), "")</f>
        <v>27</v>
      </c>
      <c r="I79" s="95">
        <f>IFERROR(VLOOKUP($A79,[5]qry_Whonnock_Species_Compositio!$A$1:$O$114,COLUMN([5]qry_Whonnock_Species_Compositio!G79), FALSE), "")</f>
        <v>33</v>
      </c>
      <c r="J79" s="95">
        <f>IFERROR(VLOOKUP($A79,[5]qry_Whonnock_Species_Compositio!$A$1:$O$114,COLUMN([5]qry_Whonnock_Species_Compositio!H79), FALSE), "")</f>
        <v>17</v>
      </c>
      <c r="K79" s="95">
        <f>IFERROR(VLOOKUP($A79,[5]qry_Whonnock_Species_Compositio!$A$1:$O$114,COLUMN([5]qry_Whonnock_Species_Compositio!I79), FALSE), "")</f>
        <v>8</v>
      </c>
      <c r="L79" s="95">
        <f>IFERROR(VLOOKUP($A79,[5]qry_Whonnock_Species_Compositio!$A$1:$O$114,COLUMN([5]qry_Whonnock_Species_Compositio!J79), FALSE), "")</f>
        <v>0</v>
      </c>
      <c r="M79" s="95">
        <f>IFERROR(VLOOKUP($A79,[5]qry_Whonnock_Species_Compositio!$A$1:$O$114,COLUMN([5]qry_Whonnock_Species_Compositio!K79), FALSE), "")</f>
        <v>1</v>
      </c>
      <c r="N79" s="95">
        <f>IFERROR(VLOOKUP($A79,[5]qry_Whonnock_Species_Compositio!$A$1:$O$114,COLUMN([5]qry_Whonnock_Species_Compositio!L79), FALSE), "")</f>
        <v>0</v>
      </c>
      <c r="O79" s="95">
        <f>IFERROR(VLOOKUP($A79,[5]qry_Whonnock_Species_Compositio!$A$1:$O$114,COLUMN([5]qry_Whonnock_Species_Compositio!M79), FALSE), "")</f>
        <v>0</v>
      </c>
      <c r="P79" s="95">
        <f>IFERROR(VLOOKUP($A79,[5]qry_Whonnock_Species_Compositio!$A$1:$O$114,COLUMN([5]qry_Whonnock_Species_Compositio!N79), FALSE), "")</f>
        <v>0</v>
      </c>
      <c r="Q79" s="95">
        <f>IFERROR(VLOOKUP($A79,[5]qry_Whonnock_Species_Compositio!$A$1:$O$114,COLUMN([5]qry_Whonnock_Species_Compositio!O79), FALSE), "")</f>
        <v>0</v>
      </c>
      <c r="R79" s="96">
        <f t="shared" si="44"/>
        <v>0.18518518518518517</v>
      </c>
      <c r="S79" s="97">
        <f t="shared" si="45"/>
        <v>0.125</v>
      </c>
      <c r="T79" s="98">
        <f t="shared" si="46"/>
        <v>0.15686274509803921</v>
      </c>
      <c r="U79" s="97">
        <f t="shared" si="47"/>
        <v>0</v>
      </c>
      <c r="V79" s="97">
        <f t="shared" si="48"/>
        <v>0</v>
      </c>
      <c r="W79" s="98">
        <f t="shared" si="49"/>
        <v>0</v>
      </c>
      <c r="X79" s="97">
        <f t="shared" si="50"/>
        <v>0.5</v>
      </c>
      <c r="Y79" s="97">
        <f t="shared" si="51"/>
        <v>0.6875</v>
      </c>
      <c r="Z79" s="98">
        <f t="shared" si="52"/>
        <v>0.58823529411764708</v>
      </c>
      <c r="AA79" s="97">
        <f t="shared" si="53"/>
        <v>0.31481481481481483</v>
      </c>
      <c r="AB79" s="97">
        <f t="shared" si="54"/>
        <v>0.16666666666666666</v>
      </c>
      <c r="AC79" s="98">
        <f t="shared" si="55"/>
        <v>0.24509803921568626</v>
      </c>
      <c r="AD79" s="97">
        <f t="shared" si="56"/>
        <v>0</v>
      </c>
      <c r="AE79" s="97">
        <f t="shared" si="57"/>
        <v>2.0833333333333332E-2</v>
      </c>
      <c r="AF79" s="98">
        <f t="shared" si="58"/>
        <v>9.8039215686274508E-3</v>
      </c>
      <c r="AG79" s="97">
        <f t="shared" si="59"/>
        <v>0</v>
      </c>
      <c r="AH79" s="97">
        <f t="shared" si="60"/>
        <v>0</v>
      </c>
      <c r="AI79" s="98">
        <f t="shared" si="61"/>
        <v>0</v>
      </c>
      <c r="AJ79" s="97">
        <f t="shared" si="62"/>
        <v>0</v>
      </c>
      <c r="AK79" s="97">
        <f t="shared" si="63"/>
        <v>0</v>
      </c>
      <c r="AL79" s="99">
        <f t="shared" si="64"/>
        <v>0</v>
      </c>
      <c r="AM79" s="100">
        <f t="shared" si="65"/>
        <v>16</v>
      </c>
      <c r="AN79" s="101">
        <f t="shared" si="74"/>
        <v>0.18518518518518517</v>
      </c>
      <c r="AO79" s="100">
        <f t="shared" si="66"/>
        <v>0</v>
      </c>
      <c r="AP79" s="101">
        <f t="shared" si="75"/>
        <v>0</v>
      </c>
      <c r="AQ79" s="100">
        <f t="shared" si="67"/>
        <v>60</v>
      </c>
      <c r="AR79" s="101">
        <f t="shared" si="76"/>
        <v>0.5</v>
      </c>
      <c r="AS79" s="100">
        <f t="shared" si="68"/>
        <v>25</v>
      </c>
      <c r="AT79" s="101">
        <f t="shared" si="77"/>
        <v>0.31481481481481483</v>
      </c>
      <c r="AU79" s="100">
        <f t="shared" si="69"/>
        <v>1</v>
      </c>
      <c r="AV79" s="101">
        <f t="shared" si="78"/>
        <v>0</v>
      </c>
      <c r="AW79" s="100">
        <f t="shared" si="70"/>
        <v>0</v>
      </c>
      <c r="AX79" s="101">
        <f t="shared" si="79"/>
        <v>0</v>
      </c>
      <c r="AY79" s="100">
        <f t="shared" si="71"/>
        <v>0</v>
      </c>
      <c r="AZ79" s="101">
        <f t="shared" si="80"/>
        <v>0</v>
      </c>
      <c r="BA79" s="102">
        <f t="shared" si="72"/>
        <v>1</v>
      </c>
    </row>
    <row r="80" spans="1:53" x14ac:dyDescent="0.3">
      <c r="A80" s="92">
        <f>[4]SockEst!A81</f>
        <v>45167</v>
      </c>
      <c r="B80" s="93">
        <f>[4]SockEst!B81</f>
        <v>241</v>
      </c>
      <c r="C80" s="94" t="str">
        <f t="shared" si="73"/>
        <v>GG</v>
      </c>
      <c r="D80" s="95">
        <f>IFERROR(VLOOKUP($A80,[5]qry_Whonnock_Species_Compositio!$A$1:$O$114,COLUMN([5]qry_Whonnock_Species_Compositio!B80), FALSE), "")</f>
        <v>14</v>
      </c>
      <c r="E80" s="95">
        <f>IFERROR(VLOOKUP($A80,[5]qry_Whonnock_Species_Compositio!$A$1:$O$114,COLUMN([5]qry_Whonnock_Species_Compositio!C80), FALSE), "")</f>
        <v>5</v>
      </c>
      <c r="F80" s="95">
        <f>IFERROR(VLOOKUP($A80,[5]qry_Whonnock_Species_Compositio!$A$1:$O$114,COLUMN([5]qry_Whonnock_Species_Compositio!D80), FALSE), "")</f>
        <v>0</v>
      </c>
      <c r="G80" s="95">
        <f>IFERROR(VLOOKUP($A80,[5]qry_Whonnock_Species_Compositio!$A$1:$O$114,COLUMN([5]qry_Whonnock_Species_Compositio!E80), FALSE), "")</f>
        <v>0</v>
      </c>
      <c r="H80" s="95">
        <f>IFERROR(VLOOKUP($A80,[5]qry_Whonnock_Species_Compositio!$A$1:$O$114,COLUMN([5]qry_Whonnock_Species_Compositio!F80), FALSE), "")</f>
        <v>31</v>
      </c>
      <c r="I80" s="95">
        <f>IFERROR(VLOOKUP($A80,[5]qry_Whonnock_Species_Compositio!$A$1:$O$114,COLUMN([5]qry_Whonnock_Species_Compositio!G80), FALSE), "")</f>
        <v>49</v>
      </c>
      <c r="J80" s="95">
        <f>IFERROR(VLOOKUP($A80,[5]qry_Whonnock_Species_Compositio!$A$1:$O$114,COLUMN([5]qry_Whonnock_Species_Compositio!H80), FALSE), "")</f>
        <v>9</v>
      </c>
      <c r="K80" s="95">
        <f>IFERROR(VLOOKUP($A80,[5]qry_Whonnock_Species_Compositio!$A$1:$O$114,COLUMN([5]qry_Whonnock_Species_Compositio!I80), FALSE), "")</f>
        <v>14</v>
      </c>
      <c r="L80" s="95">
        <f>IFERROR(VLOOKUP($A80,[5]qry_Whonnock_Species_Compositio!$A$1:$O$114,COLUMN([5]qry_Whonnock_Species_Compositio!J80), FALSE), "")</f>
        <v>0</v>
      </c>
      <c r="M80" s="95">
        <f>IFERROR(VLOOKUP($A80,[5]qry_Whonnock_Species_Compositio!$A$1:$O$114,COLUMN([5]qry_Whonnock_Species_Compositio!K80), FALSE), "")</f>
        <v>1</v>
      </c>
      <c r="N80" s="95">
        <f>IFERROR(VLOOKUP($A80,[5]qry_Whonnock_Species_Compositio!$A$1:$O$114,COLUMN([5]qry_Whonnock_Species_Compositio!L80), FALSE), "")</f>
        <v>0</v>
      </c>
      <c r="O80" s="95">
        <f>IFERROR(VLOOKUP($A80,[5]qry_Whonnock_Species_Compositio!$A$1:$O$114,COLUMN([5]qry_Whonnock_Species_Compositio!M80), FALSE), "")</f>
        <v>1</v>
      </c>
      <c r="P80" s="95">
        <f>IFERROR(VLOOKUP($A80,[5]qry_Whonnock_Species_Compositio!$A$1:$O$114,COLUMN([5]qry_Whonnock_Species_Compositio!N80), FALSE), "")</f>
        <v>0</v>
      </c>
      <c r="Q80" s="95">
        <f>IFERROR(VLOOKUP($A80,[5]qry_Whonnock_Species_Compositio!$A$1:$O$114,COLUMN([5]qry_Whonnock_Species_Compositio!O80), FALSE), "")</f>
        <v>0</v>
      </c>
      <c r="R80" s="96">
        <f t="shared" si="44"/>
        <v>0.25925925925925924</v>
      </c>
      <c r="S80" s="97">
        <f t="shared" si="45"/>
        <v>7.1428571428571425E-2</v>
      </c>
      <c r="T80" s="98">
        <f t="shared" si="46"/>
        <v>0.15322580645161291</v>
      </c>
      <c r="U80" s="97">
        <f t="shared" si="47"/>
        <v>0</v>
      </c>
      <c r="V80" s="97">
        <f t="shared" si="48"/>
        <v>0</v>
      </c>
      <c r="W80" s="98">
        <f t="shared" si="49"/>
        <v>0</v>
      </c>
      <c r="X80" s="97">
        <f t="shared" si="50"/>
        <v>0.57407407407407407</v>
      </c>
      <c r="Y80" s="97">
        <f t="shared" si="51"/>
        <v>0.7</v>
      </c>
      <c r="Z80" s="98">
        <f t="shared" si="52"/>
        <v>0.64516129032258063</v>
      </c>
      <c r="AA80" s="97">
        <f t="shared" si="53"/>
        <v>0.16666666666666666</v>
      </c>
      <c r="AB80" s="97">
        <f t="shared" si="54"/>
        <v>0.2</v>
      </c>
      <c r="AC80" s="98">
        <f t="shared" si="55"/>
        <v>0.18548387096774194</v>
      </c>
      <c r="AD80" s="97">
        <f t="shared" si="56"/>
        <v>0</v>
      </c>
      <c r="AE80" s="97">
        <f t="shared" si="57"/>
        <v>1.4285714285714285E-2</v>
      </c>
      <c r="AF80" s="98">
        <f t="shared" si="58"/>
        <v>8.0645161290322578E-3</v>
      </c>
      <c r="AG80" s="97">
        <f t="shared" si="59"/>
        <v>0</v>
      </c>
      <c r="AH80" s="97">
        <f t="shared" si="60"/>
        <v>1.4285714285714285E-2</v>
      </c>
      <c r="AI80" s="98">
        <f t="shared" si="61"/>
        <v>8.0645161290322578E-3</v>
      </c>
      <c r="AJ80" s="97">
        <f t="shared" si="62"/>
        <v>0</v>
      </c>
      <c r="AK80" s="97">
        <f t="shared" si="63"/>
        <v>0</v>
      </c>
      <c r="AL80" s="99">
        <f t="shared" si="64"/>
        <v>0</v>
      </c>
      <c r="AM80" s="100">
        <f t="shared" si="65"/>
        <v>19</v>
      </c>
      <c r="AN80" s="101">
        <f t="shared" si="74"/>
        <v>0.25925925925925924</v>
      </c>
      <c r="AO80" s="100">
        <f t="shared" si="66"/>
        <v>0</v>
      </c>
      <c r="AP80" s="101">
        <f t="shared" si="75"/>
        <v>0</v>
      </c>
      <c r="AQ80" s="100">
        <f t="shared" si="67"/>
        <v>80</v>
      </c>
      <c r="AR80" s="101">
        <f t="shared" si="76"/>
        <v>0.57407407407407407</v>
      </c>
      <c r="AS80" s="100">
        <f t="shared" si="68"/>
        <v>23</v>
      </c>
      <c r="AT80" s="101">
        <f t="shared" si="77"/>
        <v>0.16666666666666666</v>
      </c>
      <c r="AU80" s="100">
        <f t="shared" si="69"/>
        <v>1</v>
      </c>
      <c r="AV80" s="101">
        <f t="shared" si="78"/>
        <v>0</v>
      </c>
      <c r="AW80" s="100">
        <f t="shared" si="70"/>
        <v>1</v>
      </c>
      <c r="AX80" s="101">
        <f t="shared" si="79"/>
        <v>0</v>
      </c>
      <c r="AY80" s="100">
        <f t="shared" si="71"/>
        <v>0</v>
      </c>
      <c r="AZ80" s="101">
        <f t="shared" si="80"/>
        <v>0</v>
      </c>
      <c r="BA80" s="102">
        <f t="shared" si="72"/>
        <v>0.99999999999999989</v>
      </c>
    </row>
    <row r="81" spans="1:53" x14ac:dyDescent="0.3">
      <c r="A81" s="92">
        <f>[4]SockEst!A82</f>
        <v>45168</v>
      </c>
      <c r="B81" s="93">
        <f>[4]SockEst!B82</f>
        <v>242</v>
      </c>
      <c r="C81" s="94" t="str">
        <f t="shared" si="73"/>
        <v>GG</v>
      </c>
      <c r="D81" s="95">
        <f>IFERROR(VLOOKUP($A81,[5]qry_Whonnock_Species_Compositio!$A$1:$O$114,COLUMN([5]qry_Whonnock_Species_Compositio!B81), FALSE), "")</f>
        <v>12</v>
      </c>
      <c r="E81" s="95">
        <f>IFERROR(VLOOKUP($A81,[5]qry_Whonnock_Species_Compositio!$A$1:$O$114,COLUMN([5]qry_Whonnock_Species_Compositio!C81), FALSE), "")</f>
        <v>5</v>
      </c>
      <c r="F81" s="95">
        <f>IFERROR(VLOOKUP($A81,[5]qry_Whonnock_Species_Compositio!$A$1:$O$114,COLUMN([5]qry_Whonnock_Species_Compositio!D81), FALSE), "")</f>
        <v>0</v>
      </c>
      <c r="G81" s="95">
        <f>IFERROR(VLOOKUP($A81,[5]qry_Whonnock_Species_Compositio!$A$1:$O$114,COLUMN([5]qry_Whonnock_Species_Compositio!E81), FALSE), "")</f>
        <v>0</v>
      </c>
      <c r="H81" s="95">
        <f>IFERROR(VLOOKUP($A81,[5]qry_Whonnock_Species_Compositio!$A$1:$O$114,COLUMN([5]qry_Whonnock_Species_Compositio!F81), FALSE), "")</f>
        <v>45</v>
      </c>
      <c r="I81" s="95">
        <f>IFERROR(VLOOKUP($A81,[5]qry_Whonnock_Species_Compositio!$A$1:$O$114,COLUMN([5]qry_Whonnock_Species_Compositio!G81), FALSE), "")</f>
        <v>47</v>
      </c>
      <c r="J81" s="95">
        <f>IFERROR(VLOOKUP($A81,[5]qry_Whonnock_Species_Compositio!$A$1:$O$114,COLUMN([5]qry_Whonnock_Species_Compositio!H81), FALSE), "")</f>
        <v>10</v>
      </c>
      <c r="K81" s="95">
        <f>IFERROR(VLOOKUP($A81,[5]qry_Whonnock_Species_Compositio!$A$1:$O$114,COLUMN([5]qry_Whonnock_Species_Compositio!I81), FALSE), "")</f>
        <v>13</v>
      </c>
      <c r="L81" s="95">
        <f>IFERROR(VLOOKUP($A81,[5]qry_Whonnock_Species_Compositio!$A$1:$O$114,COLUMN([5]qry_Whonnock_Species_Compositio!J81), FALSE), "")</f>
        <v>0</v>
      </c>
      <c r="M81" s="95">
        <f>IFERROR(VLOOKUP($A81,[5]qry_Whonnock_Species_Compositio!$A$1:$O$114,COLUMN([5]qry_Whonnock_Species_Compositio!K81), FALSE), "")</f>
        <v>1</v>
      </c>
      <c r="N81" s="95">
        <f>IFERROR(VLOOKUP($A81,[5]qry_Whonnock_Species_Compositio!$A$1:$O$114,COLUMN([5]qry_Whonnock_Species_Compositio!L81), FALSE), "")</f>
        <v>0</v>
      </c>
      <c r="O81" s="95">
        <f>IFERROR(VLOOKUP($A81,[5]qry_Whonnock_Species_Compositio!$A$1:$O$114,COLUMN([5]qry_Whonnock_Species_Compositio!M81), FALSE), "")</f>
        <v>1</v>
      </c>
      <c r="P81" s="95">
        <f>IFERROR(VLOOKUP($A81,[5]qry_Whonnock_Species_Compositio!$A$1:$O$114,COLUMN([5]qry_Whonnock_Species_Compositio!N81), FALSE), "")</f>
        <v>0</v>
      </c>
      <c r="Q81" s="95">
        <f>IFERROR(VLOOKUP($A81,[5]qry_Whonnock_Species_Compositio!$A$1:$O$114,COLUMN([5]qry_Whonnock_Species_Compositio!O81), FALSE), "")</f>
        <v>0</v>
      </c>
      <c r="R81" s="96">
        <f t="shared" si="44"/>
        <v>0.17910447761194029</v>
      </c>
      <c r="S81" s="97">
        <f t="shared" si="45"/>
        <v>7.4626865671641784E-2</v>
      </c>
      <c r="T81" s="98">
        <f t="shared" si="46"/>
        <v>0.12686567164179105</v>
      </c>
      <c r="U81" s="97">
        <f t="shared" si="47"/>
        <v>0</v>
      </c>
      <c r="V81" s="97">
        <f t="shared" si="48"/>
        <v>0</v>
      </c>
      <c r="W81" s="98">
        <f t="shared" si="49"/>
        <v>0</v>
      </c>
      <c r="X81" s="97">
        <f t="shared" si="50"/>
        <v>0.67164179104477617</v>
      </c>
      <c r="Y81" s="97">
        <f t="shared" si="51"/>
        <v>0.70149253731343286</v>
      </c>
      <c r="Z81" s="98">
        <f t="shared" si="52"/>
        <v>0.68656716417910446</v>
      </c>
      <c r="AA81" s="97">
        <f t="shared" si="53"/>
        <v>0.14925373134328357</v>
      </c>
      <c r="AB81" s="97">
        <f t="shared" si="54"/>
        <v>0.19402985074626866</v>
      </c>
      <c r="AC81" s="98">
        <f t="shared" si="55"/>
        <v>0.17164179104477612</v>
      </c>
      <c r="AD81" s="97">
        <f t="shared" si="56"/>
        <v>0</v>
      </c>
      <c r="AE81" s="97">
        <f t="shared" si="57"/>
        <v>1.4925373134328358E-2</v>
      </c>
      <c r="AF81" s="98">
        <f t="shared" si="58"/>
        <v>7.462686567164179E-3</v>
      </c>
      <c r="AG81" s="97">
        <f t="shared" si="59"/>
        <v>0</v>
      </c>
      <c r="AH81" s="97">
        <f t="shared" si="60"/>
        <v>1.4925373134328358E-2</v>
      </c>
      <c r="AI81" s="98">
        <f t="shared" si="61"/>
        <v>7.462686567164179E-3</v>
      </c>
      <c r="AJ81" s="97">
        <f t="shared" si="62"/>
        <v>0</v>
      </c>
      <c r="AK81" s="97">
        <f t="shared" si="63"/>
        <v>0</v>
      </c>
      <c r="AL81" s="99">
        <f t="shared" si="64"/>
        <v>0</v>
      </c>
      <c r="AM81" s="100">
        <f t="shared" si="65"/>
        <v>17</v>
      </c>
      <c r="AN81" s="101">
        <f t="shared" si="74"/>
        <v>0.17910447761194029</v>
      </c>
      <c r="AO81" s="100">
        <f t="shared" si="66"/>
        <v>0</v>
      </c>
      <c r="AP81" s="101">
        <f t="shared" si="75"/>
        <v>0</v>
      </c>
      <c r="AQ81" s="100">
        <f t="shared" si="67"/>
        <v>92</v>
      </c>
      <c r="AR81" s="101">
        <f t="shared" si="76"/>
        <v>0.67164179104477617</v>
      </c>
      <c r="AS81" s="100">
        <f t="shared" si="68"/>
        <v>23</v>
      </c>
      <c r="AT81" s="101">
        <f t="shared" si="77"/>
        <v>0.14925373134328357</v>
      </c>
      <c r="AU81" s="100">
        <f t="shared" si="69"/>
        <v>1</v>
      </c>
      <c r="AV81" s="101">
        <f t="shared" si="78"/>
        <v>0</v>
      </c>
      <c r="AW81" s="100">
        <f t="shared" si="70"/>
        <v>1</v>
      </c>
      <c r="AX81" s="101">
        <f t="shared" si="79"/>
        <v>0</v>
      </c>
      <c r="AY81" s="100">
        <f t="shared" si="71"/>
        <v>0</v>
      </c>
      <c r="AZ81" s="101">
        <f t="shared" si="80"/>
        <v>0</v>
      </c>
      <c r="BA81" s="102">
        <f t="shared" si="72"/>
        <v>1</v>
      </c>
    </row>
    <row r="82" spans="1:53" x14ac:dyDescent="0.3">
      <c r="A82" s="92">
        <f>[4]SockEst!A83</f>
        <v>45169</v>
      </c>
      <c r="B82" s="93">
        <f>[4]SockEst!B83</f>
        <v>243</v>
      </c>
      <c r="C82" s="94" t="str">
        <f t="shared" si="73"/>
        <v>TTL</v>
      </c>
      <c r="D82" s="95">
        <f>IFERROR(VLOOKUP($A82,[5]qry_Whonnock_Species_Compositio!$A$1:$O$114,COLUMN([5]qry_Whonnock_Species_Compositio!B82), FALSE), "")</f>
        <v>7</v>
      </c>
      <c r="E82" s="95">
        <f>IFERROR(VLOOKUP($A82,[5]qry_Whonnock_Species_Compositio!$A$1:$O$114,COLUMN([5]qry_Whonnock_Species_Compositio!C82), FALSE), "")</f>
        <v>5</v>
      </c>
      <c r="F82" s="95">
        <f>IFERROR(VLOOKUP($A82,[5]qry_Whonnock_Species_Compositio!$A$1:$O$114,COLUMN([5]qry_Whonnock_Species_Compositio!D82), FALSE), "")</f>
        <v>0</v>
      </c>
      <c r="G82" s="95">
        <f>IFERROR(VLOOKUP($A82,[5]qry_Whonnock_Species_Compositio!$A$1:$O$114,COLUMN([5]qry_Whonnock_Species_Compositio!E82), FALSE), "")</f>
        <v>0</v>
      </c>
      <c r="H82" s="95">
        <f>IFERROR(VLOOKUP($A82,[5]qry_Whonnock_Species_Compositio!$A$1:$O$114,COLUMN([5]qry_Whonnock_Species_Compositio!F82), FALSE), "")</f>
        <v>16</v>
      </c>
      <c r="I82" s="95">
        <f>IFERROR(VLOOKUP($A82,[5]qry_Whonnock_Species_Compositio!$A$1:$O$114,COLUMN([5]qry_Whonnock_Species_Compositio!G82), FALSE), "")</f>
        <v>18</v>
      </c>
      <c r="J82" s="95">
        <f>IFERROR(VLOOKUP($A82,[5]qry_Whonnock_Species_Compositio!$A$1:$O$114,COLUMN([5]qry_Whonnock_Species_Compositio!H82), FALSE), "")</f>
        <v>14</v>
      </c>
      <c r="K82" s="95">
        <f>IFERROR(VLOOKUP($A82,[5]qry_Whonnock_Species_Compositio!$A$1:$O$114,COLUMN([5]qry_Whonnock_Species_Compositio!I82), FALSE), "")</f>
        <v>14</v>
      </c>
      <c r="L82" s="95">
        <f>IFERROR(VLOOKUP($A82,[5]qry_Whonnock_Species_Compositio!$A$1:$O$114,COLUMN([5]qry_Whonnock_Species_Compositio!J82), FALSE), "")</f>
        <v>1</v>
      </c>
      <c r="M82" s="95">
        <f>IFERROR(VLOOKUP($A82,[5]qry_Whonnock_Species_Compositio!$A$1:$O$114,COLUMN([5]qry_Whonnock_Species_Compositio!K82), FALSE), "")</f>
        <v>0</v>
      </c>
      <c r="N82" s="95">
        <f>IFERROR(VLOOKUP($A82,[5]qry_Whonnock_Species_Compositio!$A$1:$O$114,COLUMN([5]qry_Whonnock_Species_Compositio!L82), FALSE), "")</f>
        <v>1</v>
      </c>
      <c r="O82" s="95">
        <f>IFERROR(VLOOKUP($A82,[5]qry_Whonnock_Species_Compositio!$A$1:$O$114,COLUMN([5]qry_Whonnock_Species_Compositio!M82), FALSE), "")</f>
        <v>0</v>
      </c>
      <c r="P82" s="95">
        <f>IFERROR(VLOOKUP($A82,[5]qry_Whonnock_Species_Compositio!$A$1:$O$114,COLUMN([5]qry_Whonnock_Species_Compositio!N82), FALSE), "")</f>
        <v>0</v>
      </c>
      <c r="Q82" s="95">
        <f>IFERROR(VLOOKUP($A82,[5]qry_Whonnock_Species_Compositio!$A$1:$O$114,COLUMN([5]qry_Whonnock_Species_Compositio!O82), FALSE), "")</f>
        <v>0</v>
      </c>
      <c r="R82" s="96">
        <f t="shared" si="44"/>
        <v>0.17948717948717949</v>
      </c>
      <c r="S82" s="97">
        <f t="shared" si="45"/>
        <v>0.13513513513513514</v>
      </c>
      <c r="T82" s="98">
        <f t="shared" si="46"/>
        <v>0.15789473684210525</v>
      </c>
      <c r="U82" s="97">
        <f t="shared" si="47"/>
        <v>0</v>
      </c>
      <c r="V82" s="97">
        <f t="shared" si="48"/>
        <v>0</v>
      </c>
      <c r="W82" s="98">
        <f t="shared" si="49"/>
        <v>0</v>
      </c>
      <c r="X82" s="97">
        <f t="shared" si="50"/>
        <v>0.41025641025641024</v>
      </c>
      <c r="Y82" s="97">
        <f t="shared" si="51"/>
        <v>0.48648648648648651</v>
      </c>
      <c r="Z82" s="98">
        <f t="shared" si="52"/>
        <v>0.44736842105263158</v>
      </c>
      <c r="AA82" s="97">
        <f t="shared" si="53"/>
        <v>0.35897435897435898</v>
      </c>
      <c r="AB82" s="97">
        <f t="shared" si="54"/>
        <v>0.3783783783783784</v>
      </c>
      <c r="AC82" s="98">
        <f t="shared" si="55"/>
        <v>0.36842105263157893</v>
      </c>
      <c r="AD82" s="97">
        <f t="shared" si="56"/>
        <v>2.564102564102564E-2</v>
      </c>
      <c r="AE82" s="97">
        <f t="shared" si="57"/>
        <v>0</v>
      </c>
      <c r="AF82" s="98">
        <f t="shared" si="58"/>
        <v>1.3157894736842105E-2</v>
      </c>
      <c r="AG82" s="97">
        <f t="shared" si="59"/>
        <v>2.564102564102564E-2</v>
      </c>
      <c r="AH82" s="97">
        <f t="shared" si="60"/>
        <v>0</v>
      </c>
      <c r="AI82" s="98">
        <f t="shared" si="61"/>
        <v>1.3157894736842105E-2</v>
      </c>
      <c r="AJ82" s="97">
        <f t="shared" si="62"/>
        <v>0</v>
      </c>
      <c r="AK82" s="97">
        <f t="shared" si="63"/>
        <v>0</v>
      </c>
      <c r="AL82" s="99">
        <f t="shared" si="64"/>
        <v>0</v>
      </c>
      <c r="AM82" s="100">
        <f t="shared" si="65"/>
        <v>12</v>
      </c>
      <c r="AN82" s="101">
        <f t="shared" si="74"/>
        <v>0.15789473684210525</v>
      </c>
      <c r="AO82" s="100">
        <f t="shared" si="66"/>
        <v>0</v>
      </c>
      <c r="AP82" s="101">
        <f t="shared" si="75"/>
        <v>0</v>
      </c>
      <c r="AQ82" s="100">
        <f t="shared" si="67"/>
        <v>34</v>
      </c>
      <c r="AR82" s="101">
        <f t="shared" si="76"/>
        <v>0.44736842105263158</v>
      </c>
      <c r="AS82" s="100">
        <f t="shared" si="68"/>
        <v>28</v>
      </c>
      <c r="AT82" s="101">
        <f t="shared" si="77"/>
        <v>0.36842105263157893</v>
      </c>
      <c r="AU82" s="100">
        <f t="shared" si="69"/>
        <v>1</v>
      </c>
      <c r="AV82" s="101">
        <f t="shared" si="78"/>
        <v>1.3157894736842105E-2</v>
      </c>
      <c r="AW82" s="100">
        <f t="shared" si="70"/>
        <v>1</v>
      </c>
      <c r="AX82" s="101">
        <f t="shared" si="79"/>
        <v>1.3157894736842105E-2</v>
      </c>
      <c r="AY82" s="100">
        <f t="shared" si="71"/>
        <v>0</v>
      </c>
      <c r="AZ82" s="101">
        <f t="shared" si="80"/>
        <v>0</v>
      </c>
      <c r="BA82" s="102">
        <f t="shared" si="72"/>
        <v>1</v>
      </c>
    </row>
    <row r="83" spans="1:53" x14ac:dyDescent="0.3">
      <c r="A83" s="92">
        <f>[4]SockEst!A84</f>
        <v>45170</v>
      </c>
      <c r="B83" s="93">
        <f>[4]SockEst!B84</f>
        <v>244</v>
      </c>
      <c r="C83" s="94" t="str">
        <f t="shared" si="73"/>
        <v>TTL</v>
      </c>
      <c r="D83" s="95">
        <f>IFERROR(VLOOKUP($A83,[5]qry_Whonnock_Species_Compositio!$A$1:$O$114,COLUMN([5]qry_Whonnock_Species_Compositio!B83), FALSE), "")</f>
        <v>6</v>
      </c>
      <c r="E83" s="95">
        <f>IFERROR(VLOOKUP($A83,[5]qry_Whonnock_Species_Compositio!$A$1:$O$114,COLUMN([5]qry_Whonnock_Species_Compositio!C83), FALSE), "")</f>
        <v>2</v>
      </c>
      <c r="F83" s="95">
        <f>IFERROR(VLOOKUP($A83,[5]qry_Whonnock_Species_Compositio!$A$1:$O$114,COLUMN([5]qry_Whonnock_Species_Compositio!D83), FALSE), "")</f>
        <v>0</v>
      </c>
      <c r="G83" s="95">
        <f>IFERROR(VLOOKUP($A83,[5]qry_Whonnock_Species_Compositio!$A$1:$O$114,COLUMN([5]qry_Whonnock_Species_Compositio!E83), FALSE), "")</f>
        <v>0</v>
      </c>
      <c r="H83" s="95">
        <f>IFERROR(VLOOKUP($A83,[5]qry_Whonnock_Species_Compositio!$A$1:$O$114,COLUMN([5]qry_Whonnock_Species_Compositio!F83), FALSE), "")</f>
        <v>40</v>
      </c>
      <c r="I83" s="95">
        <f>IFERROR(VLOOKUP($A83,[5]qry_Whonnock_Species_Compositio!$A$1:$O$114,COLUMN([5]qry_Whonnock_Species_Compositio!G83), FALSE), "")</f>
        <v>48</v>
      </c>
      <c r="J83" s="95">
        <f>IFERROR(VLOOKUP($A83,[5]qry_Whonnock_Species_Compositio!$A$1:$O$114,COLUMN([5]qry_Whonnock_Species_Compositio!H83), FALSE), "")</f>
        <v>14</v>
      </c>
      <c r="K83" s="95">
        <f>IFERROR(VLOOKUP($A83,[5]qry_Whonnock_Species_Compositio!$A$1:$O$114,COLUMN([5]qry_Whonnock_Species_Compositio!I83), FALSE), "")</f>
        <v>22</v>
      </c>
      <c r="L83" s="95">
        <f>IFERROR(VLOOKUP($A83,[5]qry_Whonnock_Species_Compositio!$A$1:$O$114,COLUMN([5]qry_Whonnock_Species_Compositio!J83), FALSE), "")</f>
        <v>1</v>
      </c>
      <c r="M83" s="95">
        <f>IFERROR(VLOOKUP($A83,[5]qry_Whonnock_Species_Compositio!$A$1:$O$114,COLUMN([5]qry_Whonnock_Species_Compositio!K83), FALSE), "")</f>
        <v>0</v>
      </c>
      <c r="N83" s="95">
        <f>IFERROR(VLOOKUP($A83,[5]qry_Whonnock_Species_Compositio!$A$1:$O$114,COLUMN([5]qry_Whonnock_Species_Compositio!L83), FALSE), "")</f>
        <v>2</v>
      </c>
      <c r="O83" s="95">
        <f>IFERROR(VLOOKUP($A83,[5]qry_Whonnock_Species_Compositio!$A$1:$O$114,COLUMN([5]qry_Whonnock_Species_Compositio!M83), FALSE), "")</f>
        <v>0</v>
      </c>
      <c r="P83" s="95">
        <f>IFERROR(VLOOKUP($A83,[5]qry_Whonnock_Species_Compositio!$A$1:$O$114,COLUMN([5]qry_Whonnock_Species_Compositio!N83), FALSE), "")</f>
        <v>0</v>
      </c>
      <c r="Q83" s="95">
        <f>IFERROR(VLOOKUP($A83,[5]qry_Whonnock_Species_Compositio!$A$1:$O$114,COLUMN([5]qry_Whonnock_Species_Compositio!O83), FALSE), "")</f>
        <v>0</v>
      </c>
      <c r="R83" s="96">
        <f t="shared" si="44"/>
        <v>9.5238095238095233E-2</v>
      </c>
      <c r="S83" s="97">
        <f t="shared" si="45"/>
        <v>2.7777777777777776E-2</v>
      </c>
      <c r="T83" s="98">
        <f t="shared" si="46"/>
        <v>5.9259259259259262E-2</v>
      </c>
      <c r="U83" s="97">
        <f t="shared" si="47"/>
        <v>0</v>
      </c>
      <c r="V83" s="97">
        <f t="shared" si="48"/>
        <v>0</v>
      </c>
      <c r="W83" s="98">
        <f t="shared" si="49"/>
        <v>0</v>
      </c>
      <c r="X83" s="97">
        <f t="shared" si="50"/>
        <v>0.63492063492063489</v>
      </c>
      <c r="Y83" s="97">
        <f t="shared" si="51"/>
        <v>0.66666666666666663</v>
      </c>
      <c r="Z83" s="98">
        <f t="shared" si="52"/>
        <v>0.6518518518518519</v>
      </c>
      <c r="AA83" s="97">
        <f t="shared" si="53"/>
        <v>0.22222222222222221</v>
      </c>
      <c r="AB83" s="97">
        <f t="shared" si="54"/>
        <v>0.30555555555555558</v>
      </c>
      <c r="AC83" s="98">
        <f t="shared" si="55"/>
        <v>0.26666666666666666</v>
      </c>
      <c r="AD83" s="97">
        <f t="shared" si="56"/>
        <v>1.5873015873015872E-2</v>
      </c>
      <c r="AE83" s="97">
        <f t="shared" si="57"/>
        <v>0</v>
      </c>
      <c r="AF83" s="98">
        <f t="shared" si="58"/>
        <v>7.4074074074074077E-3</v>
      </c>
      <c r="AG83" s="97">
        <f t="shared" si="59"/>
        <v>3.1746031746031744E-2</v>
      </c>
      <c r="AH83" s="97">
        <f t="shared" si="60"/>
        <v>0</v>
      </c>
      <c r="AI83" s="98">
        <f t="shared" si="61"/>
        <v>1.4814814814814815E-2</v>
      </c>
      <c r="AJ83" s="97">
        <f t="shared" si="62"/>
        <v>0</v>
      </c>
      <c r="AK83" s="97">
        <f t="shared" si="63"/>
        <v>0</v>
      </c>
      <c r="AL83" s="99">
        <f t="shared" si="64"/>
        <v>0</v>
      </c>
      <c r="AM83" s="100">
        <f t="shared" si="65"/>
        <v>8</v>
      </c>
      <c r="AN83" s="101">
        <f t="shared" si="74"/>
        <v>5.9259259259259262E-2</v>
      </c>
      <c r="AO83" s="100">
        <f t="shared" si="66"/>
        <v>0</v>
      </c>
      <c r="AP83" s="101">
        <f t="shared" si="75"/>
        <v>0</v>
      </c>
      <c r="AQ83" s="100">
        <f t="shared" si="67"/>
        <v>88</v>
      </c>
      <c r="AR83" s="101">
        <f t="shared" si="76"/>
        <v>0.6518518518518519</v>
      </c>
      <c r="AS83" s="100">
        <f t="shared" si="68"/>
        <v>36</v>
      </c>
      <c r="AT83" s="101">
        <f t="shared" si="77"/>
        <v>0.26666666666666666</v>
      </c>
      <c r="AU83" s="100">
        <f t="shared" si="69"/>
        <v>1</v>
      </c>
      <c r="AV83" s="101">
        <f t="shared" si="78"/>
        <v>7.4074074074074077E-3</v>
      </c>
      <c r="AW83" s="100">
        <f t="shared" si="70"/>
        <v>2</v>
      </c>
      <c r="AX83" s="101">
        <f t="shared" si="79"/>
        <v>1.4814814814814815E-2</v>
      </c>
      <c r="AY83" s="100">
        <f t="shared" si="71"/>
        <v>0</v>
      </c>
      <c r="AZ83" s="101">
        <f t="shared" si="80"/>
        <v>0</v>
      </c>
      <c r="BA83" s="102">
        <f t="shared" si="72"/>
        <v>1</v>
      </c>
    </row>
    <row r="84" spans="1:53" x14ac:dyDescent="0.3">
      <c r="A84" s="92">
        <f>[4]SockEst!A85</f>
        <v>45171</v>
      </c>
      <c r="B84" s="93">
        <f>[4]SockEst!B85</f>
        <v>245</v>
      </c>
      <c r="C84" s="94" t="str">
        <f t="shared" si="73"/>
        <v>TTL</v>
      </c>
      <c r="D84" s="95">
        <f>IFERROR(VLOOKUP($A84,[5]qry_Whonnock_Species_Compositio!$A$1:$O$114,COLUMN([5]qry_Whonnock_Species_Compositio!B84), FALSE), "")</f>
        <v>7</v>
      </c>
      <c r="E84" s="95">
        <f>IFERROR(VLOOKUP($A84,[5]qry_Whonnock_Species_Compositio!$A$1:$O$114,COLUMN([5]qry_Whonnock_Species_Compositio!C84), FALSE), "")</f>
        <v>3</v>
      </c>
      <c r="F84" s="95">
        <f>IFERROR(VLOOKUP($A84,[5]qry_Whonnock_Species_Compositio!$A$1:$O$114,COLUMN([5]qry_Whonnock_Species_Compositio!D84), FALSE), "")</f>
        <v>0</v>
      </c>
      <c r="G84" s="95">
        <f>IFERROR(VLOOKUP($A84,[5]qry_Whonnock_Species_Compositio!$A$1:$O$114,COLUMN([5]qry_Whonnock_Species_Compositio!E84), FALSE), "")</f>
        <v>0</v>
      </c>
      <c r="H84" s="95">
        <f>IFERROR(VLOOKUP($A84,[5]qry_Whonnock_Species_Compositio!$A$1:$O$114,COLUMN([5]qry_Whonnock_Species_Compositio!F84), FALSE), "")</f>
        <v>75</v>
      </c>
      <c r="I84" s="95">
        <f>IFERROR(VLOOKUP($A84,[5]qry_Whonnock_Species_Compositio!$A$1:$O$114,COLUMN([5]qry_Whonnock_Species_Compositio!G84), FALSE), "")</f>
        <v>151</v>
      </c>
      <c r="J84" s="95">
        <f>IFERROR(VLOOKUP($A84,[5]qry_Whonnock_Species_Compositio!$A$1:$O$114,COLUMN([5]qry_Whonnock_Species_Compositio!H84), FALSE), "")</f>
        <v>16</v>
      </c>
      <c r="K84" s="95">
        <f>IFERROR(VLOOKUP($A84,[5]qry_Whonnock_Species_Compositio!$A$1:$O$114,COLUMN([5]qry_Whonnock_Species_Compositio!I84), FALSE), "")</f>
        <v>36</v>
      </c>
      <c r="L84" s="95">
        <f>IFERROR(VLOOKUP($A84,[5]qry_Whonnock_Species_Compositio!$A$1:$O$114,COLUMN([5]qry_Whonnock_Species_Compositio!J84), FALSE), "")</f>
        <v>3</v>
      </c>
      <c r="M84" s="95">
        <f>IFERROR(VLOOKUP($A84,[5]qry_Whonnock_Species_Compositio!$A$1:$O$114,COLUMN([5]qry_Whonnock_Species_Compositio!K84), FALSE), "")</f>
        <v>2</v>
      </c>
      <c r="N84" s="95">
        <f>IFERROR(VLOOKUP($A84,[5]qry_Whonnock_Species_Compositio!$A$1:$O$114,COLUMN([5]qry_Whonnock_Species_Compositio!L84), FALSE), "")</f>
        <v>1</v>
      </c>
      <c r="O84" s="95">
        <f>IFERROR(VLOOKUP($A84,[5]qry_Whonnock_Species_Compositio!$A$1:$O$114,COLUMN([5]qry_Whonnock_Species_Compositio!M84), FALSE), "")</f>
        <v>2</v>
      </c>
      <c r="P84" s="95">
        <f>IFERROR(VLOOKUP($A84,[5]qry_Whonnock_Species_Compositio!$A$1:$O$114,COLUMN([5]qry_Whonnock_Species_Compositio!N84), FALSE), "")</f>
        <v>0</v>
      </c>
      <c r="Q84" s="95">
        <f>IFERROR(VLOOKUP($A84,[5]qry_Whonnock_Species_Compositio!$A$1:$O$114,COLUMN([5]qry_Whonnock_Species_Compositio!O84), FALSE), "")</f>
        <v>0</v>
      </c>
      <c r="R84" s="96">
        <f t="shared" si="44"/>
        <v>6.8627450980392163E-2</v>
      </c>
      <c r="S84" s="97">
        <f t="shared" si="45"/>
        <v>1.5463917525773196E-2</v>
      </c>
      <c r="T84" s="98">
        <f t="shared" si="46"/>
        <v>3.3783783783783786E-2</v>
      </c>
      <c r="U84" s="97">
        <f t="shared" si="47"/>
        <v>0</v>
      </c>
      <c r="V84" s="97">
        <f t="shared" si="48"/>
        <v>0</v>
      </c>
      <c r="W84" s="98">
        <f t="shared" si="49"/>
        <v>0</v>
      </c>
      <c r="X84" s="97">
        <f t="shared" si="50"/>
        <v>0.73529411764705888</v>
      </c>
      <c r="Y84" s="97">
        <f t="shared" si="51"/>
        <v>0.77835051546391754</v>
      </c>
      <c r="Z84" s="98">
        <f t="shared" si="52"/>
        <v>0.76351351351351349</v>
      </c>
      <c r="AA84" s="97">
        <f t="shared" si="53"/>
        <v>0.15686274509803921</v>
      </c>
      <c r="AB84" s="97">
        <f t="shared" si="54"/>
        <v>0.18556701030927836</v>
      </c>
      <c r="AC84" s="98">
        <f t="shared" si="55"/>
        <v>0.17567567567567569</v>
      </c>
      <c r="AD84" s="97">
        <f t="shared" si="56"/>
        <v>2.9411764705882353E-2</v>
      </c>
      <c r="AE84" s="97">
        <f t="shared" si="57"/>
        <v>1.0309278350515464E-2</v>
      </c>
      <c r="AF84" s="98">
        <f t="shared" si="58"/>
        <v>1.6891891891891893E-2</v>
      </c>
      <c r="AG84" s="97">
        <f t="shared" si="59"/>
        <v>9.8039215686274508E-3</v>
      </c>
      <c r="AH84" s="97">
        <f t="shared" si="60"/>
        <v>1.0309278350515464E-2</v>
      </c>
      <c r="AI84" s="98">
        <f t="shared" si="61"/>
        <v>1.0135135135135136E-2</v>
      </c>
      <c r="AJ84" s="97">
        <f t="shared" si="62"/>
        <v>0</v>
      </c>
      <c r="AK84" s="97">
        <f t="shared" si="63"/>
        <v>0</v>
      </c>
      <c r="AL84" s="99">
        <f t="shared" si="64"/>
        <v>0</v>
      </c>
      <c r="AM84" s="100">
        <f t="shared" si="65"/>
        <v>10</v>
      </c>
      <c r="AN84" s="101">
        <f t="shared" si="74"/>
        <v>3.3783783783783786E-2</v>
      </c>
      <c r="AO84" s="100">
        <f t="shared" si="66"/>
        <v>0</v>
      </c>
      <c r="AP84" s="101">
        <f t="shared" si="75"/>
        <v>0</v>
      </c>
      <c r="AQ84" s="100">
        <f t="shared" si="67"/>
        <v>226</v>
      </c>
      <c r="AR84" s="101">
        <f t="shared" si="76"/>
        <v>0.76351351351351349</v>
      </c>
      <c r="AS84" s="100">
        <f t="shared" si="68"/>
        <v>52</v>
      </c>
      <c r="AT84" s="101">
        <f t="shared" si="77"/>
        <v>0.17567567567567569</v>
      </c>
      <c r="AU84" s="100">
        <f t="shared" si="69"/>
        <v>5</v>
      </c>
      <c r="AV84" s="101">
        <f t="shared" si="78"/>
        <v>1.6891891891891893E-2</v>
      </c>
      <c r="AW84" s="100">
        <f t="shared" si="70"/>
        <v>3</v>
      </c>
      <c r="AX84" s="101">
        <f t="shared" si="79"/>
        <v>1.0135135135135136E-2</v>
      </c>
      <c r="AY84" s="100">
        <f t="shared" si="71"/>
        <v>0</v>
      </c>
      <c r="AZ84" s="101">
        <f t="shared" si="80"/>
        <v>0</v>
      </c>
      <c r="BA84" s="102">
        <f t="shared" si="72"/>
        <v>0.99999999999999989</v>
      </c>
    </row>
    <row r="85" spans="1:53" x14ac:dyDescent="0.3">
      <c r="A85" s="92">
        <f>[4]SockEst!A86</f>
        <v>45172</v>
      </c>
      <c r="B85" s="93">
        <f>[4]SockEst!B86</f>
        <v>246</v>
      </c>
      <c r="C85" s="94" t="str">
        <f t="shared" si="73"/>
        <v>GG</v>
      </c>
      <c r="D85" s="95">
        <f>IFERROR(VLOOKUP($A85,[5]qry_Whonnock_Species_Compositio!$A$1:$O$114,COLUMN([5]qry_Whonnock_Species_Compositio!B85), FALSE), "")</f>
        <v>11</v>
      </c>
      <c r="E85" s="95">
        <f>IFERROR(VLOOKUP($A85,[5]qry_Whonnock_Species_Compositio!$A$1:$O$114,COLUMN([5]qry_Whonnock_Species_Compositio!C85), FALSE), "")</f>
        <v>9</v>
      </c>
      <c r="F85" s="95">
        <f>IFERROR(VLOOKUP($A85,[5]qry_Whonnock_Species_Compositio!$A$1:$O$114,COLUMN([5]qry_Whonnock_Species_Compositio!D85), FALSE), "")</f>
        <v>0</v>
      </c>
      <c r="G85" s="95">
        <f>IFERROR(VLOOKUP($A85,[5]qry_Whonnock_Species_Compositio!$A$1:$O$114,COLUMN([5]qry_Whonnock_Species_Compositio!E85), FALSE), "")</f>
        <v>0</v>
      </c>
      <c r="H85" s="95">
        <f>IFERROR(VLOOKUP($A85,[5]qry_Whonnock_Species_Compositio!$A$1:$O$114,COLUMN([5]qry_Whonnock_Species_Compositio!F85), FALSE), "")</f>
        <v>34</v>
      </c>
      <c r="I85" s="95">
        <f>IFERROR(VLOOKUP($A85,[5]qry_Whonnock_Species_Compositio!$A$1:$O$114,COLUMN([5]qry_Whonnock_Species_Compositio!G85), FALSE), "")</f>
        <v>84</v>
      </c>
      <c r="J85" s="95">
        <f>IFERROR(VLOOKUP($A85,[5]qry_Whonnock_Species_Compositio!$A$1:$O$114,COLUMN([5]qry_Whonnock_Species_Compositio!H85), FALSE), "")</f>
        <v>24</v>
      </c>
      <c r="K85" s="95">
        <f>IFERROR(VLOOKUP($A85,[5]qry_Whonnock_Species_Compositio!$A$1:$O$114,COLUMN([5]qry_Whonnock_Species_Compositio!I85), FALSE), "")</f>
        <v>38</v>
      </c>
      <c r="L85" s="95">
        <f>IFERROR(VLOOKUP($A85,[5]qry_Whonnock_Species_Compositio!$A$1:$O$114,COLUMN([5]qry_Whonnock_Species_Compositio!J85), FALSE), "")</f>
        <v>0</v>
      </c>
      <c r="M85" s="95">
        <f>IFERROR(VLOOKUP($A85,[5]qry_Whonnock_Species_Compositio!$A$1:$O$114,COLUMN([5]qry_Whonnock_Species_Compositio!K85), FALSE), "")</f>
        <v>1</v>
      </c>
      <c r="N85" s="95">
        <f>IFERROR(VLOOKUP($A85,[5]qry_Whonnock_Species_Compositio!$A$1:$O$114,COLUMN([5]qry_Whonnock_Species_Compositio!L85), FALSE), "")</f>
        <v>2</v>
      </c>
      <c r="O85" s="95">
        <f>IFERROR(VLOOKUP($A85,[5]qry_Whonnock_Species_Compositio!$A$1:$O$114,COLUMN([5]qry_Whonnock_Species_Compositio!M85), FALSE), "")</f>
        <v>2</v>
      </c>
      <c r="P85" s="95">
        <f>IFERROR(VLOOKUP($A85,[5]qry_Whonnock_Species_Compositio!$A$1:$O$114,COLUMN([5]qry_Whonnock_Species_Compositio!N85), FALSE), "")</f>
        <v>0</v>
      </c>
      <c r="Q85" s="95">
        <f>IFERROR(VLOOKUP($A85,[5]qry_Whonnock_Species_Compositio!$A$1:$O$114,COLUMN([5]qry_Whonnock_Species_Compositio!O85), FALSE), "")</f>
        <v>0</v>
      </c>
      <c r="R85" s="96">
        <f t="shared" si="44"/>
        <v>0.15492957746478872</v>
      </c>
      <c r="S85" s="97">
        <f t="shared" si="45"/>
        <v>6.7164179104477612E-2</v>
      </c>
      <c r="T85" s="98">
        <f t="shared" si="46"/>
        <v>9.7560975609756101E-2</v>
      </c>
      <c r="U85" s="97">
        <f t="shared" si="47"/>
        <v>0</v>
      </c>
      <c r="V85" s="97">
        <f t="shared" si="48"/>
        <v>0</v>
      </c>
      <c r="W85" s="98">
        <f t="shared" si="49"/>
        <v>0</v>
      </c>
      <c r="X85" s="97">
        <f t="shared" si="50"/>
        <v>0.47887323943661969</v>
      </c>
      <c r="Y85" s="97">
        <f t="shared" si="51"/>
        <v>0.62686567164179108</v>
      </c>
      <c r="Z85" s="98">
        <f t="shared" si="52"/>
        <v>0.57560975609756093</v>
      </c>
      <c r="AA85" s="97">
        <f t="shared" si="53"/>
        <v>0.3380281690140845</v>
      </c>
      <c r="AB85" s="97">
        <f t="shared" si="54"/>
        <v>0.28358208955223879</v>
      </c>
      <c r="AC85" s="98">
        <f t="shared" si="55"/>
        <v>0.30243902439024389</v>
      </c>
      <c r="AD85" s="97">
        <f t="shared" si="56"/>
        <v>0</v>
      </c>
      <c r="AE85" s="97">
        <f t="shared" si="57"/>
        <v>7.462686567164179E-3</v>
      </c>
      <c r="AF85" s="98">
        <f t="shared" si="58"/>
        <v>4.8780487804878049E-3</v>
      </c>
      <c r="AG85" s="97">
        <f t="shared" si="59"/>
        <v>2.8169014084507043E-2</v>
      </c>
      <c r="AH85" s="97">
        <f t="shared" si="60"/>
        <v>1.4925373134328358E-2</v>
      </c>
      <c r="AI85" s="98">
        <f t="shared" si="61"/>
        <v>1.9512195121951219E-2</v>
      </c>
      <c r="AJ85" s="97">
        <f t="shared" si="62"/>
        <v>0</v>
      </c>
      <c r="AK85" s="97">
        <f t="shared" si="63"/>
        <v>0</v>
      </c>
      <c r="AL85" s="99">
        <f t="shared" si="64"/>
        <v>0</v>
      </c>
      <c r="AM85" s="100">
        <f t="shared" si="65"/>
        <v>20</v>
      </c>
      <c r="AN85" s="101">
        <f t="shared" si="74"/>
        <v>0.15492957746478872</v>
      </c>
      <c r="AO85" s="100">
        <f t="shared" si="66"/>
        <v>0</v>
      </c>
      <c r="AP85" s="101">
        <f t="shared" si="75"/>
        <v>0</v>
      </c>
      <c r="AQ85" s="100">
        <f t="shared" si="67"/>
        <v>118</v>
      </c>
      <c r="AR85" s="101">
        <f t="shared" si="76"/>
        <v>0.47887323943661969</v>
      </c>
      <c r="AS85" s="100">
        <f t="shared" si="68"/>
        <v>62</v>
      </c>
      <c r="AT85" s="101">
        <f t="shared" si="77"/>
        <v>0.3380281690140845</v>
      </c>
      <c r="AU85" s="100">
        <f t="shared" si="69"/>
        <v>1</v>
      </c>
      <c r="AV85" s="101">
        <f t="shared" si="78"/>
        <v>0</v>
      </c>
      <c r="AW85" s="100">
        <f t="shared" si="70"/>
        <v>4</v>
      </c>
      <c r="AX85" s="101">
        <f t="shared" si="79"/>
        <v>2.8169014084507043E-2</v>
      </c>
      <c r="AY85" s="100">
        <f t="shared" si="71"/>
        <v>0</v>
      </c>
      <c r="AZ85" s="101">
        <f t="shared" si="80"/>
        <v>0</v>
      </c>
      <c r="BA85" s="102">
        <f t="shared" si="72"/>
        <v>0.99999999999999989</v>
      </c>
    </row>
    <row r="86" spans="1:53" x14ac:dyDescent="0.3">
      <c r="A86" s="92">
        <f>[4]SockEst!A87</f>
        <v>45173</v>
      </c>
      <c r="B86" s="93">
        <f>[4]SockEst!B87</f>
        <v>247</v>
      </c>
      <c r="C86" s="94" t="str">
        <f t="shared" si="73"/>
        <v>TTL</v>
      </c>
      <c r="D86" s="95">
        <f>IFERROR(VLOOKUP($A86,[5]qry_Whonnock_Species_Compositio!$A$1:$O$114,COLUMN([5]qry_Whonnock_Species_Compositio!B86), FALSE), "")</f>
        <v>4</v>
      </c>
      <c r="E86" s="95">
        <f>IFERROR(VLOOKUP($A86,[5]qry_Whonnock_Species_Compositio!$A$1:$O$114,COLUMN([5]qry_Whonnock_Species_Compositio!C86), FALSE), "")</f>
        <v>4</v>
      </c>
      <c r="F86" s="95">
        <f>IFERROR(VLOOKUP($A86,[5]qry_Whonnock_Species_Compositio!$A$1:$O$114,COLUMN([5]qry_Whonnock_Species_Compositio!D86), FALSE), "")</f>
        <v>0</v>
      </c>
      <c r="G86" s="95">
        <f>IFERROR(VLOOKUP($A86,[5]qry_Whonnock_Species_Compositio!$A$1:$O$114,COLUMN([5]qry_Whonnock_Species_Compositio!E86), FALSE), "")</f>
        <v>0</v>
      </c>
      <c r="H86" s="95">
        <f>IFERROR(VLOOKUP($A86,[5]qry_Whonnock_Species_Compositio!$A$1:$O$114,COLUMN([5]qry_Whonnock_Species_Compositio!F86), FALSE), "")</f>
        <v>48</v>
      </c>
      <c r="I86" s="95">
        <f>IFERROR(VLOOKUP($A86,[5]qry_Whonnock_Species_Compositio!$A$1:$O$114,COLUMN([5]qry_Whonnock_Species_Compositio!G86), FALSE), "")</f>
        <v>117</v>
      </c>
      <c r="J86" s="95">
        <f>IFERROR(VLOOKUP($A86,[5]qry_Whonnock_Species_Compositio!$A$1:$O$114,COLUMN([5]qry_Whonnock_Species_Compositio!H86), FALSE), "")</f>
        <v>10</v>
      </c>
      <c r="K86" s="95">
        <f>IFERROR(VLOOKUP($A86,[5]qry_Whonnock_Species_Compositio!$A$1:$O$114,COLUMN([5]qry_Whonnock_Species_Compositio!I86), FALSE), "")</f>
        <v>12</v>
      </c>
      <c r="L86" s="95">
        <f>IFERROR(VLOOKUP($A86,[5]qry_Whonnock_Species_Compositio!$A$1:$O$114,COLUMN([5]qry_Whonnock_Species_Compositio!J86), FALSE), "")</f>
        <v>0</v>
      </c>
      <c r="M86" s="95">
        <f>IFERROR(VLOOKUP($A86,[5]qry_Whonnock_Species_Compositio!$A$1:$O$114,COLUMN([5]qry_Whonnock_Species_Compositio!K86), FALSE), "")</f>
        <v>0</v>
      </c>
      <c r="N86" s="95">
        <f>IFERROR(VLOOKUP($A86,[5]qry_Whonnock_Species_Compositio!$A$1:$O$114,COLUMN([5]qry_Whonnock_Species_Compositio!L86), FALSE), "")</f>
        <v>1</v>
      </c>
      <c r="O86" s="95">
        <f>IFERROR(VLOOKUP($A86,[5]qry_Whonnock_Species_Compositio!$A$1:$O$114,COLUMN([5]qry_Whonnock_Species_Compositio!M86), FALSE), "")</f>
        <v>1</v>
      </c>
      <c r="P86" s="95">
        <f>IFERROR(VLOOKUP($A86,[5]qry_Whonnock_Species_Compositio!$A$1:$O$114,COLUMN([5]qry_Whonnock_Species_Compositio!N86), FALSE), "")</f>
        <v>0</v>
      </c>
      <c r="Q86" s="95">
        <f>IFERROR(VLOOKUP($A86,[5]qry_Whonnock_Species_Compositio!$A$1:$O$114,COLUMN([5]qry_Whonnock_Species_Compositio!O86), FALSE), "")</f>
        <v>0</v>
      </c>
      <c r="R86" s="96">
        <f t="shared" si="44"/>
        <v>6.3492063492063489E-2</v>
      </c>
      <c r="S86" s="97">
        <f t="shared" si="45"/>
        <v>2.9850746268656716E-2</v>
      </c>
      <c r="T86" s="98">
        <f t="shared" si="46"/>
        <v>4.060913705583756E-2</v>
      </c>
      <c r="U86" s="97">
        <f t="shared" si="47"/>
        <v>0</v>
      </c>
      <c r="V86" s="97">
        <f t="shared" si="48"/>
        <v>0</v>
      </c>
      <c r="W86" s="98">
        <f t="shared" si="49"/>
        <v>0</v>
      </c>
      <c r="X86" s="97">
        <f t="shared" si="50"/>
        <v>0.76190476190476186</v>
      </c>
      <c r="Y86" s="97">
        <f t="shared" si="51"/>
        <v>0.87313432835820892</v>
      </c>
      <c r="Z86" s="98">
        <f t="shared" si="52"/>
        <v>0.8375634517766497</v>
      </c>
      <c r="AA86" s="97">
        <f t="shared" si="53"/>
        <v>0.15873015873015872</v>
      </c>
      <c r="AB86" s="97">
        <f t="shared" si="54"/>
        <v>8.9552238805970144E-2</v>
      </c>
      <c r="AC86" s="98">
        <f t="shared" si="55"/>
        <v>0.1116751269035533</v>
      </c>
      <c r="AD86" s="97">
        <f t="shared" si="56"/>
        <v>0</v>
      </c>
      <c r="AE86" s="97">
        <f t="shared" si="57"/>
        <v>0</v>
      </c>
      <c r="AF86" s="98">
        <f t="shared" si="58"/>
        <v>0</v>
      </c>
      <c r="AG86" s="97">
        <f t="shared" si="59"/>
        <v>1.5873015873015872E-2</v>
      </c>
      <c r="AH86" s="97">
        <f t="shared" si="60"/>
        <v>7.462686567164179E-3</v>
      </c>
      <c r="AI86" s="98">
        <f t="shared" si="61"/>
        <v>1.015228426395939E-2</v>
      </c>
      <c r="AJ86" s="97">
        <f t="shared" si="62"/>
        <v>0</v>
      </c>
      <c r="AK86" s="97">
        <f t="shared" si="63"/>
        <v>0</v>
      </c>
      <c r="AL86" s="99">
        <f t="shared" si="64"/>
        <v>0</v>
      </c>
      <c r="AM86" s="100">
        <f t="shared" si="65"/>
        <v>8</v>
      </c>
      <c r="AN86" s="101">
        <f t="shared" si="74"/>
        <v>4.060913705583756E-2</v>
      </c>
      <c r="AO86" s="100">
        <f t="shared" si="66"/>
        <v>0</v>
      </c>
      <c r="AP86" s="101">
        <f t="shared" si="75"/>
        <v>0</v>
      </c>
      <c r="AQ86" s="100">
        <f t="shared" si="67"/>
        <v>165</v>
      </c>
      <c r="AR86" s="101">
        <f t="shared" si="76"/>
        <v>0.8375634517766497</v>
      </c>
      <c r="AS86" s="100">
        <f t="shared" si="68"/>
        <v>22</v>
      </c>
      <c r="AT86" s="101">
        <f t="shared" si="77"/>
        <v>0.1116751269035533</v>
      </c>
      <c r="AU86" s="100">
        <f t="shared" si="69"/>
        <v>0</v>
      </c>
      <c r="AV86" s="101">
        <f t="shared" si="78"/>
        <v>0</v>
      </c>
      <c r="AW86" s="100">
        <f t="shared" si="70"/>
        <v>2</v>
      </c>
      <c r="AX86" s="101">
        <f t="shared" si="79"/>
        <v>1.015228426395939E-2</v>
      </c>
      <c r="AY86" s="100">
        <f t="shared" si="71"/>
        <v>0</v>
      </c>
      <c r="AZ86" s="101">
        <f t="shared" si="80"/>
        <v>0</v>
      </c>
      <c r="BA86" s="102">
        <f t="shared" si="72"/>
        <v>1</v>
      </c>
    </row>
    <row r="87" spans="1:53" x14ac:dyDescent="0.3">
      <c r="A87" s="92">
        <f>[4]SockEst!A88</f>
        <v>45174</v>
      </c>
      <c r="B87" s="93">
        <f>[4]SockEst!B88</f>
        <v>248</v>
      </c>
      <c r="C87" s="94" t="str">
        <f t="shared" si="73"/>
        <v>GG</v>
      </c>
      <c r="D87" s="95">
        <f>IFERROR(VLOOKUP($A87,[5]qry_Whonnock_Species_Compositio!$A$1:$O$114,COLUMN([5]qry_Whonnock_Species_Compositio!B87), FALSE), "")</f>
        <v>16</v>
      </c>
      <c r="E87" s="95">
        <f>IFERROR(VLOOKUP($A87,[5]qry_Whonnock_Species_Compositio!$A$1:$O$114,COLUMN([5]qry_Whonnock_Species_Compositio!C87), FALSE), "")</f>
        <v>11</v>
      </c>
      <c r="F87" s="95">
        <f>IFERROR(VLOOKUP($A87,[5]qry_Whonnock_Species_Compositio!$A$1:$O$114,COLUMN([5]qry_Whonnock_Species_Compositio!D87), FALSE), "")</f>
        <v>0</v>
      </c>
      <c r="G87" s="95">
        <f>IFERROR(VLOOKUP($A87,[5]qry_Whonnock_Species_Compositio!$A$1:$O$114,COLUMN([5]qry_Whonnock_Species_Compositio!E87), FALSE), "")</f>
        <v>0</v>
      </c>
      <c r="H87" s="95">
        <f>IFERROR(VLOOKUP($A87,[5]qry_Whonnock_Species_Compositio!$A$1:$O$114,COLUMN([5]qry_Whonnock_Species_Compositio!F87), FALSE), "")</f>
        <v>14</v>
      </c>
      <c r="I87" s="95">
        <f>IFERROR(VLOOKUP($A87,[5]qry_Whonnock_Species_Compositio!$A$1:$O$114,COLUMN([5]qry_Whonnock_Species_Compositio!G87), FALSE), "")</f>
        <v>59</v>
      </c>
      <c r="J87" s="95">
        <f>IFERROR(VLOOKUP($A87,[5]qry_Whonnock_Species_Compositio!$A$1:$O$114,COLUMN([5]qry_Whonnock_Species_Compositio!H87), FALSE), "")</f>
        <v>6</v>
      </c>
      <c r="K87" s="95">
        <f>IFERROR(VLOOKUP($A87,[5]qry_Whonnock_Species_Compositio!$A$1:$O$114,COLUMN([5]qry_Whonnock_Species_Compositio!I87), FALSE), "")</f>
        <v>21</v>
      </c>
      <c r="L87" s="95">
        <f>IFERROR(VLOOKUP($A87,[5]qry_Whonnock_Species_Compositio!$A$1:$O$114,COLUMN([5]qry_Whonnock_Species_Compositio!J87), FALSE), "")</f>
        <v>0</v>
      </c>
      <c r="M87" s="95">
        <f>IFERROR(VLOOKUP($A87,[5]qry_Whonnock_Species_Compositio!$A$1:$O$114,COLUMN([5]qry_Whonnock_Species_Compositio!K87), FALSE), "")</f>
        <v>0</v>
      </c>
      <c r="N87" s="95">
        <f>IFERROR(VLOOKUP($A87,[5]qry_Whonnock_Species_Compositio!$A$1:$O$114,COLUMN([5]qry_Whonnock_Species_Compositio!L87), FALSE), "")</f>
        <v>0</v>
      </c>
      <c r="O87" s="95">
        <f>IFERROR(VLOOKUP($A87,[5]qry_Whonnock_Species_Compositio!$A$1:$O$114,COLUMN([5]qry_Whonnock_Species_Compositio!M87), FALSE), "")</f>
        <v>2</v>
      </c>
      <c r="P87" s="95">
        <f>IFERROR(VLOOKUP($A87,[5]qry_Whonnock_Species_Compositio!$A$1:$O$114,COLUMN([5]qry_Whonnock_Species_Compositio!N87), FALSE), "")</f>
        <v>0</v>
      </c>
      <c r="Q87" s="95">
        <f>IFERROR(VLOOKUP($A87,[5]qry_Whonnock_Species_Compositio!$A$1:$O$114,COLUMN([5]qry_Whonnock_Species_Compositio!O87), FALSE), "")</f>
        <v>0</v>
      </c>
      <c r="R87" s="96">
        <f t="shared" si="44"/>
        <v>0.44444444444444442</v>
      </c>
      <c r="S87" s="97">
        <f t="shared" si="45"/>
        <v>0.11827956989247312</v>
      </c>
      <c r="T87" s="98">
        <f t="shared" si="46"/>
        <v>0.20930232558139536</v>
      </c>
      <c r="U87" s="97">
        <f t="shared" si="47"/>
        <v>0</v>
      </c>
      <c r="V87" s="97">
        <f t="shared" si="48"/>
        <v>0</v>
      </c>
      <c r="W87" s="98">
        <f t="shared" si="49"/>
        <v>0</v>
      </c>
      <c r="X87" s="97">
        <f t="shared" si="50"/>
        <v>0.3888888888888889</v>
      </c>
      <c r="Y87" s="97">
        <f t="shared" si="51"/>
        <v>0.63440860215053763</v>
      </c>
      <c r="Z87" s="98">
        <f t="shared" si="52"/>
        <v>0.56589147286821706</v>
      </c>
      <c r="AA87" s="97">
        <f t="shared" si="53"/>
        <v>0.16666666666666666</v>
      </c>
      <c r="AB87" s="97">
        <f t="shared" si="54"/>
        <v>0.22580645161290322</v>
      </c>
      <c r="AC87" s="98">
        <f t="shared" si="55"/>
        <v>0.20930232558139536</v>
      </c>
      <c r="AD87" s="97">
        <f t="shared" si="56"/>
        <v>0</v>
      </c>
      <c r="AE87" s="97">
        <f t="shared" si="57"/>
        <v>0</v>
      </c>
      <c r="AF87" s="98">
        <f t="shared" si="58"/>
        <v>0</v>
      </c>
      <c r="AG87" s="97">
        <f t="shared" si="59"/>
        <v>0</v>
      </c>
      <c r="AH87" s="97">
        <f t="shared" si="60"/>
        <v>2.1505376344086023E-2</v>
      </c>
      <c r="AI87" s="98">
        <f t="shared" si="61"/>
        <v>1.5503875968992248E-2</v>
      </c>
      <c r="AJ87" s="97">
        <f t="shared" si="62"/>
        <v>0</v>
      </c>
      <c r="AK87" s="104">
        <f t="shared" si="63"/>
        <v>0</v>
      </c>
      <c r="AL87" s="105">
        <f>IF(AND(P87="",Q87=""),"",IF(SUM($D87:$Q87)=0,0,SUM($P87:$Q87)/SUM($D87:$Q87)))</f>
        <v>0</v>
      </c>
      <c r="AM87" s="100">
        <f t="shared" si="65"/>
        <v>27</v>
      </c>
      <c r="AN87" s="101">
        <f t="shared" si="74"/>
        <v>0.44444444444444442</v>
      </c>
      <c r="AO87" s="100">
        <f t="shared" si="66"/>
        <v>0</v>
      </c>
      <c r="AP87" s="101">
        <f t="shared" si="75"/>
        <v>0</v>
      </c>
      <c r="AQ87" s="100">
        <f t="shared" si="67"/>
        <v>73</v>
      </c>
      <c r="AR87" s="101">
        <f t="shared" si="76"/>
        <v>0.3888888888888889</v>
      </c>
      <c r="AS87" s="100">
        <f t="shared" si="68"/>
        <v>27</v>
      </c>
      <c r="AT87" s="101">
        <f t="shared" si="77"/>
        <v>0.16666666666666666</v>
      </c>
      <c r="AU87" s="100">
        <f t="shared" si="69"/>
        <v>0</v>
      </c>
      <c r="AV87" s="101">
        <f t="shared" si="78"/>
        <v>0</v>
      </c>
      <c r="AW87" s="100">
        <f t="shared" si="70"/>
        <v>2</v>
      </c>
      <c r="AX87" s="106">
        <f t="shared" si="79"/>
        <v>0</v>
      </c>
      <c r="AY87" s="100">
        <f t="shared" si="71"/>
        <v>0</v>
      </c>
      <c r="AZ87" s="106">
        <f>IF($AM87&lt;15,AL87,AJ87)</f>
        <v>0</v>
      </c>
      <c r="BA87" s="102">
        <f t="shared" si="72"/>
        <v>0.99999999999999989</v>
      </c>
    </row>
    <row r="88" spans="1:53" x14ac:dyDescent="0.3">
      <c r="A88" s="92">
        <f>[4]SockEst!A89</f>
        <v>45175</v>
      </c>
      <c r="B88" s="93">
        <f>[4]SockEst!B89</f>
        <v>249</v>
      </c>
      <c r="C88" s="94" t="str">
        <f t="shared" si="73"/>
        <v>GG</v>
      </c>
      <c r="D88" s="95">
        <f>IFERROR(VLOOKUP($A88,[5]qry_Whonnock_Species_Compositio!$A$1:$O$114,COLUMN([5]qry_Whonnock_Species_Compositio!B88), FALSE), "")</f>
        <v>9</v>
      </c>
      <c r="E88" s="95">
        <f>IFERROR(VLOOKUP($A88,[5]qry_Whonnock_Species_Compositio!$A$1:$O$114,COLUMN([5]qry_Whonnock_Species_Compositio!C88), FALSE), "")</f>
        <v>8</v>
      </c>
      <c r="F88" s="95">
        <f>IFERROR(VLOOKUP($A88,[5]qry_Whonnock_Species_Compositio!$A$1:$O$114,COLUMN([5]qry_Whonnock_Species_Compositio!D88), FALSE), "")</f>
        <v>0</v>
      </c>
      <c r="G88" s="95">
        <f>IFERROR(VLOOKUP($A88,[5]qry_Whonnock_Species_Compositio!$A$1:$O$114,COLUMN([5]qry_Whonnock_Species_Compositio!E88), FALSE), "")</f>
        <v>0</v>
      </c>
      <c r="H88" s="95">
        <f>IFERROR(VLOOKUP($A88,[5]qry_Whonnock_Species_Compositio!$A$1:$O$114,COLUMN([5]qry_Whonnock_Species_Compositio!F88), FALSE), "")</f>
        <v>15</v>
      </c>
      <c r="I88" s="95">
        <f>IFERROR(VLOOKUP($A88,[5]qry_Whonnock_Species_Compositio!$A$1:$O$114,COLUMN([5]qry_Whonnock_Species_Compositio!G88), FALSE), "")</f>
        <v>33</v>
      </c>
      <c r="J88" s="95">
        <f>IFERROR(VLOOKUP($A88,[5]qry_Whonnock_Species_Compositio!$A$1:$O$114,COLUMN([5]qry_Whonnock_Species_Compositio!H88), FALSE), "")</f>
        <v>2</v>
      </c>
      <c r="K88" s="95">
        <f>IFERROR(VLOOKUP($A88,[5]qry_Whonnock_Species_Compositio!$A$1:$O$114,COLUMN([5]qry_Whonnock_Species_Compositio!I88), FALSE), "")</f>
        <v>6</v>
      </c>
      <c r="L88" s="95">
        <f>IFERROR(VLOOKUP($A88,[5]qry_Whonnock_Species_Compositio!$A$1:$O$114,COLUMN([5]qry_Whonnock_Species_Compositio!J88), FALSE), "")</f>
        <v>0</v>
      </c>
      <c r="M88" s="95">
        <f>IFERROR(VLOOKUP($A88,[5]qry_Whonnock_Species_Compositio!$A$1:$O$114,COLUMN([5]qry_Whonnock_Species_Compositio!K88), FALSE), "")</f>
        <v>0</v>
      </c>
      <c r="N88" s="95">
        <f>IFERROR(VLOOKUP($A88,[5]qry_Whonnock_Species_Compositio!$A$1:$O$114,COLUMN([5]qry_Whonnock_Species_Compositio!L88), FALSE), "")</f>
        <v>0</v>
      </c>
      <c r="O88" s="95">
        <f>IFERROR(VLOOKUP($A88,[5]qry_Whonnock_Species_Compositio!$A$1:$O$114,COLUMN([5]qry_Whonnock_Species_Compositio!M88), FALSE), "")</f>
        <v>0</v>
      </c>
      <c r="P88" s="95">
        <f>IFERROR(VLOOKUP($A88,[5]qry_Whonnock_Species_Compositio!$A$1:$O$114,COLUMN([5]qry_Whonnock_Species_Compositio!N88), FALSE), "")</f>
        <v>0</v>
      </c>
      <c r="Q88" s="95">
        <f>IFERROR(VLOOKUP($A88,[5]qry_Whonnock_Species_Compositio!$A$1:$O$114,COLUMN([5]qry_Whonnock_Species_Compositio!O88), FALSE), "")</f>
        <v>0</v>
      </c>
      <c r="R88" s="96">
        <f t="shared" si="44"/>
        <v>0.34615384615384615</v>
      </c>
      <c r="S88" s="97">
        <f t="shared" si="45"/>
        <v>0.1702127659574468</v>
      </c>
      <c r="T88" s="98">
        <f t="shared" si="46"/>
        <v>0.23287671232876711</v>
      </c>
      <c r="U88" s="97">
        <f t="shared" si="47"/>
        <v>0</v>
      </c>
      <c r="V88" s="97">
        <f t="shared" si="48"/>
        <v>0</v>
      </c>
      <c r="W88" s="98">
        <f t="shared" si="49"/>
        <v>0</v>
      </c>
      <c r="X88" s="97">
        <f t="shared" si="50"/>
        <v>0.57692307692307687</v>
      </c>
      <c r="Y88" s="97">
        <f t="shared" si="51"/>
        <v>0.7021276595744681</v>
      </c>
      <c r="Z88" s="98">
        <f t="shared" si="52"/>
        <v>0.65753424657534243</v>
      </c>
      <c r="AA88" s="97">
        <f t="shared" si="53"/>
        <v>7.6923076923076927E-2</v>
      </c>
      <c r="AB88" s="97">
        <f t="shared" si="54"/>
        <v>0.1276595744680851</v>
      </c>
      <c r="AC88" s="98">
        <f t="shared" si="55"/>
        <v>0.1095890410958904</v>
      </c>
      <c r="AD88" s="97">
        <f t="shared" si="56"/>
        <v>0</v>
      </c>
      <c r="AE88" s="97">
        <f t="shared" si="57"/>
        <v>0</v>
      </c>
      <c r="AF88" s="98">
        <f t="shared" si="58"/>
        <v>0</v>
      </c>
      <c r="AG88" s="97">
        <f t="shared" si="59"/>
        <v>0</v>
      </c>
      <c r="AH88" s="97">
        <f t="shared" si="60"/>
        <v>0</v>
      </c>
      <c r="AI88" s="98">
        <f t="shared" si="61"/>
        <v>0</v>
      </c>
      <c r="AJ88" s="97">
        <f t="shared" si="62"/>
        <v>0</v>
      </c>
      <c r="AK88" s="97">
        <f t="shared" si="63"/>
        <v>0</v>
      </c>
      <c r="AL88" s="99">
        <f t="shared" si="64"/>
        <v>0</v>
      </c>
      <c r="AM88" s="100">
        <f t="shared" si="65"/>
        <v>17</v>
      </c>
      <c r="AN88" s="101">
        <f t="shared" si="74"/>
        <v>0.34615384615384615</v>
      </c>
      <c r="AO88" s="100">
        <f t="shared" si="66"/>
        <v>0</v>
      </c>
      <c r="AP88" s="101">
        <f t="shared" si="75"/>
        <v>0</v>
      </c>
      <c r="AQ88" s="100">
        <f t="shared" si="67"/>
        <v>48</v>
      </c>
      <c r="AR88" s="101">
        <f t="shared" si="76"/>
        <v>0.57692307692307687</v>
      </c>
      <c r="AS88" s="100">
        <f t="shared" si="68"/>
        <v>8</v>
      </c>
      <c r="AT88" s="101">
        <f t="shared" si="77"/>
        <v>7.6923076923076927E-2</v>
      </c>
      <c r="AU88" s="100">
        <f t="shared" si="69"/>
        <v>0</v>
      </c>
      <c r="AV88" s="101">
        <f t="shared" si="78"/>
        <v>0</v>
      </c>
      <c r="AW88" s="100">
        <f t="shared" si="70"/>
        <v>0</v>
      </c>
      <c r="AX88" s="101">
        <f t="shared" si="79"/>
        <v>0</v>
      </c>
      <c r="AY88" s="100">
        <f t="shared" si="71"/>
        <v>0</v>
      </c>
      <c r="AZ88" s="101">
        <f t="shared" si="80"/>
        <v>0</v>
      </c>
      <c r="BA88" s="102">
        <f t="shared" si="72"/>
        <v>1</v>
      </c>
    </row>
    <row r="89" spans="1:53" x14ac:dyDescent="0.3">
      <c r="A89" s="92">
        <f>[4]SockEst!A90</f>
        <v>45176</v>
      </c>
      <c r="B89" s="93">
        <f>[4]SockEst!B90</f>
        <v>250</v>
      </c>
      <c r="C89" s="94" t="str">
        <f t="shared" si="73"/>
        <v>TTL</v>
      </c>
      <c r="D89" s="95">
        <f>IFERROR(VLOOKUP($A89,[5]qry_Whonnock_Species_Compositio!$A$1:$O$114,COLUMN([5]qry_Whonnock_Species_Compositio!B89), FALSE), "")</f>
        <v>1</v>
      </c>
      <c r="E89" s="95">
        <f>IFERROR(VLOOKUP($A89,[5]qry_Whonnock_Species_Compositio!$A$1:$O$114,COLUMN([5]qry_Whonnock_Species_Compositio!C89), FALSE), "")</f>
        <v>3</v>
      </c>
      <c r="F89" s="95">
        <f>IFERROR(VLOOKUP($A89,[5]qry_Whonnock_Species_Compositio!$A$1:$O$114,COLUMN([5]qry_Whonnock_Species_Compositio!D89), FALSE), "")</f>
        <v>0</v>
      </c>
      <c r="G89" s="95">
        <f>IFERROR(VLOOKUP($A89,[5]qry_Whonnock_Species_Compositio!$A$1:$O$114,COLUMN([5]qry_Whonnock_Species_Compositio!E89), FALSE), "")</f>
        <v>0</v>
      </c>
      <c r="H89" s="95">
        <f>IFERROR(VLOOKUP($A89,[5]qry_Whonnock_Species_Compositio!$A$1:$O$114,COLUMN([5]qry_Whonnock_Species_Compositio!F89), FALSE), "")</f>
        <v>13</v>
      </c>
      <c r="I89" s="95">
        <f>IFERROR(VLOOKUP($A89,[5]qry_Whonnock_Species_Compositio!$A$1:$O$114,COLUMN([5]qry_Whonnock_Species_Compositio!G89), FALSE), "")</f>
        <v>21</v>
      </c>
      <c r="J89" s="95">
        <f>IFERROR(VLOOKUP($A89,[5]qry_Whonnock_Species_Compositio!$A$1:$O$114,COLUMN([5]qry_Whonnock_Species_Compositio!H89), FALSE), "")</f>
        <v>3</v>
      </c>
      <c r="K89" s="95">
        <f>IFERROR(VLOOKUP($A89,[5]qry_Whonnock_Species_Compositio!$A$1:$O$114,COLUMN([5]qry_Whonnock_Species_Compositio!I89), FALSE), "")</f>
        <v>4</v>
      </c>
      <c r="L89" s="95">
        <f>IFERROR(VLOOKUP($A89,[5]qry_Whonnock_Species_Compositio!$A$1:$O$114,COLUMN([5]qry_Whonnock_Species_Compositio!J89), FALSE), "")</f>
        <v>0</v>
      </c>
      <c r="M89" s="95">
        <f>IFERROR(VLOOKUP($A89,[5]qry_Whonnock_Species_Compositio!$A$1:$O$114,COLUMN([5]qry_Whonnock_Species_Compositio!K89), FALSE), "")</f>
        <v>2</v>
      </c>
      <c r="N89" s="95">
        <f>IFERROR(VLOOKUP($A89,[5]qry_Whonnock_Species_Compositio!$A$1:$O$114,COLUMN([5]qry_Whonnock_Species_Compositio!L89), FALSE), "")</f>
        <v>1</v>
      </c>
      <c r="O89" s="95">
        <f>IFERROR(VLOOKUP($A89,[5]qry_Whonnock_Species_Compositio!$A$1:$O$114,COLUMN([5]qry_Whonnock_Species_Compositio!M89), FALSE), "")</f>
        <v>2</v>
      </c>
      <c r="P89" s="95">
        <f>IFERROR(VLOOKUP($A89,[5]qry_Whonnock_Species_Compositio!$A$1:$O$114,COLUMN([5]qry_Whonnock_Species_Compositio!N89), FALSE), "")</f>
        <v>0</v>
      </c>
      <c r="Q89" s="95">
        <f>IFERROR(VLOOKUP($A89,[5]qry_Whonnock_Species_Compositio!$A$1:$O$114,COLUMN([5]qry_Whonnock_Species_Compositio!O89), FALSE), "")</f>
        <v>0</v>
      </c>
      <c r="R89" s="96">
        <f t="shared" si="44"/>
        <v>5.5555555555555552E-2</v>
      </c>
      <c r="S89" s="97">
        <f t="shared" si="45"/>
        <v>9.375E-2</v>
      </c>
      <c r="T89" s="98">
        <f t="shared" si="46"/>
        <v>0.08</v>
      </c>
      <c r="U89" s="97">
        <f t="shared" si="47"/>
        <v>0</v>
      </c>
      <c r="V89" s="97">
        <f t="shared" si="48"/>
        <v>0</v>
      </c>
      <c r="W89" s="98">
        <f t="shared" si="49"/>
        <v>0</v>
      </c>
      <c r="X89" s="97">
        <f t="shared" si="50"/>
        <v>0.72222222222222221</v>
      </c>
      <c r="Y89" s="97">
        <f t="shared" si="51"/>
        <v>0.65625</v>
      </c>
      <c r="Z89" s="98">
        <f t="shared" si="52"/>
        <v>0.68</v>
      </c>
      <c r="AA89" s="97">
        <f t="shared" si="53"/>
        <v>0.16666666666666666</v>
      </c>
      <c r="AB89" s="97">
        <f t="shared" si="54"/>
        <v>0.125</v>
      </c>
      <c r="AC89" s="98">
        <f t="shared" si="55"/>
        <v>0.14000000000000001</v>
      </c>
      <c r="AD89" s="97">
        <f t="shared" si="56"/>
        <v>0</v>
      </c>
      <c r="AE89" s="97">
        <f t="shared" si="57"/>
        <v>6.25E-2</v>
      </c>
      <c r="AF89" s="98">
        <f t="shared" si="58"/>
        <v>0.04</v>
      </c>
      <c r="AG89" s="97">
        <f t="shared" si="59"/>
        <v>5.5555555555555552E-2</v>
      </c>
      <c r="AH89" s="97">
        <f t="shared" si="60"/>
        <v>6.25E-2</v>
      </c>
      <c r="AI89" s="98">
        <f t="shared" si="61"/>
        <v>0.06</v>
      </c>
      <c r="AJ89" s="97">
        <f t="shared" si="62"/>
        <v>0</v>
      </c>
      <c r="AK89" s="97">
        <f t="shared" si="63"/>
        <v>0</v>
      </c>
      <c r="AL89" s="99">
        <f t="shared" si="64"/>
        <v>0</v>
      </c>
      <c r="AM89" s="100">
        <f t="shared" si="65"/>
        <v>4</v>
      </c>
      <c r="AN89" s="101">
        <f t="shared" si="74"/>
        <v>0.08</v>
      </c>
      <c r="AO89" s="100">
        <f t="shared" si="66"/>
        <v>0</v>
      </c>
      <c r="AP89" s="101">
        <f t="shared" si="75"/>
        <v>0</v>
      </c>
      <c r="AQ89" s="100">
        <f t="shared" si="67"/>
        <v>34</v>
      </c>
      <c r="AR89" s="101">
        <f t="shared" si="76"/>
        <v>0.68</v>
      </c>
      <c r="AS89" s="100">
        <f t="shared" si="68"/>
        <v>7</v>
      </c>
      <c r="AT89" s="101">
        <f t="shared" si="77"/>
        <v>0.14000000000000001</v>
      </c>
      <c r="AU89" s="100">
        <f t="shared" si="69"/>
        <v>2</v>
      </c>
      <c r="AV89" s="101">
        <f t="shared" si="78"/>
        <v>0.04</v>
      </c>
      <c r="AW89" s="100">
        <f t="shared" si="70"/>
        <v>3</v>
      </c>
      <c r="AX89" s="101">
        <f t="shared" si="79"/>
        <v>0.06</v>
      </c>
      <c r="AY89" s="100">
        <f t="shared" si="71"/>
        <v>0</v>
      </c>
      <c r="AZ89" s="101">
        <f t="shared" si="80"/>
        <v>0</v>
      </c>
      <c r="BA89" s="102">
        <f t="shared" si="72"/>
        <v>1</v>
      </c>
    </row>
    <row r="90" spans="1:53" x14ac:dyDescent="0.3">
      <c r="A90" s="92">
        <f>[4]SockEst!A91</f>
        <v>45177</v>
      </c>
      <c r="B90" s="93">
        <f>[4]SockEst!B91</f>
        <v>251</v>
      </c>
      <c r="C90" s="94" t="str">
        <f t="shared" si="73"/>
        <v>TTL</v>
      </c>
      <c r="D90" s="95">
        <f>IFERROR(VLOOKUP($A90,[5]qry_Whonnock_Species_Compositio!$A$1:$O$114,COLUMN([5]qry_Whonnock_Species_Compositio!B90), FALSE), "")</f>
        <v>2</v>
      </c>
      <c r="E90" s="95">
        <f>IFERROR(VLOOKUP($A90,[5]qry_Whonnock_Species_Compositio!$A$1:$O$114,COLUMN([5]qry_Whonnock_Species_Compositio!C90), FALSE), "")</f>
        <v>4</v>
      </c>
      <c r="F90" s="95">
        <f>IFERROR(VLOOKUP($A90,[5]qry_Whonnock_Species_Compositio!$A$1:$O$114,COLUMN([5]qry_Whonnock_Species_Compositio!D90), FALSE), "")</f>
        <v>0</v>
      </c>
      <c r="G90" s="95">
        <f>IFERROR(VLOOKUP($A90,[5]qry_Whonnock_Species_Compositio!$A$1:$O$114,COLUMN([5]qry_Whonnock_Species_Compositio!E90), FALSE), "")</f>
        <v>0</v>
      </c>
      <c r="H90" s="95">
        <f>IFERROR(VLOOKUP($A90,[5]qry_Whonnock_Species_Compositio!$A$1:$O$114,COLUMN([5]qry_Whonnock_Species_Compositio!F90), FALSE), "")</f>
        <v>43</v>
      </c>
      <c r="I90" s="95">
        <f>IFERROR(VLOOKUP($A90,[5]qry_Whonnock_Species_Compositio!$A$1:$O$114,COLUMN([5]qry_Whonnock_Species_Compositio!G90), FALSE), "")</f>
        <v>96</v>
      </c>
      <c r="J90" s="95">
        <f>IFERROR(VLOOKUP($A90,[5]qry_Whonnock_Species_Compositio!$A$1:$O$114,COLUMN([5]qry_Whonnock_Species_Compositio!H90), FALSE), "")</f>
        <v>0</v>
      </c>
      <c r="K90" s="95">
        <f>IFERROR(VLOOKUP($A90,[5]qry_Whonnock_Species_Compositio!$A$1:$O$114,COLUMN([5]qry_Whonnock_Species_Compositio!I90), FALSE), "")</f>
        <v>3</v>
      </c>
      <c r="L90" s="95">
        <f>IFERROR(VLOOKUP($A90,[5]qry_Whonnock_Species_Compositio!$A$1:$O$114,COLUMN([5]qry_Whonnock_Species_Compositio!J90), FALSE), "")</f>
        <v>0</v>
      </c>
      <c r="M90" s="95">
        <f>IFERROR(VLOOKUP($A90,[5]qry_Whonnock_Species_Compositio!$A$1:$O$114,COLUMN([5]qry_Whonnock_Species_Compositio!K90), FALSE), "")</f>
        <v>0</v>
      </c>
      <c r="N90" s="95">
        <f>IFERROR(VLOOKUP($A90,[5]qry_Whonnock_Species_Compositio!$A$1:$O$114,COLUMN([5]qry_Whonnock_Species_Compositio!L90), FALSE), "")</f>
        <v>0</v>
      </c>
      <c r="O90" s="95">
        <f>IFERROR(VLOOKUP($A90,[5]qry_Whonnock_Species_Compositio!$A$1:$O$114,COLUMN([5]qry_Whonnock_Species_Compositio!M90), FALSE), "")</f>
        <v>1</v>
      </c>
      <c r="P90" s="95">
        <f>IFERROR(VLOOKUP($A90,[5]qry_Whonnock_Species_Compositio!$A$1:$O$114,COLUMN([5]qry_Whonnock_Species_Compositio!N90), FALSE), "")</f>
        <v>0</v>
      </c>
      <c r="Q90" s="95">
        <f>IFERROR(VLOOKUP($A90,[5]qry_Whonnock_Species_Compositio!$A$1:$O$114,COLUMN([5]qry_Whonnock_Species_Compositio!O90), FALSE), "")</f>
        <v>0</v>
      </c>
      <c r="R90" s="96">
        <f t="shared" si="44"/>
        <v>4.4444444444444446E-2</v>
      </c>
      <c r="S90" s="97">
        <f t="shared" si="45"/>
        <v>3.8461538461538464E-2</v>
      </c>
      <c r="T90" s="98">
        <f t="shared" si="46"/>
        <v>4.0268456375838924E-2</v>
      </c>
      <c r="U90" s="97">
        <f t="shared" si="47"/>
        <v>0</v>
      </c>
      <c r="V90" s="97">
        <f t="shared" si="48"/>
        <v>0</v>
      </c>
      <c r="W90" s="98">
        <f t="shared" si="49"/>
        <v>0</v>
      </c>
      <c r="X90" s="97">
        <f t="shared" si="50"/>
        <v>0.9555555555555556</v>
      </c>
      <c r="Y90" s="97">
        <f t="shared" si="51"/>
        <v>0.92307692307692313</v>
      </c>
      <c r="Z90" s="98">
        <f t="shared" si="52"/>
        <v>0.93288590604026844</v>
      </c>
      <c r="AA90" s="97">
        <f t="shared" si="53"/>
        <v>0</v>
      </c>
      <c r="AB90" s="97">
        <f t="shared" si="54"/>
        <v>2.8846153846153848E-2</v>
      </c>
      <c r="AC90" s="98">
        <f t="shared" si="55"/>
        <v>2.0134228187919462E-2</v>
      </c>
      <c r="AD90" s="97">
        <f t="shared" si="56"/>
        <v>0</v>
      </c>
      <c r="AE90" s="97">
        <f t="shared" si="57"/>
        <v>0</v>
      </c>
      <c r="AF90" s="98">
        <f t="shared" si="58"/>
        <v>0</v>
      </c>
      <c r="AG90" s="97">
        <f t="shared" si="59"/>
        <v>0</v>
      </c>
      <c r="AH90" s="97">
        <f t="shared" si="60"/>
        <v>9.6153846153846159E-3</v>
      </c>
      <c r="AI90" s="98">
        <f t="shared" si="61"/>
        <v>6.7114093959731542E-3</v>
      </c>
      <c r="AJ90" s="97">
        <f t="shared" si="62"/>
        <v>0</v>
      </c>
      <c r="AK90" s="97">
        <f t="shared" si="63"/>
        <v>0</v>
      </c>
      <c r="AL90" s="99">
        <f t="shared" si="64"/>
        <v>0</v>
      </c>
      <c r="AM90" s="100">
        <f t="shared" si="65"/>
        <v>6</v>
      </c>
      <c r="AN90" s="101">
        <f t="shared" si="74"/>
        <v>4.0268456375838924E-2</v>
      </c>
      <c r="AO90" s="100">
        <f t="shared" si="66"/>
        <v>0</v>
      </c>
      <c r="AP90" s="101">
        <f t="shared" si="75"/>
        <v>0</v>
      </c>
      <c r="AQ90" s="100">
        <f t="shared" si="67"/>
        <v>139</v>
      </c>
      <c r="AR90" s="101">
        <f t="shared" si="76"/>
        <v>0.93288590604026844</v>
      </c>
      <c r="AS90" s="100">
        <f t="shared" si="68"/>
        <v>3</v>
      </c>
      <c r="AT90" s="101">
        <f t="shared" si="77"/>
        <v>2.0134228187919462E-2</v>
      </c>
      <c r="AU90" s="100">
        <f t="shared" si="69"/>
        <v>0</v>
      </c>
      <c r="AV90" s="101">
        <f t="shared" si="78"/>
        <v>0</v>
      </c>
      <c r="AW90" s="100">
        <f t="shared" si="70"/>
        <v>1</v>
      </c>
      <c r="AX90" s="101">
        <f t="shared" si="79"/>
        <v>6.7114093959731542E-3</v>
      </c>
      <c r="AY90" s="100">
        <f t="shared" si="71"/>
        <v>0</v>
      </c>
      <c r="AZ90" s="101">
        <f t="shared" si="80"/>
        <v>0</v>
      </c>
      <c r="BA90" s="102">
        <f t="shared" si="72"/>
        <v>1</v>
      </c>
    </row>
    <row r="91" spans="1:53" x14ac:dyDescent="0.3">
      <c r="A91" s="92">
        <f>[4]SockEst!A92</f>
        <v>45178</v>
      </c>
      <c r="B91" s="93">
        <f>[4]SockEst!B92</f>
        <v>252</v>
      </c>
      <c r="C91" s="94" t="str">
        <f t="shared" si="73"/>
        <v>TTL</v>
      </c>
      <c r="D91" s="95">
        <f>IFERROR(VLOOKUP($A91,[5]qry_Whonnock_Species_Compositio!$A$1:$O$114,COLUMN([5]qry_Whonnock_Species_Compositio!B91), FALSE), "")</f>
        <v>4</v>
      </c>
      <c r="E91" s="95">
        <f>IFERROR(VLOOKUP($A91,[5]qry_Whonnock_Species_Compositio!$A$1:$O$114,COLUMN([5]qry_Whonnock_Species_Compositio!C91), FALSE), "")</f>
        <v>3</v>
      </c>
      <c r="F91" s="95">
        <f>IFERROR(VLOOKUP($A91,[5]qry_Whonnock_Species_Compositio!$A$1:$O$114,COLUMN([5]qry_Whonnock_Species_Compositio!D91), FALSE), "")</f>
        <v>0</v>
      </c>
      <c r="G91" s="95">
        <f>IFERROR(VLOOKUP($A91,[5]qry_Whonnock_Species_Compositio!$A$1:$O$114,COLUMN([5]qry_Whonnock_Species_Compositio!E91), FALSE), "")</f>
        <v>0</v>
      </c>
      <c r="H91" s="95">
        <f>IFERROR(VLOOKUP($A91,[5]qry_Whonnock_Species_Compositio!$A$1:$O$114,COLUMN([5]qry_Whonnock_Species_Compositio!F91), FALSE), "")</f>
        <v>67</v>
      </c>
      <c r="I91" s="95">
        <f>IFERROR(VLOOKUP($A91,[5]qry_Whonnock_Species_Compositio!$A$1:$O$114,COLUMN([5]qry_Whonnock_Species_Compositio!G91), FALSE), "")</f>
        <v>155</v>
      </c>
      <c r="J91" s="95">
        <f>IFERROR(VLOOKUP($A91,[5]qry_Whonnock_Species_Compositio!$A$1:$O$114,COLUMN([5]qry_Whonnock_Species_Compositio!H91), FALSE), "")</f>
        <v>0</v>
      </c>
      <c r="K91" s="95">
        <f>IFERROR(VLOOKUP($A91,[5]qry_Whonnock_Species_Compositio!$A$1:$O$114,COLUMN([5]qry_Whonnock_Species_Compositio!I91), FALSE), "")</f>
        <v>1</v>
      </c>
      <c r="L91" s="95">
        <f>IFERROR(VLOOKUP($A91,[5]qry_Whonnock_Species_Compositio!$A$1:$O$114,COLUMN([5]qry_Whonnock_Species_Compositio!J91), FALSE), "")</f>
        <v>0</v>
      </c>
      <c r="M91" s="95">
        <f>IFERROR(VLOOKUP($A91,[5]qry_Whonnock_Species_Compositio!$A$1:$O$114,COLUMN([5]qry_Whonnock_Species_Compositio!K91), FALSE), "")</f>
        <v>1</v>
      </c>
      <c r="N91" s="95">
        <f>IFERROR(VLOOKUP($A91,[5]qry_Whonnock_Species_Compositio!$A$1:$O$114,COLUMN([5]qry_Whonnock_Species_Compositio!L91), FALSE), "")</f>
        <v>1</v>
      </c>
      <c r="O91" s="95">
        <f>IFERROR(VLOOKUP($A91,[5]qry_Whonnock_Species_Compositio!$A$1:$O$114,COLUMN([5]qry_Whonnock_Species_Compositio!M91), FALSE), "")</f>
        <v>2</v>
      </c>
      <c r="P91" s="95">
        <f>IFERROR(VLOOKUP($A91,[5]qry_Whonnock_Species_Compositio!$A$1:$O$114,COLUMN([5]qry_Whonnock_Species_Compositio!N91), FALSE), "")</f>
        <v>0</v>
      </c>
      <c r="Q91" s="95">
        <f>IFERROR(VLOOKUP($A91,[5]qry_Whonnock_Species_Compositio!$A$1:$O$114,COLUMN([5]qry_Whonnock_Species_Compositio!O91), FALSE), "")</f>
        <v>1</v>
      </c>
      <c r="R91" s="96">
        <f t="shared" si="44"/>
        <v>5.5555555555555552E-2</v>
      </c>
      <c r="S91" s="97">
        <f t="shared" si="45"/>
        <v>1.8404907975460124E-2</v>
      </c>
      <c r="T91" s="98">
        <f t="shared" si="46"/>
        <v>2.9787234042553193E-2</v>
      </c>
      <c r="U91" s="97">
        <f t="shared" si="47"/>
        <v>0</v>
      </c>
      <c r="V91" s="97">
        <f t="shared" si="48"/>
        <v>0</v>
      </c>
      <c r="W91" s="98">
        <f t="shared" si="49"/>
        <v>0</v>
      </c>
      <c r="X91" s="97">
        <f t="shared" si="50"/>
        <v>0.93055555555555558</v>
      </c>
      <c r="Y91" s="97">
        <f t="shared" si="51"/>
        <v>0.95092024539877296</v>
      </c>
      <c r="Z91" s="98">
        <f t="shared" si="52"/>
        <v>0.94468085106382982</v>
      </c>
      <c r="AA91" s="97">
        <f t="shared" si="53"/>
        <v>0</v>
      </c>
      <c r="AB91" s="97">
        <f t="shared" si="54"/>
        <v>6.1349693251533744E-3</v>
      </c>
      <c r="AC91" s="98">
        <f t="shared" si="55"/>
        <v>4.2553191489361703E-3</v>
      </c>
      <c r="AD91" s="97">
        <f t="shared" si="56"/>
        <v>0</v>
      </c>
      <c r="AE91" s="97">
        <f t="shared" si="57"/>
        <v>6.1349693251533744E-3</v>
      </c>
      <c r="AF91" s="98">
        <f t="shared" si="58"/>
        <v>4.2553191489361703E-3</v>
      </c>
      <c r="AG91" s="97">
        <f t="shared" si="59"/>
        <v>1.3888888888888888E-2</v>
      </c>
      <c r="AH91" s="97">
        <f t="shared" si="60"/>
        <v>1.2269938650306749E-2</v>
      </c>
      <c r="AI91" s="98">
        <f t="shared" si="61"/>
        <v>1.276595744680851E-2</v>
      </c>
      <c r="AJ91" s="97">
        <f t="shared" si="62"/>
        <v>0</v>
      </c>
      <c r="AK91" s="97">
        <f t="shared" si="63"/>
        <v>6.1349693251533744E-3</v>
      </c>
      <c r="AL91" s="99">
        <f t="shared" si="64"/>
        <v>4.2553191489361703E-3</v>
      </c>
      <c r="AM91" s="100">
        <f t="shared" si="65"/>
        <v>7</v>
      </c>
      <c r="AN91" s="101">
        <f t="shared" si="74"/>
        <v>2.9787234042553193E-2</v>
      </c>
      <c r="AO91" s="100">
        <f t="shared" si="66"/>
        <v>0</v>
      </c>
      <c r="AP91" s="101">
        <f t="shared" si="75"/>
        <v>0</v>
      </c>
      <c r="AQ91" s="100">
        <f t="shared" si="67"/>
        <v>222</v>
      </c>
      <c r="AR91" s="101">
        <f t="shared" si="76"/>
        <v>0.94468085106382982</v>
      </c>
      <c r="AS91" s="100">
        <f t="shared" si="68"/>
        <v>1</v>
      </c>
      <c r="AT91" s="101">
        <f t="shared" si="77"/>
        <v>4.2553191489361703E-3</v>
      </c>
      <c r="AU91" s="100">
        <f t="shared" si="69"/>
        <v>1</v>
      </c>
      <c r="AV91" s="101">
        <f t="shared" si="78"/>
        <v>4.2553191489361703E-3</v>
      </c>
      <c r="AW91" s="100">
        <f t="shared" si="70"/>
        <v>3</v>
      </c>
      <c r="AX91" s="101">
        <f t="shared" si="79"/>
        <v>1.276595744680851E-2</v>
      </c>
      <c r="AY91" s="100">
        <f t="shared" si="71"/>
        <v>1</v>
      </c>
      <c r="AZ91" s="101">
        <f t="shared" si="80"/>
        <v>4.2553191489361703E-3</v>
      </c>
      <c r="BA91" s="102">
        <f t="shared" si="72"/>
        <v>1</v>
      </c>
    </row>
    <row r="92" spans="1:53" x14ac:dyDescent="0.3">
      <c r="A92" s="92">
        <f>[4]SockEst!A93</f>
        <v>45179</v>
      </c>
      <c r="B92" s="93">
        <f>[4]SockEst!B93</f>
        <v>253</v>
      </c>
      <c r="C92" s="94" t="str">
        <f t="shared" si="73"/>
        <v>TTL</v>
      </c>
      <c r="D92" s="95">
        <f>IFERROR(VLOOKUP($A92,[5]qry_Whonnock_Species_Compositio!$A$1:$O$114,COLUMN([5]qry_Whonnock_Species_Compositio!B92), FALSE), "")</f>
        <v>0</v>
      </c>
      <c r="E92" s="95">
        <f>IFERROR(VLOOKUP($A92,[5]qry_Whonnock_Species_Compositio!$A$1:$O$114,COLUMN([5]qry_Whonnock_Species_Compositio!C92), FALSE), "")</f>
        <v>2</v>
      </c>
      <c r="F92" s="95">
        <f>IFERROR(VLOOKUP($A92,[5]qry_Whonnock_Species_Compositio!$A$1:$O$114,COLUMN([5]qry_Whonnock_Species_Compositio!D92), FALSE), "")</f>
        <v>0</v>
      </c>
      <c r="G92" s="95">
        <f>IFERROR(VLOOKUP($A92,[5]qry_Whonnock_Species_Compositio!$A$1:$O$114,COLUMN([5]qry_Whonnock_Species_Compositio!E92), FALSE), "")</f>
        <v>0</v>
      </c>
      <c r="H92" s="95">
        <f>IFERROR(VLOOKUP($A92,[5]qry_Whonnock_Species_Compositio!$A$1:$O$114,COLUMN([5]qry_Whonnock_Species_Compositio!F92), FALSE), "")</f>
        <v>126</v>
      </c>
      <c r="I92" s="95">
        <f>IFERROR(VLOOKUP($A92,[5]qry_Whonnock_Species_Compositio!$A$1:$O$114,COLUMN([5]qry_Whonnock_Species_Compositio!G92), FALSE), "")</f>
        <v>171</v>
      </c>
      <c r="J92" s="95">
        <f>IFERROR(VLOOKUP($A92,[5]qry_Whonnock_Species_Compositio!$A$1:$O$114,COLUMN([5]qry_Whonnock_Species_Compositio!H92), FALSE), "")</f>
        <v>2</v>
      </c>
      <c r="K92" s="95">
        <f>IFERROR(VLOOKUP($A92,[5]qry_Whonnock_Species_Compositio!$A$1:$O$114,COLUMN([5]qry_Whonnock_Species_Compositio!I92), FALSE), "")</f>
        <v>1</v>
      </c>
      <c r="L92" s="95">
        <f>IFERROR(VLOOKUP($A92,[5]qry_Whonnock_Species_Compositio!$A$1:$O$114,COLUMN([5]qry_Whonnock_Species_Compositio!J92), FALSE), "")</f>
        <v>0</v>
      </c>
      <c r="M92" s="95">
        <f>IFERROR(VLOOKUP($A92,[5]qry_Whonnock_Species_Compositio!$A$1:$O$114,COLUMN([5]qry_Whonnock_Species_Compositio!K92), FALSE), "")</f>
        <v>0</v>
      </c>
      <c r="N92" s="95">
        <f>IFERROR(VLOOKUP($A92,[5]qry_Whonnock_Species_Compositio!$A$1:$O$114,COLUMN([5]qry_Whonnock_Species_Compositio!L92), FALSE), "")</f>
        <v>2</v>
      </c>
      <c r="O92" s="95">
        <f>IFERROR(VLOOKUP($A92,[5]qry_Whonnock_Species_Compositio!$A$1:$O$114,COLUMN([5]qry_Whonnock_Species_Compositio!M92), FALSE), "")</f>
        <v>1</v>
      </c>
      <c r="P92" s="95">
        <f>IFERROR(VLOOKUP($A92,[5]qry_Whonnock_Species_Compositio!$A$1:$O$114,COLUMN([5]qry_Whonnock_Species_Compositio!N92), FALSE), "")</f>
        <v>0</v>
      </c>
      <c r="Q92" s="95">
        <f>IFERROR(VLOOKUP($A92,[5]qry_Whonnock_Species_Compositio!$A$1:$O$114,COLUMN([5]qry_Whonnock_Species_Compositio!O92), FALSE), "")</f>
        <v>1</v>
      </c>
      <c r="R92" s="96">
        <f t="shared" si="44"/>
        <v>0</v>
      </c>
      <c r="S92" s="97">
        <f t="shared" si="45"/>
        <v>1.1363636363636364E-2</v>
      </c>
      <c r="T92" s="98">
        <f t="shared" si="46"/>
        <v>6.5359477124183009E-3</v>
      </c>
      <c r="U92" s="97">
        <f t="shared" si="47"/>
        <v>0</v>
      </c>
      <c r="V92" s="97">
        <f t="shared" si="48"/>
        <v>0</v>
      </c>
      <c r="W92" s="98">
        <f t="shared" si="49"/>
        <v>0</v>
      </c>
      <c r="X92" s="97">
        <f t="shared" si="50"/>
        <v>0.96923076923076923</v>
      </c>
      <c r="Y92" s="97">
        <f t="shared" si="51"/>
        <v>0.97159090909090906</v>
      </c>
      <c r="Z92" s="98">
        <f t="shared" si="52"/>
        <v>0.97058823529411764</v>
      </c>
      <c r="AA92" s="97">
        <f t="shared" si="53"/>
        <v>1.5384615384615385E-2</v>
      </c>
      <c r="AB92" s="97">
        <f t="shared" si="54"/>
        <v>5.681818181818182E-3</v>
      </c>
      <c r="AC92" s="98">
        <f t="shared" si="55"/>
        <v>9.8039215686274508E-3</v>
      </c>
      <c r="AD92" s="97">
        <f t="shared" si="56"/>
        <v>0</v>
      </c>
      <c r="AE92" s="97">
        <f t="shared" si="57"/>
        <v>0</v>
      </c>
      <c r="AF92" s="98">
        <f t="shared" si="58"/>
        <v>0</v>
      </c>
      <c r="AG92" s="97">
        <f t="shared" si="59"/>
        <v>1.5384615384615385E-2</v>
      </c>
      <c r="AH92" s="97">
        <f t="shared" si="60"/>
        <v>5.681818181818182E-3</v>
      </c>
      <c r="AI92" s="98">
        <f t="shared" si="61"/>
        <v>9.8039215686274508E-3</v>
      </c>
      <c r="AJ92" s="97">
        <f t="shared" si="62"/>
        <v>0</v>
      </c>
      <c r="AK92" s="97">
        <f t="shared" si="63"/>
        <v>5.681818181818182E-3</v>
      </c>
      <c r="AL92" s="99">
        <f t="shared" si="64"/>
        <v>3.2679738562091504E-3</v>
      </c>
      <c r="AM92" s="100">
        <f t="shared" si="65"/>
        <v>2</v>
      </c>
      <c r="AN92" s="101">
        <f t="shared" si="74"/>
        <v>6.5359477124183009E-3</v>
      </c>
      <c r="AO92" s="100">
        <f t="shared" si="66"/>
        <v>0</v>
      </c>
      <c r="AP92" s="101">
        <f t="shared" si="75"/>
        <v>0</v>
      </c>
      <c r="AQ92" s="100">
        <f t="shared" si="67"/>
        <v>297</v>
      </c>
      <c r="AR92" s="101">
        <f t="shared" si="76"/>
        <v>0.97058823529411764</v>
      </c>
      <c r="AS92" s="100">
        <f t="shared" si="68"/>
        <v>3</v>
      </c>
      <c r="AT92" s="101">
        <f t="shared" si="77"/>
        <v>9.8039215686274508E-3</v>
      </c>
      <c r="AU92" s="100">
        <f t="shared" si="69"/>
        <v>0</v>
      </c>
      <c r="AV92" s="101">
        <f t="shared" si="78"/>
        <v>0</v>
      </c>
      <c r="AW92" s="100">
        <f t="shared" si="70"/>
        <v>3</v>
      </c>
      <c r="AX92" s="101">
        <f t="shared" si="79"/>
        <v>9.8039215686274508E-3</v>
      </c>
      <c r="AY92" s="100">
        <f t="shared" si="71"/>
        <v>1</v>
      </c>
      <c r="AZ92" s="101">
        <f t="shared" si="80"/>
        <v>3.2679738562091504E-3</v>
      </c>
      <c r="BA92" s="102">
        <f t="shared" si="72"/>
        <v>0.99999999999999989</v>
      </c>
    </row>
    <row r="93" spans="1:53" x14ac:dyDescent="0.3">
      <c r="A93" s="92">
        <f>[4]SockEst!A94</f>
        <v>45180</v>
      </c>
      <c r="B93" s="93">
        <f>[4]SockEst!B94</f>
        <v>254</v>
      </c>
      <c r="C93" s="94" t="str">
        <f t="shared" si="73"/>
        <v>TTL</v>
      </c>
      <c r="D93" s="95">
        <f>IFERROR(VLOOKUP($A93,[5]qry_Whonnock_Species_Compositio!$A$1:$O$114,COLUMN([5]qry_Whonnock_Species_Compositio!B93), FALSE), "")</f>
        <v>1</v>
      </c>
      <c r="E93" s="95">
        <f>IFERROR(VLOOKUP($A93,[5]qry_Whonnock_Species_Compositio!$A$1:$O$114,COLUMN([5]qry_Whonnock_Species_Compositio!C93), FALSE), "")</f>
        <v>4</v>
      </c>
      <c r="F93" s="95">
        <f>IFERROR(VLOOKUP($A93,[5]qry_Whonnock_Species_Compositio!$A$1:$O$114,COLUMN([5]qry_Whonnock_Species_Compositio!D93), FALSE), "")</f>
        <v>0</v>
      </c>
      <c r="G93" s="95">
        <f>IFERROR(VLOOKUP($A93,[5]qry_Whonnock_Species_Compositio!$A$1:$O$114,COLUMN([5]qry_Whonnock_Species_Compositio!E93), FALSE), "")</f>
        <v>0</v>
      </c>
      <c r="H93" s="95">
        <f>IFERROR(VLOOKUP($A93,[5]qry_Whonnock_Species_Compositio!$A$1:$O$114,COLUMN([5]qry_Whonnock_Species_Compositio!F93), FALSE), "")</f>
        <v>72</v>
      </c>
      <c r="I93" s="95">
        <f>IFERROR(VLOOKUP($A93,[5]qry_Whonnock_Species_Compositio!$A$1:$O$114,COLUMN([5]qry_Whonnock_Species_Compositio!G93), FALSE), "")</f>
        <v>208</v>
      </c>
      <c r="J93" s="95">
        <f>IFERROR(VLOOKUP($A93,[5]qry_Whonnock_Species_Compositio!$A$1:$O$114,COLUMN([5]qry_Whonnock_Species_Compositio!H93), FALSE), "")</f>
        <v>2</v>
      </c>
      <c r="K93" s="95">
        <f>IFERROR(VLOOKUP($A93,[5]qry_Whonnock_Species_Compositio!$A$1:$O$114,COLUMN([5]qry_Whonnock_Species_Compositio!I93), FALSE), "")</f>
        <v>2</v>
      </c>
      <c r="L93" s="95">
        <f>IFERROR(VLOOKUP($A93,[5]qry_Whonnock_Species_Compositio!$A$1:$O$114,COLUMN([5]qry_Whonnock_Species_Compositio!J93), FALSE), "")</f>
        <v>0</v>
      </c>
      <c r="M93" s="95">
        <f>IFERROR(VLOOKUP($A93,[5]qry_Whonnock_Species_Compositio!$A$1:$O$114,COLUMN([5]qry_Whonnock_Species_Compositio!K93), FALSE), "")</f>
        <v>0</v>
      </c>
      <c r="N93" s="95">
        <f>IFERROR(VLOOKUP($A93,[5]qry_Whonnock_Species_Compositio!$A$1:$O$114,COLUMN([5]qry_Whonnock_Species_Compositio!L93), FALSE), "")</f>
        <v>0</v>
      </c>
      <c r="O93" s="95">
        <f>IFERROR(VLOOKUP($A93,[5]qry_Whonnock_Species_Compositio!$A$1:$O$114,COLUMN([5]qry_Whonnock_Species_Compositio!M93), FALSE), "")</f>
        <v>1</v>
      </c>
      <c r="P93" s="95">
        <f>IFERROR(VLOOKUP($A93,[5]qry_Whonnock_Species_Compositio!$A$1:$O$114,COLUMN([5]qry_Whonnock_Species_Compositio!N93), FALSE), "")</f>
        <v>0</v>
      </c>
      <c r="Q93" s="95">
        <f>IFERROR(VLOOKUP($A93,[5]qry_Whonnock_Species_Compositio!$A$1:$O$114,COLUMN([5]qry_Whonnock_Species_Compositio!O93), FALSE), "")</f>
        <v>1</v>
      </c>
      <c r="R93" s="96">
        <f t="shared" si="44"/>
        <v>1.3333333333333334E-2</v>
      </c>
      <c r="S93" s="97">
        <f t="shared" si="45"/>
        <v>1.8518518518518517E-2</v>
      </c>
      <c r="T93" s="98">
        <f t="shared" si="46"/>
        <v>1.7182130584192441E-2</v>
      </c>
      <c r="U93" s="97">
        <f t="shared" si="47"/>
        <v>0</v>
      </c>
      <c r="V93" s="97">
        <f t="shared" si="48"/>
        <v>0</v>
      </c>
      <c r="W93" s="98">
        <f t="shared" si="49"/>
        <v>0</v>
      </c>
      <c r="X93" s="97">
        <f t="shared" si="50"/>
        <v>0.96</v>
      </c>
      <c r="Y93" s="97">
        <f t="shared" si="51"/>
        <v>0.96296296296296291</v>
      </c>
      <c r="Z93" s="98">
        <f t="shared" si="52"/>
        <v>0.96219931271477666</v>
      </c>
      <c r="AA93" s="97">
        <f t="shared" si="53"/>
        <v>2.6666666666666668E-2</v>
      </c>
      <c r="AB93" s="97">
        <f t="shared" si="54"/>
        <v>9.2592592592592587E-3</v>
      </c>
      <c r="AC93" s="98">
        <f t="shared" si="55"/>
        <v>1.3745704467353952E-2</v>
      </c>
      <c r="AD93" s="97">
        <f t="shared" si="56"/>
        <v>0</v>
      </c>
      <c r="AE93" s="97">
        <f t="shared" si="57"/>
        <v>0</v>
      </c>
      <c r="AF93" s="98">
        <f t="shared" si="58"/>
        <v>0</v>
      </c>
      <c r="AG93" s="97">
        <f t="shared" si="59"/>
        <v>0</v>
      </c>
      <c r="AH93" s="97">
        <f t="shared" si="60"/>
        <v>4.6296296296296294E-3</v>
      </c>
      <c r="AI93" s="98">
        <f t="shared" si="61"/>
        <v>3.4364261168384879E-3</v>
      </c>
      <c r="AJ93" s="97">
        <f t="shared" si="62"/>
        <v>0</v>
      </c>
      <c r="AK93" s="97">
        <f t="shared" si="63"/>
        <v>4.6296296296296294E-3</v>
      </c>
      <c r="AL93" s="99">
        <f t="shared" si="64"/>
        <v>3.4364261168384879E-3</v>
      </c>
      <c r="AM93" s="100">
        <f t="shared" si="65"/>
        <v>5</v>
      </c>
      <c r="AN93" s="101">
        <f t="shared" si="74"/>
        <v>1.7182130584192441E-2</v>
      </c>
      <c r="AO93" s="100">
        <f t="shared" si="66"/>
        <v>0</v>
      </c>
      <c r="AP93" s="101">
        <f t="shared" si="75"/>
        <v>0</v>
      </c>
      <c r="AQ93" s="100">
        <f t="shared" si="67"/>
        <v>280</v>
      </c>
      <c r="AR93" s="101">
        <f t="shared" si="76"/>
        <v>0.96219931271477666</v>
      </c>
      <c r="AS93" s="100">
        <f t="shared" si="68"/>
        <v>4</v>
      </c>
      <c r="AT93" s="101">
        <f t="shared" si="77"/>
        <v>1.3745704467353952E-2</v>
      </c>
      <c r="AU93" s="100">
        <f t="shared" si="69"/>
        <v>0</v>
      </c>
      <c r="AV93" s="101">
        <f t="shared" si="78"/>
        <v>0</v>
      </c>
      <c r="AW93" s="100">
        <f t="shared" si="70"/>
        <v>1</v>
      </c>
      <c r="AX93" s="101">
        <f t="shared" si="79"/>
        <v>3.4364261168384879E-3</v>
      </c>
      <c r="AY93" s="100">
        <f t="shared" si="71"/>
        <v>1</v>
      </c>
      <c r="AZ93" s="101">
        <f>IF($AM93&lt;15,AL93,AJ93)</f>
        <v>3.4364261168384879E-3</v>
      </c>
      <c r="BA93" s="102">
        <f t="shared" si="72"/>
        <v>1</v>
      </c>
    </row>
    <row r="94" spans="1:53" x14ac:dyDescent="0.3">
      <c r="A94" s="92">
        <f>[4]SockEst!A95</f>
        <v>45181</v>
      </c>
      <c r="B94" s="93">
        <f>[4]SockEst!B95</f>
        <v>255</v>
      </c>
      <c r="C94" s="94" t="str">
        <f t="shared" si="73"/>
        <v>TTL</v>
      </c>
      <c r="D94" s="95">
        <f>IFERROR(VLOOKUP($A94,[5]qry_Whonnock_Species_Compositio!$A$1:$O$114,COLUMN([5]qry_Whonnock_Species_Compositio!B94), FALSE), "")</f>
        <v>2</v>
      </c>
      <c r="E94" s="95">
        <f>IFERROR(VLOOKUP($A94,[5]qry_Whonnock_Species_Compositio!$A$1:$O$114,COLUMN([5]qry_Whonnock_Species_Compositio!C94), FALSE), "")</f>
        <v>2</v>
      </c>
      <c r="F94" s="95">
        <f>IFERROR(VLOOKUP($A94,[5]qry_Whonnock_Species_Compositio!$A$1:$O$114,COLUMN([5]qry_Whonnock_Species_Compositio!D94), FALSE), "")</f>
        <v>0</v>
      </c>
      <c r="G94" s="95">
        <f>IFERROR(VLOOKUP($A94,[5]qry_Whonnock_Species_Compositio!$A$1:$O$114,COLUMN([5]qry_Whonnock_Species_Compositio!E94), FALSE), "")</f>
        <v>0</v>
      </c>
      <c r="H94" s="95">
        <f>IFERROR(VLOOKUP($A94,[5]qry_Whonnock_Species_Compositio!$A$1:$O$114,COLUMN([5]qry_Whonnock_Species_Compositio!F94), FALSE), "")</f>
        <v>46</v>
      </c>
      <c r="I94" s="95">
        <f>IFERROR(VLOOKUP($A94,[5]qry_Whonnock_Species_Compositio!$A$1:$O$114,COLUMN([5]qry_Whonnock_Species_Compositio!G94), FALSE), "")</f>
        <v>200</v>
      </c>
      <c r="J94" s="95">
        <f>IFERROR(VLOOKUP($A94,[5]qry_Whonnock_Species_Compositio!$A$1:$O$114,COLUMN([5]qry_Whonnock_Species_Compositio!H94), FALSE), "")</f>
        <v>2</v>
      </c>
      <c r="K94" s="95">
        <f>IFERROR(VLOOKUP($A94,[5]qry_Whonnock_Species_Compositio!$A$1:$O$114,COLUMN([5]qry_Whonnock_Species_Compositio!I94), FALSE), "")</f>
        <v>4</v>
      </c>
      <c r="L94" s="95">
        <f>IFERROR(VLOOKUP($A94,[5]qry_Whonnock_Species_Compositio!$A$1:$O$114,COLUMN([5]qry_Whonnock_Species_Compositio!J94), FALSE), "")</f>
        <v>0</v>
      </c>
      <c r="M94" s="95">
        <f>IFERROR(VLOOKUP($A94,[5]qry_Whonnock_Species_Compositio!$A$1:$O$114,COLUMN([5]qry_Whonnock_Species_Compositio!K94), FALSE), "")</f>
        <v>0</v>
      </c>
      <c r="N94" s="95">
        <f>IFERROR(VLOOKUP($A94,[5]qry_Whonnock_Species_Compositio!$A$1:$O$114,COLUMN([5]qry_Whonnock_Species_Compositio!L94), FALSE), "")</f>
        <v>0</v>
      </c>
      <c r="O94" s="95">
        <f>IFERROR(VLOOKUP($A94,[5]qry_Whonnock_Species_Compositio!$A$1:$O$114,COLUMN([5]qry_Whonnock_Species_Compositio!M94), FALSE), "")</f>
        <v>4</v>
      </c>
      <c r="P94" s="95">
        <f>IFERROR(VLOOKUP($A94,[5]qry_Whonnock_Species_Compositio!$A$1:$O$114,COLUMN([5]qry_Whonnock_Species_Compositio!N94), FALSE), "")</f>
        <v>0</v>
      </c>
      <c r="Q94" s="95">
        <f>IFERROR(VLOOKUP($A94,[5]qry_Whonnock_Species_Compositio!$A$1:$O$114,COLUMN([5]qry_Whonnock_Species_Compositio!O94), FALSE), "")</f>
        <v>0</v>
      </c>
      <c r="R94" s="96">
        <f t="shared" si="44"/>
        <v>0.04</v>
      </c>
      <c r="S94" s="97">
        <f t="shared" si="45"/>
        <v>9.5238095238095247E-3</v>
      </c>
      <c r="T94" s="98">
        <f t="shared" si="46"/>
        <v>1.5384615384615385E-2</v>
      </c>
      <c r="U94" s="97">
        <f t="shared" si="47"/>
        <v>0</v>
      </c>
      <c r="V94" s="97">
        <f t="shared" si="48"/>
        <v>0</v>
      </c>
      <c r="W94" s="98">
        <f t="shared" si="49"/>
        <v>0</v>
      </c>
      <c r="X94" s="97">
        <f t="shared" si="50"/>
        <v>0.92</v>
      </c>
      <c r="Y94" s="97">
        <f t="shared" si="51"/>
        <v>0.95238095238095233</v>
      </c>
      <c r="Z94" s="98">
        <f t="shared" si="52"/>
        <v>0.94615384615384612</v>
      </c>
      <c r="AA94" s="97">
        <f t="shared" si="53"/>
        <v>0.04</v>
      </c>
      <c r="AB94" s="97">
        <f t="shared" si="54"/>
        <v>1.9047619047619049E-2</v>
      </c>
      <c r="AC94" s="98">
        <f t="shared" si="55"/>
        <v>2.3076923076923078E-2</v>
      </c>
      <c r="AD94" s="97">
        <f t="shared" si="56"/>
        <v>0</v>
      </c>
      <c r="AE94" s="97">
        <f t="shared" si="57"/>
        <v>0</v>
      </c>
      <c r="AF94" s="98">
        <f t="shared" si="58"/>
        <v>0</v>
      </c>
      <c r="AG94" s="97">
        <f t="shared" si="59"/>
        <v>0</v>
      </c>
      <c r="AH94" s="97">
        <f t="shared" si="60"/>
        <v>1.9047619047619049E-2</v>
      </c>
      <c r="AI94" s="98">
        <f t="shared" si="61"/>
        <v>1.5384615384615385E-2</v>
      </c>
      <c r="AJ94" s="97">
        <f t="shared" si="62"/>
        <v>0</v>
      </c>
      <c r="AK94" s="97">
        <f t="shared" si="63"/>
        <v>0</v>
      </c>
      <c r="AL94" s="99">
        <f t="shared" si="64"/>
        <v>0</v>
      </c>
      <c r="AM94" s="100">
        <f t="shared" si="65"/>
        <v>4</v>
      </c>
      <c r="AN94" s="101">
        <f t="shared" si="74"/>
        <v>1.5384615384615385E-2</v>
      </c>
      <c r="AO94" s="100">
        <f t="shared" si="66"/>
        <v>0</v>
      </c>
      <c r="AP94" s="101">
        <f t="shared" si="75"/>
        <v>0</v>
      </c>
      <c r="AQ94" s="100">
        <f t="shared" si="67"/>
        <v>246</v>
      </c>
      <c r="AR94" s="101">
        <f t="shared" si="76"/>
        <v>0.94615384615384612</v>
      </c>
      <c r="AS94" s="100">
        <f t="shared" si="68"/>
        <v>6</v>
      </c>
      <c r="AT94" s="101">
        <f t="shared" si="77"/>
        <v>2.3076923076923078E-2</v>
      </c>
      <c r="AU94" s="100">
        <f t="shared" si="69"/>
        <v>0</v>
      </c>
      <c r="AV94" s="101">
        <f t="shared" si="78"/>
        <v>0</v>
      </c>
      <c r="AW94" s="100">
        <f t="shared" si="70"/>
        <v>4</v>
      </c>
      <c r="AX94" s="101">
        <f t="shared" si="79"/>
        <v>1.5384615384615385E-2</v>
      </c>
      <c r="AY94" s="100">
        <f t="shared" si="71"/>
        <v>0</v>
      </c>
      <c r="AZ94" s="101">
        <f t="shared" si="80"/>
        <v>0</v>
      </c>
      <c r="BA94" s="102">
        <f t="shared" si="72"/>
        <v>1</v>
      </c>
    </row>
    <row r="95" spans="1:53" x14ac:dyDescent="0.3">
      <c r="A95" s="92">
        <f>[4]SockEst!A96</f>
        <v>45182</v>
      </c>
      <c r="B95" s="93">
        <f>[4]SockEst!B96</f>
        <v>256</v>
      </c>
      <c r="C95" s="94" t="str">
        <f t="shared" si="73"/>
        <v>TTL</v>
      </c>
      <c r="D95" s="95">
        <f>IFERROR(VLOOKUP($A95,[5]qry_Whonnock_Species_Compositio!$A$1:$O$114,COLUMN([5]qry_Whonnock_Species_Compositio!B95), FALSE), "")</f>
        <v>1</v>
      </c>
      <c r="E95" s="95">
        <f>IFERROR(VLOOKUP($A95,[5]qry_Whonnock_Species_Compositio!$A$1:$O$114,COLUMN([5]qry_Whonnock_Species_Compositio!C95), FALSE), "")</f>
        <v>1</v>
      </c>
      <c r="F95" s="95">
        <f>IFERROR(VLOOKUP($A95,[5]qry_Whonnock_Species_Compositio!$A$1:$O$114,COLUMN([5]qry_Whonnock_Species_Compositio!D95), FALSE), "")</f>
        <v>0</v>
      </c>
      <c r="G95" s="95">
        <f>IFERROR(VLOOKUP($A95,[5]qry_Whonnock_Species_Compositio!$A$1:$O$114,COLUMN([5]qry_Whonnock_Species_Compositio!E95), FALSE), "")</f>
        <v>0</v>
      </c>
      <c r="H95" s="95">
        <f>IFERROR(VLOOKUP($A95,[5]qry_Whonnock_Species_Compositio!$A$1:$O$114,COLUMN([5]qry_Whonnock_Species_Compositio!F95), FALSE), "")</f>
        <v>19</v>
      </c>
      <c r="I95" s="95">
        <f>IFERROR(VLOOKUP($A95,[5]qry_Whonnock_Species_Compositio!$A$1:$O$114,COLUMN([5]qry_Whonnock_Species_Compositio!G95), FALSE), "")</f>
        <v>55</v>
      </c>
      <c r="J95" s="95">
        <f>IFERROR(VLOOKUP($A95,[5]qry_Whonnock_Species_Compositio!$A$1:$O$114,COLUMN([5]qry_Whonnock_Species_Compositio!H95), FALSE), "")</f>
        <v>2</v>
      </c>
      <c r="K95" s="95">
        <f>IFERROR(VLOOKUP($A95,[5]qry_Whonnock_Species_Compositio!$A$1:$O$114,COLUMN([5]qry_Whonnock_Species_Compositio!I95), FALSE), "")</f>
        <v>4</v>
      </c>
      <c r="L95" s="95">
        <f>IFERROR(VLOOKUP($A95,[5]qry_Whonnock_Species_Compositio!$A$1:$O$114,COLUMN([5]qry_Whonnock_Species_Compositio!J95), FALSE), "")</f>
        <v>0</v>
      </c>
      <c r="M95" s="95">
        <f>IFERROR(VLOOKUP($A95,[5]qry_Whonnock_Species_Compositio!$A$1:$O$114,COLUMN([5]qry_Whonnock_Species_Compositio!K95), FALSE), "")</f>
        <v>0</v>
      </c>
      <c r="N95" s="95">
        <f>IFERROR(VLOOKUP($A95,[5]qry_Whonnock_Species_Compositio!$A$1:$O$114,COLUMN([5]qry_Whonnock_Species_Compositio!L95), FALSE), "")</f>
        <v>1</v>
      </c>
      <c r="O95" s="95">
        <f>IFERROR(VLOOKUP($A95,[5]qry_Whonnock_Species_Compositio!$A$1:$O$114,COLUMN([5]qry_Whonnock_Species_Compositio!M95), FALSE), "")</f>
        <v>3</v>
      </c>
      <c r="P95" s="95">
        <f>IFERROR(VLOOKUP($A95,[5]qry_Whonnock_Species_Compositio!$A$1:$O$114,COLUMN([5]qry_Whonnock_Species_Compositio!N95), FALSE), "")</f>
        <v>0</v>
      </c>
      <c r="Q95" s="95">
        <f>IFERROR(VLOOKUP($A95,[5]qry_Whonnock_Species_Compositio!$A$1:$O$114,COLUMN([5]qry_Whonnock_Species_Compositio!O95), FALSE), "")</f>
        <v>1</v>
      </c>
      <c r="R95" s="96">
        <f t="shared" si="44"/>
        <v>4.3478260869565216E-2</v>
      </c>
      <c r="S95" s="97">
        <f t="shared" si="45"/>
        <v>1.5625E-2</v>
      </c>
      <c r="T95" s="98">
        <f t="shared" si="46"/>
        <v>2.2988505747126436E-2</v>
      </c>
      <c r="U95" s="97">
        <f t="shared" si="47"/>
        <v>0</v>
      </c>
      <c r="V95" s="97">
        <f t="shared" si="48"/>
        <v>0</v>
      </c>
      <c r="W95" s="98">
        <f t="shared" si="49"/>
        <v>0</v>
      </c>
      <c r="X95" s="97">
        <f t="shared" si="50"/>
        <v>0.82608695652173914</v>
      </c>
      <c r="Y95" s="97">
        <f t="shared" si="51"/>
        <v>0.859375</v>
      </c>
      <c r="Z95" s="98">
        <f t="shared" si="52"/>
        <v>0.85057471264367812</v>
      </c>
      <c r="AA95" s="97">
        <f t="shared" si="53"/>
        <v>8.6956521739130432E-2</v>
      </c>
      <c r="AB95" s="97">
        <f t="shared" si="54"/>
        <v>6.25E-2</v>
      </c>
      <c r="AC95" s="98">
        <f t="shared" si="55"/>
        <v>6.8965517241379309E-2</v>
      </c>
      <c r="AD95" s="97">
        <f t="shared" si="56"/>
        <v>0</v>
      </c>
      <c r="AE95" s="97">
        <f t="shared" si="57"/>
        <v>0</v>
      </c>
      <c r="AF95" s="98">
        <f t="shared" si="58"/>
        <v>0</v>
      </c>
      <c r="AG95" s="97">
        <f t="shared" si="59"/>
        <v>4.3478260869565216E-2</v>
      </c>
      <c r="AH95" s="97">
        <f t="shared" si="60"/>
        <v>4.6875E-2</v>
      </c>
      <c r="AI95" s="98">
        <f t="shared" si="61"/>
        <v>4.5977011494252873E-2</v>
      </c>
      <c r="AJ95" s="97">
        <f t="shared" si="62"/>
        <v>0</v>
      </c>
      <c r="AK95" s="97">
        <f t="shared" si="63"/>
        <v>1.5625E-2</v>
      </c>
      <c r="AL95" s="99">
        <f t="shared" si="64"/>
        <v>1.1494252873563218E-2</v>
      </c>
      <c r="AM95" s="100">
        <f t="shared" si="65"/>
        <v>2</v>
      </c>
      <c r="AN95" s="101">
        <f t="shared" si="74"/>
        <v>2.2988505747126436E-2</v>
      </c>
      <c r="AO95" s="100">
        <f t="shared" si="66"/>
        <v>0</v>
      </c>
      <c r="AP95" s="101">
        <f t="shared" si="75"/>
        <v>0</v>
      </c>
      <c r="AQ95" s="100">
        <f t="shared" si="67"/>
        <v>74</v>
      </c>
      <c r="AR95" s="101">
        <f t="shared" si="76"/>
        <v>0.85057471264367812</v>
      </c>
      <c r="AS95" s="100">
        <f t="shared" si="68"/>
        <v>6</v>
      </c>
      <c r="AT95" s="101">
        <f t="shared" si="77"/>
        <v>6.8965517241379309E-2</v>
      </c>
      <c r="AU95" s="100">
        <f t="shared" si="69"/>
        <v>0</v>
      </c>
      <c r="AV95" s="101">
        <f t="shared" si="78"/>
        <v>0</v>
      </c>
      <c r="AW95" s="100">
        <f t="shared" si="70"/>
        <v>4</v>
      </c>
      <c r="AX95" s="101">
        <f t="shared" si="79"/>
        <v>4.5977011494252873E-2</v>
      </c>
      <c r="AY95" s="100">
        <f t="shared" si="71"/>
        <v>1</v>
      </c>
      <c r="AZ95" s="101">
        <f t="shared" si="80"/>
        <v>1.1494252873563218E-2</v>
      </c>
      <c r="BA95" s="102">
        <f t="shared" si="72"/>
        <v>0.99999999999999989</v>
      </c>
    </row>
    <row r="96" spans="1:53" x14ac:dyDescent="0.3">
      <c r="A96" s="92">
        <f>[4]SockEst!A97</f>
        <v>45183</v>
      </c>
      <c r="B96" s="93">
        <f>[4]SockEst!B97</f>
        <v>257</v>
      </c>
      <c r="C96" s="94" t="str">
        <f t="shared" si="73"/>
        <v>TTL</v>
      </c>
      <c r="D96" s="95">
        <f>IFERROR(VLOOKUP($A96,[5]qry_Whonnock_Species_Compositio!$A$1:$O$114,COLUMN([5]qry_Whonnock_Species_Compositio!B96), FALSE), "")</f>
        <v>1</v>
      </c>
      <c r="E96" s="95">
        <f>IFERROR(VLOOKUP($A96,[5]qry_Whonnock_Species_Compositio!$A$1:$O$114,COLUMN([5]qry_Whonnock_Species_Compositio!C96), FALSE), "")</f>
        <v>1</v>
      </c>
      <c r="F96" s="95">
        <f>IFERROR(VLOOKUP($A96,[5]qry_Whonnock_Species_Compositio!$A$1:$O$114,COLUMN([5]qry_Whonnock_Species_Compositio!D96), FALSE), "")</f>
        <v>0</v>
      </c>
      <c r="G96" s="95">
        <f>IFERROR(VLOOKUP($A96,[5]qry_Whonnock_Species_Compositio!$A$1:$O$114,COLUMN([5]qry_Whonnock_Species_Compositio!E96), FALSE), "")</f>
        <v>0</v>
      </c>
      <c r="H96" s="95">
        <f>IFERROR(VLOOKUP($A96,[5]qry_Whonnock_Species_Compositio!$A$1:$O$114,COLUMN([5]qry_Whonnock_Species_Compositio!F96), FALSE), "")</f>
        <v>8</v>
      </c>
      <c r="I96" s="95">
        <f>IFERROR(VLOOKUP($A96,[5]qry_Whonnock_Species_Compositio!$A$1:$O$114,COLUMN([5]qry_Whonnock_Species_Compositio!G96), FALSE), "")</f>
        <v>27</v>
      </c>
      <c r="J96" s="95">
        <f>IFERROR(VLOOKUP($A96,[5]qry_Whonnock_Species_Compositio!$A$1:$O$114,COLUMN([5]qry_Whonnock_Species_Compositio!H96), FALSE), "")</f>
        <v>5</v>
      </c>
      <c r="K96" s="95">
        <f>IFERROR(VLOOKUP($A96,[5]qry_Whonnock_Species_Compositio!$A$1:$O$114,COLUMN([5]qry_Whonnock_Species_Compositio!I96), FALSE), "")</f>
        <v>11</v>
      </c>
      <c r="L96" s="95">
        <f>IFERROR(VLOOKUP($A96,[5]qry_Whonnock_Species_Compositio!$A$1:$O$114,COLUMN([5]qry_Whonnock_Species_Compositio!J96), FALSE), "")</f>
        <v>0</v>
      </c>
      <c r="M96" s="95">
        <f>IFERROR(VLOOKUP($A96,[5]qry_Whonnock_Species_Compositio!$A$1:$O$114,COLUMN([5]qry_Whonnock_Species_Compositio!K96), FALSE), "")</f>
        <v>1</v>
      </c>
      <c r="N96" s="95">
        <f>IFERROR(VLOOKUP($A96,[5]qry_Whonnock_Species_Compositio!$A$1:$O$114,COLUMN([5]qry_Whonnock_Species_Compositio!L96), FALSE), "")</f>
        <v>0</v>
      </c>
      <c r="O96" s="95">
        <f>IFERROR(VLOOKUP($A96,[5]qry_Whonnock_Species_Compositio!$A$1:$O$114,COLUMN([5]qry_Whonnock_Species_Compositio!M96), FALSE), "")</f>
        <v>6</v>
      </c>
      <c r="P96" s="95">
        <f>IFERROR(VLOOKUP($A96,[5]qry_Whonnock_Species_Compositio!$A$1:$O$114,COLUMN([5]qry_Whonnock_Species_Compositio!N96), FALSE), "")</f>
        <v>0</v>
      </c>
      <c r="Q96" s="95">
        <f>IFERROR(VLOOKUP($A96,[5]qry_Whonnock_Species_Compositio!$A$1:$O$114,COLUMN([5]qry_Whonnock_Species_Compositio!O96), FALSE), "")</f>
        <v>1</v>
      </c>
      <c r="R96" s="96">
        <f t="shared" si="44"/>
        <v>7.1428571428571425E-2</v>
      </c>
      <c r="S96" s="97">
        <f t="shared" si="45"/>
        <v>2.1276595744680851E-2</v>
      </c>
      <c r="T96" s="98">
        <f t="shared" si="46"/>
        <v>3.2786885245901641E-2</v>
      </c>
      <c r="U96" s="97">
        <f t="shared" si="47"/>
        <v>0</v>
      </c>
      <c r="V96" s="97">
        <f t="shared" si="48"/>
        <v>0</v>
      </c>
      <c r="W96" s="98">
        <f t="shared" si="49"/>
        <v>0</v>
      </c>
      <c r="X96" s="97">
        <f t="shared" si="50"/>
        <v>0.5714285714285714</v>
      </c>
      <c r="Y96" s="97">
        <f t="shared" si="51"/>
        <v>0.57446808510638303</v>
      </c>
      <c r="Z96" s="98">
        <f t="shared" si="52"/>
        <v>0.57377049180327866</v>
      </c>
      <c r="AA96" s="97">
        <f t="shared" si="53"/>
        <v>0.35714285714285715</v>
      </c>
      <c r="AB96" s="97">
        <f t="shared" si="54"/>
        <v>0.23404255319148937</v>
      </c>
      <c r="AC96" s="98">
        <f t="shared" si="55"/>
        <v>0.26229508196721313</v>
      </c>
      <c r="AD96" s="97">
        <f t="shared" si="56"/>
        <v>0</v>
      </c>
      <c r="AE96" s="97">
        <f t="shared" si="57"/>
        <v>2.1276595744680851E-2</v>
      </c>
      <c r="AF96" s="98">
        <f t="shared" si="58"/>
        <v>1.6393442622950821E-2</v>
      </c>
      <c r="AG96" s="97">
        <f t="shared" si="59"/>
        <v>0</v>
      </c>
      <c r="AH96" s="97">
        <f t="shared" si="60"/>
        <v>0.1276595744680851</v>
      </c>
      <c r="AI96" s="98">
        <f t="shared" si="61"/>
        <v>9.8360655737704916E-2</v>
      </c>
      <c r="AJ96" s="97">
        <f t="shared" si="62"/>
        <v>0</v>
      </c>
      <c r="AK96" s="97">
        <f t="shared" si="63"/>
        <v>2.1276595744680851E-2</v>
      </c>
      <c r="AL96" s="99">
        <f t="shared" si="64"/>
        <v>1.6393442622950821E-2</v>
      </c>
      <c r="AM96" s="100">
        <f t="shared" si="65"/>
        <v>2</v>
      </c>
      <c r="AN96" s="101">
        <f t="shared" si="74"/>
        <v>3.2786885245901641E-2</v>
      </c>
      <c r="AO96" s="100">
        <f t="shared" si="66"/>
        <v>0</v>
      </c>
      <c r="AP96" s="101">
        <f t="shared" si="75"/>
        <v>0</v>
      </c>
      <c r="AQ96" s="100">
        <f t="shared" si="67"/>
        <v>35</v>
      </c>
      <c r="AR96" s="101">
        <f t="shared" si="76"/>
        <v>0.57377049180327866</v>
      </c>
      <c r="AS96" s="100">
        <f t="shared" si="68"/>
        <v>16</v>
      </c>
      <c r="AT96" s="101">
        <f t="shared" si="77"/>
        <v>0.26229508196721313</v>
      </c>
      <c r="AU96" s="100">
        <f t="shared" si="69"/>
        <v>1</v>
      </c>
      <c r="AV96" s="101">
        <f t="shared" si="78"/>
        <v>1.6393442622950821E-2</v>
      </c>
      <c r="AW96" s="100">
        <f t="shared" si="70"/>
        <v>6</v>
      </c>
      <c r="AX96" s="101">
        <f t="shared" si="79"/>
        <v>9.8360655737704916E-2</v>
      </c>
      <c r="AY96" s="100">
        <f t="shared" si="71"/>
        <v>1</v>
      </c>
      <c r="AZ96" s="101">
        <f t="shared" si="80"/>
        <v>1.6393442622950821E-2</v>
      </c>
      <c r="BA96" s="102">
        <f t="shared" si="72"/>
        <v>1</v>
      </c>
    </row>
    <row r="97" spans="1:53" x14ac:dyDescent="0.3">
      <c r="A97" s="92">
        <f>[4]SockEst!A98</f>
        <v>45184</v>
      </c>
      <c r="B97" s="93">
        <f>[4]SockEst!B98</f>
        <v>258</v>
      </c>
      <c r="C97" s="94" t="str">
        <f t="shared" si="73"/>
        <v>TTL</v>
      </c>
      <c r="D97" s="95">
        <f>IFERROR(VLOOKUP($A97,[5]qry_Whonnock_Species_Compositio!$A$1:$O$114,COLUMN([5]qry_Whonnock_Species_Compositio!B97), FALSE), "")</f>
        <v>0</v>
      </c>
      <c r="E97" s="95">
        <f>IFERROR(VLOOKUP($A97,[5]qry_Whonnock_Species_Compositio!$A$1:$O$114,COLUMN([5]qry_Whonnock_Species_Compositio!C97), FALSE), "")</f>
        <v>0</v>
      </c>
      <c r="F97" s="95">
        <f>IFERROR(VLOOKUP($A97,[5]qry_Whonnock_Species_Compositio!$A$1:$O$114,COLUMN([5]qry_Whonnock_Species_Compositio!D97), FALSE), "")</f>
        <v>0</v>
      </c>
      <c r="G97" s="95">
        <f>IFERROR(VLOOKUP($A97,[5]qry_Whonnock_Species_Compositio!$A$1:$O$114,COLUMN([5]qry_Whonnock_Species_Compositio!E97), FALSE), "")</f>
        <v>0</v>
      </c>
      <c r="H97" s="95">
        <f>IFERROR(VLOOKUP($A97,[5]qry_Whonnock_Species_Compositio!$A$1:$O$114,COLUMN([5]qry_Whonnock_Species_Compositio!F97), FALSE), "")</f>
        <v>28</v>
      </c>
      <c r="I97" s="95">
        <f>IFERROR(VLOOKUP($A97,[5]qry_Whonnock_Species_Compositio!$A$1:$O$114,COLUMN([5]qry_Whonnock_Species_Compositio!G97), FALSE), "")</f>
        <v>46</v>
      </c>
      <c r="J97" s="95">
        <f>IFERROR(VLOOKUP($A97,[5]qry_Whonnock_Species_Compositio!$A$1:$O$114,COLUMN([5]qry_Whonnock_Species_Compositio!H97), FALSE), "")</f>
        <v>0</v>
      </c>
      <c r="K97" s="95">
        <f>IFERROR(VLOOKUP($A97,[5]qry_Whonnock_Species_Compositio!$A$1:$O$114,COLUMN([5]qry_Whonnock_Species_Compositio!I97), FALSE), "")</f>
        <v>2</v>
      </c>
      <c r="L97" s="95">
        <f>IFERROR(VLOOKUP($A97,[5]qry_Whonnock_Species_Compositio!$A$1:$O$114,COLUMN([5]qry_Whonnock_Species_Compositio!J97), FALSE), "")</f>
        <v>0</v>
      </c>
      <c r="M97" s="95">
        <f>IFERROR(VLOOKUP($A97,[5]qry_Whonnock_Species_Compositio!$A$1:$O$114,COLUMN([5]qry_Whonnock_Species_Compositio!K97), FALSE), "")</f>
        <v>0</v>
      </c>
      <c r="N97" s="95">
        <f>IFERROR(VLOOKUP($A97,[5]qry_Whonnock_Species_Compositio!$A$1:$O$114,COLUMN([5]qry_Whonnock_Species_Compositio!L97), FALSE), "")</f>
        <v>0</v>
      </c>
      <c r="O97" s="95">
        <f>IFERROR(VLOOKUP($A97,[5]qry_Whonnock_Species_Compositio!$A$1:$O$114,COLUMN([5]qry_Whonnock_Species_Compositio!M97), FALSE), "")</f>
        <v>4</v>
      </c>
      <c r="P97" s="95">
        <f>IFERROR(VLOOKUP($A97,[5]qry_Whonnock_Species_Compositio!$A$1:$O$114,COLUMN([5]qry_Whonnock_Species_Compositio!N97), FALSE), "")</f>
        <v>1</v>
      </c>
      <c r="Q97" s="95">
        <f>IFERROR(VLOOKUP($A97,[5]qry_Whonnock_Species_Compositio!$A$1:$O$114,COLUMN([5]qry_Whonnock_Species_Compositio!O97), FALSE), "")</f>
        <v>0</v>
      </c>
      <c r="R97" s="96">
        <f t="shared" si="44"/>
        <v>0</v>
      </c>
      <c r="S97" s="97">
        <f t="shared" si="45"/>
        <v>0</v>
      </c>
      <c r="T97" s="98">
        <f t="shared" si="46"/>
        <v>0</v>
      </c>
      <c r="U97" s="97">
        <f t="shared" si="47"/>
        <v>0</v>
      </c>
      <c r="V97" s="97">
        <f t="shared" si="48"/>
        <v>0</v>
      </c>
      <c r="W97" s="98">
        <f t="shared" si="49"/>
        <v>0</v>
      </c>
      <c r="X97" s="97">
        <f t="shared" si="50"/>
        <v>0.96551724137931039</v>
      </c>
      <c r="Y97" s="97">
        <f t="shared" si="51"/>
        <v>0.88461538461538458</v>
      </c>
      <c r="Z97" s="98">
        <f t="shared" si="52"/>
        <v>0.9135802469135802</v>
      </c>
      <c r="AA97" s="97">
        <f t="shared" si="53"/>
        <v>0</v>
      </c>
      <c r="AB97" s="97">
        <f t="shared" si="54"/>
        <v>3.8461538461538464E-2</v>
      </c>
      <c r="AC97" s="98">
        <f t="shared" si="55"/>
        <v>2.4691358024691357E-2</v>
      </c>
      <c r="AD97" s="97">
        <f t="shared" si="56"/>
        <v>0</v>
      </c>
      <c r="AE97" s="97">
        <f t="shared" si="57"/>
        <v>0</v>
      </c>
      <c r="AF97" s="98">
        <f t="shared" si="58"/>
        <v>0</v>
      </c>
      <c r="AG97" s="97">
        <f t="shared" si="59"/>
        <v>0</v>
      </c>
      <c r="AH97" s="97">
        <f t="shared" si="60"/>
        <v>7.6923076923076927E-2</v>
      </c>
      <c r="AI97" s="98">
        <f t="shared" si="61"/>
        <v>4.9382716049382713E-2</v>
      </c>
      <c r="AJ97" s="97">
        <f t="shared" si="62"/>
        <v>3.4482758620689655E-2</v>
      </c>
      <c r="AK97" s="97">
        <f t="shared" si="63"/>
        <v>0</v>
      </c>
      <c r="AL97" s="99">
        <f t="shared" si="64"/>
        <v>1.2345679012345678E-2</v>
      </c>
      <c r="AM97" s="100">
        <f t="shared" si="65"/>
        <v>0</v>
      </c>
      <c r="AN97" s="101">
        <f t="shared" si="74"/>
        <v>0</v>
      </c>
      <c r="AO97" s="100">
        <f t="shared" si="66"/>
        <v>0</v>
      </c>
      <c r="AP97" s="101">
        <f t="shared" si="75"/>
        <v>0</v>
      </c>
      <c r="AQ97" s="100">
        <f t="shared" si="67"/>
        <v>74</v>
      </c>
      <c r="AR97" s="101">
        <f t="shared" si="76"/>
        <v>0.9135802469135802</v>
      </c>
      <c r="AS97" s="100">
        <f t="shared" si="68"/>
        <v>2</v>
      </c>
      <c r="AT97" s="101">
        <f t="shared" si="77"/>
        <v>2.4691358024691357E-2</v>
      </c>
      <c r="AU97" s="100">
        <f t="shared" si="69"/>
        <v>0</v>
      </c>
      <c r="AV97" s="101">
        <f t="shared" si="78"/>
        <v>0</v>
      </c>
      <c r="AW97" s="100">
        <f t="shared" si="70"/>
        <v>4</v>
      </c>
      <c r="AX97" s="101">
        <f t="shared" si="79"/>
        <v>4.9382716049382713E-2</v>
      </c>
      <c r="AY97" s="100">
        <f t="shared" si="71"/>
        <v>1</v>
      </c>
      <c r="AZ97" s="101">
        <f t="shared" si="80"/>
        <v>1.2345679012345678E-2</v>
      </c>
      <c r="BA97" s="102">
        <f t="shared" si="72"/>
        <v>1</v>
      </c>
    </row>
    <row r="98" spans="1:53" x14ac:dyDescent="0.3">
      <c r="A98" s="92">
        <f>[4]SockEst!A99</f>
        <v>45185</v>
      </c>
      <c r="B98" s="93">
        <f>[4]SockEst!B99</f>
        <v>259</v>
      </c>
      <c r="C98" s="94" t="str">
        <f t="shared" si="73"/>
        <v>TTL</v>
      </c>
      <c r="D98" s="95">
        <f>IFERROR(VLOOKUP($A98,[5]qry_Whonnock_Species_Compositio!$A$1:$O$114,COLUMN([5]qry_Whonnock_Species_Compositio!B98), FALSE), "")</f>
        <v>1</v>
      </c>
      <c r="E98" s="95">
        <f>IFERROR(VLOOKUP($A98,[5]qry_Whonnock_Species_Compositio!$A$1:$O$114,COLUMN([5]qry_Whonnock_Species_Compositio!C98), FALSE), "")</f>
        <v>1</v>
      </c>
      <c r="F98" s="95">
        <f>IFERROR(VLOOKUP($A98,[5]qry_Whonnock_Species_Compositio!$A$1:$O$114,COLUMN([5]qry_Whonnock_Species_Compositio!D98), FALSE), "")</f>
        <v>0</v>
      </c>
      <c r="G98" s="95">
        <f>IFERROR(VLOOKUP($A98,[5]qry_Whonnock_Species_Compositio!$A$1:$O$114,COLUMN([5]qry_Whonnock_Species_Compositio!E98), FALSE), "")</f>
        <v>0</v>
      </c>
      <c r="H98" s="95">
        <f>IFERROR(VLOOKUP($A98,[5]qry_Whonnock_Species_Compositio!$A$1:$O$114,COLUMN([5]qry_Whonnock_Species_Compositio!F98), FALSE), "")</f>
        <v>18</v>
      </c>
      <c r="I98" s="95">
        <f>IFERROR(VLOOKUP($A98,[5]qry_Whonnock_Species_Compositio!$A$1:$O$114,COLUMN([5]qry_Whonnock_Species_Compositio!G98), FALSE), "")</f>
        <v>35</v>
      </c>
      <c r="J98" s="95">
        <f>IFERROR(VLOOKUP($A98,[5]qry_Whonnock_Species_Compositio!$A$1:$O$114,COLUMN([5]qry_Whonnock_Species_Compositio!H98), FALSE), "")</f>
        <v>1</v>
      </c>
      <c r="K98" s="95">
        <f>IFERROR(VLOOKUP($A98,[5]qry_Whonnock_Species_Compositio!$A$1:$O$114,COLUMN([5]qry_Whonnock_Species_Compositio!I98), FALSE), "")</f>
        <v>7</v>
      </c>
      <c r="L98" s="95">
        <f>IFERROR(VLOOKUP($A98,[5]qry_Whonnock_Species_Compositio!$A$1:$O$114,COLUMN([5]qry_Whonnock_Species_Compositio!J98), FALSE), "")</f>
        <v>0</v>
      </c>
      <c r="M98" s="95">
        <f>IFERROR(VLOOKUP($A98,[5]qry_Whonnock_Species_Compositio!$A$1:$O$114,COLUMN([5]qry_Whonnock_Species_Compositio!K98), FALSE), "")</f>
        <v>0</v>
      </c>
      <c r="N98" s="95">
        <f>IFERROR(VLOOKUP($A98,[5]qry_Whonnock_Species_Compositio!$A$1:$O$114,COLUMN([5]qry_Whonnock_Species_Compositio!L98), FALSE), "")</f>
        <v>0</v>
      </c>
      <c r="O98" s="95">
        <f>IFERROR(VLOOKUP($A98,[5]qry_Whonnock_Species_Compositio!$A$1:$O$114,COLUMN([5]qry_Whonnock_Species_Compositio!M98), FALSE), "")</f>
        <v>1</v>
      </c>
      <c r="P98" s="95">
        <f>IFERROR(VLOOKUP($A98,[5]qry_Whonnock_Species_Compositio!$A$1:$O$114,COLUMN([5]qry_Whonnock_Species_Compositio!N98), FALSE), "")</f>
        <v>0</v>
      </c>
      <c r="Q98" s="95">
        <f>IFERROR(VLOOKUP($A98,[5]qry_Whonnock_Species_Compositio!$A$1:$O$114,COLUMN([5]qry_Whonnock_Species_Compositio!O98), FALSE), "")</f>
        <v>1</v>
      </c>
      <c r="R98" s="96">
        <f t="shared" si="44"/>
        <v>0.05</v>
      </c>
      <c r="S98" s="97">
        <f t="shared" si="45"/>
        <v>2.2222222222222223E-2</v>
      </c>
      <c r="T98" s="98">
        <f t="shared" si="46"/>
        <v>3.0769230769230771E-2</v>
      </c>
      <c r="U98" s="97">
        <f t="shared" si="47"/>
        <v>0</v>
      </c>
      <c r="V98" s="97">
        <f t="shared" si="48"/>
        <v>0</v>
      </c>
      <c r="W98" s="98">
        <f t="shared" si="49"/>
        <v>0</v>
      </c>
      <c r="X98" s="97">
        <f t="shared" si="50"/>
        <v>0.9</v>
      </c>
      <c r="Y98" s="97">
        <f t="shared" si="51"/>
        <v>0.77777777777777779</v>
      </c>
      <c r="Z98" s="98">
        <f t="shared" si="52"/>
        <v>0.81538461538461537</v>
      </c>
      <c r="AA98" s="97">
        <f t="shared" si="53"/>
        <v>0.05</v>
      </c>
      <c r="AB98" s="97">
        <f t="shared" si="54"/>
        <v>0.15555555555555556</v>
      </c>
      <c r="AC98" s="98">
        <f t="shared" si="55"/>
        <v>0.12307692307692308</v>
      </c>
      <c r="AD98" s="97">
        <f t="shared" si="56"/>
        <v>0</v>
      </c>
      <c r="AE98" s="97">
        <f t="shared" si="57"/>
        <v>0</v>
      </c>
      <c r="AF98" s="98">
        <f t="shared" si="58"/>
        <v>0</v>
      </c>
      <c r="AG98" s="97">
        <f t="shared" si="59"/>
        <v>0</v>
      </c>
      <c r="AH98" s="97">
        <f t="shared" si="60"/>
        <v>2.2222222222222223E-2</v>
      </c>
      <c r="AI98" s="98">
        <f t="shared" si="61"/>
        <v>1.5384615384615385E-2</v>
      </c>
      <c r="AJ98" s="97">
        <f t="shared" si="62"/>
        <v>0</v>
      </c>
      <c r="AK98" s="97">
        <f t="shared" si="63"/>
        <v>2.2222222222222223E-2</v>
      </c>
      <c r="AL98" s="99">
        <f t="shared" si="64"/>
        <v>1.5384615384615385E-2</v>
      </c>
      <c r="AM98" s="100">
        <f t="shared" si="65"/>
        <v>2</v>
      </c>
      <c r="AN98" s="101">
        <f t="shared" si="74"/>
        <v>3.0769230769230771E-2</v>
      </c>
      <c r="AO98" s="100">
        <f t="shared" si="66"/>
        <v>0</v>
      </c>
      <c r="AP98" s="101">
        <f t="shared" si="75"/>
        <v>0</v>
      </c>
      <c r="AQ98" s="100">
        <f t="shared" si="67"/>
        <v>53</v>
      </c>
      <c r="AR98" s="101">
        <f t="shared" si="76"/>
        <v>0.81538461538461537</v>
      </c>
      <c r="AS98" s="100">
        <f t="shared" si="68"/>
        <v>8</v>
      </c>
      <c r="AT98" s="101">
        <f t="shared" si="77"/>
        <v>0.12307692307692308</v>
      </c>
      <c r="AU98" s="100">
        <f t="shared" si="69"/>
        <v>0</v>
      </c>
      <c r="AV98" s="101">
        <f t="shared" si="78"/>
        <v>0</v>
      </c>
      <c r="AW98" s="100">
        <f t="shared" si="70"/>
        <v>1</v>
      </c>
      <c r="AX98" s="101">
        <f t="shared" si="79"/>
        <v>1.5384615384615385E-2</v>
      </c>
      <c r="AY98" s="100">
        <f t="shared" si="71"/>
        <v>1</v>
      </c>
      <c r="AZ98" s="101">
        <f t="shared" si="80"/>
        <v>1.5384615384615385E-2</v>
      </c>
      <c r="BA98" s="102">
        <f t="shared" si="72"/>
        <v>1</v>
      </c>
    </row>
    <row r="99" spans="1:53" x14ac:dyDescent="0.3">
      <c r="A99" s="92">
        <f>[4]SockEst!A100</f>
        <v>45186</v>
      </c>
      <c r="B99" s="93">
        <f>[4]SockEst!B100</f>
        <v>260</v>
      </c>
      <c r="C99" s="94" t="str">
        <f t="shared" si="73"/>
        <v>TTL</v>
      </c>
      <c r="D99" s="95">
        <f>IFERROR(VLOOKUP($A99,[5]qry_Whonnock_Species_Compositio!$A$1:$O$114,COLUMN([5]qry_Whonnock_Species_Compositio!B99), FALSE), "")</f>
        <v>4</v>
      </c>
      <c r="E99" s="95">
        <f>IFERROR(VLOOKUP($A99,[5]qry_Whonnock_Species_Compositio!$A$1:$O$114,COLUMN([5]qry_Whonnock_Species_Compositio!C99), FALSE), "")</f>
        <v>2</v>
      </c>
      <c r="F99" s="95">
        <f>IFERROR(VLOOKUP($A99,[5]qry_Whonnock_Species_Compositio!$A$1:$O$114,COLUMN([5]qry_Whonnock_Species_Compositio!D99), FALSE), "")</f>
        <v>0</v>
      </c>
      <c r="G99" s="95">
        <f>IFERROR(VLOOKUP($A99,[5]qry_Whonnock_Species_Compositio!$A$1:$O$114,COLUMN([5]qry_Whonnock_Species_Compositio!E99), FALSE), "")</f>
        <v>0</v>
      </c>
      <c r="H99" s="95">
        <f>IFERROR(VLOOKUP($A99,[5]qry_Whonnock_Species_Compositio!$A$1:$O$114,COLUMN([5]qry_Whonnock_Species_Compositio!F99), FALSE), "")</f>
        <v>24</v>
      </c>
      <c r="I99" s="95">
        <f>IFERROR(VLOOKUP($A99,[5]qry_Whonnock_Species_Compositio!$A$1:$O$114,COLUMN([5]qry_Whonnock_Species_Compositio!G99), FALSE), "")</f>
        <v>50</v>
      </c>
      <c r="J99" s="95">
        <f>IFERROR(VLOOKUP($A99,[5]qry_Whonnock_Species_Compositio!$A$1:$O$114,COLUMN([5]qry_Whonnock_Species_Compositio!H99), FALSE), "")</f>
        <v>2</v>
      </c>
      <c r="K99" s="95">
        <f>IFERROR(VLOOKUP($A99,[5]qry_Whonnock_Species_Compositio!$A$1:$O$114,COLUMN([5]qry_Whonnock_Species_Compositio!I99), FALSE), "")</f>
        <v>4</v>
      </c>
      <c r="L99" s="95">
        <f>IFERROR(VLOOKUP($A99,[5]qry_Whonnock_Species_Compositio!$A$1:$O$114,COLUMN([5]qry_Whonnock_Species_Compositio!J99), FALSE), "")</f>
        <v>0</v>
      </c>
      <c r="M99" s="95">
        <f>IFERROR(VLOOKUP($A99,[5]qry_Whonnock_Species_Compositio!$A$1:$O$114,COLUMN([5]qry_Whonnock_Species_Compositio!K99), FALSE), "")</f>
        <v>0</v>
      </c>
      <c r="N99" s="95">
        <f>IFERROR(VLOOKUP($A99,[5]qry_Whonnock_Species_Compositio!$A$1:$O$114,COLUMN([5]qry_Whonnock_Species_Compositio!L99), FALSE), "")</f>
        <v>0</v>
      </c>
      <c r="O99" s="95">
        <f>IFERROR(VLOOKUP($A99,[5]qry_Whonnock_Species_Compositio!$A$1:$O$114,COLUMN([5]qry_Whonnock_Species_Compositio!M99), FALSE), "")</f>
        <v>1</v>
      </c>
      <c r="P99" s="95">
        <f>IFERROR(VLOOKUP($A99,[5]qry_Whonnock_Species_Compositio!$A$1:$O$114,COLUMN([5]qry_Whonnock_Species_Compositio!N99), FALSE), "")</f>
        <v>0</v>
      </c>
      <c r="Q99" s="95">
        <f>IFERROR(VLOOKUP($A99,[5]qry_Whonnock_Species_Compositio!$A$1:$O$114,COLUMN([5]qry_Whonnock_Species_Compositio!O99), FALSE), "")</f>
        <v>7</v>
      </c>
      <c r="R99" s="96">
        <f t="shared" si="44"/>
        <v>0.13333333333333333</v>
      </c>
      <c r="S99" s="97">
        <f t="shared" si="45"/>
        <v>3.125E-2</v>
      </c>
      <c r="T99" s="98">
        <f t="shared" si="46"/>
        <v>6.3829787234042548E-2</v>
      </c>
      <c r="U99" s="97">
        <f t="shared" si="47"/>
        <v>0</v>
      </c>
      <c r="V99" s="97">
        <f t="shared" si="48"/>
        <v>0</v>
      </c>
      <c r="W99" s="98">
        <f t="shared" si="49"/>
        <v>0</v>
      </c>
      <c r="X99" s="97">
        <f t="shared" si="50"/>
        <v>0.8</v>
      </c>
      <c r="Y99" s="97">
        <f t="shared" si="51"/>
        <v>0.78125</v>
      </c>
      <c r="Z99" s="98">
        <f t="shared" si="52"/>
        <v>0.78723404255319152</v>
      </c>
      <c r="AA99" s="97">
        <f t="shared" si="53"/>
        <v>6.6666666666666666E-2</v>
      </c>
      <c r="AB99" s="97">
        <f t="shared" si="54"/>
        <v>6.25E-2</v>
      </c>
      <c r="AC99" s="98">
        <f t="shared" si="55"/>
        <v>6.3829787234042548E-2</v>
      </c>
      <c r="AD99" s="97">
        <f t="shared" si="56"/>
        <v>0</v>
      </c>
      <c r="AE99" s="97">
        <f t="shared" si="57"/>
        <v>0</v>
      </c>
      <c r="AF99" s="98">
        <f t="shared" si="58"/>
        <v>0</v>
      </c>
      <c r="AG99" s="97">
        <f t="shared" si="59"/>
        <v>0</v>
      </c>
      <c r="AH99" s="97">
        <f t="shared" si="60"/>
        <v>1.5625E-2</v>
      </c>
      <c r="AI99" s="98">
        <f t="shared" si="61"/>
        <v>1.0638297872340425E-2</v>
      </c>
      <c r="AJ99" s="97">
        <f t="shared" si="62"/>
        <v>0</v>
      </c>
      <c r="AK99" s="97">
        <f t="shared" si="63"/>
        <v>0.109375</v>
      </c>
      <c r="AL99" s="99">
        <f t="shared" si="64"/>
        <v>7.4468085106382975E-2</v>
      </c>
      <c r="AM99" s="100">
        <f t="shared" si="65"/>
        <v>6</v>
      </c>
      <c r="AN99" s="101">
        <f t="shared" si="74"/>
        <v>6.3829787234042548E-2</v>
      </c>
      <c r="AO99" s="100">
        <f t="shared" si="66"/>
        <v>0</v>
      </c>
      <c r="AP99" s="101">
        <f t="shared" si="75"/>
        <v>0</v>
      </c>
      <c r="AQ99" s="100">
        <f t="shared" si="67"/>
        <v>74</v>
      </c>
      <c r="AR99" s="101">
        <f t="shared" si="76"/>
        <v>0.78723404255319152</v>
      </c>
      <c r="AS99" s="100">
        <f t="shared" si="68"/>
        <v>6</v>
      </c>
      <c r="AT99" s="101">
        <f t="shared" si="77"/>
        <v>6.3829787234042548E-2</v>
      </c>
      <c r="AU99" s="100">
        <f t="shared" si="69"/>
        <v>0</v>
      </c>
      <c r="AV99" s="101">
        <f t="shared" si="78"/>
        <v>0</v>
      </c>
      <c r="AW99" s="100">
        <f t="shared" si="70"/>
        <v>1</v>
      </c>
      <c r="AX99" s="101">
        <f t="shared" si="79"/>
        <v>1.0638297872340425E-2</v>
      </c>
      <c r="AY99" s="100">
        <f t="shared" si="71"/>
        <v>7</v>
      </c>
      <c r="AZ99" s="101">
        <f t="shared" si="80"/>
        <v>7.4468085106382975E-2</v>
      </c>
      <c r="BA99" s="102">
        <f t="shared" si="72"/>
        <v>1</v>
      </c>
    </row>
    <row r="100" spans="1:53" x14ac:dyDescent="0.3">
      <c r="A100" s="92">
        <f>[4]SockEst!A101</f>
        <v>45187</v>
      </c>
      <c r="B100" s="93">
        <f>[4]SockEst!B101</f>
        <v>261</v>
      </c>
      <c r="C100" s="94" t="str">
        <f t="shared" si="73"/>
        <v>TTL</v>
      </c>
      <c r="D100" s="95">
        <f>IFERROR(VLOOKUP($A100,[5]qry_Whonnock_Species_Compositio!$A$1:$O$114,COLUMN([5]qry_Whonnock_Species_Compositio!B100), FALSE), "")</f>
        <v>2</v>
      </c>
      <c r="E100" s="95">
        <f>IFERROR(VLOOKUP($A100,[5]qry_Whonnock_Species_Compositio!$A$1:$O$114,COLUMN([5]qry_Whonnock_Species_Compositio!C100), FALSE), "")</f>
        <v>0</v>
      </c>
      <c r="F100" s="95">
        <f>IFERROR(VLOOKUP($A100,[5]qry_Whonnock_Species_Compositio!$A$1:$O$114,COLUMN([5]qry_Whonnock_Species_Compositio!D100), FALSE), "")</f>
        <v>0</v>
      </c>
      <c r="G100" s="95">
        <f>IFERROR(VLOOKUP($A100,[5]qry_Whonnock_Species_Compositio!$A$1:$O$114,COLUMN([5]qry_Whonnock_Species_Compositio!E100), FALSE), "")</f>
        <v>0</v>
      </c>
      <c r="H100" s="95">
        <f>IFERROR(VLOOKUP($A100,[5]qry_Whonnock_Species_Compositio!$A$1:$O$114,COLUMN([5]qry_Whonnock_Species_Compositio!F100), FALSE), "")</f>
        <v>37</v>
      </c>
      <c r="I100" s="95">
        <f>IFERROR(VLOOKUP($A100,[5]qry_Whonnock_Species_Compositio!$A$1:$O$114,COLUMN([5]qry_Whonnock_Species_Compositio!G100), FALSE), "")</f>
        <v>55</v>
      </c>
      <c r="J100" s="95">
        <f>IFERROR(VLOOKUP($A100,[5]qry_Whonnock_Species_Compositio!$A$1:$O$114,COLUMN([5]qry_Whonnock_Species_Compositio!H100), FALSE), "")</f>
        <v>3</v>
      </c>
      <c r="K100" s="95">
        <f>IFERROR(VLOOKUP($A100,[5]qry_Whonnock_Species_Compositio!$A$1:$O$114,COLUMN([5]qry_Whonnock_Species_Compositio!I100), FALSE), "")</f>
        <v>6</v>
      </c>
      <c r="L100" s="95">
        <f>IFERROR(VLOOKUP($A100,[5]qry_Whonnock_Species_Compositio!$A$1:$O$114,COLUMN([5]qry_Whonnock_Species_Compositio!J100), FALSE), "")</f>
        <v>0</v>
      </c>
      <c r="M100" s="95">
        <f>IFERROR(VLOOKUP($A100,[5]qry_Whonnock_Species_Compositio!$A$1:$O$114,COLUMN([5]qry_Whonnock_Species_Compositio!K100), FALSE), "")</f>
        <v>0</v>
      </c>
      <c r="N100" s="95">
        <f>IFERROR(VLOOKUP($A100,[5]qry_Whonnock_Species_Compositio!$A$1:$O$114,COLUMN([5]qry_Whonnock_Species_Compositio!L100), FALSE), "")</f>
        <v>4</v>
      </c>
      <c r="O100" s="95">
        <f>IFERROR(VLOOKUP($A100,[5]qry_Whonnock_Species_Compositio!$A$1:$O$114,COLUMN([5]qry_Whonnock_Species_Compositio!M100), FALSE), "")</f>
        <v>5</v>
      </c>
      <c r="P100" s="95">
        <f>IFERROR(VLOOKUP($A100,[5]qry_Whonnock_Species_Compositio!$A$1:$O$114,COLUMN([5]qry_Whonnock_Species_Compositio!N100), FALSE), "")</f>
        <v>0</v>
      </c>
      <c r="Q100" s="95">
        <f>IFERROR(VLOOKUP($A100,[5]qry_Whonnock_Species_Compositio!$A$1:$O$114,COLUMN([5]qry_Whonnock_Species_Compositio!O100), FALSE), "")</f>
        <v>1</v>
      </c>
      <c r="R100" s="96">
        <f t="shared" si="44"/>
        <v>4.3478260869565216E-2</v>
      </c>
      <c r="S100" s="97">
        <f t="shared" si="45"/>
        <v>0</v>
      </c>
      <c r="T100" s="98">
        <f t="shared" si="46"/>
        <v>1.7699115044247787E-2</v>
      </c>
      <c r="U100" s="97">
        <f t="shared" si="47"/>
        <v>0</v>
      </c>
      <c r="V100" s="97">
        <f t="shared" si="48"/>
        <v>0</v>
      </c>
      <c r="W100" s="98">
        <f t="shared" si="49"/>
        <v>0</v>
      </c>
      <c r="X100" s="97">
        <f t="shared" si="50"/>
        <v>0.80434782608695654</v>
      </c>
      <c r="Y100" s="97">
        <f t="shared" si="51"/>
        <v>0.82089552238805974</v>
      </c>
      <c r="Z100" s="98">
        <f t="shared" si="52"/>
        <v>0.81415929203539827</v>
      </c>
      <c r="AA100" s="97">
        <f t="shared" si="53"/>
        <v>6.5217391304347824E-2</v>
      </c>
      <c r="AB100" s="97">
        <f t="shared" si="54"/>
        <v>8.9552238805970144E-2</v>
      </c>
      <c r="AC100" s="98">
        <f t="shared" si="55"/>
        <v>7.9646017699115043E-2</v>
      </c>
      <c r="AD100" s="97">
        <f t="shared" si="56"/>
        <v>0</v>
      </c>
      <c r="AE100" s="97">
        <f t="shared" si="57"/>
        <v>0</v>
      </c>
      <c r="AF100" s="98">
        <f t="shared" si="58"/>
        <v>0</v>
      </c>
      <c r="AG100" s="97">
        <f t="shared" si="59"/>
        <v>8.6956521739130432E-2</v>
      </c>
      <c r="AH100" s="97">
        <f t="shared" si="60"/>
        <v>7.4626865671641784E-2</v>
      </c>
      <c r="AI100" s="98">
        <f t="shared" si="61"/>
        <v>7.9646017699115043E-2</v>
      </c>
      <c r="AJ100" s="97">
        <f t="shared" si="62"/>
        <v>0</v>
      </c>
      <c r="AK100" s="97">
        <f t="shared" si="63"/>
        <v>1.4925373134328358E-2</v>
      </c>
      <c r="AL100" s="99">
        <f t="shared" si="64"/>
        <v>8.8495575221238937E-3</v>
      </c>
      <c r="AM100" s="100">
        <f t="shared" si="65"/>
        <v>2</v>
      </c>
      <c r="AN100" s="101">
        <f t="shared" si="74"/>
        <v>1.7699115044247787E-2</v>
      </c>
      <c r="AO100" s="100">
        <f t="shared" si="66"/>
        <v>0</v>
      </c>
      <c r="AP100" s="101">
        <f t="shared" si="75"/>
        <v>0</v>
      </c>
      <c r="AQ100" s="100">
        <f t="shared" si="67"/>
        <v>92</v>
      </c>
      <c r="AR100" s="101">
        <f t="shared" si="76"/>
        <v>0.81415929203539827</v>
      </c>
      <c r="AS100" s="100">
        <f t="shared" si="68"/>
        <v>9</v>
      </c>
      <c r="AT100" s="101">
        <f t="shared" si="77"/>
        <v>7.9646017699115043E-2</v>
      </c>
      <c r="AU100" s="100">
        <f t="shared" si="69"/>
        <v>0</v>
      </c>
      <c r="AV100" s="101">
        <f t="shared" si="78"/>
        <v>0</v>
      </c>
      <c r="AW100" s="100">
        <f t="shared" si="70"/>
        <v>9</v>
      </c>
      <c r="AX100" s="101">
        <f t="shared" si="79"/>
        <v>7.9646017699115043E-2</v>
      </c>
      <c r="AY100" s="100">
        <f t="shared" si="71"/>
        <v>1</v>
      </c>
      <c r="AZ100" s="101">
        <f t="shared" si="80"/>
        <v>8.8495575221238937E-3</v>
      </c>
      <c r="BA100" s="102">
        <f t="shared" si="72"/>
        <v>1</v>
      </c>
    </row>
    <row r="101" spans="1:53" x14ac:dyDescent="0.3">
      <c r="A101" s="92">
        <f>[4]SockEst!A102</f>
        <v>45188</v>
      </c>
      <c r="B101" s="93">
        <f>[4]SockEst!B102</f>
        <v>262</v>
      </c>
      <c r="C101" s="94" t="str">
        <f t="shared" si="73"/>
        <v>TTL</v>
      </c>
      <c r="D101" s="95">
        <f>IFERROR(VLOOKUP($A101,[5]qry_Whonnock_Species_Compositio!$A$1:$O$114,COLUMN([5]qry_Whonnock_Species_Compositio!B101), FALSE), "")</f>
        <v>1</v>
      </c>
      <c r="E101" s="95">
        <f>IFERROR(VLOOKUP($A101,[5]qry_Whonnock_Species_Compositio!$A$1:$O$114,COLUMN([5]qry_Whonnock_Species_Compositio!C101), FALSE), "")</f>
        <v>2</v>
      </c>
      <c r="F101" s="95">
        <f>IFERROR(VLOOKUP($A101,[5]qry_Whonnock_Species_Compositio!$A$1:$O$114,COLUMN([5]qry_Whonnock_Species_Compositio!D101), FALSE), "")</f>
        <v>0</v>
      </c>
      <c r="G101" s="95">
        <f>IFERROR(VLOOKUP($A101,[5]qry_Whonnock_Species_Compositio!$A$1:$O$114,COLUMN([5]qry_Whonnock_Species_Compositio!E101), FALSE), "")</f>
        <v>0</v>
      </c>
      <c r="H101" s="95">
        <f>IFERROR(VLOOKUP($A101,[5]qry_Whonnock_Species_Compositio!$A$1:$O$114,COLUMN([5]qry_Whonnock_Species_Compositio!F101), FALSE), "")</f>
        <v>14</v>
      </c>
      <c r="I101" s="95">
        <f>IFERROR(VLOOKUP($A101,[5]qry_Whonnock_Species_Compositio!$A$1:$O$114,COLUMN([5]qry_Whonnock_Species_Compositio!G101), FALSE), "")</f>
        <v>36</v>
      </c>
      <c r="J101" s="95">
        <f>IFERROR(VLOOKUP($A101,[5]qry_Whonnock_Species_Compositio!$A$1:$O$114,COLUMN([5]qry_Whonnock_Species_Compositio!H101), FALSE), "")</f>
        <v>2</v>
      </c>
      <c r="K101" s="95">
        <f>IFERROR(VLOOKUP($A101,[5]qry_Whonnock_Species_Compositio!$A$1:$O$114,COLUMN([5]qry_Whonnock_Species_Compositio!I101), FALSE), "")</f>
        <v>1</v>
      </c>
      <c r="L101" s="95">
        <f>IFERROR(VLOOKUP($A101,[5]qry_Whonnock_Species_Compositio!$A$1:$O$114,COLUMN([5]qry_Whonnock_Species_Compositio!J101), FALSE), "")</f>
        <v>0</v>
      </c>
      <c r="M101" s="95">
        <f>IFERROR(VLOOKUP($A101,[5]qry_Whonnock_Species_Compositio!$A$1:$O$114,COLUMN([5]qry_Whonnock_Species_Compositio!K101), FALSE), "")</f>
        <v>0</v>
      </c>
      <c r="N101" s="95">
        <f>IFERROR(VLOOKUP($A101,[5]qry_Whonnock_Species_Compositio!$A$1:$O$114,COLUMN([5]qry_Whonnock_Species_Compositio!L101), FALSE), "")</f>
        <v>0</v>
      </c>
      <c r="O101" s="95">
        <f>IFERROR(VLOOKUP($A101,[5]qry_Whonnock_Species_Compositio!$A$1:$O$114,COLUMN([5]qry_Whonnock_Species_Compositio!M101), FALSE), "")</f>
        <v>2</v>
      </c>
      <c r="P101" s="95">
        <f>IFERROR(VLOOKUP($A101,[5]qry_Whonnock_Species_Compositio!$A$1:$O$114,COLUMN([5]qry_Whonnock_Species_Compositio!N101), FALSE), "")</f>
        <v>2</v>
      </c>
      <c r="Q101" s="95">
        <f>IFERROR(VLOOKUP($A101,[5]qry_Whonnock_Species_Compositio!$A$1:$O$114,COLUMN([5]qry_Whonnock_Species_Compositio!O101), FALSE), "")</f>
        <v>0</v>
      </c>
      <c r="R101" s="96">
        <f t="shared" si="44"/>
        <v>5.2631578947368418E-2</v>
      </c>
      <c r="S101" s="97">
        <f t="shared" si="45"/>
        <v>4.878048780487805E-2</v>
      </c>
      <c r="T101" s="98">
        <f t="shared" si="46"/>
        <v>0.05</v>
      </c>
      <c r="U101" s="97">
        <f t="shared" si="47"/>
        <v>0</v>
      </c>
      <c r="V101" s="97">
        <f t="shared" si="48"/>
        <v>0</v>
      </c>
      <c r="W101" s="98">
        <f t="shared" si="49"/>
        <v>0</v>
      </c>
      <c r="X101" s="97">
        <f t="shared" si="50"/>
        <v>0.73684210526315785</v>
      </c>
      <c r="Y101" s="97">
        <f t="shared" si="51"/>
        <v>0.87804878048780488</v>
      </c>
      <c r="Z101" s="98">
        <f t="shared" si="52"/>
        <v>0.83333333333333337</v>
      </c>
      <c r="AA101" s="97">
        <f t="shared" si="53"/>
        <v>0.10526315789473684</v>
      </c>
      <c r="AB101" s="97">
        <f t="shared" si="54"/>
        <v>2.4390243902439025E-2</v>
      </c>
      <c r="AC101" s="98">
        <f t="shared" si="55"/>
        <v>0.05</v>
      </c>
      <c r="AD101" s="97">
        <f t="shared" si="56"/>
        <v>0</v>
      </c>
      <c r="AE101" s="97">
        <f t="shared" si="57"/>
        <v>0</v>
      </c>
      <c r="AF101" s="98">
        <f t="shared" si="58"/>
        <v>0</v>
      </c>
      <c r="AG101" s="97">
        <f t="shared" si="59"/>
        <v>0</v>
      </c>
      <c r="AH101" s="97">
        <f t="shared" si="60"/>
        <v>4.878048780487805E-2</v>
      </c>
      <c r="AI101" s="98">
        <f t="shared" si="61"/>
        <v>3.3333333333333333E-2</v>
      </c>
      <c r="AJ101" s="97">
        <f t="shared" si="62"/>
        <v>0.10526315789473684</v>
      </c>
      <c r="AK101" s="97">
        <f t="shared" si="63"/>
        <v>0</v>
      </c>
      <c r="AL101" s="99">
        <f t="shared" si="64"/>
        <v>3.3333333333333333E-2</v>
      </c>
      <c r="AM101" s="100">
        <f t="shared" si="65"/>
        <v>3</v>
      </c>
      <c r="AN101" s="101">
        <f t="shared" si="74"/>
        <v>0.05</v>
      </c>
      <c r="AO101" s="100">
        <f t="shared" si="66"/>
        <v>0</v>
      </c>
      <c r="AP101" s="101">
        <f t="shared" si="75"/>
        <v>0</v>
      </c>
      <c r="AQ101" s="100">
        <f t="shared" si="67"/>
        <v>50</v>
      </c>
      <c r="AR101" s="101">
        <f t="shared" si="76"/>
        <v>0.83333333333333337</v>
      </c>
      <c r="AS101" s="100">
        <f t="shared" si="68"/>
        <v>3</v>
      </c>
      <c r="AT101" s="101">
        <f t="shared" si="77"/>
        <v>0.05</v>
      </c>
      <c r="AU101" s="100">
        <f t="shared" si="69"/>
        <v>0</v>
      </c>
      <c r="AV101" s="101">
        <f t="shared" si="78"/>
        <v>0</v>
      </c>
      <c r="AW101" s="100">
        <f t="shared" si="70"/>
        <v>2</v>
      </c>
      <c r="AX101" s="101">
        <f t="shared" si="79"/>
        <v>3.3333333333333333E-2</v>
      </c>
      <c r="AY101" s="100">
        <f t="shared" si="71"/>
        <v>2</v>
      </c>
      <c r="AZ101" s="101">
        <f t="shared" si="80"/>
        <v>3.3333333333333333E-2</v>
      </c>
      <c r="BA101" s="102">
        <f t="shared" si="72"/>
        <v>1.0000000000000002</v>
      </c>
    </row>
    <row r="102" spans="1:53" x14ac:dyDescent="0.3">
      <c r="A102" s="92">
        <f>[4]SockEst!A103</f>
        <v>45189</v>
      </c>
      <c r="B102" s="93">
        <f>[4]SockEst!B103</f>
        <v>263</v>
      </c>
      <c r="C102" s="94" t="str">
        <f t="shared" si="73"/>
        <v>TTL</v>
      </c>
      <c r="D102" s="95">
        <f>IFERROR(VLOOKUP($A102,[5]qry_Whonnock_Species_Compositio!$A$1:$O$114,COLUMN([5]qry_Whonnock_Species_Compositio!B102), FALSE), "")</f>
        <v>2</v>
      </c>
      <c r="E102" s="95">
        <f>IFERROR(VLOOKUP($A102,[5]qry_Whonnock_Species_Compositio!$A$1:$O$114,COLUMN([5]qry_Whonnock_Species_Compositio!C102), FALSE), "")</f>
        <v>5</v>
      </c>
      <c r="F102" s="95">
        <f>IFERROR(VLOOKUP($A102,[5]qry_Whonnock_Species_Compositio!$A$1:$O$114,COLUMN([5]qry_Whonnock_Species_Compositio!D102), FALSE), "")</f>
        <v>0</v>
      </c>
      <c r="G102" s="95">
        <f>IFERROR(VLOOKUP($A102,[5]qry_Whonnock_Species_Compositio!$A$1:$O$114,COLUMN([5]qry_Whonnock_Species_Compositio!E102), FALSE), "")</f>
        <v>0</v>
      </c>
      <c r="H102" s="95">
        <f>IFERROR(VLOOKUP($A102,[5]qry_Whonnock_Species_Compositio!$A$1:$O$114,COLUMN([5]qry_Whonnock_Species_Compositio!F102), FALSE), "")</f>
        <v>13</v>
      </c>
      <c r="I102" s="95">
        <f>IFERROR(VLOOKUP($A102,[5]qry_Whonnock_Species_Compositio!$A$1:$O$114,COLUMN([5]qry_Whonnock_Species_Compositio!G102), FALSE), "")</f>
        <v>28</v>
      </c>
      <c r="J102" s="95">
        <f>IFERROR(VLOOKUP($A102,[5]qry_Whonnock_Species_Compositio!$A$1:$O$114,COLUMN([5]qry_Whonnock_Species_Compositio!H102), FALSE), "")</f>
        <v>2</v>
      </c>
      <c r="K102" s="95">
        <f>IFERROR(VLOOKUP($A102,[5]qry_Whonnock_Species_Compositio!$A$1:$O$114,COLUMN([5]qry_Whonnock_Species_Compositio!I102), FALSE), "")</f>
        <v>5</v>
      </c>
      <c r="L102" s="95">
        <f>IFERROR(VLOOKUP($A102,[5]qry_Whonnock_Species_Compositio!$A$1:$O$114,COLUMN([5]qry_Whonnock_Species_Compositio!J102), FALSE), "")</f>
        <v>0</v>
      </c>
      <c r="M102" s="95">
        <f>IFERROR(VLOOKUP($A102,[5]qry_Whonnock_Species_Compositio!$A$1:$O$114,COLUMN([5]qry_Whonnock_Species_Compositio!K102), FALSE), "")</f>
        <v>0</v>
      </c>
      <c r="N102" s="95">
        <f>IFERROR(VLOOKUP($A102,[5]qry_Whonnock_Species_Compositio!$A$1:$O$114,COLUMN([5]qry_Whonnock_Species_Compositio!L102), FALSE), "")</f>
        <v>1</v>
      </c>
      <c r="O102" s="95">
        <f>IFERROR(VLOOKUP($A102,[5]qry_Whonnock_Species_Compositio!$A$1:$O$114,COLUMN([5]qry_Whonnock_Species_Compositio!M102), FALSE), "")</f>
        <v>1</v>
      </c>
      <c r="P102" s="95">
        <f>IFERROR(VLOOKUP($A102,[5]qry_Whonnock_Species_Compositio!$A$1:$O$114,COLUMN([5]qry_Whonnock_Species_Compositio!N102), FALSE), "")</f>
        <v>0</v>
      </c>
      <c r="Q102" s="95">
        <f>IFERROR(VLOOKUP($A102,[5]qry_Whonnock_Species_Compositio!$A$1:$O$114,COLUMN([5]qry_Whonnock_Species_Compositio!O102), FALSE), "")</f>
        <v>4</v>
      </c>
      <c r="R102" s="96">
        <f t="shared" si="44"/>
        <v>0.1111111111111111</v>
      </c>
      <c r="S102" s="97">
        <f t="shared" si="45"/>
        <v>0.11627906976744186</v>
      </c>
      <c r="T102" s="98">
        <f t="shared" si="46"/>
        <v>0.11475409836065574</v>
      </c>
      <c r="U102" s="97">
        <f t="shared" si="47"/>
        <v>0</v>
      </c>
      <c r="V102" s="97">
        <f t="shared" si="48"/>
        <v>0</v>
      </c>
      <c r="W102" s="98">
        <f t="shared" si="49"/>
        <v>0</v>
      </c>
      <c r="X102" s="97">
        <f t="shared" si="50"/>
        <v>0.72222222222222221</v>
      </c>
      <c r="Y102" s="97">
        <f t="shared" si="51"/>
        <v>0.65116279069767447</v>
      </c>
      <c r="Z102" s="98">
        <f t="shared" si="52"/>
        <v>0.67213114754098358</v>
      </c>
      <c r="AA102" s="97">
        <f t="shared" si="53"/>
        <v>0.1111111111111111</v>
      </c>
      <c r="AB102" s="97">
        <f t="shared" si="54"/>
        <v>0.11627906976744186</v>
      </c>
      <c r="AC102" s="98">
        <f t="shared" si="55"/>
        <v>0.11475409836065574</v>
      </c>
      <c r="AD102" s="97">
        <f t="shared" si="56"/>
        <v>0</v>
      </c>
      <c r="AE102" s="97">
        <f t="shared" si="57"/>
        <v>0</v>
      </c>
      <c r="AF102" s="98">
        <f t="shared" si="58"/>
        <v>0</v>
      </c>
      <c r="AG102" s="97">
        <f t="shared" si="59"/>
        <v>5.5555555555555552E-2</v>
      </c>
      <c r="AH102" s="97">
        <f t="shared" si="60"/>
        <v>2.3255813953488372E-2</v>
      </c>
      <c r="AI102" s="98">
        <f t="shared" si="61"/>
        <v>3.2786885245901641E-2</v>
      </c>
      <c r="AJ102" s="97">
        <f t="shared" si="62"/>
        <v>0</v>
      </c>
      <c r="AK102" s="97">
        <f t="shared" si="63"/>
        <v>9.3023255813953487E-2</v>
      </c>
      <c r="AL102" s="99">
        <f t="shared" si="64"/>
        <v>6.5573770491803282E-2</v>
      </c>
      <c r="AM102" s="100">
        <f t="shared" si="65"/>
        <v>7</v>
      </c>
      <c r="AN102" s="101">
        <f t="shared" si="74"/>
        <v>0.11475409836065574</v>
      </c>
      <c r="AO102" s="100">
        <f t="shared" si="66"/>
        <v>0</v>
      </c>
      <c r="AP102" s="101">
        <f t="shared" si="75"/>
        <v>0</v>
      </c>
      <c r="AQ102" s="100">
        <f t="shared" si="67"/>
        <v>41</v>
      </c>
      <c r="AR102" s="101">
        <f t="shared" si="76"/>
        <v>0.67213114754098358</v>
      </c>
      <c r="AS102" s="100">
        <f t="shared" si="68"/>
        <v>7</v>
      </c>
      <c r="AT102" s="101">
        <f t="shared" si="77"/>
        <v>0.11475409836065574</v>
      </c>
      <c r="AU102" s="100">
        <f t="shared" si="69"/>
        <v>0</v>
      </c>
      <c r="AV102" s="101">
        <f t="shared" si="78"/>
        <v>0</v>
      </c>
      <c r="AW102" s="100">
        <f t="shared" si="70"/>
        <v>2</v>
      </c>
      <c r="AX102" s="101">
        <f t="shared" si="79"/>
        <v>3.2786885245901641E-2</v>
      </c>
      <c r="AY102" s="100">
        <f t="shared" si="71"/>
        <v>4</v>
      </c>
      <c r="AZ102" s="101">
        <f t="shared" si="80"/>
        <v>6.5573770491803282E-2</v>
      </c>
      <c r="BA102" s="102">
        <f t="shared" si="72"/>
        <v>1</v>
      </c>
    </row>
    <row r="103" spans="1:53" x14ac:dyDescent="0.3">
      <c r="A103" s="92">
        <f>[4]SockEst!A104</f>
        <v>45190</v>
      </c>
      <c r="B103" s="93">
        <f>[4]SockEst!B104</f>
        <v>264</v>
      </c>
      <c r="C103" s="94" t="str">
        <f t="shared" si="73"/>
        <v>TTL</v>
      </c>
      <c r="D103" s="95">
        <f>IFERROR(VLOOKUP($A103,[5]qry_Whonnock_Species_Compositio!$A$1:$O$114,COLUMN([5]qry_Whonnock_Species_Compositio!B103), FALSE), "")</f>
        <v>0</v>
      </c>
      <c r="E103" s="95">
        <f>IFERROR(VLOOKUP($A103,[5]qry_Whonnock_Species_Compositio!$A$1:$O$114,COLUMN([5]qry_Whonnock_Species_Compositio!C103), FALSE), "")</f>
        <v>0</v>
      </c>
      <c r="F103" s="95">
        <f>IFERROR(VLOOKUP($A103,[5]qry_Whonnock_Species_Compositio!$A$1:$O$114,COLUMN([5]qry_Whonnock_Species_Compositio!D103), FALSE), "")</f>
        <v>0</v>
      </c>
      <c r="G103" s="95">
        <f>IFERROR(VLOOKUP($A103,[5]qry_Whonnock_Species_Compositio!$A$1:$O$114,COLUMN([5]qry_Whonnock_Species_Compositio!E103), FALSE), "")</f>
        <v>0</v>
      </c>
      <c r="H103" s="95">
        <f>IFERROR(VLOOKUP($A103,[5]qry_Whonnock_Species_Compositio!$A$1:$O$114,COLUMN([5]qry_Whonnock_Species_Compositio!F103), FALSE), "")</f>
        <v>2</v>
      </c>
      <c r="I103" s="95">
        <f>IFERROR(VLOOKUP($A103,[5]qry_Whonnock_Species_Compositio!$A$1:$O$114,COLUMN([5]qry_Whonnock_Species_Compositio!G103), FALSE), "")</f>
        <v>6</v>
      </c>
      <c r="J103" s="95">
        <f>IFERROR(VLOOKUP($A103,[5]qry_Whonnock_Species_Compositio!$A$1:$O$114,COLUMN([5]qry_Whonnock_Species_Compositio!H103), FALSE), "")</f>
        <v>0</v>
      </c>
      <c r="K103" s="95">
        <f>IFERROR(VLOOKUP($A103,[5]qry_Whonnock_Species_Compositio!$A$1:$O$114,COLUMN([5]qry_Whonnock_Species_Compositio!I103), FALSE), "")</f>
        <v>0</v>
      </c>
      <c r="L103" s="95">
        <f>IFERROR(VLOOKUP($A103,[5]qry_Whonnock_Species_Compositio!$A$1:$O$114,COLUMN([5]qry_Whonnock_Species_Compositio!J103), FALSE), "")</f>
        <v>0</v>
      </c>
      <c r="M103" s="95">
        <f>IFERROR(VLOOKUP($A103,[5]qry_Whonnock_Species_Compositio!$A$1:$O$114,COLUMN([5]qry_Whonnock_Species_Compositio!K103), FALSE), "")</f>
        <v>0</v>
      </c>
      <c r="N103" s="95">
        <f>IFERROR(VLOOKUP($A103,[5]qry_Whonnock_Species_Compositio!$A$1:$O$114,COLUMN([5]qry_Whonnock_Species_Compositio!L103), FALSE), "")</f>
        <v>0</v>
      </c>
      <c r="O103" s="95">
        <f>IFERROR(VLOOKUP($A103,[5]qry_Whonnock_Species_Compositio!$A$1:$O$114,COLUMN([5]qry_Whonnock_Species_Compositio!M103), FALSE), "")</f>
        <v>0</v>
      </c>
      <c r="P103" s="95">
        <f>IFERROR(VLOOKUP($A103,[5]qry_Whonnock_Species_Compositio!$A$1:$O$114,COLUMN([5]qry_Whonnock_Species_Compositio!N103), FALSE), "")</f>
        <v>0</v>
      </c>
      <c r="Q103" s="95">
        <f>IFERROR(VLOOKUP($A103,[5]qry_Whonnock_Species_Compositio!$A$1:$O$114,COLUMN([5]qry_Whonnock_Species_Compositio!O103), FALSE), "")</f>
        <v>1</v>
      </c>
      <c r="R103" s="96">
        <f t="shared" si="44"/>
        <v>0</v>
      </c>
      <c r="S103" s="97">
        <f t="shared" si="45"/>
        <v>0</v>
      </c>
      <c r="T103" s="98">
        <f t="shared" si="46"/>
        <v>0</v>
      </c>
      <c r="U103" s="97">
        <f t="shared" si="47"/>
        <v>0</v>
      </c>
      <c r="V103" s="97">
        <f t="shared" si="48"/>
        <v>0</v>
      </c>
      <c r="W103" s="98">
        <f t="shared" si="49"/>
        <v>0</v>
      </c>
      <c r="X103" s="97">
        <f t="shared" si="50"/>
        <v>1</v>
      </c>
      <c r="Y103" s="97">
        <f t="shared" si="51"/>
        <v>0.8571428571428571</v>
      </c>
      <c r="Z103" s="98">
        <f t="shared" si="52"/>
        <v>0.88888888888888884</v>
      </c>
      <c r="AA103" s="97">
        <f t="shared" si="53"/>
        <v>0</v>
      </c>
      <c r="AB103" s="97">
        <f t="shared" si="54"/>
        <v>0</v>
      </c>
      <c r="AC103" s="98">
        <f t="shared" si="55"/>
        <v>0</v>
      </c>
      <c r="AD103" s="97">
        <f t="shared" si="56"/>
        <v>0</v>
      </c>
      <c r="AE103" s="97">
        <f t="shared" si="57"/>
        <v>0</v>
      </c>
      <c r="AF103" s="98">
        <f t="shared" si="58"/>
        <v>0</v>
      </c>
      <c r="AG103" s="97">
        <f t="shared" si="59"/>
        <v>0</v>
      </c>
      <c r="AH103" s="97">
        <f t="shared" si="60"/>
        <v>0</v>
      </c>
      <c r="AI103" s="98">
        <f t="shared" si="61"/>
        <v>0</v>
      </c>
      <c r="AJ103" s="97">
        <f t="shared" si="62"/>
        <v>0</v>
      </c>
      <c r="AK103" s="97">
        <f t="shared" si="63"/>
        <v>0.14285714285714285</v>
      </c>
      <c r="AL103" s="99">
        <f t="shared" si="64"/>
        <v>0.1111111111111111</v>
      </c>
      <c r="AM103" s="100">
        <f t="shared" si="65"/>
        <v>0</v>
      </c>
      <c r="AN103" s="101">
        <f t="shared" si="74"/>
        <v>0</v>
      </c>
      <c r="AO103" s="100">
        <f t="shared" si="66"/>
        <v>0</v>
      </c>
      <c r="AP103" s="101">
        <f t="shared" si="75"/>
        <v>0</v>
      </c>
      <c r="AQ103" s="100">
        <f t="shared" si="67"/>
        <v>8</v>
      </c>
      <c r="AR103" s="101">
        <f t="shared" si="76"/>
        <v>0.88888888888888884</v>
      </c>
      <c r="AS103" s="100">
        <f t="shared" si="68"/>
        <v>0</v>
      </c>
      <c r="AT103" s="101">
        <f t="shared" si="77"/>
        <v>0</v>
      </c>
      <c r="AU103" s="100">
        <f t="shared" si="69"/>
        <v>0</v>
      </c>
      <c r="AV103" s="101">
        <f t="shared" si="78"/>
        <v>0</v>
      </c>
      <c r="AW103" s="100">
        <f t="shared" si="70"/>
        <v>0</v>
      </c>
      <c r="AX103" s="101">
        <f t="shared" si="79"/>
        <v>0</v>
      </c>
      <c r="AY103" s="100">
        <f t="shared" si="71"/>
        <v>1</v>
      </c>
      <c r="AZ103" s="101">
        <f t="shared" si="80"/>
        <v>0.1111111111111111</v>
      </c>
      <c r="BA103" s="102">
        <f t="shared" si="72"/>
        <v>1</v>
      </c>
    </row>
    <row r="104" spans="1:53" x14ac:dyDescent="0.3">
      <c r="A104" s="92">
        <f>[4]SockEst!A105</f>
        <v>45191</v>
      </c>
      <c r="B104" s="93">
        <f>[4]SockEst!B105</f>
        <v>265</v>
      </c>
      <c r="C104" s="94" t="str">
        <f t="shared" si="73"/>
        <v>TTL</v>
      </c>
      <c r="D104" s="95">
        <f>IFERROR(VLOOKUP($A104,[5]qry_Whonnock_Species_Compositio!$A$1:$O$114,COLUMN([5]qry_Whonnock_Species_Compositio!B104), FALSE), "")</f>
        <v>0</v>
      </c>
      <c r="E104" s="95">
        <f>IFERROR(VLOOKUP($A104,[5]qry_Whonnock_Species_Compositio!$A$1:$O$114,COLUMN([5]qry_Whonnock_Species_Compositio!C104), FALSE), "")</f>
        <v>2</v>
      </c>
      <c r="F104" s="95">
        <f>IFERROR(VLOOKUP($A104,[5]qry_Whonnock_Species_Compositio!$A$1:$O$114,COLUMN([5]qry_Whonnock_Species_Compositio!D104), FALSE), "")</f>
        <v>0</v>
      </c>
      <c r="G104" s="95">
        <f>IFERROR(VLOOKUP($A104,[5]qry_Whonnock_Species_Compositio!$A$1:$O$114,COLUMN([5]qry_Whonnock_Species_Compositio!E104), FALSE), "")</f>
        <v>0</v>
      </c>
      <c r="H104" s="95">
        <f>IFERROR(VLOOKUP($A104,[5]qry_Whonnock_Species_Compositio!$A$1:$O$114,COLUMN([5]qry_Whonnock_Species_Compositio!F104), FALSE), "")</f>
        <v>6</v>
      </c>
      <c r="I104" s="95">
        <f>IFERROR(VLOOKUP($A104,[5]qry_Whonnock_Species_Compositio!$A$1:$O$114,COLUMN([5]qry_Whonnock_Species_Compositio!G104), FALSE), "")</f>
        <v>3</v>
      </c>
      <c r="J104" s="95">
        <f>IFERROR(VLOOKUP($A104,[5]qry_Whonnock_Species_Compositio!$A$1:$O$114,COLUMN([5]qry_Whonnock_Species_Compositio!H104), FALSE), "")</f>
        <v>1</v>
      </c>
      <c r="K104" s="95">
        <f>IFERROR(VLOOKUP($A104,[5]qry_Whonnock_Species_Compositio!$A$1:$O$114,COLUMN([5]qry_Whonnock_Species_Compositio!I104), FALSE), "")</f>
        <v>3</v>
      </c>
      <c r="L104" s="95">
        <f>IFERROR(VLOOKUP($A104,[5]qry_Whonnock_Species_Compositio!$A$1:$O$114,COLUMN([5]qry_Whonnock_Species_Compositio!J104), FALSE), "")</f>
        <v>0</v>
      </c>
      <c r="M104" s="95">
        <f>IFERROR(VLOOKUP($A104,[5]qry_Whonnock_Species_Compositio!$A$1:$O$114,COLUMN([5]qry_Whonnock_Species_Compositio!K104), FALSE), "")</f>
        <v>0</v>
      </c>
      <c r="N104" s="95">
        <f>IFERROR(VLOOKUP($A104,[5]qry_Whonnock_Species_Compositio!$A$1:$O$114,COLUMN([5]qry_Whonnock_Species_Compositio!L104), FALSE), "")</f>
        <v>0</v>
      </c>
      <c r="O104" s="95">
        <f>IFERROR(VLOOKUP($A104,[5]qry_Whonnock_Species_Compositio!$A$1:$O$114,COLUMN([5]qry_Whonnock_Species_Compositio!M104), FALSE), "")</f>
        <v>3</v>
      </c>
      <c r="P104" s="95">
        <f>IFERROR(VLOOKUP($A104,[5]qry_Whonnock_Species_Compositio!$A$1:$O$114,COLUMN([5]qry_Whonnock_Species_Compositio!N104), FALSE), "")</f>
        <v>0</v>
      </c>
      <c r="Q104" s="95">
        <f>IFERROR(VLOOKUP($A104,[5]qry_Whonnock_Species_Compositio!$A$1:$O$114,COLUMN([5]qry_Whonnock_Species_Compositio!O104), FALSE), "")</f>
        <v>2</v>
      </c>
      <c r="R104" s="96">
        <f t="shared" si="44"/>
        <v>0</v>
      </c>
      <c r="S104" s="97">
        <f t="shared" si="45"/>
        <v>0.15384615384615385</v>
      </c>
      <c r="T104" s="98">
        <f t="shared" si="46"/>
        <v>0.1</v>
      </c>
      <c r="U104" s="97">
        <f t="shared" si="47"/>
        <v>0</v>
      </c>
      <c r="V104" s="97">
        <f t="shared" si="48"/>
        <v>0</v>
      </c>
      <c r="W104" s="98">
        <f t="shared" si="49"/>
        <v>0</v>
      </c>
      <c r="X104" s="97">
        <f t="shared" si="50"/>
        <v>0.8571428571428571</v>
      </c>
      <c r="Y104" s="97">
        <f t="shared" si="51"/>
        <v>0.23076923076923078</v>
      </c>
      <c r="Z104" s="98">
        <f t="shared" si="52"/>
        <v>0.45</v>
      </c>
      <c r="AA104" s="97">
        <f t="shared" si="53"/>
        <v>0.14285714285714285</v>
      </c>
      <c r="AB104" s="97">
        <f t="shared" si="54"/>
        <v>0.23076923076923078</v>
      </c>
      <c r="AC104" s="98">
        <f t="shared" si="55"/>
        <v>0.2</v>
      </c>
      <c r="AD104" s="97">
        <f t="shared" si="56"/>
        <v>0</v>
      </c>
      <c r="AE104" s="97">
        <f t="shared" si="57"/>
        <v>0</v>
      </c>
      <c r="AF104" s="98">
        <f t="shared" si="58"/>
        <v>0</v>
      </c>
      <c r="AG104" s="97">
        <f t="shared" si="59"/>
        <v>0</v>
      </c>
      <c r="AH104" s="97">
        <f t="shared" si="60"/>
        <v>0.23076923076923078</v>
      </c>
      <c r="AI104" s="98">
        <f t="shared" si="61"/>
        <v>0.15</v>
      </c>
      <c r="AJ104" s="97">
        <f t="shared" si="62"/>
        <v>0</v>
      </c>
      <c r="AK104" s="97">
        <f t="shared" si="63"/>
        <v>0.15384615384615385</v>
      </c>
      <c r="AL104" s="99">
        <f t="shared" si="64"/>
        <v>0.1</v>
      </c>
      <c r="AM104" s="100">
        <f t="shared" si="65"/>
        <v>2</v>
      </c>
      <c r="AN104" s="101">
        <f t="shared" si="74"/>
        <v>0.1</v>
      </c>
      <c r="AO104" s="100">
        <f t="shared" si="66"/>
        <v>0</v>
      </c>
      <c r="AP104" s="101">
        <f t="shared" si="75"/>
        <v>0</v>
      </c>
      <c r="AQ104" s="100">
        <f t="shared" si="67"/>
        <v>9</v>
      </c>
      <c r="AR104" s="101">
        <f t="shared" si="76"/>
        <v>0.45</v>
      </c>
      <c r="AS104" s="100">
        <f t="shared" si="68"/>
        <v>4</v>
      </c>
      <c r="AT104" s="101">
        <f t="shared" si="77"/>
        <v>0.2</v>
      </c>
      <c r="AU104" s="100">
        <f t="shared" si="69"/>
        <v>0</v>
      </c>
      <c r="AV104" s="101">
        <f t="shared" si="78"/>
        <v>0</v>
      </c>
      <c r="AW104" s="100">
        <f t="shared" si="70"/>
        <v>3</v>
      </c>
      <c r="AX104" s="101">
        <f t="shared" si="79"/>
        <v>0.15</v>
      </c>
      <c r="AY104" s="100">
        <f t="shared" si="71"/>
        <v>2</v>
      </c>
      <c r="AZ104" s="101">
        <f t="shared" si="80"/>
        <v>0.1</v>
      </c>
      <c r="BA104" s="102">
        <f t="shared" si="72"/>
        <v>1</v>
      </c>
    </row>
    <row r="105" spans="1:53" x14ac:dyDescent="0.3">
      <c r="A105" s="92">
        <f>[4]SockEst!A106</f>
        <v>45192</v>
      </c>
      <c r="B105" s="93">
        <f>[4]SockEst!B106</f>
        <v>266</v>
      </c>
      <c r="C105" s="94" t="str">
        <f t="shared" si="73"/>
        <v>TTL</v>
      </c>
      <c r="D105" s="95">
        <f>IFERROR(VLOOKUP($A105,[5]qry_Whonnock_Species_Compositio!$A$1:$O$114,COLUMN([5]qry_Whonnock_Species_Compositio!B105), FALSE), "")</f>
        <v>4</v>
      </c>
      <c r="E105" s="95">
        <f>IFERROR(VLOOKUP($A105,[5]qry_Whonnock_Species_Compositio!$A$1:$O$114,COLUMN([5]qry_Whonnock_Species_Compositio!C105), FALSE), "")</f>
        <v>0</v>
      </c>
      <c r="F105" s="95">
        <f>IFERROR(VLOOKUP($A105,[5]qry_Whonnock_Species_Compositio!$A$1:$O$114,COLUMN([5]qry_Whonnock_Species_Compositio!D105), FALSE), "")</f>
        <v>0</v>
      </c>
      <c r="G105" s="95">
        <f>IFERROR(VLOOKUP($A105,[5]qry_Whonnock_Species_Compositio!$A$1:$O$114,COLUMN([5]qry_Whonnock_Species_Compositio!E105), FALSE), "")</f>
        <v>0</v>
      </c>
      <c r="H105" s="95">
        <f>IFERROR(VLOOKUP($A105,[5]qry_Whonnock_Species_Compositio!$A$1:$O$114,COLUMN([5]qry_Whonnock_Species_Compositio!F105), FALSE), "")</f>
        <v>2</v>
      </c>
      <c r="I105" s="95">
        <f>IFERROR(VLOOKUP($A105,[5]qry_Whonnock_Species_Compositio!$A$1:$O$114,COLUMN([5]qry_Whonnock_Species_Compositio!G105), FALSE), "")</f>
        <v>1</v>
      </c>
      <c r="J105" s="95">
        <f>IFERROR(VLOOKUP($A105,[5]qry_Whonnock_Species_Compositio!$A$1:$O$114,COLUMN([5]qry_Whonnock_Species_Compositio!H105), FALSE), "")</f>
        <v>0</v>
      </c>
      <c r="K105" s="95">
        <f>IFERROR(VLOOKUP($A105,[5]qry_Whonnock_Species_Compositio!$A$1:$O$114,COLUMN([5]qry_Whonnock_Species_Compositio!I105), FALSE), "")</f>
        <v>0</v>
      </c>
      <c r="L105" s="95">
        <f>IFERROR(VLOOKUP($A105,[5]qry_Whonnock_Species_Compositio!$A$1:$O$114,COLUMN([5]qry_Whonnock_Species_Compositio!J105), FALSE), "")</f>
        <v>0</v>
      </c>
      <c r="M105" s="95">
        <f>IFERROR(VLOOKUP($A105,[5]qry_Whonnock_Species_Compositio!$A$1:$O$114,COLUMN([5]qry_Whonnock_Species_Compositio!K105), FALSE), "")</f>
        <v>0</v>
      </c>
      <c r="N105" s="95">
        <f>IFERROR(VLOOKUP($A105,[5]qry_Whonnock_Species_Compositio!$A$1:$O$114,COLUMN([5]qry_Whonnock_Species_Compositio!L105), FALSE), "")</f>
        <v>0</v>
      </c>
      <c r="O105" s="95">
        <f>IFERROR(VLOOKUP($A105,[5]qry_Whonnock_Species_Compositio!$A$1:$O$114,COLUMN([5]qry_Whonnock_Species_Compositio!M105), FALSE), "")</f>
        <v>1</v>
      </c>
      <c r="P105" s="95">
        <f>IFERROR(VLOOKUP($A105,[5]qry_Whonnock_Species_Compositio!$A$1:$O$114,COLUMN([5]qry_Whonnock_Species_Compositio!N105), FALSE), "")</f>
        <v>0</v>
      </c>
      <c r="Q105" s="95">
        <f>IFERROR(VLOOKUP($A105,[5]qry_Whonnock_Species_Compositio!$A$1:$O$114,COLUMN([5]qry_Whonnock_Species_Compositio!O105), FALSE), "")</f>
        <v>0</v>
      </c>
      <c r="R105" s="96">
        <f t="shared" si="44"/>
        <v>0.66666666666666663</v>
      </c>
      <c r="S105" s="97">
        <f t="shared" si="45"/>
        <v>0</v>
      </c>
      <c r="T105" s="98">
        <f t="shared" si="46"/>
        <v>0.5</v>
      </c>
      <c r="U105" s="97">
        <f t="shared" si="47"/>
        <v>0</v>
      </c>
      <c r="V105" s="97">
        <f t="shared" si="48"/>
        <v>0</v>
      </c>
      <c r="W105" s="98">
        <f t="shared" si="49"/>
        <v>0</v>
      </c>
      <c r="X105" s="97">
        <f t="shared" si="50"/>
        <v>0.33333333333333331</v>
      </c>
      <c r="Y105" s="97">
        <f t="shared" si="51"/>
        <v>0.5</v>
      </c>
      <c r="Z105" s="98">
        <f t="shared" si="52"/>
        <v>0.375</v>
      </c>
      <c r="AA105" s="97">
        <f t="shared" si="53"/>
        <v>0</v>
      </c>
      <c r="AB105" s="97">
        <f t="shared" si="54"/>
        <v>0</v>
      </c>
      <c r="AC105" s="98">
        <f t="shared" si="55"/>
        <v>0</v>
      </c>
      <c r="AD105" s="97">
        <f t="shared" si="56"/>
        <v>0</v>
      </c>
      <c r="AE105" s="97">
        <f t="shared" si="57"/>
        <v>0</v>
      </c>
      <c r="AF105" s="98">
        <f t="shared" si="58"/>
        <v>0</v>
      </c>
      <c r="AG105" s="97">
        <f t="shared" si="59"/>
        <v>0</v>
      </c>
      <c r="AH105" s="97">
        <f t="shared" si="60"/>
        <v>0.5</v>
      </c>
      <c r="AI105" s="98">
        <f t="shared" si="61"/>
        <v>0.125</v>
      </c>
      <c r="AJ105" s="97">
        <f t="shared" si="62"/>
        <v>0</v>
      </c>
      <c r="AK105" s="97">
        <f t="shared" si="63"/>
        <v>0</v>
      </c>
      <c r="AL105" s="99">
        <f t="shared" si="64"/>
        <v>0</v>
      </c>
      <c r="AM105" s="100">
        <f t="shared" si="65"/>
        <v>4</v>
      </c>
      <c r="AN105" s="101">
        <f t="shared" si="74"/>
        <v>0.5</v>
      </c>
      <c r="AO105" s="100">
        <f t="shared" si="66"/>
        <v>0</v>
      </c>
      <c r="AP105" s="101">
        <f t="shared" si="75"/>
        <v>0</v>
      </c>
      <c r="AQ105" s="100">
        <f t="shared" si="67"/>
        <v>3</v>
      </c>
      <c r="AR105" s="101">
        <f t="shared" si="76"/>
        <v>0.375</v>
      </c>
      <c r="AS105" s="100">
        <f t="shared" si="68"/>
        <v>0</v>
      </c>
      <c r="AT105" s="101">
        <f t="shared" si="77"/>
        <v>0</v>
      </c>
      <c r="AU105" s="100">
        <f t="shared" si="69"/>
        <v>0</v>
      </c>
      <c r="AV105" s="101">
        <f t="shared" si="78"/>
        <v>0</v>
      </c>
      <c r="AW105" s="100">
        <f t="shared" si="70"/>
        <v>1</v>
      </c>
      <c r="AX105" s="101">
        <f t="shared" si="79"/>
        <v>0.125</v>
      </c>
      <c r="AY105" s="100">
        <f t="shared" si="71"/>
        <v>0</v>
      </c>
      <c r="AZ105" s="101">
        <f t="shared" si="80"/>
        <v>0</v>
      </c>
      <c r="BA105" s="102">
        <f t="shared" si="72"/>
        <v>1</v>
      </c>
    </row>
    <row r="106" spans="1:53" x14ac:dyDescent="0.3">
      <c r="A106" s="92">
        <f>[4]SockEst!A107</f>
        <v>45193</v>
      </c>
      <c r="B106" s="93">
        <f>[4]SockEst!B107</f>
        <v>267</v>
      </c>
      <c r="C106" s="94" t="str">
        <f t="shared" si="73"/>
        <v>TTL</v>
      </c>
      <c r="D106" s="95">
        <f>IFERROR(VLOOKUP($A106,[5]qry_Whonnock_Species_Compositio!$A$1:$O$114,COLUMN([5]qry_Whonnock_Species_Compositio!B106), FALSE), "")</f>
        <v>3</v>
      </c>
      <c r="E106" s="95">
        <f>IFERROR(VLOOKUP($A106,[5]qry_Whonnock_Species_Compositio!$A$1:$O$114,COLUMN([5]qry_Whonnock_Species_Compositio!C106), FALSE), "")</f>
        <v>3</v>
      </c>
      <c r="F106" s="95">
        <f>IFERROR(VLOOKUP($A106,[5]qry_Whonnock_Species_Compositio!$A$1:$O$114,COLUMN([5]qry_Whonnock_Species_Compositio!D106), FALSE), "")</f>
        <v>0</v>
      </c>
      <c r="G106" s="95">
        <f>IFERROR(VLOOKUP($A106,[5]qry_Whonnock_Species_Compositio!$A$1:$O$114,COLUMN([5]qry_Whonnock_Species_Compositio!E106), FALSE), "")</f>
        <v>0</v>
      </c>
      <c r="H106" s="95">
        <f>IFERROR(VLOOKUP($A106,[5]qry_Whonnock_Species_Compositio!$A$1:$O$114,COLUMN([5]qry_Whonnock_Species_Compositio!F106), FALSE), "")</f>
        <v>0</v>
      </c>
      <c r="I106" s="95">
        <f>IFERROR(VLOOKUP($A106,[5]qry_Whonnock_Species_Compositio!$A$1:$O$114,COLUMN([5]qry_Whonnock_Species_Compositio!G106), FALSE), "")</f>
        <v>5</v>
      </c>
      <c r="J106" s="95">
        <f>IFERROR(VLOOKUP($A106,[5]qry_Whonnock_Species_Compositio!$A$1:$O$114,COLUMN([5]qry_Whonnock_Species_Compositio!H106), FALSE), "")</f>
        <v>0</v>
      </c>
      <c r="K106" s="95">
        <f>IFERROR(VLOOKUP($A106,[5]qry_Whonnock_Species_Compositio!$A$1:$O$114,COLUMN([5]qry_Whonnock_Species_Compositio!I106), FALSE), "")</f>
        <v>0</v>
      </c>
      <c r="L106" s="95">
        <f>IFERROR(VLOOKUP($A106,[5]qry_Whonnock_Species_Compositio!$A$1:$O$114,COLUMN([5]qry_Whonnock_Species_Compositio!J106), FALSE), "")</f>
        <v>0</v>
      </c>
      <c r="M106" s="95">
        <f>IFERROR(VLOOKUP($A106,[5]qry_Whonnock_Species_Compositio!$A$1:$O$114,COLUMN([5]qry_Whonnock_Species_Compositio!K106), FALSE), "")</f>
        <v>0</v>
      </c>
      <c r="N106" s="95">
        <f>IFERROR(VLOOKUP($A106,[5]qry_Whonnock_Species_Compositio!$A$1:$O$114,COLUMN([5]qry_Whonnock_Species_Compositio!L106), FALSE), "")</f>
        <v>0</v>
      </c>
      <c r="O106" s="95">
        <f>IFERROR(VLOOKUP($A106,[5]qry_Whonnock_Species_Compositio!$A$1:$O$114,COLUMN([5]qry_Whonnock_Species_Compositio!M106), FALSE), "")</f>
        <v>1</v>
      </c>
      <c r="P106" s="95">
        <f>IFERROR(VLOOKUP($A106,[5]qry_Whonnock_Species_Compositio!$A$1:$O$114,COLUMN([5]qry_Whonnock_Species_Compositio!N106), FALSE), "")</f>
        <v>0</v>
      </c>
      <c r="Q106" s="95">
        <f>IFERROR(VLOOKUP($A106,[5]qry_Whonnock_Species_Compositio!$A$1:$O$114,COLUMN([5]qry_Whonnock_Species_Compositio!O106), FALSE), "")</f>
        <v>2</v>
      </c>
      <c r="R106" s="96">
        <f t="shared" si="44"/>
        <v>1</v>
      </c>
      <c r="S106" s="97">
        <f t="shared" si="45"/>
        <v>0.27272727272727271</v>
      </c>
      <c r="T106" s="98">
        <f t="shared" si="46"/>
        <v>0.42857142857142855</v>
      </c>
      <c r="U106" s="97">
        <f t="shared" si="47"/>
        <v>0</v>
      </c>
      <c r="V106" s="97">
        <f t="shared" si="48"/>
        <v>0</v>
      </c>
      <c r="W106" s="98">
        <f t="shared" si="49"/>
        <v>0</v>
      </c>
      <c r="X106" s="97">
        <f t="shared" si="50"/>
        <v>0</v>
      </c>
      <c r="Y106" s="97">
        <f t="shared" si="51"/>
        <v>0.45454545454545453</v>
      </c>
      <c r="Z106" s="98">
        <f t="shared" si="52"/>
        <v>0.35714285714285715</v>
      </c>
      <c r="AA106" s="97">
        <f t="shared" si="53"/>
        <v>0</v>
      </c>
      <c r="AB106" s="97">
        <f t="shared" si="54"/>
        <v>0</v>
      </c>
      <c r="AC106" s="98">
        <f t="shared" si="55"/>
        <v>0</v>
      </c>
      <c r="AD106" s="97">
        <f t="shared" si="56"/>
        <v>0</v>
      </c>
      <c r="AE106" s="97">
        <f t="shared" si="57"/>
        <v>0</v>
      </c>
      <c r="AF106" s="98">
        <f t="shared" si="58"/>
        <v>0</v>
      </c>
      <c r="AG106" s="97">
        <f t="shared" si="59"/>
        <v>0</v>
      </c>
      <c r="AH106" s="97">
        <f t="shared" si="60"/>
        <v>9.0909090909090912E-2</v>
      </c>
      <c r="AI106" s="98">
        <f t="shared" si="61"/>
        <v>7.1428571428571425E-2</v>
      </c>
      <c r="AJ106" s="97">
        <f t="shared" si="62"/>
        <v>0</v>
      </c>
      <c r="AK106" s="97">
        <f t="shared" si="63"/>
        <v>0.18181818181818182</v>
      </c>
      <c r="AL106" s="99">
        <f t="shared" si="64"/>
        <v>0.14285714285714285</v>
      </c>
      <c r="AM106" s="100">
        <f t="shared" si="65"/>
        <v>6</v>
      </c>
      <c r="AN106" s="101">
        <f t="shared" si="74"/>
        <v>0.42857142857142855</v>
      </c>
      <c r="AO106" s="100">
        <f t="shared" si="66"/>
        <v>0</v>
      </c>
      <c r="AP106" s="101">
        <f t="shared" si="75"/>
        <v>0</v>
      </c>
      <c r="AQ106" s="100">
        <f t="shared" si="67"/>
        <v>5</v>
      </c>
      <c r="AR106" s="101">
        <f t="shared" si="76"/>
        <v>0.35714285714285715</v>
      </c>
      <c r="AS106" s="100">
        <f t="shared" si="68"/>
        <v>0</v>
      </c>
      <c r="AT106" s="101">
        <f t="shared" si="77"/>
        <v>0</v>
      </c>
      <c r="AU106" s="100">
        <f t="shared" si="69"/>
        <v>0</v>
      </c>
      <c r="AV106" s="101">
        <f t="shared" si="78"/>
        <v>0</v>
      </c>
      <c r="AW106" s="100">
        <f t="shared" si="70"/>
        <v>1</v>
      </c>
      <c r="AX106" s="101">
        <f t="shared" si="79"/>
        <v>7.1428571428571425E-2</v>
      </c>
      <c r="AY106" s="100">
        <f t="shared" si="71"/>
        <v>2</v>
      </c>
      <c r="AZ106" s="101">
        <f t="shared" si="80"/>
        <v>0.14285714285714285</v>
      </c>
      <c r="BA106" s="102">
        <f t="shared" si="72"/>
        <v>1</v>
      </c>
    </row>
    <row r="107" spans="1:53" x14ac:dyDescent="0.3">
      <c r="A107" s="92">
        <f>[4]SockEst!A108</f>
        <v>45194</v>
      </c>
      <c r="B107" s="93">
        <f>[4]SockEst!B108</f>
        <v>268</v>
      </c>
      <c r="C107" s="94" t="str">
        <f t="shared" si="73"/>
        <v>TTL</v>
      </c>
      <c r="D107" s="95">
        <f>IFERROR(VLOOKUP($A107,[5]qry_Whonnock_Species_Compositio!$A$1:$O$114,COLUMN([5]qry_Whonnock_Species_Compositio!B107), FALSE), "")</f>
        <v>1</v>
      </c>
      <c r="E107" s="95">
        <f>IFERROR(VLOOKUP($A107,[5]qry_Whonnock_Species_Compositio!$A$1:$O$114,COLUMN([5]qry_Whonnock_Species_Compositio!C107), FALSE), "")</f>
        <v>2</v>
      </c>
      <c r="F107" s="95">
        <f>IFERROR(VLOOKUP($A107,[5]qry_Whonnock_Species_Compositio!$A$1:$O$114,COLUMN([5]qry_Whonnock_Species_Compositio!D107), FALSE), "")</f>
        <v>0</v>
      </c>
      <c r="G107" s="95">
        <f>IFERROR(VLOOKUP($A107,[5]qry_Whonnock_Species_Compositio!$A$1:$O$114,COLUMN([5]qry_Whonnock_Species_Compositio!E107), FALSE), "")</f>
        <v>0</v>
      </c>
      <c r="H107" s="95">
        <f>IFERROR(VLOOKUP($A107,[5]qry_Whonnock_Species_Compositio!$A$1:$O$114,COLUMN([5]qry_Whonnock_Species_Compositio!F107), FALSE), "")</f>
        <v>5</v>
      </c>
      <c r="I107" s="95">
        <f>IFERROR(VLOOKUP($A107,[5]qry_Whonnock_Species_Compositio!$A$1:$O$114,COLUMN([5]qry_Whonnock_Species_Compositio!G107), FALSE), "")</f>
        <v>6</v>
      </c>
      <c r="J107" s="95">
        <f>IFERROR(VLOOKUP($A107,[5]qry_Whonnock_Species_Compositio!$A$1:$O$114,COLUMN([5]qry_Whonnock_Species_Compositio!H107), FALSE), "")</f>
        <v>0</v>
      </c>
      <c r="K107" s="95">
        <f>IFERROR(VLOOKUP($A107,[5]qry_Whonnock_Species_Compositio!$A$1:$O$114,COLUMN([5]qry_Whonnock_Species_Compositio!I107), FALSE), "")</f>
        <v>3</v>
      </c>
      <c r="L107" s="95">
        <f>IFERROR(VLOOKUP($A107,[5]qry_Whonnock_Species_Compositio!$A$1:$O$114,COLUMN([5]qry_Whonnock_Species_Compositio!J107), FALSE), "")</f>
        <v>0</v>
      </c>
      <c r="M107" s="95">
        <f>IFERROR(VLOOKUP($A107,[5]qry_Whonnock_Species_Compositio!$A$1:$O$114,COLUMN([5]qry_Whonnock_Species_Compositio!K107), FALSE), "")</f>
        <v>0</v>
      </c>
      <c r="N107" s="95">
        <f>IFERROR(VLOOKUP($A107,[5]qry_Whonnock_Species_Compositio!$A$1:$O$114,COLUMN([5]qry_Whonnock_Species_Compositio!L107), FALSE), "")</f>
        <v>1</v>
      </c>
      <c r="O107" s="95">
        <f>IFERROR(VLOOKUP($A107,[5]qry_Whonnock_Species_Compositio!$A$1:$O$114,COLUMN([5]qry_Whonnock_Species_Compositio!M107), FALSE), "")</f>
        <v>1</v>
      </c>
      <c r="P107" s="95">
        <f>IFERROR(VLOOKUP($A107,[5]qry_Whonnock_Species_Compositio!$A$1:$O$114,COLUMN([5]qry_Whonnock_Species_Compositio!N107), FALSE), "")</f>
        <v>0</v>
      </c>
      <c r="Q107" s="95">
        <f>IFERROR(VLOOKUP($A107,[5]qry_Whonnock_Species_Compositio!$A$1:$O$114,COLUMN([5]qry_Whonnock_Species_Compositio!O107), FALSE), "")</f>
        <v>5</v>
      </c>
      <c r="R107" s="96">
        <f>IF(D107="","",IF(($D107+$F107+$H107+$J107+$L107+$N107+$P107)=0,0,$D107/($D107+$F107+$H107+$J107+$L107+$N107+$P107)))</f>
        <v>0.14285714285714285</v>
      </c>
      <c r="S107" s="97">
        <f>IF(E107="","",IF(($E107+$G107+$I107+$K107+$M107+$O107+$Q107)=0,0,$E107/($E107+$G107+$I107+$K107+$M107+$O107+$Q107)))</f>
        <v>0.11764705882352941</v>
      </c>
      <c r="T107" s="98">
        <f>IF(AND(D107="",E107=""),"",IF(SUM($D107:$Q107)=0,0,SUM($D107:$E107)/SUM($D107:$Q107)))</f>
        <v>0.125</v>
      </c>
      <c r="U107" s="97">
        <f>IF(F107="","",IF(($D107+$F107+$H107+$J107+$L107+$N107+$P107)=0,0,$F107/($D107+$F107+$H107+$J107+$L107+$N107+$P107)))</f>
        <v>0</v>
      </c>
      <c r="V107" s="97">
        <f>IF(G107="","",IF(($E107+$G107+$I107+$K107+$M107+$O107+$Q107)=0,0,$G107/($E107+$G107+$I107+$K107+$M107+$O107+$Q107)))</f>
        <v>0</v>
      </c>
      <c r="W107" s="98">
        <f>IF(AND(F107="",G107=""),"",IF(SUM($D107:$Q107)=0,0,SUM($F107:$G107)/SUM($D107:$Q107)))</f>
        <v>0</v>
      </c>
      <c r="X107" s="97">
        <f>IF(H107="","",IF(($D107+$F107+$H107+$J107+$L107+$N107+$P107)=0,0,$H107/($D107+$F107+$H107+$J107+$L107+$N107+$P107)))</f>
        <v>0.7142857142857143</v>
      </c>
      <c r="Y107" s="97">
        <f>IF(I107="","",IF(($E107+$G107+$I107+$K107+$M107+$O107+$Q107)=0,0,$I107/($E107+$G107+$I107+$K107+$M107+$O107+$Q107)))</f>
        <v>0.35294117647058826</v>
      </c>
      <c r="Z107" s="98">
        <f>IF(AND(H107="",I107=""),"",IF(SUM($D107:$Q107)=0,0,SUM($H107:$I107)/SUM($D107:$Q107)))</f>
        <v>0.45833333333333331</v>
      </c>
      <c r="AA107" s="97">
        <f>IF(J107="","",IF(($D107+$F107+$H107+$J107+$L107+$N107+$P107)=0,0,$J107/($D107+$F107+$H107+$J107+$L107+$N107+$P107)))</f>
        <v>0</v>
      </c>
      <c r="AB107" s="97">
        <f>IF(K107="","",IF(($E107+$G107+$I107+$K107+$M107+$O107+$Q107)=0,0,$K107/($E107+$G107+$I107+$K107+$M107+$O107+$Q107)))</f>
        <v>0.17647058823529413</v>
      </c>
      <c r="AC107" s="98">
        <f>IF(AND(J107="",K107=""),"",IF(SUM($D107:$Q107)=0,0,SUM($J107:$K107)/SUM($D107:$Q107)))</f>
        <v>0.125</v>
      </c>
      <c r="AD107" s="97">
        <f>IF(L107="","",IF(($D107+$F107+$H107+$J107+$L107+$N107+$P107)=0,0,$L107/($D107+$F107+$H107+$J107+$L107+$N107+$P107)))</f>
        <v>0</v>
      </c>
      <c r="AE107" s="97">
        <f>IF(M107="","",IF(($E107+$G107+$I107+$K107+$M107+$O107+$Q107)=0,0,$M107/($E107+$G107+$I107+$K107+$M107+$O107+$Q107)))</f>
        <v>0</v>
      </c>
      <c r="AF107" s="98">
        <f>IF(AND(L107="",M107=""),"",IF(SUM($D107:$Q107)=0,0,SUM($L107:$M107)/SUM($D107:$Q107)))</f>
        <v>0</v>
      </c>
      <c r="AG107" s="97">
        <f>IF(N107="","",IF(($D107+$F107+$H107+$J107+$L107+$N107+$P107)=0,0,$N107/($D107+$F107+$H107+$J107+$L107+$N107+$P107)))</f>
        <v>0.14285714285714285</v>
      </c>
      <c r="AH107" s="97">
        <f>IF(O107="","",IF(($E107+$G107+$I107+$K107+$M107+$O107+$Q107)=0,0,$O107/($E107+$G107+$I107+$K107+$M107+$O107+$Q107)))</f>
        <v>5.8823529411764705E-2</v>
      </c>
      <c r="AI107" s="98">
        <f>IF(AND(N107="",O107=""),"",IF(SUM($D107:$Q107)=0,0,SUM($N107:$O107)/SUM($D107:$Q107)))</f>
        <v>8.3333333333333329E-2</v>
      </c>
      <c r="AJ107" s="97">
        <f>IF(P107="","",IF(($D107+$F107+$H107+$J107+$L107+$N107+$P107)=0,0,$P107/($D107+$F107+$H107+$J107+$L107+$N107+$P107)))</f>
        <v>0</v>
      </c>
      <c r="AK107" s="97">
        <f>IF(Q107="","",IF(($E107+$G107+$I107+$K107+$M107+$O107+$Q107)=0,0,$Q107/($E107+$G107+$I107+$K107+$M107+$O107+$Q107)))</f>
        <v>0.29411764705882354</v>
      </c>
      <c r="AL107" s="99">
        <f>IF(AND(P107="",Q107=""),"",IF(SUM($D107:$Q107)=0,0,SUM($P107:$Q107)/SUM($D107:$Q107)))</f>
        <v>0.20833333333333334</v>
      </c>
      <c r="AM107" s="100">
        <f>IF(AND(D107="",E107=""),"",SUM(D107:E107))</f>
        <v>3</v>
      </c>
      <c r="AN107" s="101">
        <f>IF($AM107&lt;15,T107,R107)</f>
        <v>0.125</v>
      </c>
      <c r="AO107" s="100">
        <f>IF(AND(F107="",G107=""),"",SUM(F107:G107))</f>
        <v>0</v>
      </c>
      <c r="AP107" s="101">
        <f>IF($AM107&lt;15,W107,U107)</f>
        <v>0</v>
      </c>
      <c r="AQ107" s="100">
        <f>IF(AND(H107="",I107=""),"",SUM(H107:I107))</f>
        <v>11</v>
      </c>
      <c r="AR107" s="101">
        <f>IF($AM107&lt;15,Z107,X107)</f>
        <v>0.45833333333333331</v>
      </c>
      <c r="AS107" s="100">
        <f>IF(AND(J107="",K107=""),"",SUM(J107:K107))</f>
        <v>3</v>
      </c>
      <c r="AT107" s="101">
        <f>IF($AM107&lt;15,AC107,AA107)</f>
        <v>0.125</v>
      </c>
      <c r="AU107" s="100">
        <f>IF(AND(L107="",M107=""),"",SUM(L107:M107))</f>
        <v>0</v>
      </c>
      <c r="AV107" s="101">
        <f>IF($AM107&lt;15,AF107,AD107)</f>
        <v>0</v>
      </c>
      <c r="AW107" s="100">
        <f>IF(AND(N107="",O107=""),"",SUM(N107:O107))</f>
        <v>2</v>
      </c>
      <c r="AX107" s="101">
        <f>IF($AM107&lt;15,AI107,AG107)</f>
        <v>8.3333333333333329E-2</v>
      </c>
      <c r="AY107" s="100">
        <f>IF(AND(P107="",Q107=""),"",SUM(P107:Q107))</f>
        <v>5</v>
      </c>
      <c r="AZ107" s="101">
        <f>IF($AM107&lt;15,AL107,AJ107)</f>
        <v>0.20833333333333334</v>
      </c>
      <c r="BA107" s="102">
        <f>SUM(AN107,AP107,AR107,AT107,AV107,AX107,AZ107)</f>
        <v>1</v>
      </c>
    </row>
    <row r="108" spans="1:53" x14ac:dyDescent="0.3">
      <c r="A108" s="92">
        <f>[4]SockEst!A109</f>
        <v>45195</v>
      </c>
      <c r="B108" s="93">
        <f>[4]SockEst!B109</f>
        <v>269</v>
      </c>
      <c r="C108" s="94" t="str">
        <f t="shared" si="73"/>
        <v>TTL</v>
      </c>
      <c r="D108" s="95">
        <f>IFERROR(VLOOKUP($A108,[5]qry_Whonnock_Species_Compositio!$A$1:$O$114,COLUMN([5]qry_Whonnock_Species_Compositio!B108), FALSE), "")</f>
        <v>0</v>
      </c>
      <c r="E108" s="95">
        <f>IFERROR(VLOOKUP($A108,[5]qry_Whonnock_Species_Compositio!$A$1:$O$114,COLUMN([5]qry_Whonnock_Species_Compositio!C108), FALSE), "")</f>
        <v>0</v>
      </c>
      <c r="F108" s="95">
        <f>IFERROR(VLOOKUP($A108,[5]qry_Whonnock_Species_Compositio!$A$1:$O$114,COLUMN([5]qry_Whonnock_Species_Compositio!D108), FALSE), "")</f>
        <v>0</v>
      </c>
      <c r="G108" s="95">
        <f>IFERROR(VLOOKUP($A108,[5]qry_Whonnock_Species_Compositio!$A$1:$O$114,COLUMN([5]qry_Whonnock_Species_Compositio!E108), FALSE), "")</f>
        <v>0</v>
      </c>
      <c r="H108" s="95">
        <f>IFERROR(VLOOKUP($A108,[5]qry_Whonnock_Species_Compositio!$A$1:$O$114,COLUMN([5]qry_Whonnock_Species_Compositio!F108), FALSE), "")</f>
        <v>2</v>
      </c>
      <c r="I108" s="95">
        <f>IFERROR(VLOOKUP($A108,[5]qry_Whonnock_Species_Compositio!$A$1:$O$114,COLUMN([5]qry_Whonnock_Species_Compositio!G108), FALSE), "")</f>
        <v>2</v>
      </c>
      <c r="J108" s="95">
        <f>IFERROR(VLOOKUP($A108,[5]qry_Whonnock_Species_Compositio!$A$1:$O$114,COLUMN([5]qry_Whonnock_Species_Compositio!H108), FALSE), "")</f>
        <v>0</v>
      </c>
      <c r="K108" s="95">
        <f>IFERROR(VLOOKUP($A108,[5]qry_Whonnock_Species_Compositio!$A$1:$O$114,COLUMN([5]qry_Whonnock_Species_Compositio!I108), FALSE), "")</f>
        <v>0</v>
      </c>
      <c r="L108" s="95">
        <f>IFERROR(VLOOKUP($A108,[5]qry_Whonnock_Species_Compositio!$A$1:$O$114,COLUMN([5]qry_Whonnock_Species_Compositio!J108), FALSE), "")</f>
        <v>0</v>
      </c>
      <c r="M108" s="95">
        <f>IFERROR(VLOOKUP($A108,[5]qry_Whonnock_Species_Compositio!$A$1:$O$114,COLUMN([5]qry_Whonnock_Species_Compositio!K108), FALSE), "")</f>
        <v>0</v>
      </c>
      <c r="N108" s="95">
        <f>IFERROR(VLOOKUP($A108,[5]qry_Whonnock_Species_Compositio!$A$1:$O$114,COLUMN([5]qry_Whonnock_Species_Compositio!L108), FALSE), "")</f>
        <v>0</v>
      </c>
      <c r="O108" s="95">
        <f>IFERROR(VLOOKUP($A108,[5]qry_Whonnock_Species_Compositio!$A$1:$O$114,COLUMN([5]qry_Whonnock_Species_Compositio!M108), FALSE), "")</f>
        <v>2</v>
      </c>
      <c r="P108" s="95">
        <f>IFERROR(VLOOKUP($A108,[5]qry_Whonnock_Species_Compositio!$A$1:$O$114,COLUMN([5]qry_Whonnock_Species_Compositio!N108), FALSE), "")</f>
        <v>1</v>
      </c>
      <c r="Q108" s="95">
        <f>IFERROR(VLOOKUP($A108,[5]qry_Whonnock_Species_Compositio!$A$1:$O$114,COLUMN([5]qry_Whonnock_Species_Compositio!O108), FALSE), "")</f>
        <v>1</v>
      </c>
      <c r="R108" s="96">
        <f>IF(D108="","",IF(($D108+$F108+$H108+$J108+$L108+$N108+$P108)=0,0,$D108/($D108+$F108+$H108+$J108+$L108+$N108+$P108)))</f>
        <v>0</v>
      </c>
      <c r="S108" s="97">
        <f>IF(E108="","",IF(($E108+$G108+$I108+$K108+$M108+$O108+$Q108)=0,0,$E108/($E108+$G108+$I108+$K108+$M108+$O108+$Q108)))</f>
        <v>0</v>
      </c>
      <c r="T108" s="98">
        <f>IF(AND(D108="",E108=""),"",IF(SUM($D108:$Q108)=0,0,SUM($D108:$E108)/SUM($D108:$Q108)))</f>
        <v>0</v>
      </c>
      <c r="U108" s="97">
        <f>IF(F108="","",IF(($D108+$F108+$H108+$J108+$L108+$N108+$P108)=0,0,$F108/($D108+$F108+$H108+$J108+$L108+$N108+$P108)))</f>
        <v>0</v>
      </c>
      <c r="V108" s="97">
        <f>IF(G108="","",IF(($E108+$G108+$I108+$K108+$M108+$O108+$Q108)=0,0,$G108/($E108+$G108+$I108+$K108+$M108+$O108+$Q108)))</f>
        <v>0</v>
      </c>
      <c r="W108" s="98">
        <f>IF(AND(F108="",G108=""),"",IF(SUM($D108:$Q108)=0,0,SUM($F108:$G108)/SUM($D108:$Q108)))</f>
        <v>0</v>
      </c>
      <c r="X108" s="97">
        <f>IF(H108="","",IF(($D108+$F108+$H108+$J108+$L108+$N108+$P108)=0,0,$H108/($D108+$F108+$H108+$J108+$L108+$N108+$P108)))</f>
        <v>0.66666666666666663</v>
      </c>
      <c r="Y108" s="97">
        <f>IF(I108="","",IF(($E108+$G108+$I108+$K108+$M108+$O108+$Q108)=0,0,$I108/($E108+$G108+$I108+$K108+$M108+$O108+$Q108)))</f>
        <v>0.4</v>
      </c>
      <c r="Z108" s="98">
        <f>IF(AND(H108="",I108=""),"",IF(SUM($D108:$Q108)=0,0,SUM($H108:$I108)/SUM($D108:$Q108)))</f>
        <v>0.5</v>
      </c>
      <c r="AA108" s="97">
        <f>IF(J108="","",IF(($D108+$F108+$H108+$J108+$L108+$N108+$P108)=0,0,$J108/($D108+$F108+$H108+$J108+$L108+$N108+$P108)))</f>
        <v>0</v>
      </c>
      <c r="AB108" s="97">
        <f>IF(K108="","",IF(($E108+$G108+$I108+$K108+$M108+$O108+$Q108)=0,0,$K108/($E108+$G108+$I108+$K108+$M108+$O108+$Q108)))</f>
        <v>0</v>
      </c>
      <c r="AC108" s="98">
        <f>IF(AND(J108="",K108=""),"",IF(SUM($D108:$Q108)=0,0,SUM($J108:$K108)/SUM($D108:$Q108)))</f>
        <v>0</v>
      </c>
      <c r="AD108" s="97">
        <f>IF(L108="","",IF(($D108+$F108+$H108+$J108+$L108+$N108+$P108)=0,0,$L108/($D108+$F108+$H108+$J108+$L108+$N108+$P108)))</f>
        <v>0</v>
      </c>
      <c r="AE108" s="97">
        <f>IF(M108="","",IF(($E108+$G108+$I108+$K108+$M108+$O108+$Q108)=0,0,$M108/($E108+$G108+$I108+$K108+$M108+$O108+$Q108)))</f>
        <v>0</v>
      </c>
      <c r="AF108" s="98">
        <f>IF(AND(L108="",M108=""),"",IF(SUM($D108:$Q108)=0,0,SUM($L108:$M108)/SUM($D108:$Q108)))</f>
        <v>0</v>
      </c>
      <c r="AG108" s="97">
        <f>IF(N108="","",IF(($D108+$F108+$H108+$J108+$L108+$N108+$P108)=0,0,$N108/($D108+$F108+$H108+$J108+$L108+$N108+$P108)))</f>
        <v>0</v>
      </c>
      <c r="AH108" s="97">
        <f>IF(O108="","",IF(($E108+$G108+$I108+$K108+$M108+$O108+$Q108)=0,0,$O108/($E108+$G108+$I108+$K108+$M108+$O108+$Q108)))</f>
        <v>0.4</v>
      </c>
      <c r="AI108" s="98">
        <f>IF(AND(N108="",O108=""),"",IF(SUM($D108:$Q108)=0,0,SUM($N108:$O108)/SUM($D108:$Q108)))</f>
        <v>0.25</v>
      </c>
      <c r="AJ108" s="97">
        <f>IF(P108="","",IF(($D108+$F108+$H108+$J108+$L108+$N108+$P108)=0,0,$P108/($D108+$F108+$H108+$J108+$L108+$N108+$P108)))</f>
        <v>0.33333333333333331</v>
      </c>
      <c r="AK108" s="97">
        <f>IF(Q108="","",IF(($E108+$G108+$I108+$K108+$M108+$O108+$Q108)=0,0,$Q108/($E108+$G108+$I108+$K108+$M108+$O108+$Q108)))</f>
        <v>0.2</v>
      </c>
      <c r="AL108" s="99">
        <f>IF(AND(P108="",Q108=""),"",IF(SUM($D108:$Q108)=0,0,SUM($P108:$Q108)/SUM($D108:$Q108)))</f>
        <v>0.25</v>
      </c>
      <c r="AM108" s="100">
        <f>IF(AND(D108="",E108=""),"",SUM(D108:E108))</f>
        <v>0</v>
      </c>
      <c r="AN108" s="101">
        <f>IF($AM108&lt;15,T108,R108)</f>
        <v>0</v>
      </c>
      <c r="AO108" s="100">
        <f>IF(AND(F108="",G108=""),"",SUM(F108:G108))</f>
        <v>0</v>
      </c>
      <c r="AP108" s="101">
        <f>IF($AM108&lt;15,W108,U108)</f>
        <v>0</v>
      </c>
      <c r="AQ108" s="100">
        <f>IF(AND(H108="",I108=""),"",SUM(H108:I108))</f>
        <v>4</v>
      </c>
      <c r="AR108" s="101">
        <f>IF($AM108&lt;15,Z108,X108)</f>
        <v>0.5</v>
      </c>
      <c r="AS108" s="100">
        <f>IF(AND(J108="",K108=""),"",SUM(J108:K108))</f>
        <v>0</v>
      </c>
      <c r="AT108" s="101">
        <f>IF($AM108&lt;15,AC108,AA108)</f>
        <v>0</v>
      </c>
      <c r="AU108" s="100">
        <f>IF(AND(L108="",M108=""),"",SUM(L108:M108))</f>
        <v>0</v>
      </c>
      <c r="AV108" s="101">
        <f>IF($AM108&lt;15,AF108,AD108)</f>
        <v>0</v>
      </c>
      <c r="AW108" s="100">
        <f>IF(AND(N108="",O108=""),"",SUM(N108:O108))</f>
        <v>2</v>
      </c>
      <c r="AX108" s="101">
        <f>IF($AM108&lt;15,AI108,AG108)</f>
        <v>0.25</v>
      </c>
      <c r="AY108" s="100">
        <f>IF(AND(P108="",Q108=""),"",SUM(P108:Q108))</f>
        <v>2</v>
      </c>
      <c r="AZ108" s="101">
        <f>IF($AM108&lt;15,AL108,AJ108)</f>
        <v>0.25</v>
      </c>
      <c r="BA108" s="102">
        <f>SUM(AN108,AP108,AR108,AT108,AV108,AX108,AZ108)</f>
        <v>1</v>
      </c>
    </row>
    <row r="109" spans="1:53" x14ac:dyDescent="0.3">
      <c r="A109" s="92">
        <f>[4]SockEst!A110</f>
        <v>45196</v>
      </c>
      <c r="B109" s="93">
        <f>[4]SockEst!B110</f>
        <v>270</v>
      </c>
      <c r="C109" s="94" t="str">
        <f t="shared" si="73"/>
        <v>TTL</v>
      </c>
      <c r="D109" s="95">
        <f>IFERROR(VLOOKUP($A109,[5]qry_Whonnock_Species_Compositio!$A$1:$O$114,COLUMN([5]qry_Whonnock_Species_Compositio!B109), FALSE), "")</f>
        <v>1</v>
      </c>
      <c r="E109" s="95">
        <f>IFERROR(VLOOKUP($A109,[5]qry_Whonnock_Species_Compositio!$A$1:$O$114,COLUMN([5]qry_Whonnock_Species_Compositio!C109), FALSE), "")</f>
        <v>0</v>
      </c>
      <c r="F109" s="95">
        <f>IFERROR(VLOOKUP($A109,[5]qry_Whonnock_Species_Compositio!$A$1:$O$114,COLUMN([5]qry_Whonnock_Species_Compositio!D109), FALSE), "")</f>
        <v>0</v>
      </c>
      <c r="G109" s="95">
        <f>IFERROR(VLOOKUP($A109,[5]qry_Whonnock_Species_Compositio!$A$1:$O$114,COLUMN([5]qry_Whonnock_Species_Compositio!E109), FALSE), "")</f>
        <v>0</v>
      </c>
      <c r="H109" s="95">
        <f>IFERROR(VLOOKUP($A109,[5]qry_Whonnock_Species_Compositio!$A$1:$O$114,COLUMN([5]qry_Whonnock_Species_Compositio!F109), FALSE), "")</f>
        <v>0</v>
      </c>
      <c r="I109" s="95">
        <f>IFERROR(VLOOKUP($A109,[5]qry_Whonnock_Species_Compositio!$A$1:$O$114,COLUMN([5]qry_Whonnock_Species_Compositio!G109), FALSE), "")</f>
        <v>1</v>
      </c>
      <c r="J109" s="95">
        <f>IFERROR(VLOOKUP($A109,[5]qry_Whonnock_Species_Compositio!$A$1:$O$114,COLUMN([5]qry_Whonnock_Species_Compositio!H109), FALSE), "")</f>
        <v>1</v>
      </c>
      <c r="K109" s="95">
        <f>IFERROR(VLOOKUP($A109,[5]qry_Whonnock_Species_Compositio!$A$1:$O$114,COLUMN([5]qry_Whonnock_Species_Compositio!I109), FALSE), "")</f>
        <v>1</v>
      </c>
      <c r="L109" s="95">
        <f>IFERROR(VLOOKUP($A109,[5]qry_Whonnock_Species_Compositio!$A$1:$O$114,COLUMN([5]qry_Whonnock_Species_Compositio!J109), FALSE), "")</f>
        <v>0</v>
      </c>
      <c r="M109" s="95">
        <f>IFERROR(VLOOKUP($A109,[5]qry_Whonnock_Species_Compositio!$A$1:$O$114,COLUMN([5]qry_Whonnock_Species_Compositio!K109), FALSE), "")</f>
        <v>0</v>
      </c>
      <c r="N109" s="95">
        <f>IFERROR(VLOOKUP($A109,[5]qry_Whonnock_Species_Compositio!$A$1:$O$114,COLUMN([5]qry_Whonnock_Species_Compositio!L109), FALSE), "")</f>
        <v>1</v>
      </c>
      <c r="O109" s="95">
        <f>IFERROR(VLOOKUP($A109,[5]qry_Whonnock_Species_Compositio!$A$1:$O$114,COLUMN([5]qry_Whonnock_Species_Compositio!M109), FALSE), "")</f>
        <v>1</v>
      </c>
      <c r="P109" s="95">
        <f>IFERROR(VLOOKUP($A109,[5]qry_Whonnock_Species_Compositio!$A$1:$O$114,COLUMN([5]qry_Whonnock_Species_Compositio!N109), FALSE), "")</f>
        <v>0</v>
      </c>
      <c r="Q109" s="95">
        <f>IFERROR(VLOOKUP($A109,[5]qry_Whonnock_Species_Compositio!$A$1:$O$114,COLUMN([5]qry_Whonnock_Species_Compositio!O109), FALSE), "")</f>
        <v>3</v>
      </c>
      <c r="R109" s="96">
        <f t="shared" si="44"/>
        <v>0.33333333333333331</v>
      </c>
      <c r="S109" s="97">
        <f t="shared" si="45"/>
        <v>0</v>
      </c>
      <c r="T109" s="98">
        <f t="shared" si="46"/>
        <v>0.1111111111111111</v>
      </c>
      <c r="U109" s="97">
        <f t="shared" si="47"/>
        <v>0</v>
      </c>
      <c r="V109" s="97">
        <f t="shared" si="48"/>
        <v>0</v>
      </c>
      <c r="W109" s="98">
        <f t="shared" si="49"/>
        <v>0</v>
      </c>
      <c r="X109" s="97">
        <f t="shared" si="50"/>
        <v>0</v>
      </c>
      <c r="Y109" s="97">
        <f t="shared" si="51"/>
        <v>0.16666666666666666</v>
      </c>
      <c r="Z109" s="98">
        <f t="shared" si="52"/>
        <v>0.1111111111111111</v>
      </c>
      <c r="AA109" s="97">
        <f t="shared" si="53"/>
        <v>0.33333333333333331</v>
      </c>
      <c r="AB109" s="97">
        <f t="shared" si="54"/>
        <v>0.16666666666666666</v>
      </c>
      <c r="AC109" s="98">
        <f t="shared" si="55"/>
        <v>0.22222222222222221</v>
      </c>
      <c r="AD109" s="97">
        <f t="shared" si="56"/>
        <v>0</v>
      </c>
      <c r="AE109" s="97">
        <f t="shared" si="57"/>
        <v>0</v>
      </c>
      <c r="AF109" s="98">
        <f t="shared" si="58"/>
        <v>0</v>
      </c>
      <c r="AG109" s="97">
        <f t="shared" si="59"/>
        <v>0.33333333333333331</v>
      </c>
      <c r="AH109" s="97">
        <f t="shared" si="60"/>
        <v>0.16666666666666666</v>
      </c>
      <c r="AI109" s="98">
        <f t="shared" si="61"/>
        <v>0.22222222222222221</v>
      </c>
      <c r="AJ109" s="97">
        <f t="shared" si="62"/>
        <v>0</v>
      </c>
      <c r="AK109" s="97">
        <f t="shared" si="63"/>
        <v>0.5</v>
      </c>
      <c r="AL109" s="99">
        <f t="shared" si="64"/>
        <v>0.33333333333333331</v>
      </c>
      <c r="AM109" s="100">
        <f t="shared" si="65"/>
        <v>1</v>
      </c>
      <c r="AN109" s="101">
        <f t="shared" si="74"/>
        <v>0.1111111111111111</v>
      </c>
      <c r="AO109" s="100">
        <f t="shared" si="66"/>
        <v>0</v>
      </c>
      <c r="AP109" s="101">
        <f t="shared" si="75"/>
        <v>0</v>
      </c>
      <c r="AQ109" s="100">
        <f t="shared" si="67"/>
        <v>1</v>
      </c>
      <c r="AR109" s="101">
        <f t="shared" si="76"/>
        <v>0.1111111111111111</v>
      </c>
      <c r="AS109" s="100">
        <f t="shared" si="68"/>
        <v>2</v>
      </c>
      <c r="AT109" s="101">
        <f t="shared" si="77"/>
        <v>0.22222222222222221</v>
      </c>
      <c r="AU109" s="100">
        <f t="shared" si="69"/>
        <v>0</v>
      </c>
      <c r="AV109" s="101">
        <f t="shared" si="78"/>
        <v>0</v>
      </c>
      <c r="AW109" s="100">
        <f t="shared" si="70"/>
        <v>2</v>
      </c>
      <c r="AX109" s="101">
        <f t="shared" si="79"/>
        <v>0.22222222222222221</v>
      </c>
      <c r="AY109" s="100">
        <f t="shared" si="71"/>
        <v>3</v>
      </c>
      <c r="AZ109" s="101">
        <f t="shared" si="80"/>
        <v>0.33333333333333331</v>
      </c>
      <c r="BA109" s="102">
        <f t="shared" si="72"/>
        <v>1</v>
      </c>
    </row>
    <row r="110" spans="1:53" x14ac:dyDescent="0.3">
      <c r="A110" s="92">
        <f>[4]SockEst!A111</f>
        <v>45197</v>
      </c>
      <c r="B110" s="93">
        <f>[4]SockEst!B111</f>
        <v>271</v>
      </c>
      <c r="C110" s="94" t="str">
        <f t="shared" si="73"/>
        <v>TTL</v>
      </c>
      <c r="D110" s="95">
        <f>IFERROR(VLOOKUP($A110,[5]qry_Whonnock_Species_Compositio!$A$1:$O$114,COLUMN([5]qry_Whonnock_Species_Compositio!B110), FALSE), "")</f>
        <v>0</v>
      </c>
      <c r="E110" s="95">
        <f>IFERROR(VLOOKUP($A110,[5]qry_Whonnock_Species_Compositio!$A$1:$O$114,COLUMN([5]qry_Whonnock_Species_Compositio!C110), FALSE), "")</f>
        <v>2</v>
      </c>
      <c r="F110" s="95">
        <f>IFERROR(VLOOKUP($A110,[5]qry_Whonnock_Species_Compositio!$A$1:$O$114,COLUMN([5]qry_Whonnock_Species_Compositio!D110), FALSE), "")</f>
        <v>0</v>
      </c>
      <c r="G110" s="95">
        <f>IFERROR(VLOOKUP($A110,[5]qry_Whonnock_Species_Compositio!$A$1:$O$114,COLUMN([5]qry_Whonnock_Species_Compositio!E110), FALSE), "")</f>
        <v>0</v>
      </c>
      <c r="H110" s="95">
        <f>IFERROR(VLOOKUP($A110,[5]qry_Whonnock_Species_Compositio!$A$1:$O$114,COLUMN([5]qry_Whonnock_Species_Compositio!F110), FALSE), "")</f>
        <v>0</v>
      </c>
      <c r="I110" s="95">
        <f>IFERROR(VLOOKUP($A110,[5]qry_Whonnock_Species_Compositio!$A$1:$O$114,COLUMN([5]qry_Whonnock_Species_Compositio!G110), FALSE), "")</f>
        <v>2</v>
      </c>
      <c r="J110" s="95">
        <f>IFERROR(VLOOKUP($A110,[5]qry_Whonnock_Species_Compositio!$A$1:$O$114,COLUMN([5]qry_Whonnock_Species_Compositio!H110), FALSE), "")</f>
        <v>0</v>
      </c>
      <c r="K110" s="95">
        <f>IFERROR(VLOOKUP($A110,[5]qry_Whonnock_Species_Compositio!$A$1:$O$114,COLUMN([5]qry_Whonnock_Species_Compositio!I110), FALSE), "")</f>
        <v>1</v>
      </c>
      <c r="L110" s="95">
        <f>IFERROR(VLOOKUP($A110,[5]qry_Whonnock_Species_Compositio!$A$1:$O$114,COLUMN([5]qry_Whonnock_Species_Compositio!J110), FALSE), "")</f>
        <v>0</v>
      </c>
      <c r="M110" s="95">
        <f>IFERROR(VLOOKUP($A110,[5]qry_Whonnock_Species_Compositio!$A$1:$O$114,COLUMN([5]qry_Whonnock_Species_Compositio!K110), FALSE), "")</f>
        <v>0</v>
      </c>
      <c r="N110" s="95">
        <f>IFERROR(VLOOKUP($A110,[5]qry_Whonnock_Species_Compositio!$A$1:$O$114,COLUMN([5]qry_Whonnock_Species_Compositio!L110), FALSE), "")</f>
        <v>0</v>
      </c>
      <c r="O110" s="95">
        <f>IFERROR(VLOOKUP($A110,[5]qry_Whonnock_Species_Compositio!$A$1:$O$114,COLUMN([5]qry_Whonnock_Species_Compositio!M110), FALSE), "")</f>
        <v>1</v>
      </c>
      <c r="P110" s="95">
        <f>IFERROR(VLOOKUP($A110,[5]qry_Whonnock_Species_Compositio!$A$1:$O$114,COLUMN([5]qry_Whonnock_Species_Compositio!N110), FALSE), "")</f>
        <v>1</v>
      </c>
      <c r="Q110" s="95">
        <f>IFERROR(VLOOKUP($A110,[5]qry_Whonnock_Species_Compositio!$A$1:$O$114,COLUMN([5]qry_Whonnock_Species_Compositio!O110), FALSE), "")</f>
        <v>1</v>
      </c>
      <c r="R110" s="96">
        <f t="shared" si="44"/>
        <v>0</v>
      </c>
      <c r="S110" s="97">
        <f t="shared" si="45"/>
        <v>0.2857142857142857</v>
      </c>
      <c r="T110" s="98">
        <f t="shared" si="46"/>
        <v>0.25</v>
      </c>
      <c r="U110" s="97">
        <f t="shared" si="47"/>
        <v>0</v>
      </c>
      <c r="V110" s="97">
        <f t="shared" si="48"/>
        <v>0</v>
      </c>
      <c r="W110" s="98">
        <f t="shared" si="49"/>
        <v>0</v>
      </c>
      <c r="X110" s="97">
        <f t="shared" si="50"/>
        <v>0</v>
      </c>
      <c r="Y110" s="97">
        <f t="shared" si="51"/>
        <v>0.2857142857142857</v>
      </c>
      <c r="Z110" s="98">
        <f t="shared" si="52"/>
        <v>0.25</v>
      </c>
      <c r="AA110" s="97">
        <f t="shared" si="53"/>
        <v>0</v>
      </c>
      <c r="AB110" s="97">
        <f t="shared" si="54"/>
        <v>0.14285714285714285</v>
      </c>
      <c r="AC110" s="98">
        <f t="shared" si="55"/>
        <v>0.125</v>
      </c>
      <c r="AD110" s="97">
        <f t="shared" si="56"/>
        <v>0</v>
      </c>
      <c r="AE110" s="97">
        <f t="shared" si="57"/>
        <v>0</v>
      </c>
      <c r="AF110" s="98">
        <f t="shared" si="58"/>
        <v>0</v>
      </c>
      <c r="AG110" s="97">
        <f t="shared" si="59"/>
        <v>0</v>
      </c>
      <c r="AH110" s="97">
        <f t="shared" si="60"/>
        <v>0.14285714285714285</v>
      </c>
      <c r="AI110" s="98">
        <f t="shared" si="61"/>
        <v>0.125</v>
      </c>
      <c r="AJ110" s="97">
        <f t="shared" si="62"/>
        <v>1</v>
      </c>
      <c r="AK110" s="97">
        <f t="shared" si="63"/>
        <v>0.14285714285714285</v>
      </c>
      <c r="AL110" s="99">
        <f t="shared" si="64"/>
        <v>0.25</v>
      </c>
      <c r="AM110" s="100">
        <f t="shared" si="65"/>
        <v>2</v>
      </c>
      <c r="AN110" s="101">
        <f t="shared" si="74"/>
        <v>0.25</v>
      </c>
      <c r="AO110" s="100">
        <f t="shared" si="66"/>
        <v>0</v>
      </c>
      <c r="AP110" s="101">
        <f t="shared" si="75"/>
        <v>0</v>
      </c>
      <c r="AQ110" s="100">
        <f t="shared" si="67"/>
        <v>2</v>
      </c>
      <c r="AR110" s="101">
        <f t="shared" si="76"/>
        <v>0.25</v>
      </c>
      <c r="AS110" s="100">
        <f t="shared" si="68"/>
        <v>1</v>
      </c>
      <c r="AT110" s="101">
        <f t="shared" si="77"/>
        <v>0.125</v>
      </c>
      <c r="AU110" s="100">
        <f t="shared" si="69"/>
        <v>0</v>
      </c>
      <c r="AV110" s="101">
        <f t="shared" si="78"/>
        <v>0</v>
      </c>
      <c r="AW110" s="100">
        <f t="shared" si="70"/>
        <v>1</v>
      </c>
      <c r="AX110" s="101">
        <f t="shared" si="79"/>
        <v>0.125</v>
      </c>
      <c r="AY110" s="100">
        <f t="shared" si="71"/>
        <v>2</v>
      </c>
      <c r="AZ110" s="101">
        <f t="shared" si="80"/>
        <v>0.25</v>
      </c>
      <c r="BA110" s="102">
        <f t="shared" si="72"/>
        <v>1</v>
      </c>
    </row>
    <row r="111" spans="1:53" x14ac:dyDescent="0.3">
      <c r="A111" s="92">
        <f>[4]SockEst!A112</f>
        <v>45198</v>
      </c>
      <c r="B111" s="93">
        <f>[4]SockEst!B112</f>
        <v>272</v>
      </c>
      <c r="C111" s="94" t="str">
        <f t="shared" si="73"/>
        <v>TTL</v>
      </c>
      <c r="D111" s="95">
        <f>IFERROR(VLOOKUP($A111,[5]qry_Whonnock_Species_Compositio!$A$1:$O$114,COLUMN([5]qry_Whonnock_Species_Compositio!B111), FALSE), "")</f>
        <v>1</v>
      </c>
      <c r="E111" s="95">
        <f>IFERROR(VLOOKUP($A111,[5]qry_Whonnock_Species_Compositio!$A$1:$O$114,COLUMN([5]qry_Whonnock_Species_Compositio!C111), FALSE), "")</f>
        <v>2</v>
      </c>
      <c r="F111" s="95">
        <f>IFERROR(VLOOKUP($A111,[5]qry_Whonnock_Species_Compositio!$A$1:$O$114,COLUMN([5]qry_Whonnock_Species_Compositio!D111), FALSE), "")</f>
        <v>0</v>
      </c>
      <c r="G111" s="95">
        <f>IFERROR(VLOOKUP($A111,[5]qry_Whonnock_Species_Compositio!$A$1:$O$114,COLUMN([5]qry_Whonnock_Species_Compositio!E111), FALSE), "")</f>
        <v>0</v>
      </c>
      <c r="H111" s="95">
        <f>IFERROR(VLOOKUP($A111,[5]qry_Whonnock_Species_Compositio!$A$1:$O$114,COLUMN([5]qry_Whonnock_Species_Compositio!F111), FALSE), "")</f>
        <v>0</v>
      </c>
      <c r="I111" s="95">
        <f>IFERROR(VLOOKUP($A111,[5]qry_Whonnock_Species_Compositio!$A$1:$O$114,COLUMN([5]qry_Whonnock_Species_Compositio!G111), FALSE), "")</f>
        <v>0</v>
      </c>
      <c r="J111" s="95">
        <f>IFERROR(VLOOKUP($A111,[5]qry_Whonnock_Species_Compositio!$A$1:$O$114,COLUMN([5]qry_Whonnock_Species_Compositio!H111), FALSE), "")</f>
        <v>1</v>
      </c>
      <c r="K111" s="95">
        <f>IFERROR(VLOOKUP($A111,[5]qry_Whonnock_Species_Compositio!$A$1:$O$114,COLUMN([5]qry_Whonnock_Species_Compositio!I111), FALSE), "")</f>
        <v>5</v>
      </c>
      <c r="L111" s="95">
        <f>IFERROR(VLOOKUP($A111,[5]qry_Whonnock_Species_Compositio!$A$1:$O$114,COLUMN([5]qry_Whonnock_Species_Compositio!J111), FALSE), "")</f>
        <v>0</v>
      </c>
      <c r="M111" s="95">
        <f>IFERROR(VLOOKUP($A111,[5]qry_Whonnock_Species_Compositio!$A$1:$O$114,COLUMN([5]qry_Whonnock_Species_Compositio!K111), FALSE), "")</f>
        <v>0</v>
      </c>
      <c r="N111" s="95">
        <f>IFERROR(VLOOKUP($A111,[5]qry_Whonnock_Species_Compositio!$A$1:$O$114,COLUMN([5]qry_Whonnock_Species_Compositio!L111), FALSE), "")</f>
        <v>0</v>
      </c>
      <c r="O111" s="95">
        <f>IFERROR(VLOOKUP($A111,[5]qry_Whonnock_Species_Compositio!$A$1:$O$114,COLUMN([5]qry_Whonnock_Species_Compositio!M111), FALSE), "")</f>
        <v>2</v>
      </c>
      <c r="P111" s="95">
        <f>IFERROR(VLOOKUP($A111,[5]qry_Whonnock_Species_Compositio!$A$1:$O$114,COLUMN([5]qry_Whonnock_Species_Compositio!N111), FALSE), "")</f>
        <v>2</v>
      </c>
      <c r="Q111" s="95">
        <f>IFERROR(VLOOKUP($A111,[5]qry_Whonnock_Species_Compositio!$A$1:$O$114,COLUMN([5]qry_Whonnock_Species_Compositio!O111), FALSE), "")</f>
        <v>8</v>
      </c>
      <c r="R111" s="96">
        <f t="shared" si="44"/>
        <v>0.25</v>
      </c>
      <c r="S111" s="97">
        <f t="shared" si="45"/>
        <v>0.11764705882352941</v>
      </c>
      <c r="T111" s="98">
        <f t="shared" si="46"/>
        <v>0.14285714285714285</v>
      </c>
      <c r="U111" s="97">
        <f t="shared" si="47"/>
        <v>0</v>
      </c>
      <c r="V111" s="97">
        <f t="shared" si="48"/>
        <v>0</v>
      </c>
      <c r="W111" s="98">
        <f t="shared" si="49"/>
        <v>0</v>
      </c>
      <c r="X111" s="97">
        <f t="shared" si="50"/>
        <v>0</v>
      </c>
      <c r="Y111" s="97">
        <f t="shared" si="51"/>
        <v>0</v>
      </c>
      <c r="Z111" s="98">
        <f t="shared" si="52"/>
        <v>0</v>
      </c>
      <c r="AA111" s="97">
        <f t="shared" si="53"/>
        <v>0.25</v>
      </c>
      <c r="AB111" s="97">
        <f t="shared" si="54"/>
        <v>0.29411764705882354</v>
      </c>
      <c r="AC111" s="98">
        <f t="shared" si="55"/>
        <v>0.2857142857142857</v>
      </c>
      <c r="AD111" s="97">
        <f t="shared" si="56"/>
        <v>0</v>
      </c>
      <c r="AE111" s="97">
        <f t="shared" si="57"/>
        <v>0</v>
      </c>
      <c r="AF111" s="98">
        <f t="shared" si="58"/>
        <v>0</v>
      </c>
      <c r="AG111" s="97">
        <f t="shared" si="59"/>
        <v>0</v>
      </c>
      <c r="AH111" s="97">
        <f t="shared" si="60"/>
        <v>0.11764705882352941</v>
      </c>
      <c r="AI111" s="98">
        <f t="shared" si="61"/>
        <v>9.5238095238095233E-2</v>
      </c>
      <c r="AJ111" s="97">
        <f t="shared" si="62"/>
        <v>0.5</v>
      </c>
      <c r="AK111" s="97">
        <f t="shared" si="63"/>
        <v>0.47058823529411764</v>
      </c>
      <c r="AL111" s="99">
        <f t="shared" si="64"/>
        <v>0.47619047619047616</v>
      </c>
      <c r="AM111" s="100">
        <f t="shared" si="65"/>
        <v>3</v>
      </c>
      <c r="AN111" s="101">
        <f t="shared" si="74"/>
        <v>0.14285714285714285</v>
      </c>
      <c r="AO111" s="100">
        <f t="shared" si="66"/>
        <v>0</v>
      </c>
      <c r="AP111" s="101">
        <f t="shared" si="75"/>
        <v>0</v>
      </c>
      <c r="AQ111" s="100">
        <f t="shared" si="67"/>
        <v>0</v>
      </c>
      <c r="AR111" s="101">
        <f t="shared" si="76"/>
        <v>0</v>
      </c>
      <c r="AS111" s="100">
        <f t="shared" si="68"/>
        <v>6</v>
      </c>
      <c r="AT111" s="101">
        <f t="shared" si="77"/>
        <v>0.2857142857142857</v>
      </c>
      <c r="AU111" s="100">
        <f t="shared" si="69"/>
        <v>0</v>
      </c>
      <c r="AV111" s="101">
        <f t="shared" si="78"/>
        <v>0</v>
      </c>
      <c r="AW111" s="100">
        <f t="shared" si="70"/>
        <v>2</v>
      </c>
      <c r="AX111" s="101">
        <f t="shared" si="79"/>
        <v>9.5238095238095233E-2</v>
      </c>
      <c r="AY111" s="100">
        <f t="shared" si="71"/>
        <v>10</v>
      </c>
      <c r="AZ111" s="101">
        <f t="shared" si="80"/>
        <v>0.47619047619047616</v>
      </c>
      <c r="BA111" s="102">
        <f t="shared" si="72"/>
        <v>0.99999999999999989</v>
      </c>
    </row>
    <row r="112" spans="1:53" x14ac:dyDescent="0.3">
      <c r="A112" s="92">
        <f>[4]SockEst!A113</f>
        <v>45199</v>
      </c>
      <c r="B112" s="93">
        <f>[4]SockEst!B113</f>
        <v>273</v>
      </c>
      <c r="C112" s="94" t="str">
        <f t="shared" si="73"/>
        <v>TTL</v>
      </c>
      <c r="D112" s="95">
        <f>IFERROR(VLOOKUP($A112,[5]qry_Whonnock_Species_Compositio!$A$1:$O$114,COLUMN([5]qry_Whonnock_Species_Compositio!B112), FALSE), "")</f>
        <v>0</v>
      </c>
      <c r="E112" s="95">
        <f>IFERROR(VLOOKUP($A112,[5]qry_Whonnock_Species_Compositio!$A$1:$O$114,COLUMN([5]qry_Whonnock_Species_Compositio!C112), FALSE), "")</f>
        <v>1</v>
      </c>
      <c r="F112" s="95">
        <f>IFERROR(VLOOKUP($A112,[5]qry_Whonnock_Species_Compositio!$A$1:$O$114,COLUMN([5]qry_Whonnock_Species_Compositio!D112), FALSE), "")</f>
        <v>0</v>
      </c>
      <c r="G112" s="95">
        <f>IFERROR(VLOOKUP($A112,[5]qry_Whonnock_Species_Compositio!$A$1:$O$114,COLUMN([5]qry_Whonnock_Species_Compositio!E112), FALSE), "")</f>
        <v>0</v>
      </c>
      <c r="H112" s="95">
        <f>IFERROR(VLOOKUP($A112,[5]qry_Whonnock_Species_Compositio!$A$1:$O$114,COLUMN([5]qry_Whonnock_Species_Compositio!F112), FALSE), "")</f>
        <v>0</v>
      </c>
      <c r="I112" s="95">
        <f>IFERROR(VLOOKUP($A112,[5]qry_Whonnock_Species_Compositio!$A$1:$O$114,COLUMN([5]qry_Whonnock_Species_Compositio!G112), FALSE), "")</f>
        <v>2</v>
      </c>
      <c r="J112" s="95">
        <f>IFERROR(VLOOKUP($A112,[5]qry_Whonnock_Species_Compositio!$A$1:$O$114,COLUMN([5]qry_Whonnock_Species_Compositio!H112), FALSE), "")</f>
        <v>3</v>
      </c>
      <c r="K112" s="95">
        <f>IFERROR(VLOOKUP($A112,[5]qry_Whonnock_Species_Compositio!$A$1:$O$114,COLUMN([5]qry_Whonnock_Species_Compositio!I112), FALSE), "")</f>
        <v>3</v>
      </c>
      <c r="L112" s="95">
        <f>IFERROR(VLOOKUP($A112,[5]qry_Whonnock_Species_Compositio!$A$1:$O$114,COLUMN([5]qry_Whonnock_Species_Compositio!J112), FALSE), "")</f>
        <v>0</v>
      </c>
      <c r="M112" s="95">
        <f>IFERROR(VLOOKUP($A112,[5]qry_Whonnock_Species_Compositio!$A$1:$O$114,COLUMN([5]qry_Whonnock_Species_Compositio!K112), FALSE), "")</f>
        <v>0</v>
      </c>
      <c r="N112" s="95">
        <f>IFERROR(VLOOKUP($A112,[5]qry_Whonnock_Species_Compositio!$A$1:$O$114,COLUMN([5]qry_Whonnock_Species_Compositio!L112), FALSE), "")</f>
        <v>1</v>
      </c>
      <c r="O112" s="95">
        <f>IFERROR(VLOOKUP($A112,[5]qry_Whonnock_Species_Compositio!$A$1:$O$114,COLUMN([5]qry_Whonnock_Species_Compositio!M112), FALSE), "")</f>
        <v>1</v>
      </c>
      <c r="P112" s="95">
        <f>IFERROR(VLOOKUP($A112,[5]qry_Whonnock_Species_Compositio!$A$1:$O$114,COLUMN([5]qry_Whonnock_Species_Compositio!N112), FALSE), "")</f>
        <v>2</v>
      </c>
      <c r="Q112" s="95">
        <f>IFERROR(VLOOKUP($A112,[5]qry_Whonnock_Species_Compositio!$A$1:$O$114,COLUMN([5]qry_Whonnock_Species_Compositio!O112), FALSE), "")</f>
        <v>8</v>
      </c>
      <c r="R112" s="96">
        <f t="shared" si="44"/>
        <v>0</v>
      </c>
      <c r="S112" s="97">
        <f t="shared" si="45"/>
        <v>6.6666666666666666E-2</v>
      </c>
      <c r="T112" s="98">
        <f t="shared" si="46"/>
        <v>4.7619047619047616E-2</v>
      </c>
      <c r="U112" s="97">
        <f t="shared" si="47"/>
        <v>0</v>
      </c>
      <c r="V112" s="97">
        <f t="shared" si="48"/>
        <v>0</v>
      </c>
      <c r="W112" s="98">
        <f t="shared" si="49"/>
        <v>0</v>
      </c>
      <c r="X112" s="97">
        <f t="shared" si="50"/>
        <v>0</v>
      </c>
      <c r="Y112" s="97">
        <f t="shared" si="51"/>
        <v>0.13333333333333333</v>
      </c>
      <c r="Z112" s="98">
        <f t="shared" si="52"/>
        <v>9.5238095238095233E-2</v>
      </c>
      <c r="AA112" s="97">
        <f t="shared" si="53"/>
        <v>0.5</v>
      </c>
      <c r="AB112" s="97">
        <f t="shared" si="54"/>
        <v>0.2</v>
      </c>
      <c r="AC112" s="98">
        <f t="shared" si="55"/>
        <v>0.2857142857142857</v>
      </c>
      <c r="AD112" s="97">
        <f t="shared" si="56"/>
        <v>0</v>
      </c>
      <c r="AE112" s="97">
        <f t="shared" si="57"/>
        <v>0</v>
      </c>
      <c r="AF112" s="98">
        <f t="shared" si="58"/>
        <v>0</v>
      </c>
      <c r="AG112" s="97">
        <f t="shared" si="59"/>
        <v>0.16666666666666666</v>
      </c>
      <c r="AH112" s="97">
        <f t="shared" si="60"/>
        <v>6.6666666666666666E-2</v>
      </c>
      <c r="AI112" s="98">
        <f t="shared" si="61"/>
        <v>9.5238095238095233E-2</v>
      </c>
      <c r="AJ112" s="97">
        <f t="shared" si="62"/>
        <v>0.33333333333333331</v>
      </c>
      <c r="AK112" s="97">
        <f t="shared" si="63"/>
        <v>0.53333333333333333</v>
      </c>
      <c r="AL112" s="99">
        <f t="shared" si="64"/>
        <v>0.47619047619047616</v>
      </c>
      <c r="AM112" s="100">
        <f t="shared" si="65"/>
        <v>1</v>
      </c>
      <c r="AN112" s="101">
        <f t="shared" si="74"/>
        <v>4.7619047619047616E-2</v>
      </c>
      <c r="AO112" s="100">
        <f t="shared" si="66"/>
        <v>0</v>
      </c>
      <c r="AP112" s="101">
        <f t="shared" si="75"/>
        <v>0</v>
      </c>
      <c r="AQ112" s="100">
        <f t="shared" si="67"/>
        <v>2</v>
      </c>
      <c r="AR112" s="101">
        <f t="shared" si="76"/>
        <v>9.5238095238095233E-2</v>
      </c>
      <c r="AS112" s="100">
        <f t="shared" si="68"/>
        <v>6</v>
      </c>
      <c r="AT112" s="101">
        <f t="shared" si="77"/>
        <v>0.2857142857142857</v>
      </c>
      <c r="AU112" s="100">
        <f t="shared" si="69"/>
        <v>0</v>
      </c>
      <c r="AV112" s="101">
        <f t="shared" si="78"/>
        <v>0</v>
      </c>
      <c r="AW112" s="100">
        <f t="shared" si="70"/>
        <v>2</v>
      </c>
      <c r="AX112" s="101">
        <f t="shared" si="79"/>
        <v>9.5238095238095233E-2</v>
      </c>
      <c r="AY112" s="100">
        <f t="shared" si="71"/>
        <v>10</v>
      </c>
      <c r="AZ112" s="101">
        <f t="shared" si="80"/>
        <v>0.47619047619047616</v>
      </c>
      <c r="BA112" s="102">
        <f t="shared" si="72"/>
        <v>0.99999999999999989</v>
      </c>
    </row>
    <row r="113" spans="1:53" x14ac:dyDescent="0.3">
      <c r="A113" s="92">
        <f>[4]SockEst!A114</f>
        <v>45200</v>
      </c>
      <c r="B113" s="93">
        <f>[4]SockEst!B114</f>
        <v>274</v>
      </c>
      <c r="C113" s="94" t="str">
        <f t="shared" si="73"/>
        <v>TTL</v>
      </c>
      <c r="D113" s="95">
        <f>IFERROR(VLOOKUP($A113,[5]qry_Whonnock_Species_Compositio!$A$1:$O$114,COLUMN([5]qry_Whonnock_Species_Compositio!B113), FALSE), "")</f>
        <v>1</v>
      </c>
      <c r="E113" s="95">
        <f>IFERROR(VLOOKUP($A113,[5]qry_Whonnock_Species_Compositio!$A$1:$O$114,COLUMN([5]qry_Whonnock_Species_Compositio!C113), FALSE), "")</f>
        <v>2</v>
      </c>
      <c r="F113" s="95">
        <f>IFERROR(VLOOKUP($A113,[5]qry_Whonnock_Species_Compositio!$A$1:$O$114,COLUMN([5]qry_Whonnock_Species_Compositio!D113), FALSE), "")</f>
        <v>0</v>
      </c>
      <c r="G113" s="95">
        <f>IFERROR(VLOOKUP($A113,[5]qry_Whonnock_Species_Compositio!$A$1:$O$114,COLUMN([5]qry_Whonnock_Species_Compositio!E113), FALSE), "")</f>
        <v>0</v>
      </c>
      <c r="H113" s="95">
        <f>IFERROR(VLOOKUP($A113,[5]qry_Whonnock_Species_Compositio!$A$1:$O$114,COLUMN([5]qry_Whonnock_Species_Compositio!F113), FALSE), "")</f>
        <v>0</v>
      </c>
      <c r="I113" s="95">
        <f>IFERROR(VLOOKUP($A113,[5]qry_Whonnock_Species_Compositio!$A$1:$O$114,COLUMN([5]qry_Whonnock_Species_Compositio!G113), FALSE), "")</f>
        <v>0</v>
      </c>
      <c r="J113" s="95">
        <f>IFERROR(VLOOKUP($A113,[5]qry_Whonnock_Species_Compositio!$A$1:$O$114,COLUMN([5]qry_Whonnock_Species_Compositio!H113), FALSE), "")</f>
        <v>4</v>
      </c>
      <c r="K113" s="95">
        <f>IFERROR(VLOOKUP($A113,[5]qry_Whonnock_Species_Compositio!$A$1:$O$114,COLUMN([5]qry_Whonnock_Species_Compositio!I113), FALSE), "")</f>
        <v>3</v>
      </c>
      <c r="L113" s="95">
        <f>IFERROR(VLOOKUP($A113,[5]qry_Whonnock_Species_Compositio!$A$1:$O$114,COLUMN([5]qry_Whonnock_Species_Compositio!J113), FALSE), "")</f>
        <v>0</v>
      </c>
      <c r="M113" s="95">
        <f>IFERROR(VLOOKUP($A113,[5]qry_Whonnock_Species_Compositio!$A$1:$O$114,COLUMN([5]qry_Whonnock_Species_Compositio!K113), FALSE), "")</f>
        <v>0</v>
      </c>
      <c r="N113" s="95">
        <f>IFERROR(VLOOKUP($A113,[5]qry_Whonnock_Species_Compositio!$A$1:$O$114,COLUMN([5]qry_Whonnock_Species_Compositio!L113), FALSE), "")</f>
        <v>3</v>
      </c>
      <c r="O113" s="95">
        <f>IFERROR(VLOOKUP($A113,[5]qry_Whonnock_Species_Compositio!$A$1:$O$114,COLUMN([5]qry_Whonnock_Species_Compositio!M113), FALSE), "")</f>
        <v>2</v>
      </c>
      <c r="P113" s="95">
        <f>IFERROR(VLOOKUP($A113,[5]qry_Whonnock_Species_Compositio!$A$1:$O$114,COLUMN([5]qry_Whonnock_Species_Compositio!N113), FALSE), "")</f>
        <v>2</v>
      </c>
      <c r="Q113" s="95">
        <f>IFERROR(VLOOKUP($A113,[5]qry_Whonnock_Species_Compositio!$A$1:$O$114,COLUMN([5]qry_Whonnock_Species_Compositio!O113), FALSE), "")</f>
        <v>9</v>
      </c>
      <c r="R113" s="96">
        <f t="shared" si="44"/>
        <v>0.1</v>
      </c>
      <c r="S113" s="97">
        <f t="shared" si="45"/>
        <v>0.125</v>
      </c>
      <c r="T113" s="98">
        <f t="shared" si="46"/>
        <v>0.11538461538461539</v>
      </c>
      <c r="U113" s="97">
        <f t="shared" si="47"/>
        <v>0</v>
      </c>
      <c r="V113" s="97">
        <f t="shared" si="48"/>
        <v>0</v>
      </c>
      <c r="W113" s="98">
        <f t="shared" si="49"/>
        <v>0</v>
      </c>
      <c r="X113" s="97">
        <f t="shared" si="50"/>
        <v>0</v>
      </c>
      <c r="Y113" s="97">
        <f t="shared" si="51"/>
        <v>0</v>
      </c>
      <c r="Z113" s="98">
        <f t="shared" si="52"/>
        <v>0</v>
      </c>
      <c r="AA113" s="97">
        <f t="shared" si="53"/>
        <v>0.4</v>
      </c>
      <c r="AB113" s="97">
        <f t="shared" si="54"/>
        <v>0.1875</v>
      </c>
      <c r="AC113" s="98">
        <f t="shared" si="55"/>
        <v>0.26923076923076922</v>
      </c>
      <c r="AD113" s="97">
        <f t="shared" si="56"/>
        <v>0</v>
      </c>
      <c r="AE113" s="97">
        <f t="shared" si="57"/>
        <v>0</v>
      </c>
      <c r="AF113" s="98">
        <f t="shared" si="58"/>
        <v>0</v>
      </c>
      <c r="AG113" s="97">
        <f t="shared" si="59"/>
        <v>0.3</v>
      </c>
      <c r="AH113" s="97">
        <f t="shared" si="60"/>
        <v>0.125</v>
      </c>
      <c r="AI113" s="98">
        <f t="shared" si="61"/>
        <v>0.19230769230769232</v>
      </c>
      <c r="AJ113" s="97">
        <f t="shared" si="62"/>
        <v>0.2</v>
      </c>
      <c r="AK113" s="97">
        <f t="shared" si="63"/>
        <v>0.5625</v>
      </c>
      <c r="AL113" s="99">
        <f t="shared" si="64"/>
        <v>0.42307692307692307</v>
      </c>
      <c r="AM113" s="100">
        <f t="shared" si="65"/>
        <v>3</v>
      </c>
      <c r="AN113" s="101">
        <f t="shared" si="74"/>
        <v>0.11538461538461539</v>
      </c>
      <c r="AO113" s="100">
        <f t="shared" si="66"/>
        <v>0</v>
      </c>
      <c r="AP113" s="101">
        <f t="shared" si="75"/>
        <v>0</v>
      </c>
      <c r="AQ113" s="100">
        <f t="shared" si="67"/>
        <v>0</v>
      </c>
      <c r="AR113" s="101">
        <f t="shared" si="76"/>
        <v>0</v>
      </c>
      <c r="AS113" s="100">
        <f t="shared" si="68"/>
        <v>7</v>
      </c>
      <c r="AT113" s="101">
        <f t="shared" si="77"/>
        <v>0.26923076923076922</v>
      </c>
      <c r="AU113" s="100">
        <f t="shared" si="69"/>
        <v>0</v>
      </c>
      <c r="AV113" s="101">
        <f t="shared" si="78"/>
        <v>0</v>
      </c>
      <c r="AW113" s="100">
        <f t="shared" si="70"/>
        <v>5</v>
      </c>
      <c r="AX113" s="101">
        <f t="shared" si="79"/>
        <v>0.19230769230769232</v>
      </c>
      <c r="AY113" s="100">
        <f t="shared" si="71"/>
        <v>11</v>
      </c>
      <c r="AZ113" s="101">
        <f t="shared" si="80"/>
        <v>0.42307692307692307</v>
      </c>
      <c r="BA113" s="102">
        <f t="shared" si="72"/>
        <v>1</v>
      </c>
    </row>
    <row r="114" spans="1:53" x14ac:dyDescent="0.3">
      <c r="A114" s="92">
        <f>[4]SockEst!A115</f>
        <v>45201</v>
      </c>
      <c r="B114" s="93">
        <f>[4]SockEst!B115</f>
        <v>275</v>
      </c>
      <c r="C114" s="94" t="str">
        <f t="shared" si="73"/>
        <v>TTL</v>
      </c>
      <c r="D114" s="95">
        <f>IFERROR(VLOOKUP($A114,[5]qry_Whonnock_Species_Compositio!$A$1:$O$114,COLUMN([5]qry_Whonnock_Species_Compositio!B114), FALSE), "")</f>
        <v>0</v>
      </c>
      <c r="E114" s="95">
        <f>IFERROR(VLOOKUP($A114,[5]qry_Whonnock_Species_Compositio!$A$1:$O$114,COLUMN([5]qry_Whonnock_Species_Compositio!C114), FALSE), "")</f>
        <v>1</v>
      </c>
      <c r="F114" s="95">
        <f>IFERROR(VLOOKUP($A114,[5]qry_Whonnock_Species_Compositio!$A$1:$O$114,COLUMN([5]qry_Whonnock_Species_Compositio!D114), FALSE), "")</f>
        <v>0</v>
      </c>
      <c r="G114" s="95">
        <f>IFERROR(VLOOKUP($A114,[5]qry_Whonnock_Species_Compositio!$A$1:$O$114,COLUMN([5]qry_Whonnock_Species_Compositio!E114), FALSE), "")</f>
        <v>0</v>
      </c>
      <c r="H114" s="95">
        <f>IFERROR(VLOOKUP($A114,[5]qry_Whonnock_Species_Compositio!$A$1:$O$114,COLUMN([5]qry_Whonnock_Species_Compositio!F114), FALSE), "")</f>
        <v>0</v>
      </c>
      <c r="I114" s="95">
        <f>IFERROR(VLOOKUP($A114,[5]qry_Whonnock_Species_Compositio!$A$1:$O$114,COLUMN([5]qry_Whonnock_Species_Compositio!G114), FALSE), "")</f>
        <v>0</v>
      </c>
      <c r="J114" s="95">
        <f>IFERROR(VLOOKUP($A114,[5]qry_Whonnock_Species_Compositio!$A$1:$O$114,COLUMN([5]qry_Whonnock_Species_Compositio!H114), FALSE), "")</f>
        <v>1</v>
      </c>
      <c r="K114" s="95">
        <f>IFERROR(VLOOKUP($A114,[5]qry_Whonnock_Species_Compositio!$A$1:$O$114,COLUMN([5]qry_Whonnock_Species_Compositio!I114), FALSE), "")</f>
        <v>1</v>
      </c>
      <c r="L114" s="95">
        <f>IFERROR(VLOOKUP($A114,[5]qry_Whonnock_Species_Compositio!$A$1:$O$114,COLUMN([5]qry_Whonnock_Species_Compositio!J114), FALSE), "")</f>
        <v>0</v>
      </c>
      <c r="M114" s="95">
        <f>IFERROR(VLOOKUP($A114,[5]qry_Whonnock_Species_Compositio!$A$1:$O$114,COLUMN([5]qry_Whonnock_Species_Compositio!K114), FALSE), "")</f>
        <v>0</v>
      </c>
      <c r="N114" s="95">
        <f>IFERROR(VLOOKUP($A114,[5]qry_Whonnock_Species_Compositio!$A$1:$O$114,COLUMN([5]qry_Whonnock_Species_Compositio!L114), FALSE), "")</f>
        <v>1</v>
      </c>
      <c r="O114" s="95">
        <f>IFERROR(VLOOKUP($A114,[5]qry_Whonnock_Species_Compositio!$A$1:$O$114,COLUMN([5]qry_Whonnock_Species_Compositio!M114), FALSE), "")</f>
        <v>1</v>
      </c>
      <c r="P114" s="95">
        <f>IFERROR(VLOOKUP($A114,[5]qry_Whonnock_Species_Compositio!$A$1:$O$114,COLUMN([5]qry_Whonnock_Species_Compositio!N114), FALSE), "")</f>
        <v>4</v>
      </c>
      <c r="Q114" s="95">
        <f>IFERROR(VLOOKUP($A114,[5]qry_Whonnock_Species_Compositio!$A$1:$O$114,COLUMN([5]qry_Whonnock_Species_Compositio!O114), FALSE), "")</f>
        <v>5</v>
      </c>
      <c r="R114" s="96">
        <f t="shared" si="44"/>
        <v>0</v>
      </c>
      <c r="S114" s="97">
        <f t="shared" si="45"/>
        <v>0.125</v>
      </c>
      <c r="T114" s="98">
        <f t="shared" si="46"/>
        <v>7.1428571428571425E-2</v>
      </c>
      <c r="U114" s="97">
        <f t="shared" si="47"/>
        <v>0</v>
      </c>
      <c r="V114" s="97">
        <f t="shared" si="48"/>
        <v>0</v>
      </c>
      <c r="W114" s="98">
        <f t="shared" si="49"/>
        <v>0</v>
      </c>
      <c r="X114" s="97">
        <f t="shared" si="50"/>
        <v>0</v>
      </c>
      <c r="Y114" s="97">
        <f t="shared" si="51"/>
        <v>0</v>
      </c>
      <c r="Z114" s="98">
        <f t="shared" si="52"/>
        <v>0</v>
      </c>
      <c r="AA114" s="97">
        <f t="shared" si="53"/>
        <v>0.16666666666666666</v>
      </c>
      <c r="AB114" s="97">
        <f t="shared" si="54"/>
        <v>0.125</v>
      </c>
      <c r="AC114" s="98">
        <f t="shared" si="55"/>
        <v>0.14285714285714285</v>
      </c>
      <c r="AD114" s="97">
        <f t="shared" si="56"/>
        <v>0</v>
      </c>
      <c r="AE114" s="97">
        <f t="shared" si="57"/>
        <v>0</v>
      </c>
      <c r="AF114" s="98">
        <f t="shared" si="58"/>
        <v>0</v>
      </c>
      <c r="AG114" s="97">
        <f t="shared" si="59"/>
        <v>0.16666666666666666</v>
      </c>
      <c r="AH114" s="97">
        <f t="shared" si="60"/>
        <v>0.125</v>
      </c>
      <c r="AI114" s="98">
        <f t="shared" si="61"/>
        <v>0.14285714285714285</v>
      </c>
      <c r="AJ114" s="97">
        <f t="shared" si="62"/>
        <v>0.66666666666666663</v>
      </c>
      <c r="AK114" s="97">
        <f t="shared" si="63"/>
        <v>0.625</v>
      </c>
      <c r="AL114" s="99">
        <f t="shared" si="64"/>
        <v>0.6428571428571429</v>
      </c>
      <c r="AM114" s="100">
        <f t="shared" si="65"/>
        <v>1</v>
      </c>
      <c r="AN114" s="101">
        <f t="shared" si="74"/>
        <v>7.1428571428571425E-2</v>
      </c>
      <c r="AO114" s="100">
        <f t="shared" si="66"/>
        <v>0</v>
      </c>
      <c r="AP114" s="101">
        <f t="shared" si="75"/>
        <v>0</v>
      </c>
      <c r="AQ114" s="100">
        <f t="shared" si="67"/>
        <v>0</v>
      </c>
      <c r="AR114" s="101">
        <f t="shared" si="76"/>
        <v>0</v>
      </c>
      <c r="AS114" s="100">
        <f t="shared" si="68"/>
        <v>2</v>
      </c>
      <c r="AT114" s="101">
        <f t="shared" si="77"/>
        <v>0.14285714285714285</v>
      </c>
      <c r="AU114" s="100">
        <f t="shared" si="69"/>
        <v>0</v>
      </c>
      <c r="AV114" s="101">
        <f t="shared" si="78"/>
        <v>0</v>
      </c>
      <c r="AW114" s="100">
        <f t="shared" si="70"/>
        <v>2</v>
      </c>
      <c r="AX114" s="101">
        <f t="shared" si="79"/>
        <v>0.14285714285714285</v>
      </c>
      <c r="AY114" s="100">
        <f t="shared" si="71"/>
        <v>9</v>
      </c>
      <c r="AZ114" s="101">
        <f t="shared" si="80"/>
        <v>0.6428571428571429</v>
      </c>
      <c r="BA114" s="102">
        <f t="shared" si="72"/>
        <v>1</v>
      </c>
    </row>
    <row r="115" spans="1:53" x14ac:dyDescent="0.3">
      <c r="A115" s="92">
        <f>[4]SockEst!A116</f>
        <v>45202</v>
      </c>
      <c r="B115" s="93">
        <f>[4]SockEst!B116</f>
        <v>276</v>
      </c>
      <c r="C115" s="94" t="str">
        <f t="shared" si="73"/>
        <v>GG</v>
      </c>
      <c r="D115" s="95" t="str">
        <f>IFERROR(VLOOKUP($A115,[5]qry_Whonnock_Species_Compositio!$A$1:$O$114,COLUMN([5]qry_Whonnock_Species_Compositio!B115), FALSE), "")</f>
        <v/>
      </c>
      <c r="E115" s="95" t="str">
        <f>IFERROR(VLOOKUP($A115,[5]qry_Whonnock_Species_Compositio!$A$1:$O$114,COLUMN([5]qry_Whonnock_Species_Compositio!C115), FALSE), "")</f>
        <v/>
      </c>
      <c r="F115" s="95" t="str">
        <f>IFERROR(VLOOKUP($A115,[5]qry_Whonnock_Species_Compositio!$A$1:$O$114,COLUMN([5]qry_Whonnock_Species_Compositio!D115), FALSE), "")</f>
        <v/>
      </c>
      <c r="G115" s="95" t="str">
        <f>IFERROR(VLOOKUP($A115,[5]qry_Whonnock_Species_Compositio!$A$1:$O$114,COLUMN([5]qry_Whonnock_Species_Compositio!E115), FALSE), "")</f>
        <v/>
      </c>
      <c r="H115" s="95" t="str">
        <f>IFERROR(VLOOKUP($A115,[5]qry_Whonnock_Species_Compositio!$A$1:$O$114,COLUMN([5]qry_Whonnock_Species_Compositio!F115), FALSE), "")</f>
        <v/>
      </c>
      <c r="I115" s="95" t="str">
        <f>IFERROR(VLOOKUP($A115,[5]qry_Whonnock_Species_Compositio!$A$1:$O$114,COLUMN([5]qry_Whonnock_Species_Compositio!G115), FALSE), "")</f>
        <v/>
      </c>
      <c r="J115" s="95" t="str">
        <f>IFERROR(VLOOKUP($A115,[5]qry_Whonnock_Species_Compositio!$A$1:$O$114,COLUMN([5]qry_Whonnock_Species_Compositio!H115), FALSE), "")</f>
        <v/>
      </c>
      <c r="K115" s="95" t="str">
        <f>IFERROR(VLOOKUP($A115,[5]qry_Whonnock_Species_Compositio!$A$1:$O$114,COLUMN([5]qry_Whonnock_Species_Compositio!I115), FALSE), "")</f>
        <v/>
      </c>
      <c r="L115" s="95" t="str">
        <f>IFERROR(VLOOKUP($A115,[5]qry_Whonnock_Species_Compositio!$A$1:$O$114,COLUMN([5]qry_Whonnock_Species_Compositio!J115), FALSE), "")</f>
        <v/>
      </c>
      <c r="M115" s="95" t="str">
        <f>IFERROR(VLOOKUP($A115,[5]qry_Whonnock_Species_Compositio!$A$1:$O$114,COLUMN([5]qry_Whonnock_Species_Compositio!K115), FALSE), "")</f>
        <v/>
      </c>
      <c r="N115" s="95" t="str">
        <f>IFERROR(VLOOKUP($A115,[5]qry_Whonnock_Species_Compositio!$A$1:$O$114,COLUMN([5]qry_Whonnock_Species_Compositio!L115), FALSE), "")</f>
        <v/>
      </c>
      <c r="O115" s="95" t="str">
        <f>IFERROR(VLOOKUP($A115,[5]qry_Whonnock_Species_Compositio!$A$1:$O$114,COLUMN([5]qry_Whonnock_Species_Compositio!M115), FALSE), "")</f>
        <v/>
      </c>
      <c r="P115" s="95" t="str">
        <f>IFERROR(VLOOKUP($A115,[5]qry_Whonnock_Species_Compositio!$A$1:$O$114,COLUMN([5]qry_Whonnock_Species_Compositio!N115), FALSE), "")</f>
        <v/>
      </c>
      <c r="Q115" s="95" t="str">
        <f>IFERROR(VLOOKUP($A115,[5]qry_Whonnock_Species_Compositio!$A$1:$O$114,COLUMN([5]qry_Whonnock_Species_Compositio!O115), FALSE), "")</f>
        <v/>
      </c>
      <c r="R115" s="96" t="str">
        <f t="shared" si="44"/>
        <v/>
      </c>
      <c r="S115" s="97" t="str">
        <f t="shared" si="45"/>
        <v/>
      </c>
      <c r="T115" s="98" t="str">
        <f t="shared" si="46"/>
        <v/>
      </c>
      <c r="U115" s="97" t="str">
        <f t="shared" si="47"/>
        <v/>
      </c>
      <c r="V115" s="97" t="str">
        <f t="shared" si="48"/>
        <v/>
      </c>
      <c r="W115" s="98" t="str">
        <f t="shared" si="49"/>
        <v/>
      </c>
      <c r="X115" s="97" t="str">
        <f t="shared" si="50"/>
        <v/>
      </c>
      <c r="Y115" s="97" t="str">
        <f t="shared" si="51"/>
        <v/>
      </c>
      <c r="Z115" s="98" t="str">
        <f t="shared" si="52"/>
        <v/>
      </c>
      <c r="AA115" s="97" t="str">
        <f t="shared" si="53"/>
        <v/>
      </c>
      <c r="AB115" s="97" t="str">
        <f t="shared" si="54"/>
        <v/>
      </c>
      <c r="AC115" s="98" t="str">
        <f t="shared" si="55"/>
        <v/>
      </c>
      <c r="AD115" s="97" t="str">
        <f t="shared" si="56"/>
        <v/>
      </c>
      <c r="AE115" s="97" t="str">
        <f t="shared" si="57"/>
        <v/>
      </c>
      <c r="AF115" s="98" t="str">
        <f t="shared" si="58"/>
        <v/>
      </c>
      <c r="AG115" s="97" t="str">
        <f t="shared" si="59"/>
        <v/>
      </c>
      <c r="AH115" s="97" t="str">
        <f t="shared" si="60"/>
        <v/>
      </c>
      <c r="AI115" s="98" t="str">
        <f t="shared" si="61"/>
        <v/>
      </c>
      <c r="AJ115" s="97" t="str">
        <f t="shared" si="62"/>
        <v/>
      </c>
      <c r="AK115" s="97" t="str">
        <f t="shared" si="63"/>
        <v/>
      </c>
      <c r="AL115" s="99" t="str">
        <f t="shared" si="64"/>
        <v/>
      </c>
      <c r="AM115" s="100" t="str">
        <f t="shared" si="65"/>
        <v/>
      </c>
      <c r="AN115" s="101" t="str">
        <f t="shared" si="74"/>
        <v/>
      </c>
      <c r="AO115" s="100" t="str">
        <f t="shared" si="66"/>
        <v/>
      </c>
      <c r="AP115" s="101" t="str">
        <f t="shared" si="75"/>
        <v/>
      </c>
      <c r="AQ115" s="100" t="str">
        <f t="shared" si="67"/>
        <v/>
      </c>
      <c r="AR115" s="101" t="str">
        <f t="shared" si="76"/>
        <v/>
      </c>
      <c r="AS115" s="100" t="str">
        <f t="shared" si="68"/>
        <v/>
      </c>
      <c r="AT115" s="101" t="str">
        <f t="shared" si="77"/>
        <v/>
      </c>
      <c r="AU115" s="100" t="str">
        <f t="shared" si="69"/>
        <v/>
      </c>
      <c r="AV115" s="101" t="str">
        <f t="shared" si="78"/>
        <v/>
      </c>
      <c r="AW115" s="100" t="str">
        <f t="shared" si="70"/>
        <v/>
      </c>
      <c r="AX115" s="101" t="str">
        <f t="shared" si="79"/>
        <v/>
      </c>
      <c r="AY115" s="100" t="str">
        <f t="shared" si="71"/>
        <v/>
      </c>
      <c r="AZ115" s="101" t="str">
        <f t="shared" si="80"/>
        <v/>
      </c>
      <c r="BA115" s="102">
        <f t="shared" si="72"/>
        <v>0</v>
      </c>
    </row>
    <row r="116" spans="1:53" x14ac:dyDescent="0.3">
      <c r="A116" s="92">
        <f>[4]SockEst!A117</f>
        <v>45203</v>
      </c>
      <c r="B116" s="93">
        <f>[4]SockEst!B117</f>
        <v>277</v>
      </c>
      <c r="C116" s="94" t="str">
        <f t="shared" si="73"/>
        <v>GG</v>
      </c>
      <c r="D116" s="95" t="str">
        <f>IFERROR(VLOOKUP($A116,[5]qry_Whonnock_Species_Compositio!$A$1:$O$114,COLUMN([5]qry_Whonnock_Species_Compositio!B116), FALSE), "")</f>
        <v/>
      </c>
      <c r="E116" s="95" t="str">
        <f>IFERROR(VLOOKUP($A116,[5]qry_Whonnock_Species_Compositio!$A$1:$O$114,COLUMN([5]qry_Whonnock_Species_Compositio!C116), FALSE), "")</f>
        <v/>
      </c>
      <c r="F116" s="95" t="str">
        <f>IFERROR(VLOOKUP($A116,[5]qry_Whonnock_Species_Compositio!$A$1:$O$114,COLUMN([5]qry_Whonnock_Species_Compositio!D116), FALSE), "")</f>
        <v/>
      </c>
      <c r="G116" s="95" t="str">
        <f>IFERROR(VLOOKUP($A116,[5]qry_Whonnock_Species_Compositio!$A$1:$O$114,COLUMN([5]qry_Whonnock_Species_Compositio!E116), FALSE), "")</f>
        <v/>
      </c>
      <c r="H116" s="95" t="str">
        <f>IFERROR(VLOOKUP($A116,[5]qry_Whonnock_Species_Compositio!$A$1:$O$114,COLUMN([5]qry_Whonnock_Species_Compositio!F116), FALSE), "")</f>
        <v/>
      </c>
      <c r="I116" s="95" t="str">
        <f>IFERROR(VLOOKUP($A116,[5]qry_Whonnock_Species_Compositio!$A$1:$O$114,COLUMN([5]qry_Whonnock_Species_Compositio!G116), FALSE), "")</f>
        <v/>
      </c>
      <c r="J116" s="95" t="str">
        <f>IFERROR(VLOOKUP($A116,[5]qry_Whonnock_Species_Compositio!$A$1:$O$114,COLUMN([5]qry_Whonnock_Species_Compositio!H116), FALSE), "")</f>
        <v/>
      </c>
      <c r="K116" s="95" t="str">
        <f>IFERROR(VLOOKUP($A116,[5]qry_Whonnock_Species_Compositio!$A$1:$O$114,COLUMN([5]qry_Whonnock_Species_Compositio!I116), FALSE), "")</f>
        <v/>
      </c>
      <c r="L116" s="95" t="str">
        <f>IFERROR(VLOOKUP($A116,[5]qry_Whonnock_Species_Compositio!$A$1:$O$114,COLUMN([5]qry_Whonnock_Species_Compositio!J116), FALSE), "")</f>
        <v/>
      </c>
      <c r="M116" s="95" t="str">
        <f>IFERROR(VLOOKUP($A116,[5]qry_Whonnock_Species_Compositio!$A$1:$O$114,COLUMN([5]qry_Whonnock_Species_Compositio!K116), FALSE), "")</f>
        <v/>
      </c>
      <c r="N116" s="95" t="str">
        <f>IFERROR(VLOOKUP($A116,[5]qry_Whonnock_Species_Compositio!$A$1:$O$114,COLUMN([5]qry_Whonnock_Species_Compositio!L116), FALSE), "")</f>
        <v/>
      </c>
      <c r="O116" s="95" t="str">
        <f>IFERROR(VLOOKUP($A116,[5]qry_Whonnock_Species_Compositio!$A$1:$O$114,COLUMN([5]qry_Whonnock_Species_Compositio!M116), FALSE), "")</f>
        <v/>
      </c>
      <c r="P116" s="95" t="str">
        <f>IFERROR(VLOOKUP($A116,[5]qry_Whonnock_Species_Compositio!$A$1:$O$114,COLUMN([5]qry_Whonnock_Species_Compositio!N116), FALSE), "")</f>
        <v/>
      </c>
      <c r="Q116" s="95" t="str">
        <f>IFERROR(VLOOKUP($A116,[5]qry_Whonnock_Species_Compositio!$A$1:$O$114,COLUMN([5]qry_Whonnock_Species_Compositio!O116), FALSE), "")</f>
        <v/>
      </c>
      <c r="R116" s="96" t="str">
        <f t="shared" si="44"/>
        <v/>
      </c>
      <c r="S116" s="97" t="str">
        <f t="shared" si="45"/>
        <v/>
      </c>
      <c r="T116" s="98" t="str">
        <f t="shared" si="46"/>
        <v/>
      </c>
      <c r="U116" s="97" t="str">
        <f t="shared" si="47"/>
        <v/>
      </c>
      <c r="V116" s="97" t="str">
        <f t="shared" si="48"/>
        <v/>
      </c>
      <c r="W116" s="98" t="str">
        <f t="shared" si="49"/>
        <v/>
      </c>
      <c r="X116" s="97" t="str">
        <f t="shared" si="50"/>
        <v/>
      </c>
      <c r="Y116" s="97" t="str">
        <f t="shared" si="51"/>
        <v/>
      </c>
      <c r="Z116" s="98" t="str">
        <f t="shared" si="52"/>
        <v/>
      </c>
      <c r="AA116" s="97" t="str">
        <f t="shared" si="53"/>
        <v/>
      </c>
      <c r="AB116" s="97" t="str">
        <f t="shared" si="54"/>
        <v/>
      </c>
      <c r="AC116" s="98" t="str">
        <f t="shared" si="55"/>
        <v/>
      </c>
      <c r="AD116" s="97" t="str">
        <f t="shared" si="56"/>
        <v/>
      </c>
      <c r="AE116" s="97" t="str">
        <f t="shared" si="57"/>
        <v/>
      </c>
      <c r="AF116" s="98" t="str">
        <f t="shared" si="58"/>
        <v/>
      </c>
      <c r="AG116" s="97" t="str">
        <f t="shared" si="59"/>
        <v/>
      </c>
      <c r="AH116" s="97" t="str">
        <f t="shared" si="60"/>
        <v/>
      </c>
      <c r="AI116" s="98" t="str">
        <f t="shared" si="61"/>
        <v/>
      </c>
      <c r="AJ116" s="97" t="str">
        <f t="shared" si="62"/>
        <v/>
      </c>
      <c r="AK116" s="97" t="str">
        <f t="shared" si="63"/>
        <v/>
      </c>
      <c r="AL116" s="99" t="str">
        <f t="shared" si="64"/>
        <v/>
      </c>
      <c r="AM116" s="100" t="str">
        <f t="shared" si="65"/>
        <v/>
      </c>
      <c r="AN116" s="101" t="str">
        <f t="shared" si="74"/>
        <v/>
      </c>
      <c r="AO116" s="100" t="str">
        <f t="shared" si="66"/>
        <v/>
      </c>
      <c r="AP116" s="101" t="str">
        <f t="shared" si="75"/>
        <v/>
      </c>
      <c r="AQ116" s="100" t="str">
        <f t="shared" si="67"/>
        <v/>
      </c>
      <c r="AR116" s="101" t="str">
        <f t="shared" si="76"/>
        <v/>
      </c>
      <c r="AS116" s="100" t="str">
        <f t="shared" si="68"/>
        <v/>
      </c>
      <c r="AT116" s="101" t="str">
        <f t="shared" si="77"/>
        <v/>
      </c>
      <c r="AU116" s="100" t="str">
        <f t="shared" si="69"/>
        <v/>
      </c>
      <c r="AV116" s="101" t="str">
        <f t="shared" si="78"/>
        <v/>
      </c>
      <c r="AW116" s="100" t="str">
        <f t="shared" si="70"/>
        <v/>
      </c>
      <c r="AX116" s="101" t="str">
        <f t="shared" si="79"/>
        <v/>
      </c>
      <c r="AY116" s="100" t="str">
        <f t="shared" si="71"/>
        <v/>
      </c>
      <c r="AZ116" s="101" t="str">
        <f t="shared" si="80"/>
        <v/>
      </c>
      <c r="BA116" s="102">
        <f t="shared" si="72"/>
        <v>0</v>
      </c>
    </row>
    <row r="117" spans="1:53" x14ac:dyDescent="0.3">
      <c r="A117" s="92">
        <f>[4]SockEst!A118</f>
        <v>45204</v>
      </c>
      <c r="B117" s="93">
        <f>[4]SockEst!B118</f>
        <v>278</v>
      </c>
      <c r="C117" s="94" t="str">
        <f t="shared" si="73"/>
        <v>GG</v>
      </c>
      <c r="D117" s="95" t="str">
        <f>IFERROR(VLOOKUP($A117,[5]qry_Whonnock_Species_Compositio!$A$1:$O$114,COLUMN([5]qry_Whonnock_Species_Compositio!B117), FALSE), "")</f>
        <v/>
      </c>
      <c r="E117" s="95" t="str">
        <f>IFERROR(VLOOKUP($A117,[5]qry_Whonnock_Species_Compositio!$A$1:$O$114,COLUMN([5]qry_Whonnock_Species_Compositio!C117), FALSE), "")</f>
        <v/>
      </c>
      <c r="F117" s="95" t="str">
        <f>IFERROR(VLOOKUP($A117,[5]qry_Whonnock_Species_Compositio!$A$1:$O$114,COLUMN([5]qry_Whonnock_Species_Compositio!D117), FALSE), "")</f>
        <v/>
      </c>
      <c r="G117" s="95" t="str">
        <f>IFERROR(VLOOKUP($A117,[5]qry_Whonnock_Species_Compositio!$A$1:$O$114,COLUMN([5]qry_Whonnock_Species_Compositio!E117), FALSE), "")</f>
        <v/>
      </c>
      <c r="H117" s="95" t="str">
        <f>IFERROR(VLOOKUP($A117,[5]qry_Whonnock_Species_Compositio!$A$1:$O$114,COLUMN([5]qry_Whonnock_Species_Compositio!F117), FALSE), "")</f>
        <v/>
      </c>
      <c r="I117" s="95" t="str">
        <f>IFERROR(VLOOKUP($A117,[5]qry_Whonnock_Species_Compositio!$A$1:$O$114,COLUMN([5]qry_Whonnock_Species_Compositio!G117), FALSE), "")</f>
        <v/>
      </c>
      <c r="J117" s="95" t="str">
        <f>IFERROR(VLOOKUP($A117,[5]qry_Whonnock_Species_Compositio!$A$1:$O$114,COLUMN([5]qry_Whonnock_Species_Compositio!H117), FALSE), "")</f>
        <v/>
      </c>
      <c r="K117" s="95" t="str">
        <f>IFERROR(VLOOKUP($A117,[5]qry_Whonnock_Species_Compositio!$A$1:$O$114,COLUMN([5]qry_Whonnock_Species_Compositio!I117), FALSE), "")</f>
        <v/>
      </c>
      <c r="L117" s="95" t="str">
        <f>IFERROR(VLOOKUP($A117,[5]qry_Whonnock_Species_Compositio!$A$1:$O$114,COLUMN([5]qry_Whonnock_Species_Compositio!J117), FALSE), "")</f>
        <v/>
      </c>
      <c r="M117" s="95" t="str">
        <f>IFERROR(VLOOKUP($A117,[5]qry_Whonnock_Species_Compositio!$A$1:$O$114,COLUMN([5]qry_Whonnock_Species_Compositio!K117), FALSE), "")</f>
        <v/>
      </c>
      <c r="N117" s="95" t="str">
        <f>IFERROR(VLOOKUP($A117,[5]qry_Whonnock_Species_Compositio!$A$1:$O$114,COLUMN([5]qry_Whonnock_Species_Compositio!L117), FALSE), "")</f>
        <v/>
      </c>
      <c r="O117" s="95" t="str">
        <f>IFERROR(VLOOKUP($A117,[5]qry_Whonnock_Species_Compositio!$A$1:$O$114,COLUMN([5]qry_Whonnock_Species_Compositio!M117), FALSE), "")</f>
        <v/>
      </c>
      <c r="P117" s="95" t="str">
        <f>IFERROR(VLOOKUP($A117,[5]qry_Whonnock_Species_Compositio!$A$1:$O$114,COLUMN([5]qry_Whonnock_Species_Compositio!N117), FALSE), "")</f>
        <v/>
      </c>
      <c r="Q117" s="95" t="str">
        <f>IFERROR(VLOOKUP($A117,[5]qry_Whonnock_Species_Compositio!$A$1:$O$114,COLUMN([5]qry_Whonnock_Species_Compositio!O117), FALSE), "")</f>
        <v/>
      </c>
      <c r="R117" s="96" t="str">
        <f t="shared" si="44"/>
        <v/>
      </c>
      <c r="S117" s="97" t="str">
        <f t="shared" si="45"/>
        <v/>
      </c>
      <c r="T117" s="98" t="str">
        <f t="shared" si="46"/>
        <v/>
      </c>
      <c r="U117" s="97" t="str">
        <f t="shared" si="47"/>
        <v/>
      </c>
      <c r="V117" s="97" t="str">
        <f t="shared" si="48"/>
        <v/>
      </c>
      <c r="W117" s="98" t="str">
        <f t="shared" si="49"/>
        <v/>
      </c>
      <c r="X117" s="97" t="str">
        <f t="shared" si="50"/>
        <v/>
      </c>
      <c r="Y117" s="97" t="str">
        <f t="shared" si="51"/>
        <v/>
      </c>
      <c r="Z117" s="98" t="str">
        <f t="shared" si="52"/>
        <v/>
      </c>
      <c r="AA117" s="97" t="str">
        <f t="shared" si="53"/>
        <v/>
      </c>
      <c r="AB117" s="97" t="str">
        <f t="shared" si="54"/>
        <v/>
      </c>
      <c r="AC117" s="98" t="str">
        <f t="shared" si="55"/>
        <v/>
      </c>
      <c r="AD117" s="97" t="str">
        <f t="shared" si="56"/>
        <v/>
      </c>
      <c r="AE117" s="97" t="str">
        <f t="shared" si="57"/>
        <v/>
      </c>
      <c r="AF117" s="98" t="str">
        <f t="shared" si="58"/>
        <v/>
      </c>
      <c r="AG117" s="97" t="str">
        <f t="shared" si="59"/>
        <v/>
      </c>
      <c r="AH117" s="97" t="str">
        <f t="shared" si="60"/>
        <v/>
      </c>
      <c r="AI117" s="98" t="str">
        <f t="shared" si="61"/>
        <v/>
      </c>
      <c r="AJ117" s="97" t="str">
        <f t="shared" si="62"/>
        <v/>
      </c>
      <c r="AK117" s="97" t="str">
        <f t="shared" si="63"/>
        <v/>
      </c>
      <c r="AL117" s="99" t="str">
        <f t="shared" si="64"/>
        <v/>
      </c>
      <c r="AM117" s="100" t="str">
        <f t="shared" si="65"/>
        <v/>
      </c>
      <c r="AN117" s="101" t="str">
        <f t="shared" si="74"/>
        <v/>
      </c>
      <c r="AO117" s="100" t="str">
        <f t="shared" si="66"/>
        <v/>
      </c>
      <c r="AP117" s="101" t="str">
        <f t="shared" si="75"/>
        <v/>
      </c>
      <c r="AQ117" s="100" t="str">
        <f t="shared" si="67"/>
        <v/>
      </c>
      <c r="AR117" s="101" t="str">
        <f t="shared" si="76"/>
        <v/>
      </c>
      <c r="AS117" s="100" t="str">
        <f t="shared" si="68"/>
        <v/>
      </c>
      <c r="AT117" s="101" t="str">
        <f t="shared" si="77"/>
        <v/>
      </c>
      <c r="AU117" s="100" t="str">
        <f t="shared" si="69"/>
        <v/>
      </c>
      <c r="AV117" s="101" t="str">
        <f t="shared" si="78"/>
        <v/>
      </c>
      <c r="AW117" s="100" t="str">
        <f t="shared" si="70"/>
        <v/>
      </c>
      <c r="AX117" s="101" t="str">
        <f t="shared" si="79"/>
        <v/>
      </c>
      <c r="AY117" s="100" t="str">
        <f t="shared" si="71"/>
        <v/>
      </c>
      <c r="AZ117" s="101" t="str">
        <f t="shared" si="80"/>
        <v/>
      </c>
      <c r="BA117" s="102">
        <f t="shared" si="72"/>
        <v>0</v>
      </c>
    </row>
    <row r="118" spans="1:53" x14ac:dyDescent="0.3">
      <c r="A118" s="92">
        <f>[4]SockEst!A119</f>
        <v>45205</v>
      </c>
      <c r="B118" s="93">
        <f>[4]SockEst!B119</f>
        <v>279</v>
      </c>
      <c r="C118" s="94" t="str">
        <f t="shared" si="73"/>
        <v>GG</v>
      </c>
      <c r="D118" s="95" t="str">
        <f>IFERROR(VLOOKUP($A118,[5]qry_Whonnock_Species_Compositio!$A$1:$O$114,COLUMN([5]qry_Whonnock_Species_Compositio!B118), FALSE), "")</f>
        <v/>
      </c>
      <c r="E118" s="95" t="str">
        <f>IFERROR(VLOOKUP($A118,[5]qry_Whonnock_Species_Compositio!$A$1:$O$114,COLUMN([5]qry_Whonnock_Species_Compositio!C118), FALSE), "")</f>
        <v/>
      </c>
      <c r="F118" s="95" t="str">
        <f>IFERROR(VLOOKUP($A118,[5]qry_Whonnock_Species_Compositio!$A$1:$O$114,COLUMN([5]qry_Whonnock_Species_Compositio!D118), FALSE), "")</f>
        <v/>
      </c>
      <c r="G118" s="95" t="str">
        <f>IFERROR(VLOOKUP($A118,[5]qry_Whonnock_Species_Compositio!$A$1:$O$114,COLUMN([5]qry_Whonnock_Species_Compositio!E118), FALSE), "")</f>
        <v/>
      </c>
      <c r="H118" s="95" t="str">
        <f>IFERROR(VLOOKUP($A118,[5]qry_Whonnock_Species_Compositio!$A$1:$O$114,COLUMN([5]qry_Whonnock_Species_Compositio!F118), FALSE), "")</f>
        <v/>
      </c>
      <c r="I118" s="95" t="str">
        <f>IFERROR(VLOOKUP($A118,[5]qry_Whonnock_Species_Compositio!$A$1:$O$114,COLUMN([5]qry_Whonnock_Species_Compositio!G118), FALSE), "")</f>
        <v/>
      </c>
      <c r="J118" s="95" t="str">
        <f>IFERROR(VLOOKUP($A118,[5]qry_Whonnock_Species_Compositio!$A$1:$O$114,COLUMN([5]qry_Whonnock_Species_Compositio!H118), FALSE), "")</f>
        <v/>
      </c>
      <c r="K118" s="95" t="str">
        <f>IFERROR(VLOOKUP($A118,[5]qry_Whonnock_Species_Compositio!$A$1:$O$114,COLUMN([5]qry_Whonnock_Species_Compositio!I118), FALSE), "")</f>
        <v/>
      </c>
      <c r="L118" s="95" t="str">
        <f>IFERROR(VLOOKUP($A118,[5]qry_Whonnock_Species_Compositio!$A$1:$O$114,COLUMN([5]qry_Whonnock_Species_Compositio!J118), FALSE), "")</f>
        <v/>
      </c>
      <c r="M118" s="95" t="str">
        <f>IFERROR(VLOOKUP($A118,[5]qry_Whonnock_Species_Compositio!$A$1:$O$114,COLUMN([5]qry_Whonnock_Species_Compositio!K118), FALSE), "")</f>
        <v/>
      </c>
      <c r="N118" s="95" t="str">
        <f>IFERROR(VLOOKUP($A118,[5]qry_Whonnock_Species_Compositio!$A$1:$O$114,COLUMN([5]qry_Whonnock_Species_Compositio!L118), FALSE), "")</f>
        <v/>
      </c>
      <c r="O118" s="95" t="str">
        <f>IFERROR(VLOOKUP($A118,[5]qry_Whonnock_Species_Compositio!$A$1:$O$114,COLUMN([5]qry_Whonnock_Species_Compositio!M118), FALSE), "")</f>
        <v/>
      </c>
      <c r="P118" s="95" t="str">
        <f>IFERROR(VLOOKUP($A118,[5]qry_Whonnock_Species_Compositio!$A$1:$O$114,COLUMN([5]qry_Whonnock_Species_Compositio!N118), FALSE), "")</f>
        <v/>
      </c>
      <c r="Q118" s="95" t="str">
        <f>IFERROR(VLOOKUP($A118,[5]qry_Whonnock_Species_Compositio!$A$1:$O$114,COLUMN([5]qry_Whonnock_Species_Compositio!O118), FALSE), "")</f>
        <v/>
      </c>
      <c r="R118" s="96" t="str">
        <f t="shared" si="44"/>
        <v/>
      </c>
      <c r="S118" s="97" t="str">
        <f t="shared" si="45"/>
        <v/>
      </c>
      <c r="T118" s="98" t="str">
        <f t="shared" si="46"/>
        <v/>
      </c>
      <c r="U118" s="97" t="str">
        <f t="shared" si="47"/>
        <v/>
      </c>
      <c r="V118" s="97" t="str">
        <f t="shared" si="48"/>
        <v/>
      </c>
      <c r="W118" s="98" t="str">
        <f t="shared" si="49"/>
        <v/>
      </c>
      <c r="X118" s="97" t="str">
        <f t="shared" si="50"/>
        <v/>
      </c>
      <c r="Y118" s="97" t="str">
        <f t="shared" si="51"/>
        <v/>
      </c>
      <c r="Z118" s="98" t="str">
        <f t="shared" si="52"/>
        <v/>
      </c>
      <c r="AA118" s="97" t="str">
        <f t="shared" si="53"/>
        <v/>
      </c>
      <c r="AB118" s="97" t="str">
        <f t="shared" si="54"/>
        <v/>
      </c>
      <c r="AC118" s="98" t="str">
        <f t="shared" si="55"/>
        <v/>
      </c>
      <c r="AD118" s="97" t="str">
        <f t="shared" si="56"/>
        <v/>
      </c>
      <c r="AE118" s="97" t="str">
        <f t="shared" si="57"/>
        <v/>
      </c>
      <c r="AF118" s="98" t="str">
        <f t="shared" si="58"/>
        <v/>
      </c>
      <c r="AG118" s="97" t="str">
        <f t="shared" si="59"/>
        <v/>
      </c>
      <c r="AH118" s="97" t="str">
        <f t="shared" si="60"/>
        <v/>
      </c>
      <c r="AI118" s="98" t="str">
        <f t="shared" si="61"/>
        <v/>
      </c>
      <c r="AJ118" s="97" t="str">
        <f t="shared" si="62"/>
        <v/>
      </c>
      <c r="AK118" s="97" t="str">
        <f t="shared" si="63"/>
        <v/>
      </c>
      <c r="AL118" s="99" t="str">
        <f t="shared" si="64"/>
        <v/>
      </c>
      <c r="AM118" s="100" t="str">
        <f t="shared" si="65"/>
        <v/>
      </c>
      <c r="AN118" s="101" t="str">
        <f t="shared" si="74"/>
        <v/>
      </c>
      <c r="AO118" s="100" t="str">
        <f t="shared" si="66"/>
        <v/>
      </c>
      <c r="AP118" s="101" t="str">
        <f t="shared" si="75"/>
        <v/>
      </c>
      <c r="AQ118" s="100" t="str">
        <f t="shared" si="67"/>
        <v/>
      </c>
      <c r="AR118" s="101" t="str">
        <f t="shared" si="76"/>
        <v/>
      </c>
      <c r="AS118" s="100" t="str">
        <f t="shared" si="68"/>
        <v/>
      </c>
      <c r="AT118" s="101" t="str">
        <f t="shared" si="77"/>
        <v/>
      </c>
      <c r="AU118" s="100" t="str">
        <f t="shared" si="69"/>
        <v/>
      </c>
      <c r="AV118" s="101" t="str">
        <f t="shared" si="78"/>
        <v/>
      </c>
      <c r="AW118" s="100" t="str">
        <f t="shared" si="70"/>
        <v/>
      </c>
      <c r="AX118" s="101" t="str">
        <f t="shared" si="79"/>
        <v/>
      </c>
      <c r="AY118" s="100" t="str">
        <f t="shared" si="71"/>
        <v/>
      </c>
      <c r="AZ118" s="101" t="str">
        <f t="shared" si="80"/>
        <v/>
      </c>
      <c r="BA118" s="102">
        <f t="shared" si="72"/>
        <v>0</v>
      </c>
    </row>
    <row r="119" spans="1:53" x14ac:dyDescent="0.3">
      <c r="A119" s="92">
        <f>[4]SockEst!A120</f>
        <v>45206</v>
      </c>
      <c r="B119" s="93">
        <f>[4]SockEst!B120</f>
        <v>280</v>
      </c>
      <c r="C119" s="94" t="str">
        <f t="shared" si="73"/>
        <v>GG</v>
      </c>
      <c r="D119" s="95" t="str">
        <f>IFERROR(VLOOKUP($A119,[5]qry_Whonnock_Species_Compositio!$A$1:$O$114,COLUMN([5]qry_Whonnock_Species_Compositio!B119), FALSE), "")</f>
        <v/>
      </c>
      <c r="E119" s="95" t="str">
        <f>IFERROR(VLOOKUP($A119,[5]qry_Whonnock_Species_Compositio!$A$1:$O$114,COLUMN([5]qry_Whonnock_Species_Compositio!C119), FALSE), "")</f>
        <v/>
      </c>
      <c r="F119" s="95" t="str">
        <f>IFERROR(VLOOKUP($A119,[5]qry_Whonnock_Species_Compositio!$A$1:$O$114,COLUMN([5]qry_Whonnock_Species_Compositio!D119), FALSE), "")</f>
        <v/>
      </c>
      <c r="G119" s="95" t="str">
        <f>IFERROR(VLOOKUP($A119,[5]qry_Whonnock_Species_Compositio!$A$1:$O$114,COLUMN([5]qry_Whonnock_Species_Compositio!E119), FALSE), "")</f>
        <v/>
      </c>
      <c r="H119" s="95" t="str">
        <f>IFERROR(VLOOKUP($A119,[5]qry_Whonnock_Species_Compositio!$A$1:$O$114,COLUMN([5]qry_Whonnock_Species_Compositio!F119), FALSE), "")</f>
        <v/>
      </c>
      <c r="I119" s="95" t="str">
        <f>IFERROR(VLOOKUP($A119,[5]qry_Whonnock_Species_Compositio!$A$1:$O$114,COLUMN([5]qry_Whonnock_Species_Compositio!G119), FALSE), "")</f>
        <v/>
      </c>
      <c r="J119" s="95" t="str">
        <f>IFERROR(VLOOKUP($A119,[5]qry_Whonnock_Species_Compositio!$A$1:$O$114,COLUMN([5]qry_Whonnock_Species_Compositio!H119), FALSE), "")</f>
        <v/>
      </c>
      <c r="K119" s="95" t="str">
        <f>IFERROR(VLOOKUP($A119,[5]qry_Whonnock_Species_Compositio!$A$1:$O$114,COLUMN([5]qry_Whonnock_Species_Compositio!I119), FALSE), "")</f>
        <v/>
      </c>
      <c r="L119" s="95" t="str">
        <f>IFERROR(VLOOKUP($A119,[5]qry_Whonnock_Species_Compositio!$A$1:$O$114,COLUMN([5]qry_Whonnock_Species_Compositio!J119), FALSE), "")</f>
        <v/>
      </c>
      <c r="M119" s="95" t="str">
        <f>IFERROR(VLOOKUP($A119,[5]qry_Whonnock_Species_Compositio!$A$1:$O$114,COLUMN([5]qry_Whonnock_Species_Compositio!K119), FALSE), "")</f>
        <v/>
      </c>
      <c r="N119" s="95" t="str">
        <f>IFERROR(VLOOKUP($A119,[5]qry_Whonnock_Species_Compositio!$A$1:$O$114,COLUMN([5]qry_Whonnock_Species_Compositio!L119), FALSE), "")</f>
        <v/>
      </c>
      <c r="O119" s="95" t="str">
        <f>IFERROR(VLOOKUP($A119,[5]qry_Whonnock_Species_Compositio!$A$1:$O$114,COLUMN([5]qry_Whonnock_Species_Compositio!M119), FALSE), "")</f>
        <v/>
      </c>
      <c r="P119" s="95" t="str">
        <f>IFERROR(VLOOKUP($A119,[5]qry_Whonnock_Species_Compositio!$A$1:$O$114,COLUMN([5]qry_Whonnock_Species_Compositio!N119), FALSE), "")</f>
        <v/>
      </c>
      <c r="Q119" s="95" t="str">
        <f>IFERROR(VLOOKUP($A119,[5]qry_Whonnock_Species_Compositio!$A$1:$O$114,COLUMN([5]qry_Whonnock_Species_Compositio!O119), FALSE), "")</f>
        <v/>
      </c>
      <c r="R119" s="96" t="str">
        <f t="shared" si="44"/>
        <v/>
      </c>
      <c r="S119" s="97" t="str">
        <f t="shared" si="45"/>
        <v/>
      </c>
      <c r="T119" s="98" t="str">
        <f t="shared" si="46"/>
        <v/>
      </c>
      <c r="U119" s="97" t="str">
        <f t="shared" si="47"/>
        <v/>
      </c>
      <c r="V119" s="97" t="str">
        <f t="shared" si="48"/>
        <v/>
      </c>
      <c r="W119" s="98" t="str">
        <f t="shared" si="49"/>
        <v/>
      </c>
      <c r="X119" s="97" t="str">
        <f t="shared" si="50"/>
        <v/>
      </c>
      <c r="Y119" s="97" t="str">
        <f t="shared" si="51"/>
        <v/>
      </c>
      <c r="Z119" s="98" t="str">
        <f t="shared" si="52"/>
        <v/>
      </c>
      <c r="AA119" s="97" t="str">
        <f t="shared" si="53"/>
        <v/>
      </c>
      <c r="AB119" s="97" t="str">
        <f t="shared" si="54"/>
        <v/>
      </c>
      <c r="AC119" s="98" t="str">
        <f t="shared" si="55"/>
        <v/>
      </c>
      <c r="AD119" s="97" t="str">
        <f t="shared" si="56"/>
        <v/>
      </c>
      <c r="AE119" s="97" t="str">
        <f t="shared" si="57"/>
        <v/>
      </c>
      <c r="AF119" s="98" t="str">
        <f t="shared" si="58"/>
        <v/>
      </c>
      <c r="AG119" s="97" t="str">
        <f t="shared" si="59"/>
        <v/>
      </c>
      <c r="AH119" s="97" t="str">
        <f t="shared" si="60"/>
        <v/>
      </c>
      <c r="AI119" s="98" t="str">
        <f t="shared" si="61"/>
        <v/>
      </c>
      <c r="AJ119" s="97" t="str">
        <f t="shared" si="62"/>
        <v/>
      </c>
      <c r="AK119" s="97" t="str">
        <f t="shared" si="63"/>
        <v/>
      </c>
      <c r="AL119" s="99" t="str">
        <f t="shared" si="64"/>
        <v/>
      </c>
      <c r="AM119" s="100" t="str">
        <f t="shared" si="65"/>
        <v/>
      </c>
      <c r="AN119" s="101" t="str">
        <f t="shared" si="74"/>
        <v/>
      </c>
      <c r="AO119" s="100" t="str">
        <f t="shared" si="66"/>
        <v/>
      </c>
      <c r="AP119" s="101" t="str">
        <f t="shared" si="75"/>
        <v/>
      </c>
      <c r="AQ119" s="100" t="str">
        <f t="shared" si="67"/>
        <v/>
      </c>
      <c r="AR119" s="101" t="str">
        <f t="shared" si="76"/>
        <v/>
      </c>
      <c r="AS119" s="100" t="str">
        <f t="shared" si="68"/>
        <v/>
      </c>
      <c r="AT119" s="101" t="str">
        <f t="shared" si="77"/>
        <v/>
      </c>
      <c r="AU119" s="100" t="str">
        <f t="shared" si="69"/>
        <v/>
      </c>
      <c r="AV119" s="101" t="str">
        <f t="shared" si="78"/>
        <v/>
      </c>
      <c r="AW119" s="100" t="str">
        <f t="shared" si="70"/>
        <v/>
      </c>
      <c r="AX119" s="101" t="str">
        <f t="shared" si="79"/>
        <v/>
      </c>
      <c r="AY119" s="100" t="str">
        <f t="shared" si="71"/>
        <v/>
      </c>
      <c r="AZ119" s="101" t="str">
        <f t="shared" si="80"/>
        <v/>
      </c>
      <c r="BA119" s="102">
        <f t="shared" si="72"/>
        <v>0</v>
      </c>
    </row>
    <row r="120" spans="1:53" x14ac:dyDescent="0.3">
      <c r="A120" s="92">
        <f>[4]SockEst!A121</f>
        <v>45207</v>
      </c>
      <c r="B120" s="93">
        <f>[4]SockEst!B121</f>
        <v>281</v>
      </c>
      <c r="C120" s="94" t="str">
        <f t="shared" si="73"/>
        <v>GG</v>
      </c>
      <c r="D120" s="95" t="str">
        <f>IFERROR(VLOOKUP($A120,[5]qry_Whonnock_Species_Compositio!$A$1:$O$114,COLUMN([5]qry_Whonnock_Species_Compositio!B120), FALSE), "")</f>
        <v/>
      </c>
      <c r="E120" s="95" t="str">
        <f>IFERROR(VLOOKUP($A120,[5]qry_Whonnock_Species_Compositio!$A$1:$O$114,COLUMN([5]qry_Whonnock_Species_Compositio!C120), FALSE), "")</f>
        <v/>
      </c>
      <c r="F120" s="95" t="str">
        <f>IFERROR(VLOOKUP($A120,[5]qry_Whonnock_Species_Compositio!$A$1:$O$114,COLUMN([5]qry_Whonnock_Species_Compositio!D120), FALSE), "")</f>
        <v/>
      </c>
      <c r="G120" s="95" t="str">
        <f>IFERROR(VLOOKUP($A120,[5]qry_Whonnock_Species_Compositio!$A$1:$O$114,COLUMN([5]qry_Whonnock_Species_Compositio!E120), FALSE), "")</f>
        <v/>
      </c>
      <c r="H120" s="95" t="str">
        <f>IFERROR(VLOOKUP($A120,[5]qry_Whonnock_Species_Compositio!$A$1:$O$114,COLUMN([5]qry_Whonnock_Species_Compositio!F120), FALSE), "")</f>
        <v/>
      </c>
      <c r="I120" s="95" t="str">
        <f>IFERROR(VLOOKUP($A120,[5]qry_Whonnock_Species_Compositio!$A$1:$O$114,COLUMN([5]qry_Whonnock_Species_Compositio!G120), FALSE), "")</f>
        <v/>
      </c>
      <c r="J120" s="95" t="str">
        <f>IFERROR(VLOOKUP($A120,[5]qry_Whonnock_Species_Compositio!$A$1:$O$114,COLUMN([5]qry_Whonnock_Species_Compositio!H120), FALSE), "")</f>
        <v/>
      </c>
      <c r="K120" s="95" t="str">
        <f>IFERROR(VLOOKUP($A120,[5]qry_Whonnock_Species_Compositio!$A$1:$O$114,COLUMN([5]qry_Whonnock_Species_Compositio!I120), FALSE), "")</f>
        <v/>
      </c>
      <c r="L120" s="95" t="str">
        <f>IFERROR(VLOOKUP($A120,[5]qry_Whonnock_Species_Compositio!$A$1:$O$114,COLUMN([5]qry_Whonnock_Species_Compositio!J120), FALSE), "")</f>
        <v/>
      </c>
      <c r="M120" s="95" t="str">
        <f>IFERROR(VLOOKUP($A120,[5]qry_Whonnock_Species_Compositio!$A$1:$O$114,COLUMN([5]qry_Whonnock_Species_Compositio!K120), FALSE), "")</f>
        <v/>
      </c>
      <c r="N120" s="95" t="str">
        <f>IFERROR(VLOOKUP($A120,[5]qry_Whonnock_Species_Compositio!$A$1:$O$114,COLUMN([5]qry_Whonnock_Species_Compositio!L120), FALSE), "")</f>
        <v/>
      </c>
      <c r="O120" s="95" t="str">
        <f>IFERROR(VLOOKUP($A120,[5]qry_Whonnock_Species_Compositio!$A$1:$O$114,COLUMN([5]qry_Whonnock_Species_Compositio!M120), FALSE), "")</f>
        <v/>
      </c>
      <c r="P120" s="95" t="str">
        <f>IFERROR(VLOOKUP($A120,[5]qry_Whonnock_Species_Compositio!$A$1:$O$114,COLUMN([5]qry_Whonnock_Species_Compositio!N120), FALSE), "")</f>
        <v/>
      </c>
      <c r="Q120" s="95" t="str">
        <f>IFERROR(VLOOKUP($A120,[5]qry_Whonnock_Species_Compositio!$A$1:$O$114,COLUMN([5]qry_Whonnock_Species_Compositio!O120), FALSE), "")</f>
        <v/>
      </c>
      <c r="R120" s="96" t="str">
        <f t="shared" si="44"/>
        <v/>
      </c>
      <c r="S120" s="97" t="str">
        <f t="shared" si="45"/>
        <v/>
      </c>
      <c r="T120" s="98" t="str">
        <f t="shared" si="46"/>
        <v/>
      </c>
      <c r="U120" s="97" t="str">
        <f t="shared" si="47"/>
        <v/>
      </c>
      <c r="V120" s="97" t="str">
        <f t="shared" si="48"/>
        <v/>
      </c>
      <c r="W120" s="98" t="str">
        <f t="shared" si="49"/>
        <v/>
      </c>
      <c r="X120" s="97" t="str">
        <f t="shared" si="50"/>
        <v/>
      </c>
      <c r="Y120" s="97" t="str">
        <f t="shared" si="51"/>
        <v/>
      </c>
      <c r="Z120" s="98" t="str">
        <f t="shared" si="52"/>
        <v/>
      </c>
      <c r="AA120" s="97" t="str">
        <f t="shared" si="53"/>
        <v/>
      </c>
      <c r="AB120" s="97" t="str">
        <f t="shared" si="54"/>
        <v/>
      </c>
      <c r="AC120" s="98" t="str">
        <f t="shared" si="55"/>
        <v/>
      </c>
      <c r="AD120" s="97" t="str">
        <f t="shared" si="56"/>
        <v/>
      </c>
      <c r="AE120" s="97" t="str">
        <f t="shared" si="57"/>
        <v/>
      </c>
      <c r="AF120" s="98" t="str">
        <f t="shared" si="58"/>
        <v/>
      </c>
      <c r="AG120" s="97" t="str">
        <f t="shared" si="59"/>
        <v/>
      </c>
      <c r="AH120" s="97" t="str">
        <f t="shared" si="60"/>
        <v/>
      </c>
      <c r="AI120" s="98" t="str">
        <f t="shared" si="61"/>
        <v/>
      </c>
      <c r="AJ120" s="97" t="str">
        <f t="shared" si="62"/>
        <v/>
      </c>
      <c r="AK120" s="97" t="str">
        <f t="shared" si="63"/>
        <v/>
      </c>
      <c r="AL120" s="99" t="str">
        <f t="shared" si="64"/>
        <v/>
      </c>
      <c r="AM120" s="100" t="str">
        <f t="shared" si="65"/>
        <v/>
      </c>
      <c r="AN120" s="101" t="str">
        <f t="shared" si="74"/>
        <v/>
      </c>
      <c r="AO120" s="100" t="str">
        <f t="shared" si="66"/>
        <v/>
      </c>
      <c r="AP120" s="101" t="str">
        <f t="shared" si="75"/>
        <v/>
      </c>
      <c r="AQ120" s="100" t="str">
        <f t="shared" si="67"/>
        <v/>
      </c>
      <c r="AR120" s="101" t="str">
        <f t="shared" si="76"/>
        <v/>
      </c>
      <c r="AS120" s="100" t="str">
        <f t="shared" si="68"/>
        <v/>
      </c>
      <c r="AT120" s="101" t="str">
        <f t="shared" si="77"/>
        <v/>
      </c>
      <c r="AU120" s="100" t="str">
        <f t="shared" si="69"/>
        <v/>
      </c>
      <c r="AV120" s="101" t="str">
        <f t="shared" si="78"/>
        <v/>
      </c>
      <c r="AW120" s="100" t="str">
        <f t="shared" si="70"/>
        <v/>
      </c>
      <c r="AX120" s="101" t="str">
        <f t="shared" si="79"/>
        <v/>
      </c>
      <c r="AY120" s="100" t="str">
        <f t="shared" si="71"/>
        <v/>
      </c>
      <c r="AZ120" s="101" t="str">
        <f t="shared" si="80"/>
        <v/>
      </c>
      <c r="BA120" s="102">
        <f t="shared" si="72"/>
        <v>0</v>
      </c>
    </row>
    <row r="121" spans="1:53" x14ac:dyDescent="0.3">
      <c r="A121" s="92">
        <f>[4]SockEst!A122</f>
        <v>45208</v>
      </c>
      <c r="B121" s="93">
        <f>[4]SockEst!B122</f>
        <v>282</v>
      </c>
      <c r="C121" s="94" t="str">
        <f t="shared" si="73"/>
        <v>GG</v>
      </c>
      <c r="D121" s="95" t="str">
        <f>IFERROR(VLOOKUP($A121,[5]qry_Whonnock_Species_Compositio!$A$1:$O$114,COLUMN([5]qry_Whonnock_Species_Compositio!B121), FALSE), "")</f>
        <v/>
      </c>
      <c r="E121" s="95" t="str">
        <f>IFERROR(VLOOKUP($A121,[5]qry_Whonnock_Species_Compositio!$A$1:$O$114,COLUMN([5]qry_Whonnock_Species_Compositio!C121), FALSE), "")</f>
        <v/>
      </c>
      <c r="F121" s="95" t="str">
        <f>IFERROR(VLOOKUP($A121,[5]qry_Whonnock_Species_Compositio!$A$1:$O$114,COLUMN([5]qry_Whonnock_Species_Compositio!D121), FALSE), "")</f>
        <v/>
      </c>
      <c r="G121" s="95" t="str">
        <f>IFERROR(VLOOKUP($A121,[5]qry_Whonnock_Species_Compositio!$A$1:$O$114,COLUMN([5]qry_Whonnock_Species_Compositio!E121), FALSE), "")</f>
        <v/>
      </c>
      <c r="H121" s="95" t="str">
        <f>IFERROR(VLOOKUP($A121,[5]qry_Whonnock_Species_Compositio!$A$1:$O$114,COLUMN([5]qry_Whonnock_Species_Compositio!F121), FALSE), "")</f>
        <v/>
      </c>
      <c r="I121" s="95" t="str">
        <f>IFERROR(VLOOKUP($A121,[5]qry_Whonnock_Species_Compositio!$A$1:$O$114,COLUMN([5]qry_Whonnock_Species_Compositio!G121), FALSE), "")</f>
        <v/>
      </c>
      <c r="J121" s="95" t="str">
        <f>IFERROR(VLOOKUP($A121,[5]qry_Whonnock_Species_Compositio!$A$1:$O$114,COLUMN([5]qry_Whonnock_Species_Compositio!H121), FALSE), "")</f>
        <v/>
      </c>
      <c r="K121" s="95" t="str">
        <f>IFERROR(VLOOKUP($A121,[5]qry_Whonnock_Species_Compositio!$A$1:$O$114,COLUMN([5]qry_Whonnock_Species_Compositio!I121), FALSE), "")</f>
        <v/>
      </c>
      <c r="L121" s="95" t="str">
        <f>IFERROR(VLOOKUP($A121,[5]qry_Whonnock_Species_Compositio!$A$1:$O$114,COLUMN([5]qry_Whonnock_Species_Compositio!J121), FALSE), "")</f>
        <v/>
      </c>
      <c r="M121" s="95" t="str">
        <f>IFERROR(VLOOKUP($A121,[5]qry_Whonnock_Species_Compositio!$A$1:$O$114,COLUMN([5]qry_Whonnock_Species_Compositio!K121), FALSE), "")</f>
        <v/>
      </c>
      <c r="N121" s="95" t="str">
        <f>IFERROR(VLOOKUP($A121,[5]qry_Whonnock_Species_Compositio!$A$1:$O$114,COLUMN([5]qry_Whonnock_Species_Compositio!L121), FALSE), "")</f>
        <v/>
      </c>
      <c r="O121" s="95" t="str">
        <f>IFERROR(VLOOKUP($A121,[5]qry_Whonnock_Species_Compositio!$A$1:$O$114,COLUMN([5]qry_Whonnock_Species_Compositio!M121), FALSE), "")</f>
        <v/>
      </c>
      <c r="P121" s="95" t="str">
        <f>IFERROR(VLOOKUP($A121,[5]qry_Whonnock_Species_Compositio!$A$1:$O$114,COLUMN([5]qry_Whonnock_Species_Compositio!N121), FALSE), "")</f>
        <v/>
      </c>
      <c r="Q121" s="95" t="str">
        <f>IFERROR(VLOOKUP($A121,[5]qry_Whonnock_Species_Compositio!$A$1:$O$114,COLUMN([5]qry_Whonnock_Species_Compositio!O121), FALSE), "")</f>
        <v/>
      </c>
      <c r="R121" s="96" t="str">
        <f t="shared" si="44"/>
        <v/>
      </c>
      <c r="S121" s="97" t="str">
        <f t="shared" si="45"/>
        <v/>
      </c>
      <c r="T121" s="98" t="str">
        <f t="shared" si="46"/>
        <v/>
      </c>
      <c r="U121" s="97" t="str">
        <f t="shared" si="47"/>
        <v/>
      </c>
      <c r="V121" s="97" t="str">
        <f t="shared" si="48"/>
        <v/>
      </c>
      <c r="W121" s="98" t="str">
        <f t="shared" si="49"/>
        <v/>
      </c>
      <c r="X121" s="97" t="str">
        <f t="shared" si="50"/>
        <v/>
      </c>
      <c r="Y121" s="97" t="str">
        <f t="shared" si="51"/>
        <v/>
      </c>
      <c r="Z121" s="98" t="str">
        <f t="shared" si="52"/>
        <v/>
      </c>
      <c r="AA121" s="97" t="str">
        <f t="shared" si="53"/>
        <v/>
      </c>
      <c r="AB121" s="97" t="str">
        <f t="shared" si="54"/>
        <v/>
      </c>
      <c r="AC121" s="98" t="str">
        <f t="shared" si="55"/>
        <v/>
      </c>
      <c r="AD121" s="97" t="str">
        <f t="shared" si="56"/>
        <v/>
      </c>
      <c r="AE121" s="97" t="str">
        <f t="shared" si="57"/>
        <v/>
      </c>
      <c r="AF121" s="98" t="str">
        <f t="shared" si="58"/>
        <v/>
      </c>
      <c r="AG121" s="97" t="str">
        <f t="shared" si="59"/>
        <v/>
      </c>
      <c r="AH121" s="97" t="str">
        <f t="shared" si="60"/>
        <v/>
      </c>
      <c r="AI121" s="98" t="str">
        <f t="shared" si="61"/>
        <v/>
      </c>
      <c r="AJ121" s="97" t="str">
        <f t="shared" si="62"/>
        <v/>
      </c>
      <c r="AK121" s="97" t="str">
        <f t="shared" si="63"/>
        <v/>
      </c>
      <c r="AL121" s="99" t="str">
        <f t="shared" si="64"/>
        <v/>
      </c>
      <c r="AM121" s="100" t="str">
        <f t="shared" si="65"/>
        <v/>
      </c>
      <c r="AN121" s="101" t="str">
        <f t="shared" si="74"/>
        <v/>
      </c>
      <c r="AO121" s="100" t="str">
        <f t="shared" si="66"/>
        <v/>
      </c>
      <c r="AP121" s="101" t="str">
        <f t="shared" si="75"/>
        <v/>
      </c>
      <c r="AQ121" s="100" t="str">
        <f t="shared" si="67"/>
        <v/>
      </c>
      <c r="AR121" s="101" t="str">
        <f t="shared" si="76"/>
        <v/>
      </c>
      <c r="AS121" s="100" t="str">
        <f t="shared" si="68"/>
        <v/>
      </c>
      <c r="AT121" s="101" t="str">
        <f t="shared" si="77"/>
        <v/>
      </c>
      <c r="AU121" s="100" t="str">
        <f t="shared" si="69"/>
        <v/>
      </c>
      <c r="AV121" s="101" t="str">
        <f t="shared" si="78"/>
        <v/>
      </c>
      <c r="AW121" s="100" t="str">
        <f t="shared" si="70"/>
        <v/>
      </c>
      <c r="AX121" s="101" t="str">
        <f t="shared" si="79"/>
        <v/>
      </c>
      <c r="AY121" s="100" t="str">
        <f t="shared" si="71"/>
        <v/>
      </c>
      <c r="AZ121" s="101" t="str">
        <f t="shared" si="80"/>
        <v/>
      </c>
      <c r="BA121" s="102">
        <f t="shared" si="72"/>
        <v>0</v>
      </c>
    </row>
    <row r="122" spans="1:53" x14ac:dyDescent="0.3">
      <c r="A122" s="92">
        <f>[4]SockEst!A123</f>
        <v>45209</v>
      </c>
      <c r="B122" s="93">
        <f>[4]SockEst!B123</f>
        <v>283</v>
      </c>
      <c r="C122" s="94" t="str">
        <f t="shared" si="73"/>
        <v>GG</v>
      </c>
      <c r="D122" s="95" t="str">
        <f>IFERROR(VLOOKUP($A122,[5]qry_Whonnock_Species_Compositio!$A$1:$O$114,COLUMN([5]qry_Whonnock_Species_Compositio!B122), FALSE), "")</f>
        <v/>
      </c>
      <c r="E122" s="95" t="str">
        <f>IFERROR(VLOOKUP($A122,[5]qry_Whonnock_Species_Compositio!$A$1:$O$114,COLUMN([5]qry_Whonnock_Species_Compositio!C122), FALSE), "")</f>
        <v/>
      </c>
      <c r="F122" s="95" t="str">
        <f>IFERROR(VLOOKUP($A122,[5]qry_Whonnock_Species_Compositio!$A$1:$O$114,COLUMN([5]qry_Whonnock_Species_Compositio!D122), FALSE), "")</f>
        <v/>
      </c>
      <c r="G122" s="95" t="str">
        <f>IFERROR(VLOOKUP($A122,[5]qry_Whonnock_Species_Compositio!$A$1:$O$114,COLUMN([5]qry_Whonnock_Species_Compositio!E122), FALSE), "")</f>
        <v/>
      </c>
      <c r="H122" s="95" t="str">
        <f>IFERROR(VLOOKUP($A122,[5]qry_Whonnock_Species_Compositio!$A$1:$O$114,COLUMN([5]qry_Whonnock_Species_Compositio!F122), FALSE), "")</f>
        <v/>
      </c>
      <c r="I122" s="95" t="str">
        <f>IFERROR(VLOOKUP($A122,[5]qry_Whonnock_Species_Compositio!$A$1:$O$114,COLUMN([5]qry_Whonnock_Species_Compositio!G122), FALSE), "")</f>
        <v/>
      </c>
      <c r="J122" s="95" t="str">
        <f>IFERROR(VLOOKUP($A122,[5]qry_Whonnock_Species_Compositio!$A$1:$O$114,COLUMN([5]qry_Whonnock_Species_Compositio!H122), FALSE), "")</f>
        <v/>
      </c>
      <c r="K122" s="95" t="str">
        <f>IFERROR(VLOOKUP($A122,[5]qry_Whonnock_Species_Compositio!$A$1:$O$114,COLUMN([5]qry_Whonnock_Species_Compositio!I122), FALSE), "")</f>
        <v/>
      </c>
      <c r="L122" s="95" t="str">
        <f>IFERROR(VLOOKUP($A122,[5]qry_Whonnock_Species_Compositio!$A$1:$O$114,COLUMN([5]qry_Whonnock_Species_Compositio!J122), FALSE), "")</f>
        <v/>
      </c>
      <c r="M122" s="95" t="str">
        <f>IFERROR(VLOOKUP($A122,[5]qry_Whonnock_Species_Compositio!$A$1:$O$114,COLUMN([5]qry_Whonnock_Species_Compositio!K122), FALSE), "")</f>
        <v/>
      </c>
      <c r="N122" s="95" t="str">
        <f>IFERROR(VLOOKUP($A122,[5]qry_Whonnock_Species_Compositio!$A$1:$O$114,COLUMN([5]qry_Whonnock_Species_Compositio!L122), FALSE), "")</f>
        <v/>
      </c>
      <c r="O122" s="95" t="str">
        <f>IFERROR(VLOOKUP($A122,[5]qry_Whonnock_Species_Compositio!$A$1:$O$114,COLUMN([5]qry_Whonnock_Species_Compositio!M122), FALSE), "")</f>
        <v/>
      </c>
      <c r="P122" s="95" t="str">
        <f>IFERROR(VLOOKUP($A122,[5]qry_Whonnock_Species_Compositio!$A$1:$O$114,COLUMN([5]qry_Whonnock_Species_Compositio!N122), FALSE), "")</f>
        <v/>
      </c>
      <c r="Q122" s="95" t="str">
        <f>IFERROR(VLOOKUP($A122,[5]qry_Whonnock_Species_Compositio!$A$1:$O$114,COLUMN([5]qry_Whonnock_Species_Compositio!O122), FALSE), "")</f>
        <v/>
      </c>
      <c r="R122" s="96" t="str">
        <f t="shared" si="44"/>
        <v/>
      </c>
      <c r="S122" s="97" t="str">
        <f t="shared" si="45"/>
        <v/>
      </c>
      <c r="T122" s="98" t="str">
        <f t="shared" si="46"/>
        <v/>
      </c>
      <c r="U122" s="97" t="str">
        <f t="shared" si="47"/>
        <v/>
      </c>
      <c r="V122" s="97" t="str">
        <f t="shared" si="48"/>
        <v/>
      </c>
      <c r="W122" s="98" t="str">
        <f t="shared" si="49"/>
        <v/>
      </c>
      <c r="X122" s="97" t="str">
        <f t="shared" si="50"/>
        <v/>
      </c>
      <c r="Y122" s="97" t="str">
        <f t="shared" si="51"/>
        <v/>
      </c>
      <c r="Z122" s="98" t="str">
        <f t="shared" si="52"/>
        <v/>
      </c>
      <c r="AA122" s="97" t="str">
        <f t="shared" si="53"/>
        <v/>
      </c>
      <c r="AB122" s="97" t="str">
        <f t="shared" si="54"/>
        <v/>
      </c>
      <c r="AC122" s="98" t="str">
        <f t="shared" si="55"/>
        <v/>
      </c>
      <c r="AD122" s="97" t="str">
        <f t="shared" si="56"/>
        <v/>
      </c>
      <c r="AE122" s="97" t="str">
        <f t="shared" si="57"/>
        <v/>
      </c>
      <c r="AF122" s="98" t="str">
        <f t="shared" si="58"/>
        <v/>
      </c>
      <c r="AG122" s="97" t="str">
        <f t="shared" si="59"/>
        <v/>
      </c>
      <c r="AH122" s="97" t="str">
        <f t="shared" si="60"/>
        <v/>
      </c>
      <c r="AI122" s="98" t="str">
        <f t="shared" si="61"/>
        <v/>
      </c>
      <c r="AJ122" s="97" t="str">
        <f t="shared" si="62"/>
        <v/>
      </c>
      <c r="AK122" s="97" t="str">
        <f t="shared" si="63"/>
        <v/>
      </c>
      <c r="AL122" s="99" t="str">
        <f t="shared" si="64"/>
        <v/>
      </c>
      <c r="AM122" s="100" t="str">
        <f t="shared" si="65"/>
        <v/>
      </c>
      <c r="AN122" s="101" t="str">
        <f t="shared" si="74"/>
        <v/>
      </c>
      <c r="AO122" s="100" t="str">
        <f t="shared" si="66"/>
        <v/>
      </c>
      <c r="AP122" s="101" t="str">
        <f t="shared" si="75"/>
        <v/>
      </c>
      <c r="AQ122" s="100" t="str">
        <f t="shared" si="67"/>
        <v/>
      </c>
      <c r="AR122" s="101" t="str">
        <f t="shared" si="76"/>
        <v/>
      </c>
      <c r="AS122" s="100" t="str">
        <f t="shared" si="68"/>
        <v/>
      </c>
      <c r="AT122" s="101" t="str">
        <f t="shared" si="77"/>
        <v/>
      </c>
      <c r="AU122" s="100" t="str">
        <f t="shared" si="69"/>
        <v/>
      </c>
      <c r="AV122" s="101" t="str">
        <f t="shared" si="78"/>
        <v/>
      </c>
      <c r="AW122" s="100" t="str">
        <f t="shared" si="70"/>
        <v/>
      </c>
      <c r="AX122" s="101" t="str">
        <f t="shared" si="79"/>
        <v/>
      </c>
      <c r="AY122" s="100" t="str">
        <f t="shared" si="71"/>
        <v/>
      </c>
      <c r="AZ122" s="101" t="str">
        <f t="shared" si="80"/>
        <v/>
      </c>
      <c r="BA122" s="102">
        <f t="shared" si="72"/>
        <v>0</v>
      </c>
    </row>
    <row r="123" spans="1:53" x14ac:dyDescent="0.3">
      <c r="A123" s="92">
        <f>[4]SockEst!A124</f>
        <v>45210</v>
      </c>
      <c r="B123" s="93">
        <f>[4]SockEst!B124</f>
        <v>284</v>
      </c>
      <c r="C123" s="94" t="str">
        <f t="shared" si="73"/>
        <v>GG</v>
      </c>
      <c r="D123" s="95" t="str">
        <f>IFERROR(VLOOKUP($A123,[5]qry_Whonnock_Species_Compositio!$A$1:$O$114,COLUMN([5]qry_Whonnock_Species_Compositio!B123), FALSE), "")</f>
        <v/>
      </c>
      <c r="E123" s="95" t="str">
        <f>IFERROR(VLOOKUP($A123,[5]qry_Whonnock_Species_Compositio!$A$1:$O$114,COLUMN([5]qry_Whonnock_Species_Compositio!C123), FALSE), "")</f>
        <v/>
      </c>
      <c r="F123" s="95" t="str">
        <f>IFERROR(VLOOKUP($A123,[5]qry_Whonnock_Species_Compositio!$A$1:$O$114,COLUMN([5]qry_Whonnock_Species_Compositio!D123), FALSE), "")</f>
        <v/>
      </c>
      <c r="G123" s="95" t="str">
        <f>IFERROR(VLOOKUP($A123,[5]qry_Whonnock_Species_Compositio!$A$1:$O$114,COLUMN([5]qry_Whonnock_Species_Compositio!E123), FALSE), "")</f>
        <v/>
      </c>
      <c r="H123" s="95" t="str">
        <f>IFERROR(VLOOKUP($A123,[5]qry_Whonnock_Species_Compositio!$A$1:$O$114,COLUMN([5]qry_Whonnock_Species_Compositio!F123), FALSE), "")</f>
        <v/>
      </c>
      <c r="I123" s="95" t="str">
        <f>IFERROR(VLOOKUP($A123,[5]qry_Whonnock_Species_Compositio!$A$1:$O$114,COLUMN([5]qry_Whonnock_Species_Compositio!G123), FALSE), "")</f>
        <v/>
      </c>
      <c r="J123" s="95" t="str">
        <f>IFERROR(VLOOKUP($A123,[5]qry_Whonnock_Species_Compositio!$A$1:$O$114,COLUMN([5]qry_Whonnock_Species_Compositio!H123), FALSE), "")</f>
        <v/>
      </c>
      <c r="K123" s="95" t="str">
        <f>IFERROR(VLOOKUP($A123,[5]qry_Whonnock_Species_Compositio!$A$1:$O$114,COLUMN([5]qry_Whonnock_Species_Compositio!I123), FALSE), "")</f>
        <v/>
      </c>
      <c r="L123" s="95" t="str">
        <f>IFERROR(VLOOKUP($A123,[5]qry_Whonnock_Species_Compositio!$A$1:$O$114,COLUMN([5]qry_Whonnock_Species_Compositio!J123), FALSE), "")</f>
        <v/>
      </c>
      <c r="M123" s="95" t="str">
        <f>IFERROR(VLOOKUP($A123,[5]qry_Whonnock_Species_Compositio!$A$1:$O$114,COLUMN([5]qry_Whonnock_Species_Compositio!K123), FALSE), "")</f>
        <v/>
      </c>
      <c r="N123" s="95" t="str">
        <f>IFERROR(VLOOKUP($A123,[5]qry_Whonnock_Species_Compositio!$A$1:$O$114,COLUMN([5]qry_Whonnock_Species_Compositio!L123), FALSE), "")</f>
        <v/>
      </c>
      <c r="O123" s="95" t="str">
        <f>IFERROR(VLOOKUP($A123,[5]qry_Whonnock_Species_Compositio!$A$1:$O$114,COLUMN([5]qry_Whonnock_Species_Compositio!M123), FALSE), "")</f>
        <v/>
      </c>
      <c r="P123" s="95" t="str">
        <f>IFERROR(VLOOKUP($A123,[5]qry_Whonnock_Species_Compositio!$A$1:$O$114,COLUMN([5]qry_Whonnock_Species_Compositio!N123), FALSE), "")</f>
        <v/>
      </c>
      <c r="Q123" s="95" t="str">
        <f>IFERROR(VLOOKUP($A123,[5]qry_Whonnock_Species_Compositio!$A$1:$O$114,COLUMN([5]qry_Whonnock_Species_Compositio!O123), FALSE), "")</f>
        <v/>
      </c>
      <c r="R123" s="96" t="str">
        <f t="shared" si="44"/>
        <v/>
      </c>
      <c r="S123" s="97" t="str">
        <f t="shared" si="45"/>
        <v/>
      </c>
      <c r="T123" s="98" t="str">
        <f t="shared" si="46"/>
        <v/>
      </c>
      <c r="U123" s="97" t="str">
        <f t="shared" si="47"/>
        <v/>
      </c>
      <c r="V123" s="97" t="str">
        <f t="shared" si="48"/>
        <v/>
      </c>
      <c r="W123" s="98" t="str">
        <f t="shared" si="49"/>
        <v/>
      </c>
      <c r="X123" s="97" t="str">
        <f t="shared" si="50"/>
        <v/>
      </c>
      <c r="Y123" s="97" t="str">
        <f t="shared" si="51"/>
        <v/>
      </c>
      <c r="Z123" s="98" t="str">
        <f t="shared" si="52"/>
        <v/>
      </c>
      <c r="AA123" s="97" t="str">
        <f t="shared" si="53"/>
        <v/>
      </c>
      <c r="AB123" s="97" t="str">
        <f t="shared" si="54"/>
        <v/>
      </c>
      <c r="AC123" s="98" t="str">
        <f t="shared" si="55"/>
        <v/>
      </c>
      <c r="AD123" s="97" t="str">
        <f t="shared" si="56"/>
        <v/>
      </c>
      <c r="AE123" s="97" t="str">
        <f t="shared" si="57"/>
        <v/>
      </c>
      <c r="AF123" s="98" t="str">
        <f t="shared" si="58"/>
        <v/>
      </c>
      <c r="AG123" s="97" t="str">
        <f t="shared" si="59"/>
        <v/>
      </c>
      <c r="AH123" s="97" t="str">
        <f t="shared" si="60"/>
        <v/>
      </c>
      <c r="AI123" s="98" t="str">
        <f t="shared" si="61"/>
        <v/>
      </c>
      <c r="AJ123" s="97" t="str">
        <f t="shared" si="62"/>
        <v/>
      </c>
      <c r="AK123" s="97" t="str">
        <f t="shared" si="63"/>
        <v/>
      </c>
      <c r="AL123" s="99" t="str">
        <f t="shared" si="64"/>
        <v/>
      </c>
      <c r="AM123" s="100" t="str">
        <f t="shared" si="65"/>
        <v/>
      </c>
      <c r="AN123" s="101" t="str">
        <f t="shared" si="74"/>
        <v/>
      </c>
      <c r="AO123" s="100" t="str">
        <f t="shared" si="66"/>
        <v/>
      </c>
      <c r="AP123" s="101" t="str">
        <f t="shared" si="75"/>
        <v/>
      </c>
      <c r="AQ123" s="100" t="str">
        <f t="shared" si="67"/>
        <v/>
      </c>
      <c r="AR123" s="101" t="str">
        <f t="shared" si="76"/>
        <v/>
      </c>
      <c r="AS123" s="100" t="str">
        <f t="shared" si="68"/>
        <v/>
      </c>
      <c r="AT123" s="101" t="str">
        <f t="shared" si="77"/>
        <v/>
      </c>
      <c r="AU123" s="100" t="str">
        <f t="shared" si="69"/>
        <v/>
      </c>
      <c r="AV123" s="101" t="str">
        <f t="shared" si="78"/>
        <v/>
      </c>
      <c r="AW123" s="100" t="str">
        <f t="shared" si="70"/>
        <v/>
      </c>
      <c r="AX123" s="101" t="str">
        <f t="shared" si="79"/>
        <v/>
      </c>
      <c r="AY123" s="100" t="str">
        <f t="shared" si="71"/>
        <v/>
      </c>
      <c r="AZ123" s="101" t="str">
        <f t="shared" si="80"/>
        <v/>
      </c>
      <c r="BA123" s="102">
        <f t="shared" si="72"/>
        <v>0</v>
      </c>
    </row>
    <row r="124" spans="1:53" x14ac:dyDescent="0.3">
      <c r="A124" s="92">
        <f>[4]SockEst!A125</f>
        <v>45211</v>
      </c>
      <c r="B124" s="93">
        <f>[4]SockEst!B125</f>
        <v>285</v>
      </c>
      <c r="C124" s="94" t="str">
        <f t="shared" si="73"/>
        <v>GG</v>
      </c>
      <c r="D124" s="95" t="str">
        <f>IFERROR(VLOOKUP($A124,[5]qry_Whonnock_Species_Compositio!$A$1:$O$114,COLUMN([5]qry_Whonnock_Species_Compositio!B124), FALSE), "")</f>
        <v/>
      </c>
      <c r="E124" s="95" t="str">
        <f>IFERROR(VLOOKUP($A124,[5]qry_Whonnock_Species_Compositio!$A$1:$O$114,COLUMN([5]qry_Whonnock_Species_Compositio!C124), FALSE), "")</f>
        <v/>
      </c>
      <c r="F124" s="95" t="str">
        <f>IFERROR(VLOOKUP($A124,[5]qry_Whonnock_Species_Compositio!$A$1:$O$114,COLUMN([5]qry_Whonnock_Species_Compositio!D124), FALSE), "")</f>
        <v/>
      </c>
      <c r="G124" s="95" t="str">
        <f>IFERROR(VLOOKUP($A124,[5]qry_Whonnock_Species_Compositio!$A$1:$O$114,COLUMN([5]qry_Whonnock_Species_Compositio!E124), FALSE), "")</f>
        <v/>
      </c>
      <c r="H124" s="95" t="str">
        <f>IFERROR(VLOOKUP($A124,[5]qry_Whonnock_Species_Compositio!$A$1:$O$114,COLUMN([5]qry_Whonnock_Species_Compositio!F124), FALSE), "")</f>
        <v/>
      </c>
      <c r="I124" s="95" t="str">
        <f>IFERROR(VLOOKUP($A124,[5]qry_Whonnock_Species_Compositio!$A$1:$O$114,COLUMN([5]qry_Whonnock_Species_Compositio!G124), FALSE), "")</f>
        <v/>
      </c>
      <c r="J124" s="95" t="str">
        <f>IFERROR(VLOOKUP($A124,[5]qry_Whonnock_Species_Compositio!$A$1:$O$114,COLUMN([5]qry_Whonnock_Species_Compositio!H124), FALSE), "")</f>
        <v/>
      </c>
      <c r="K124" s="95" t="str">
        <f>IFERROR(VLOOKUP($A124,[5]qry_Whonnock_Species_Compositio!$A$1:$O$114,COLUMN([5]qry_Whonnock_Species_Compositio!I124), FALSE), "")</f>
        <v/>
      </c>
      <c r="L124" s="95" t="str">
        <f>IFERROR(VLOOKUP($A124,[5]qry_Whonnock_Species_Compositio!$A$1:$O$114,COLUMN([5]qry_Whonnock_Species_Compositio!J124), FALSE), "")</f>
        <v/>
      </c>
      <c r="M124" s="95" t="str">
        <f>IFERROR(VLOOKUP($A124,[5]qry_Whonnock_Species_Compositio!$A$1:$O$114,COLUMN([5]qry_Whonnock_Species_Compositio!K124), FALSE), "")</f>
        <v/>
      </c>
      <c r="N124" s="95" t="str">
        <f>IFERROR(VLOOKUP($A124,[5]qry_Whonnock_Species_Compositio!$A$1:$O$114,COLUMN([5]qry_Whonnock_Species_Compositio!L124), FALSE), "")</f>
        <v/>
      </c>
      <c r="O124" s="95" t="str">
        <f>IFERROR(VLOOKUP($A124,[5]qry_Whonnock_Species_Compositio!$A$1:$O$114,COLUMN([5]qry_Whonnock_Species_Compositio!M124), FALSE), "")</f>
        <v/>
      </c>
      <c r="P124" s="95" t="str">
        <f>IFERROR(VLOOKUP($A124,[5]qry_Whonnock_Species_Compositio!$A$1:$O$114,COLUMN([5]qry_Whonnock_Species_Compositio!N124), FALSE), "")</f>
        <v/>
      </c>
      <c r="Q124" s="95" t="str">
        <f>IFERROR(VLOOKUP($A124,[5]qry_Whonnock_Species_Compositio!$A$1:$O$114,COLUMN([5]qry_Whonnock_Species_Compositio!O124), FALSE), "")</f>
        <v/>
      </c>
      <c r="R124" s="96" t="str">
        <f t="shared" si="44"/>
        <v/>
      </c>
      <c r="S124" s="97" t="str">
        <f t="shared" si="45"/>
        <v/>
      </c>
      <c r="T124" s="98" t="str">
        <f t="shared" si="46"/>
        <v/>
      </c>
      <c r="U124" s="97" t="str">
        <f t="shared" si="47"/>
        <v/>
      </c>
      <c r="V124" s="97" t="str">
        <f t="shared" si="48"/>
        <v/>
      </c>
      <c r="W124" s="98" t="str">
        <f t="shared" si="49"/>
        <v/>
      </c>
      <c r="X124" s="97" t="str">
        <f t="shared" si="50"/>
        <v/>
      </c>
      <c r="Y124" s="97" t="str">
        <f t="shared" si="51"/>
        <v/>
      </c>
      <c r="Z124" s="98" t="str">
        <f t="shared" si="52"/>
        <v/>
      </c>
      <c r="AA124" s="97" t="str">
        <f t="shared" si="53"/>
        <v/>
      </c>
      <c r="AB124" s="97" t="str">
        <f t="shared" si="54"/>
        <v/>
      </c>
      <c r="AC124" s="98" t="str">
        <f t="shared" si="55"/>
        <v/>
      </c>
      <c r="AD124" s="97" t="str">
        <f t="shared" si="56"/>
        <v/>
      </c>
      <c r="AE124" s="97" t="str">
        <f t="shared" si="57"/>
        <v/>
      </c>
      <c r="AF124" s="98" t="str">
        <f t="shared" si="58"/>
        <v/>
      </c>
      <c r="AG124" s="97" t="str">
        <f t="shared" si="59"/>
        <v/>
      </c>
      <c r="AH124" s="97" t="str">
        <f t="shared" si="60"/>
        <v/>
      </c>
      <c r="AI124" s="98" t="str">
        <f t="shared" si="61"/>
        <v/>
      </c>
      <c r="AJ124" s="97" t="str">
        <f t="shared" si="62"/>
        <v/>
      </c>
      <c r="AK124" s="97" t="str">
        <f t="shared" si="63"/>
        <v/>
      </c>
      <c r="AL124" s="99" t="str">
        <f t="shared" si="64"/>
        <v/>
      </c>
      <c r="AM124" s="100" t="str">
        <f t="shared" si="65"/>
        <v/>
      </c>
      <c r="AN124" s="101" t="str">
        <f t="shared" si="74"/>
        <v/>
      </c>
      <c r="AO124" s="100" t="str">
        <f t="shared" si="66"/>
        <v/>
      </c>
      <c r="AP124" s="101" t="str">
        <f t="shared" si="75"/>
        <v/>
      </c>
      <c r="AQ124" s="100" t="str">
        <f t="shared" si="67"/>
        <v/>
      </c>
      <c r="AR124" s="101" t="str">
        <f t="shared" si="76"/>
        <v/>
      </c>
      <c r="AS124" s="100" t="str">
        <f t="shared" si="68"/>
        <v/>
      </c>
      <c r="AT124" s="101" t="str">
        <f t="shared" si="77"/>
        <v/>
      </c>
      <c r="AU124" s="100" t="str">
        <f t="shared" si="69"/>
        <v/>
      </c>
      <c r="AV124" s="101" t="str">
        <f t="shared" si="78"/>
        <v/>
      </c>
      <c r="AW124" s="100" t="str">
        <f t="shared" si="70"/>
        <v/>
      </c>
      <c r="AX124" s="101" t="str">
        <f t="shared" si="79"/>
        <v/>
      </c>
      <c r="AY124" s="100" t="str">
        <f t="shared" si="71"/>
        <v/>
      </c>
      <c r="AZ124" s="101" t="str">
        <f t="shared" si="80"/>
        <v/>
      </c>
      <c r="BA124" s="102">
        <f t="shared" si="72"/>
        <v>0</v>
      </c>
    </row>
    <row r="125" spans="1:53" x14ac:dyDescent="0.3">
      <c r="A125" s="92">
        <f>[4]SockEst!A126</f>
        <v>45212</v>
      </c>
      <c r="B125" s="93">
        <f>[4]SockEst!B126</f>
        <v>286</v>
      </c>
      <c r="C125" s="94" t="str">
        <f t="shared" si="73"/>
        <v>GG</v>
      </c>
      <c r="D125" s="95" t="str">
        <f>IFERROR(VLOOKUP($A125,[5]qry_Whonnock_Species_Compositio!$A$1:$O$114,COLUMN([5]qry_Whonnock_Species_Compositio!B125), FALSE), "")</f>
        <v/>
      </c>
      <c r="E125" s="95" t="str">
        <f>IFERROR(VLOOKUP($A125,[5]qry_Whonnock_Species_Compositio!$A$1:$O$114,COLUMN([5]qry_Whonnock_Species_Compositio!C125), FALSE), "")</f>
        <v/>
      </c>
      <c r="F125" s="95" t="str">
        <f>IFERROR(VLOOKUP($A125,[5]qry_Whonnock_Species_Compositio!$A$1:$O$114,COLUMN([5]qry_Whonnock_Species_Compositio!D125), FALSE), "")</f>
        <v/>
      </c>
      <c r="G125" s="95" t="str">
        <f>IFERROR(VLOOKUP($A125,[5]qry_Whonnock_Species_Compositio!$A$1:$O$114,COLUMN([5]qry_Whonnock_Species_Compositio!E125), FALSE), "")</f>
        <v/>
      </c>
      <c r="H125" s="95" t="str">
        <f>IFERROR(VLOOKUP($A125,[5]qry_Whonnock_Species_Compositio!$A$1:$O$114,COLUMN([5]qry_Whonnock_Species_Compositio!F125), FALSE), "")</f>
        <v/>
      </c>
      <c r="I125" s="95" t="str">
        <f>IFERROR(VLOOKUP($A125,[5]qry_Whonnock_Species_Compositio!$A$1:$O$114,COLUMN([5]qry_Whonnock_Species_Compositio!G125), FALSE), "")</f>
        <v/>
      </c>
      <c r="J125" s="95" t="str">
        <f>IFERROR(VLOOKUP($A125,[5]qry_Whonnock_Species_Compositio!$A$1:$O$114,COLUMN([5]qry_Whonnock_Species_Compositio!H125), FALSE), "")</f>
        <v/>
      </c>
      <c r="K125" s="95" t="str">
        <f>IFERROR(VLOOKUP($A125,[5]qry_Whonnock_Species_Compositio!$A$1:$O$114,COLUMN([5]qry_Whonnock_Species_Compositio!I125), FALSE), "")</f>
        <v/>
      </c>
      <c r="L125" s="95" t="str">
        <f>IFERROR(VLOOKUP($A125,[5]qry_Whonnock_Species_Compositio!$A$1:$O$114,COLUMN([5]qry_Whonnock_Species_Compositio!J125), FALSE), "")</f>
        <v/>
      </c>
      <c r="M125" s="95" t="str">
        <f>IFERROR(VLOOKUP($A125,[5]qry_Whonnock_Species_Compositio!$A$1:$O$114,COLUMN([5]qry_Whonnock_Species_Compositio!K125), FALSE), "")</f>
        <v/>
      </c>
      <c r="N125" s="95" t="str">
        <f>IFERROR(VLOOKUP($A125,[5]qry_Whonnock_Species_Compositio!$A$1:$O$114,COLUMN([5]qry_Whonnock_Species_Compositio!L125), FALSE), "")</f>
        <v/>
      </c>
      <c r="O125" s="95" t="str">
        <f>IFERROR(VLOOKUP($A125,[5]qry_Whonnock_Species_Compositio!$A$1:$O$114,COLUMN([5]qry_Whonnock_Species_Compositio!M125), FALSE), "")</f>
        <v/>
      </c>
      <c r="P125" s="95" t="str">
        <f>IFERROR(VLOOKUP($A125,[5]qry_Whonnock_Species_Compositio!$A$1:$O$114,COLUMN([5]qry_Whonnock_Species_Compositio!N125), FALSE), "")</f>
        <v/>
      </c>
      <c r="Q125" s="95" t="str">
        <f>IFERROR(VLOOKUP($A125,[5]qry_Whonnock_Species_Compositio!$A$1:$O$114,COLUMN([5]qry_Whonnock_Species_Compositio!O125), FALSE), "")</f>
        <v/>
      </c>
      <c r="R125" s="96" t="str">
        <f t="shared" si="44"/>
        <v/>
      </c>
      <c r="S125" s="97" t="str">
        <f t="shared" si="45"/>
        <v/>
      </c>
      <c r="T125" s="98" t="str">
        <f t="shared" si="46"/>
        <v/>
      </c>
      <c r="U125" s="97" t="str">
        <f t="shared" si="47"/>
        <v/>
      </c>
      <c r="V125" s="97" t="str">
        <f t="shared" si="48"/>
        <v/>
      </c>
      <c r="W125" s="98" t="str">
        <f t="shared" si="49"/>
        <v/>
      </c>
      <c r="X125" s="97" t="str">
        <f t="shared" si="50"/>
        <v/>
      </c>
      <c r="Y125" s="97" t="str">
        <f t="shared" si="51"/>
        <v/>
      </c>
      <c r="Z125" s="98" t="str">
        <f t="shared" si="52"/>
        <v/>
      </c>
      <c r="AA125" s="97" t="str">
        <f t="shared" si="53"/>
        <v/>
      </c>
      <c r="AB125" s="97" t="str">
        <f t="shared" si="54"/>
        <v/>
      </c>
      <c r="AC125" s="98" t="str">
        <f t="shared" si="55"/>
        <v/>
      </c>
      <c r="AD125" s="97" t="str">
        <f t="shared" si="56"/>
        <v/>
      </c>
      <c r="AE125" s="97" t="str">
        <f t="shared" si="57"/>
        <v/>
      </c>
      <c r="AF125" s="98" t="str">
        <f t="shared" si="58"/>
        <v/>
      </c>
      <c r="AG125" s="97" t="str">
        <f t="shared" si="59"/>
        <v/>
      </c>
      <c r="AH125" s="97" t="str">
        <f t="shared" si="60"/>
        <v/>
      </c>
      <c r="AI125" s="98" t="str">
        <f t="shared" si="61"/>
        <v/>
      </c>
      <c r="AJ125" s="97" t="str">
        <f t="shared" si="62"/>
        <v/>
      </c>
      <c r="AK125" s="97" t="str">
        <f t="shared" si="63"/>
        <v/>
      </c>
      <c r="AL125" s="99" t="str">
        <f t="shared" si="64"/>
        <v/>
      </c>
      <c r="AM125" s="100" t="str">
        <f t="shared" si="65"/>
        <v/>
      </c>
      <c r="AN125" s="101" t="str">
        <f t="shared" si="74"/>
        <v/>
      </c>
      <c r="AO125" s="100" t="str">
        <f t="shared" si="66"/>
        <v/>
      </c>
      <c r="AP125" s="101" t="str">
        <f t="shared" si="75"/>
        <v/>
      </c>
      <c r="AQ125" s="100" t="str">
        <f t="shared" si="67"/>
        <v/>
      </c>
      <c r="AR125" s="101" t="str">
        <f t="shared" si="76"/>
        <v/>
      </c>
      <c r="AS125" s="100" t="str">
        <f t="shared" si="68"/>
        <v/>
      </c>
      <c r="AT125" s="101" t="str">
        <f t="shared" si="77"/>
        <v/>
      </c>
      <c r="AU125" s="100" t="str">
        <f t="shared" si="69"/>
        <v/>
      </c>
      <c r="AV125" s="101" t="str">
        <f t="shared" si="78"/>
        <v/>
      </c>
      <c r="AW125" s="100" t="str">
        <f t="shared" si="70"/>
        <v/>
      </c>
      <c r="AX125" s="101" t="str">
        <f t="shared" si="79"/>
        <v/>
      </c>
      <c r="AY125" s="100" t="str">
        <f t="shared" si="71"/>
        <v/>
      </c>
      <c r="AZ125" s="101" t="str">
        <f t="shared" si="80"/>
        <v/>
      </c>
      <c r="BA125" s="102">
        <f t="shared" si="72"/>
        <v>0</v>
      </c>
    </row>
    <row r="126" spans="1:53" x14ac:dyDescent="0.3">
      <c r="A126" s="92">
        <f>[4]SockEst!A127</f>
        <v>45213</v>
      </c>
      <c r="B126" s="93">
        <f>[4]SockEst!B127</f>
        <v>287</v>
      </c>
      <c r="C126" s="94" t="str">
        <f t="shared" si="73"/>
        <v>GG</v>
      </c>
      <c r="D126" s="95" t="str">
        <f>IFERROR(VLOOKUP($A126,[5]qry_Whonnock_Species_Compositio!$A$1:$O$114,COLUMN([5]qry_Whonnock_Species_Compositio!B126), FALSE), "")</f>
        <v/>
      </c>
      <c r="E126" s="95" t="str">
        <f>IFERROR(VLOOKUP($A126,[5]qry_Whonnock_Species_Compositio!$A$1:$O$114,COLUMN([5]qry_Whonnock_Species_Compositio!C126), FALSE), "")</f>
        <v/>
      </c>
      <c r="F126" s="95" t="str">
        <f>IFERROR(VLOOKUP($A126,[5]qry_Whonnock_Species_Compositio!$A$1:$O$114,COLUMN([5]qry_Whonnock_Species_Compositio!D126), FALSE), "")</f>
        <v/>
      </c>
      <c r="G126" s="95" t="str">
        <f>IFERROR(VLOOKUP($A126,[5]qry_Whonnock_Species_Compositio!$A$1:$O$114,COLUMN([5]qry_Whonnock_Species_Compositio!E126), FALSE), "")</f>
        <v/>
      </c>
      <c r="H126" s="95" t="str">
        <f>IFERROR(VLOOKUP($A126,[5]qry_Whonnock_Species_Compositio!$A$1:$O$114,COLUMN([5]qry_Whonnock_Species_Compositio!F126), FALSE), "")</f>
        <v/>
      </c>
      <c r="I126" s="95" t="str">
        <f>IFERROR(VLOOKUP($A126,[5]qry_Whonnock_Species_Compositio!$A$1:$O$114,COLUMN([5]qry_Whonnock_Species_Compositio!G126), FALSE), "")</f>
        <v/>
      </c>
      <c r="J126" s="95" t="str">
        <f>IFERROR(VLOOKUP($A126,[5]qry_Whonnock_Species_Compositio!$A$1:$O$114,COLUMN([5]qry_Whonnock_Species_Compositio!H126), FALSE), "")</f>
        <v/>
      </c>
      <c r="K126" s="95" t="str">
        <f>IFERROR(VLOOKUP($A126,[5]qry_Whonnock_Species_Compositio!$A$1:$O$114,COLUMN([5]qry_Whonnock_Species_Compositio!I126), FALSE), "")</f>
        <v/>
      </c>
      <c r="L126" s="95" t="str">
        <f>IFERROR(VLOOKUP($A126,[5]qry_Whonnock_Species_Compositio!$A$1:$O$114,COLUMN([5]qry_Whonnock_Species_Compositio!J126), FALSE), "")</f>
        <v/>
      </c>
      <c r="M126" s="95" t="str">
        <f>IFERROR(VLOOKUP($A126,[5]qry_Whonnock_Species_Compositio!$A$1:$O$114,COLUMN([5]qry_Whonnock_Species_Compositio!K126), FALSE), "")</f>
        <v/>
      </c>
      <c r="N126" s="95" t="str">
        <f>IFERROR(VLOOKUP($A126,[5]qry_Whonnock_Species_Compositio!$A$1:$O$114,COLUMN([5]qry_Whonnock_Species_Compositio!L126), FALSE), "")</f>
        <v/>
      </c>
      <c r="O126" s="95" t="str">
        <f>IFERROR(VLOOKUP($A126,[5]qry_Whonnock_Species_Compositio!$A$1:$O$114,COLUMN([5]qry_Whonnock_Species_Compositio!M126), FALSE), "")</f>
        <v/>
      </c>
      <c r="P126" s="95" t="str">
        <f>IFERROR(VLOOKUP($A126,[5]qry_Whonnock_Species_Compositio!$A$1:$O$114,COLUMN([5]qry_Whonnock_Species_Compositio!N126), FALSE), "")</f>
        <v/>
      </c>
      <c r="Q126" s="95" t="str">
        <f>IFERROR(VLOOKUP($A126,[5]qry_Whonnock_Species_Compositio!$A$1:$O$114,COLUMN([5]qry_Whonnock_Species_Compositio!O126), FALSE), "")</f>
        <v/>
      </c>
      <c r="R126" s="96" t="str">
        <f t="shared" si="44"/>
        <v/>
      </c>
      <c r="S126" s="97" t="str">
        <f t="shared" si="45"/>
        <v/>
      </c>
      <c r="T126" s="98" t="str">
        <f t="shared" si="46"/>
        <v/>
      </c>
      <c r="U126" s="97" t="str">
        <f t="shared" si="47"/>
        <v/>
      </c>
      <c r="V126" s="97" t="str">
        <f t="shared" si="48"/>
        <v/>
      </c>
      <c r="W126" s="98" t="str">
        <f t="shared" si="49"/>
        <v/>
      </c>
      <c r="X126" s="97" t="str">
        <f t="shared" si="50"/>
        <v/>
      </c>
      <c r="Y126" s="97" t="str">
        <f t="shared" si="51"/>
        <v/>
      </c>
      <c r="Z126" s="98" t="str">
        <f t="shared" si="52"/>
        <v/>
      </c>
      <c r="AA126" s="97" t="str">
        <f t="shared" si="53"/>
        <v/>
      </c>
      <c r="AB126" s="97" t="str">
        <f t="shared" si="54"/>
        <v/>
      </c>
      <c r="AC126" s="98" t="str">
        <f t="shared" si="55"/>
        <v/>
      </c>
      <c r="AD126" s="97" t="str">
        <f t="shared" si="56"/>
        <v/>
      </c>
      <c r="AE126" s="97" t="str">
        <f t="shared" si="57"/>
        <v/>
      </c>
      <c r="AF126" s="98" t="str">
        <f t="shared" si="58"/>
        <v/>
      </c>
      <c r="AG126" s="97" t="str">
        <f t="shared" si="59"/>
        <v/>
      </c>
      <c r="AH126" s="97" t="str">
        <f t="shared" si="60"/>
        <v/>
      </c>
      <c r="AI126" s="98" t="str">
        <f t="shared" si="61"/>
        <v/>
      </c>
      <c r="AJ126" s="97" t="str">
        <f t="shared" si="62"/>
        <v/>
      </c>
      <c r="AK126" s="97" t="str">
        <f t="shared" si="63"/>
        <v/>
      </c>
      <c r="AL126" s="99" t="str">
        <f t="shared" si="64"/>
        <v/>
      </c>
      <c r="AM126" s="100" t="str">
        <f t="shared" si="65"/>
        <v/>
      </c>
      <c r="AN126" s="101" t="str">
        <f t="shared" si="74"/>
        <v/>
      </c>
      <c r="AO126" s="100" t="str">
        <f t="shared" si="66"/>
        <v/>
      </c>
      <c r="AP126" s="101" t="str">
        <f t="shared" si="75"/>
        <v/>
      </c>
      <c r="AQ126" s="100" t="str">
        <f t="shared" si="67"/>
        <v/>
      </c>
      <c r="AR126" s="101" t="str">
        <f t="shared" si="76"/>
        <v/>
      </c>
      <c r="AS126" s="100" t="str">
        <f t="shared" si="68"/>
        <v/>
      </c>
      <c r="AT126" s="101" t="str">
        <f t="shared" si="77"/>
        <v/>
      </c>
      <c r="AU126" s="100" t="str">
        <f t="shared" si="69"/>
        <v/>
      </c>
      <c r="AV126" s="101" t="str">
        <f t="shared" si="78"/>
        <v/>
      </c>
      <c r="AW126" s="100" t="str">
        <f t="shared" si="70"/>
        <v/>
      </c>
      <c r="AX126" s="101" t="str">
        <f t="shared" si="79"/>
        <v/>
      </c>
      <c r="AY126" s="100" t="str">
        <f t="shared" si="71"/>
        <v/>
      </c>
      <c r="AZ126" s="101" t="str">
        <f t="shared" si="80"/>
        <v/>
      </c>
      <c r="BA126" s="102">
        <f t="shared" si="72"/>
        <v>0</v>
      </c>
    </row>
    <row r="127" spans="1:53" x14ac:dyDescent="0.3">
      <c r="A127" s="92">
        <f>[4]SockEst!A128</f>
        <v>45214</v>
      </c>
      <c r="B127" s="93">
        <f>[4]SockEst!B128</f>
        <v>288</v>
      </c>
      <c r="C127" s="94" t="str">
        <f t="shared" si="73"/>
        <v>GG</v>
      </c>
      <c r="D127" s="95" t="str">
        <f>IFERROR(VLOOKUP($A127,[5]qry_Whonnock_Species_Compositio!$A$1:$O$114,COLUMN([5]qry_Whonnock_Species_Compositio!B127), FALSE), "")</f>
        <v/>
      </c>
      <c r="E127" s="95" t="str">
        <f>IFERROR(VLOOKUP($A127,[5]qry_Whonnock_Species_Compositio!$A$1:$O$114,COLUMN([5]qry_Whonnock_Species_Compositio!C127), FALSE), "")</f>
        <v/>
      </c>
      <c r="F127" s="95" t="str">
        <f>IFERROR(VLOOKUP($A127,[5]qry_Whonnock_Species_Compositio!$A$1:$O$114,COLUMN([5]qry_Whonnock_Species_Compositio!D127), FALSE), "")</f>
        <v/>
      </c>
      <c r="G127" s="95" t="str">
        <f>IFERROR(VLOOKUP($A127,[5]qry_Whonnock_Species_Compositio!$A$1:$O$114,COLUMN([5]qry_Whonnock_Species_Compositio!E127), FALSE), "")</f>
        <v/>
      </c>
      <c r="H127" s="95" t="str">
        <f>IFERROR(VLOOKUP($A127,[5]qry_Whonnock_Species_Compositio!$A$1:$O$114,COLUMN([5]qry_Whonnock_Species_Compositio!F127), FALSE), "")</f>
        <v/>
      </c>
      <c r="I127" s="95" t="str">
        <f>IFERROR(VLOOKUP($A127,[5]qry_Whonnock_Species_Compositio!$A$1:$O$114,COLUMN([5]qry_Whonnock_Species_Compositio!G127), FALSE), "")</f>
        <v/>
      </c>
      <c r="J127" s="95" t="str">
        <f>IFERROR(VLOOKUP($A127,[5]qry_Whonnock_Species_Compositio!$A$1:$O$114,COLUMN([5]qry_Whonnock_Species_Compositio!H127), FALSE), "")</f>
        <v/>
      </c>
      <c r="K127" s="95" t="str">
        <f>IFERROR(VLOOKUP($A127,[5]qry_Whonnock_Species_Compositio!$A$1:$O$114,COLUMN([5]qry_Whonnock_Species_Compositio!I127), FALSE), "")</f>
        <v/>
      </c>
      <c r="L127" s="95" t="str">
        <f>IFERROR(VLOOKUP($A127,[5]qry_Whonnock_Species_Compositio!$A$1:$O$114,COLUMN([5]qry_Whonnock_Species_Compositio!J127), FALSE), "")</f>
        <v/>
      </c>
      <c r="M127" s="95" t="str">
        <f>IFERROR(VLOOKUP($A127,[5]qry_Whonnock_Species_Compositio!$A$1:$O$114,COLUMN([5]qry_Whonnock_Species_Compositio!K127), FALSE), "")</f>
        <v/>
      </c>
      <c r="N127" s="95" t="str">
        <f>IFERROR(VLOOKUP($A127,[5]qry_Whonnock_Species_Compositio!$A$1:$O$114,COLUMN([5]qry_Whonnock_Species_Compositio!L127), FALSE), "")</f>
        <v/>
      </c>
      <c r="O127" s="95" t="str">
        <f>IFERROR(VLOOKUP($A127,[5]qry_Whonnock_Species_Compositio!$A$1:$O$114,COLUMN([5]qry_Whonnock_Species_Compositio!M127), FALSE), "")</f>
        <v/>
      </c>
      <c r="P127" s="95" t="str">
        <f>IFERROR(VLOOKUP($A127,[5]qry_Whonnock_Species_Compositio!$A$1:$O$114,COLUMN([5]qry_Whonnock_Species_Compositio!N127), FALSE), "")</f>
        <v/>
      </c>
      <c r="Q127" s="95" t="str">
        <f>IFERROR(VLOOKUP($A127,[5]qry_Whonnock_Species_Compositio!$A$1:$O$114,COLUMN([5]qry_Whonnock_Species_Compositio!O127), FALSE), "")</f>
        <v/>
      </c>
      <c r="R127" s="96" t="str">
        <f t="shared" si="44"/>
        <v/>
      </c>
      <c r="S127" s="97" t="str">
        <f t="shared" si="45"/>
        <v/>
      </c>
      <c r="T127" s="98" t="str">
        <f t="shared" si="46"/>
        <v/>
      </c>
      <c r="U127" s="97" t="str">
        <f t="shared" si="47"/>
        <v/>
      </c>
      <c r="V127" s="97" t="str">
        <f t="shared" si="48"/>
        <v/>
      </c>
      <c r="W127" s="98" t="str">
        <f t="shared" si="49"/>
        <v/>
      </c>
      <c r="X127" s="97" t="str">
        <f t="shared" si="50"/>
        <v/>
      </c>
      <c r="Y127" s="97" t="str">
        <f t="shared" si="51"/>
        <v/>
      </c>
      <c r="Z127" s="98" t="str">
        <f t="shared" si="52"/>
        <v/>
      </c>
      <c r="AA127" s="97" t="str">
        <f t="shared" si="53"/>
        <v/>
      </c>
      <c r="AB127" s="97" t="str">
        <f t="shared" si="54"/>
        <v/>
      </c>
      <c r="AC127" s="98" t="str">
        <f t="shared" si="55"/>
        <v/>
      </c>
      <c r="AD127" s="97" t="str">
        <f t="shared" si="56"/>
        <v/>
      </c>
      <c r="AE127" s="97" t="str">
        <f t="shared" si="57"/>
        <v/>
      </c>
      <c r="AF127" s="98" t="str">
        <f t="shared" si="58"/>
        <v/>
      </c>
      <c r="AG127" s="97" t="str">
        <f t="shared" si="59"/>
        <v/>
      </c>
      <c r="AH127" s="97" t="str">
        <f t="shared" si="60"/>
        <v/>
      </c>
      <c r="AI127" s="98" t="str">
        <f t="shared" si="61"/>
        <v/>
      </c>
      <c r="AJ127" s="97" t="str">
        <f t="shared" si="62"/>
        <v/>
      </c>
      <c r="AK127" s="97" t="str">
        <f t="shared" si="63"/>
        <v/>
      </c>
      <c r="AL127" s="99" t="str">
        <f t="shared" si="64"/>
        <v/>
      </c>
      <c r="AM127" s="100" t="str">
        <f t="shared" si="65"/>
        <v/>
      </c>
      <c r="AN127" s="101" t="str">
        <f t="shared" si="74"/>
        <v/>
      </c>
      <c r="AO127" s="100" t="str">
        <f t="shared" si="66"/>
        <v/>
      </c>
      <c r="AP127" s="101" t="str">
        <f t="shared" si="75"/>
        <v/>
      </c>
      <c r="AQ127" s="100" t="str">
        <f t="shared" si="67"/>
        <v/>
      </c>
      <c r="AR127" s="101" t="str">
        <f t="shared" si="76"/>
        <v/>
      </c>
      <c r="AS127" s="100" t="str">
        <f t="shared" si="68"/>
        <v/>
      </c>
      <c r="AT127" s="101" t="str">
        <f t="shared" si="77"/>
        <v/>
      </c>
      <c r="AU127" s="100" t="str">
        <f t="shared" si="69"/>
        <v/>
      </c>
      <c r="AV127" s="101" t="str">
        <f t="shared" si="78"/>
        <v/>
      </c>
      <c r="AW127" s="100" t="str">
        <f t="shared" si="70"/>
        <v/>
      </c>
      <c r="AX127" s="101" t="str">
        <f t="shared" si="79"/>
        <v/>
      </c>
      <c r="AY127" s="100" t="str">
        <f t="shared" si="71"/>
        <v/>
      </c>
      <c r="AZ127" s="101" t="str">
        <f t="shared" si="80"/>
        <v/>
      </c>
      <c r="BA127" s="102">
        <f t="shared" si="72"/>
        <v>0</v>
      </c>
    </row>
    <row r="128" spans="1:53" x14ac:dyDescent="0.3">
      <c r="A128" s="92">
        <f>[4]SockEst!A129</f>
        <v>45215</v>
      </c>
      <c r="B128" s="93">
        <f>[4]SockEst!B129</f>
        <v>289</v>
      </c>
      <c r="C128" s="94" t="str">
        <f t="shared" si="73"/>
        <v>GG</v>
      </c>
      <c r="D128" s="95" t="str">
        <f>IFERROR(VLOOKUP($A128,[5]qry_Whonnock_Species_Compositio!$A$1:$O$114,COLUMN([5]qry_Whonnock_Species_Compositio!B128), FALSE), "")</f>
        <v/>
      </c>
      <c r="E128" s="95" t="str">
        <f>IFERROR(VLOOKUP($A128,[5]qry_Whonnock_Species_Compositio!$A$1:$O$114,COLUMN([5]qry_Whonnock_Species_Compositio!C128), FALSE), "")</f>
        <v/>
      </c>
      <c r="F128" s="95" t="str">
        <f>IFERROR(VLOOKUP($A128,[5]qry_Whonnock_Species_Compositio!$A$1:$O$114,COLUMN([5]qry_Whonnock_Species_Compositio!D128), FALSE), "")</f>
        <v/>
      </c>
      <c r="G128" s="95" t="str">
        <f>IFERROR(VLOOKUP($A128,[5]qry_Whonnock_Species_Compositio!$A$1:$O$114,COLUMN([5]qry_Whonnock_Species_Compositio!E128), FALSE), "")</f>
        <v/>
      </c>
      <c r="H128" s="95" t="str">
        <f>IFERROR(VLOOKUP($A128,[5]qry_Whonnock_Species_Compositio!$A$1:$O$114,COLUMN([5]qry_Whonnock_Species_Compositio!F128), FALSE), "")</f>
        <v/>
      </c>
      <c r="I128" s="95" t="str">
        <f>IFERROR(VLOOKUP($A128,[5]qry_Whonnock_Species_Compositio!$A$1:$O$114,COLUMN([5]qry_Whonnock_Species_Compositio!G128), FALSE), "")</f>
        <v/>
      </c>
      <c r="J128" s="95" t="str">
        <f>IFERROR(VLOOKUP($A128,[5]qry_Whonnock_Species_Compositio!$A$1:$O$114,COLUMN([5]qry_Whonnock_Species_Compositio!H128), FALSE), "")</f>
        <v/>
      </c>
      <c r="K128" s="95" t="str">
        <f>IFERROR(VLOOKUP($A128,[5]qry_Whonnock_Species_Compositio!$A$1:$O$114,COLUMN([5]qry_Whonnock_Species_Compositio!I128), FALSE), "")</f>
        <v/>
      </c>
      <c r="L128" s="95" t="str">
        <f>IFERROR(VLOOKUP($A128,[5]qry_Whonnock_Species_Compositio!$A$1:$O$114,COLUMN([5]qry_Whonnock_Species_Compositio!J128), FALSE), "")</f>
        <v/>
      </c>
      <c r="M128" s="95" t="str">
        <f>IFERROR(VLOOKUP($A128,[5]qry_Whonnock_Species_Compositio!$A$1:$O$114,COLUMN([5]qry_Whonnock_Species_Compositio!K128), FALSE), "")</f>
        <v/>
      </c>
      <c r="N128" s="95" t="str">
        <f>IFERROR(VLOOKUP($A128,[5]qry_Whonnock_Species_Compositio!$A$1:$O$114,COLUMN([5]qry_Whonnock_Species_Compositio!L128), FALSE), "")</f>
        <v/>
      </c>
      <c r="O128" s="95" t="str">
        <f>IFERROR(VLOOKUP($A128,[5]qry_Whonnock_Species_Compositio!$A$1:$O$114,COLUMN([5]qry_Whonnock_Species_Compositio!M128), FALSE), "")</f>
        <v/>
      </c>
      <c r="P128" s="95" t="str">
        <f>IFERROR(VLOOKUP($A128,[5]qry_Whonnock_Species_Compositio!$A$1:$O$114,COLUMN([5]qry_Whonnock_Species_Compositio!N128), FALSE), "")</f>
        <v/>
      </c>
      <c r="Q128" s="95" t="str">
        <f>IFERROR(VLOOKUP($A128,[5]qry_Whonnock_Species_Compositio!$A$1:$O$114,COLUMN([5]qry_Whonnock_Species_Compositio!O128), FALSE), "")</f>
        <v/>
      </c>
      <c r="R128" s="96" t="str">
        <f t="shared" si="44"/>
        <v/>
      </c>
      <c r="S128" s="97" t="str">
        <f t="shared" si="45"/>
        <v/>
      </c>
      <c r="T128" s="98" t="str">
        <f t="shared" si="46"/>
        <v/>
      </c>
      <c r="U128" s="97" t="str">
        <f t="shared" si="47"/>
        <v/>
      </c>
      <c r="V128" s="97" t="str">
        <f t="shared" si="48"/>
        <v/>
      </c>
      <c r="W128" s="98" t="str">
        <f t="shared" si="49"/>
        <v/>
      </c>
      <c r="X128" s="97" t="str">
        <f t="shared" si="50"/>
        <v/>
      </c>
      <c r="Y128" s="97" t="str">
        <f t="shared" si="51"/>
        <v/>
      </c>
      <c r="Z128" s="98" t="str">
        <f t="shared" si="52"/>
        <v/>
      </c>
      <c r="AA128" s="97" t="str">
        <f t="shared" si="53"/>
        <v/>
      </c>
      <c r="AB128" s="97" t="str">
        <f t="shared" si="54"/>
        <v/>
      </c>
      <c r="AC128" s="98" t="str">
        <f t="shared" si="55"/>
        <v/>
      </c>
      <c r="AD128" s="97" t="str">
        <f t="shared" si="56"/>
        <v/>
      </c>
      <c r="AE128" s="97" t="str">
        <f t="shared" si="57"/>
        <v/>
      </c>
      <c r="AF128" s="98" t="str">
        <f t="shared" si="58"/>
        <v/>
      </c>
      <c r="AG128" s="97" t="str">
        <f t="shared" si="59"/>
        <v/>
      </c>
      <c r="AH128" s="97" t="str">
        <f t="shared" si="60"/>
        <v/>
      </c>
      <c r="AI128" s="98" t="str">
        <f t="shared" si="61"/>
        <v/>
      </c>
      <c r="AJ128" s="97" t="str">
        <f t="shared" si="62"/>
        <v/>
      </c>
      <c r="AK128" s="97" t="str">
        <f t="shared" si="63"/>
        <v/>
      </c>
      <c r="AL128" s="99" t="str">
        <f t="shared" si="64"/>
        <v/>
      </c>
      <c r="AM128" s="100" t="str">
        <f t="shared" si="65"/>
        <v/>
      </c>
      <c r="AN128" s="101" t="str">
        <f t="shared" si="74"/>
        <v/>
      </c>
      <c r="AO128" s="100" t="str">
        <f t="shared" si="66"/>
        <v/>
      </c>
      <c r="AP128" s="101" t="str">
        <f t="shared" si="75"/>
        <v/>
      </c>
      <c r="AQ128" s="100" t="str">
        <f t="shared" si="67"/>
        <v/>
      </c>
      <c r="AR128" s="101" t="str">
        <f t="shared" si="76"/>
        <v/>
      </c>
      <c r="AS128" s="100" t="str">
        <f t="shared" si="68"/>
        <v/>
      </c>
      <c r="AT128" s="101" t="str">
        <f t="shared" si="77"/>
        <v/>
      </c>
      <c r="AU128" s="100" t="str">
        <f t="shared" si="69"/>
        <v/>
      </c>
      <c r="AV128" s="101" t="str">
        <f t="shared" si="78"/>
        <v/>
      </c>
      <c r="AW128" s="100" t="str">
        <f t="shared" si="70"/>
        <v/>
      </c>
      <c r="AX128" s="101" t="str">
        <f t="shared" si="79"/>
        <v/>
      </c>
      <c r="AY128" s="100" t="str">
        <f t="shared" si="71"/>
        <v/>
      </c>
      <c r="AZ128" s="101" t="str">
        <f t="shared" si="80"/>
        <v/>
      </c>
      <c r="BA128" s="102">
        <f t="shared" si="72"/>
        <v>0</v>
      </c>
    </row>
    <row r="129" spans="1:53" x14ac:dyDescent="0.3">
      <c r="A129" s="92">
        <f>[4]SockEst!A130</f>
        <v>45216</v>
      </c>
      <c r="B129" s="93">
        <f>[4]SockEst!B130</f>
        <v>290</v>
      </c>
      <c r="C129" s="94" t="str">
        <f t="shared" si="73"/>
        <v>GG</v>
      </c>
      <c r="D129" s="95" t="str">
        <f>IFERROR(VLOOKUP($A129,[5]qry_Whonnock_Species_Compositio!$A$1:$O$114,COLUMN([5]qry_Whonnock_Species_Compositio!B129), FALSE), "")</f>
        <v/>
      </c>
      <c r="E129" s="95" t="str">
        <f>IFERROR(VLOOKUP($A129,[5]qry_Whonnock_Species_Compositio!$A$1:$O$114,COLUMN([5]qry_Whonnock_Species_Compositio!C129), FALSE), "")</f>
        <v/>
      </c>
      <c r="F129" s="95" t="str">
        <f>IFERROR(VLOOKUP($A129,[5]qry_Whonnock_Species_Compositio!$A$1:$O$114,COLUMN([5]qry_Whonnock_Species_Compositio!D129), FALSE), "")</f>
        <v/>
      </c>
      <c r="G129" s="95" t="str">
        <f>IFERROR(VLOOKUP($A129,[5]qry_Whonnock_Species_Compositio!$A$1:$O$114,COLUMN([5]qry_Whonnock_Species_Compositio!E129), FALSE), "")</f>
        <v/>
      </c>
      <c r="H129" s="95" t="str">
        <f>IFERROR(VLOOKUP($A129,[5]qry_Whonnock_Species_Compositio!$A$1:$O$114,COLUMN([5]qry_Whonnock_Species_Compositio!F129), FALSE), "")</f>
        <v/>
      </c>
      <c r="I129" s="95" t="str">
        <f>IFERROR(VLOOKUP($A129,[5]qry_Whonnock_Species_Compositio!$A$1:$O$114,COLUMN([5]qry_Whonnock_Species_Compositio!G129), FALSE), "")</f>
        <v/>
      </c>
      <c r="J129" s="95" t="str">
        <f>IFERROR(VLOOKUP($A129,[5]qry_Whonnock_Species_Compositio!$A$1:$O$114,COLUMN([5]qry_Whonnock_Species_Compositio!H129), FALSE), "")</f>
        <v/>
      </c>
      <c r="K129" s="95" t="str">
        <f>IFERROR(VLOOKUP($A129,[5]qry_Whonnock_Species_Compositio!$A$1:$O$114,COLUMN([5]qry_Whonnock_Species_Compositio!I129), FALSE), "")</f>
        <v/>
      </c>
      <c r="L129" s="95" t="str">
        <f>IFERROR(VLOOKUP($A129,[5]qry_Whonnock_Species_Compositio!$A$1:$O$114,COLUMN([5]qry_Whonnock_Species_Compositio!J129), FALSE), "")</f>
        <v/>
      </c>
      <c r="M129" s="95" t="str">
        <f>IFERROR(VLOOKUP($A129,[5]qry_Whonnock_Species_Compositio!$A$1:$O$114,COLUMN([5]qry_Whonnock_Species_Compositio!K129), FALSE), "")</f>
        <v/>
      </c>
      <c r="N129" s="95" t="str">
        <f>IFERROR(VLOOKUP($A129,[5]qry_Whonnock_Species_Compositio!$A$1:$O$114,COLUMN([5]qry_Whonnock_Species_Compositio!L129), FALSE), "")</f>
        <v/>
      </c>
      <c r="O129" s="95" t="str">
        <f>IFERROR(VLOOKUP($A129,[5]qry_Whonnock_Species_Compositio!$A$1:$O$114,COLUMN([5]qry_Whonnock_Species_Compositio!M129), FALSE), "")</f>
        <v/>
      </c>
      <c r="P129" s="95" t="str">
        <f>IFERROR(VLOOKUP($A129,[5]qry_Whonnock_Species_Compositio!$A$1:$O$114,COLUMN([5]qry_Whonnock_Species_Compositio!N129), FALSE), "")</f>
        <v/>
      </c>
      <c r="Q129" s="95" t="str">
        <f>IFERROR(VLOOKUP($A129,[5]qry_Whonnock_Species_Compositio!$A$1:$O$114,COLUMN([5]qry_Whonnock_Species_Compositio!O129), FALSE), "")</f>
        <v/>
      </c>
      <c r="R129" s="96" t="str">
        <f t="shared" si="44"/>
        <v/>
      </c>
      <c r="S129" s="97" t="str">
        <f t="shared" si="45"/>
        <v/>
      </c>
      <c r="T129" s="98" t="str">
        <f t="shared" si="46"/>
        <v/>
      </c>
      <c r="U129" s="97" t="str">
        <f t="shared" si="47"/>
        <v/>
      </c>
      <c r="V129" s="97" t="str">
        <f t="shared" si="48"/>
        <v/>
      </c>
      <c r="W129" s="98" t="str">
        <f t="shared" si="49"/>
        <v/>
      </c>
      <c r="X129" s="97" t="str">
        <f t="shared" si="50"/>
        <v/>
      </c>
      <c r="Y129" s="97" t="str">
        <f t="shared" si="51"/>
        <v/>
      </c>
      <c r="Z129" s="98" t="str">
        <f t="shared" si="52"/>
        <v/>
      </c>
      <c r="AA129" s="97" t="str">
        <f t="shared" si="53"/>
        <v/>
      </c>
      <c r="AB129" s="97" t="str">
        <f t="shared" si="54"/>
        <v/>
      </c>
      <c r="AC129" s="98" t="str">
        <f t="shared" si="55"/>
        <v/>
      </c>
      <c r="AD129" s="97" t="str">
        <f t="shared" si="56"/>
        <v/>
      </c>
      <c r="AE129" s="97" t="str">
        <f t="shared" si="57"/>
        <v/>
      </c>
      <c r="AF129" s="98" t="str">
        <f t="shared" si="58"/>
        <v/>
      </c>
      <c r="AG129" s="97" t="str">
        <f t="shared" si="59"/>
        <v/>
      </c>
      <c r="AH129" s="97" t="str">
        <f t="shared" si="60"/>
        <v/>
      </c>
      <c r="AI129" s="98" t="str">
        <f t="shared" si="61"/>
        <v/>
      </c>
      <c r="AJ129" s="97" t="str">
        <f t="shared" si="62"/>
        <v/>
      </c>
      <c r="AK129" s="97" t="str">
        <f t="shared" si="63"/>
        <v/>
      </c>
      <c r="AL129" s="99" t="str">
        <f t="shared" si="64"/>
        <v/>
      </c>
      <c r="AM129" s="100" t="str">
        <f t="shared" si="65"/>
        <v/>
      </c>
      <c r="AN129" s="101" t="str">
        <f t="shared" si="74"/>
        <v/>
      </c>
      <c r="AO129" s="100" t="str">
        <f t="shared" si="66"/>
        <v/>
      </c>
      <c r="AP129" s="101" t="str">
        <f t="shared" si="75"/>
        <v/>
      </c>
      <c r="AQ129" s="100" t="str">
        <f t="shared" si="67"/>
        <v/>
      </c>
      <c r="AR129" s="101" t="str">
        <f t="shared" si="76"/>
        <v/>
      </c>
      <c r="AS129" s="100" t="str">
        <f t="shared" si="68"/>
        <v/>
      </c>
      <c r="AT129" s="101" t="str">
        <f t="shared" si="77"/>
        <v/>
      </c>
      <c r="AU129" s="100" t="str">
        <f t="shared" si="69"/>
        <v/>
      </c>
      <c r="AV129" s="101" t="str">
        <f t="shared" si="78"/>
        <v/>
      </c>
      <c r="AW129" s="100" t="str">
        <f t="shared" si="70"/>
        <v/>
      </c>
      <c r="AX129" s="101" t="str">
        <f t="shared" si="79"/>
        <v/>
      </c>
      <c r="AY129" s="100" t="str">
        <f t="shared" si="71"/>
        <v/>
      </c>
      <c r="AZ129" s="101" t="str">
        <f t="shared" si="80"/>
        <v/>
      </c>
      <c r="BA129" s="102">
        <f t="shared" si="72"/>
        <v>0</v>
      </c>
    </row>
    <row r="130" spans="1:53" x14ac:dyDescent="0.3">
      <c r="A130" s="92">
        <f>[4]SockEst!A131</f>
        <v>45217</v>
      </c>
      <c r="B130" s="93">
        <f>[4]SockEst!B131</f>
        <v>291</v>
      </c>
      <c r="C130" s="94" t="str">
        <f t="shared" si="73"/>
        <v>GG</v>
      </c>
      <c r="D130" s="95" t="str">
        <f>IFERROR(VLOOKUP($A130,[5]qry_Whonnock_Species_Compositio!$A$1:$O$114,COLUMN([5]qry_Whonnock_Species_Compositio!B130), FALSE), "")</f>
        <v/>
      </c>
      <c r="E130" s="95" t="str">
        <f>IFERROR(VLOOKUP($A130,[5]qry_Whonnock_Species_Compositio!$A$1:$O$114,COLUMN([5]qry_Whonnock_Species_Compositio!C130), FALSE), "")</f>
        <v/>
      </c>
      <c r="F130" s="95" t="str">
        <f>IFERROR(VLOOKUP($A130,[5]qry_Whonnock_Species_Compositio!$A$1:$O$114,COLUMN([5]qry_Whonnock_Species_Compositio!D130), FALSE), "")</f>
        <v/>
      </c>
      <c r="G130" s="95" t="str">
        <f>IFERROR(VLOOKUP($A130,[5]qry_Whonnock_Species_Compositio!$A$1:$O$114,COLUMN([5]qry_Whonnock_Species_Compositio!E130), FALSE), "")</f>
        <v/>
      </c>
      <c r="H130" s="95" t="str">
        <f>IFERROR(VLOOKUP($A130,[5]qry_Whonnock_Species_Compositio!$A$1:$O$114,COLUMN([5]qry_Whonnock_Species_Compositio!F130), FALSE), "")</f>
        <v/>
      </c>
      <c r="I130" s="95" t="str">
        <f>IFERROR(VLOOKUP($A130,[5]qry_Whonnock_Species_Compositio!$A$1:$O$114,COLUMN([5]qry_Whonnock_Species_Compositio!G130), FALSE), "")</f>
        <v/>
      </c>
      <c r="J130" s="95" t="str">
        <f>IFERROR(VLOOKUP($A130,[5]qry_Whonnock_Species_Compositio!$A$1:$O$114,COLUMN([5]qry_Whonnock_Species_Compositio!H130), FALSE), "")</f>
        <v/>
      </c>
      <c r="K130" s="95" t="str">
        <f>IFERROR(VLOOKUP($A130,[5]qry_Whonnock_Species_Compositio!$A$1:$O$114,COLUMN([5]qry_Whonnock_Species_Compositio!I130), FALSE), "")</f>
        <v/>
      </c>
      <c r="L130" s="95" t="str">
        <f>IFERROR(VLOOKUP($A130,[5]qry_Whonnock_Species_Compositio!$A$1:$O$114,COLUMN([5]qry_Whonnock_Species_Compositio!J130), FALSE), "")</f>
        <v/>
      </c>
      <c r="M130" s="95" t="str">
        <f>IFERROR(VLOOKUP($A130,[5]qry_Whonnock_Species_Compositio!$A$1:$O$114,COLUMN([5]qry_Whonnock_Species_Compositio!K130), FALSE), "")</f>
        <v/>
      </c>
      <c r="N130" s="95" t="str">
        <f>IFERROR(VLOOKUP($A130,[5]qry_Whonnock_Species_Compositio!$A$1:$O$114,COLUMN([5]qry_Whonnock_Species_Compositio!L130), FALSE), "")</f>
        <v/>
      </c>
      <c r="O130" s="95" t="str">
        <f>IFERROR(VLOOKUP($A130,[5]qry_Whonnock_Species_Compositio!$A$1:$O$114,COLUMN([5]qry_Whonnock_Species_Compositio!M130), FALSE), "")</f>
        <v/>
      </c>
      <c r="P130" s="95" t="str">
        <f>IFERROR(VLOOKUP($A130,[5]qry_Whonnock_Species_Compositio!$A$1:$O$114,COLUMN([5]qry_Whonnock_Species_Compositio!N130), FALSE), "")</f>
        <v/>
      </c>
      <c r="Q130" s="95" t="str">
        <f>IFERROR(VLOOKUP($A130,[5]qry_Whonnock_Species_Compositio!$A$1:$O$114,COLUMN([5]qry_Whonnock_Species_Compositio!O130), FALSE), "")</f>
        <v/>
      </c>
      <c r="R130" s="96" t="str">
        <f t="shared" si="44"/>
        <v/>
      </c>
      <c r="S130" s="97" t="str">
        <f t="shared" si="45"/>
        <v/>
      </c>
      <c r="T130" s="98" t="str">
        <f t="shared" si="46"/>
        <v/>
      </c>
      <c r="U130" s="97" t="str">
        <f t="shared" si="47"/>
        <v/>
      </c>
      <c r="V130" s="97" t="str">
        <f t="shared" si="48"/>
        <v/>
      </c>
      <c r="W130" s="98" t="str">
        <f t="shared" si="49"/>
        <v/>
      </c>
      <c r="X130" s="97" t="str">
        <f t="shared" si="50"/>
        <v/>
      </c>
      <c r="Y130" s="97" t="str">
        <f t="shared" si="51"/>
        <v/>
      </c>
      <c r="Z130" s="98" t="str">
        <f t="shared" si="52"/>
        <v/>
      </c>
      <c r="AA130" s="97" t="str">
        <f t="shared" si="53"/>
        <v/>
      </c>
      <c r="AB130" s="97" t="str">
        <f t="shared" si="54"/>
        <v/>
      </c>
      <c r="AC130" s="98" t="str">
        <f t="shared" si="55"/>
        <v/>
      </c>
      <c r="AD130" s="97" t="str">
        <f t="shared" si="56"/>
        <v/>
      </c>
      <c r="AE130" s="97" t="str">
        <f t="shared" si="57"/>
        <v/>
      </c>
      <c r="AF130" s="98" t="str">
        <f t="shared" si="58"/>
        <v/>
      </c>
      <c r="AG130" s="97" t="str">
        <f t="shared" si="59"/>
        <v/>
      </c>
      <c r="AH130" s="97" t="str">
        <f t="shared" si="60"/>
        <v/>
      </c>
      <c r="AI130" s="98" t="str">
        <f t="shared" si="61"/>
        <v/>
      </c>
      <c r="AJ130" s="97" t="str">
        <f t="shared" si="62"/>
        <v/>
      </c>
      <c r="AK130" s="97" t="str">
        <f t="shared" si="63"/>
        <v/>
      </c>
      <c r="AL130" s="99" t="str">
        <f t="shared" si="64"/>
        <v/>
      </c>
      <c r="AM130" s="100" t="str">
        <f t="shared" si="65"/>
        <v/>
      </c>
      <c r="AN130" s="101" t="str">
        <f t="shared" si="74"/>
        <v/>
      </c>
      <c r="AO130" s="100" t="str">
        <f t="shared" si="66"/>
        <v/>
      </c>
      <c r="AP130" s="101" t="str">
        <f t="shared" si="75"/>
        <v/>
      </c>
      <c r="AQ130" s="100" t="str">
        <f t="shared" si="67"/>
        <v/>
      </c>
      <c r="AR130" s="101" t="str">
        <f t="shared" si="76"/>
        <v/>
      </c>
      <c r="AS130" s="100" t="str">
        <f t="shared" si="68"/>
        <v/>
      </c>
      <c r="AT130" s="101" t="str">
        <f t="shared" si="77"/>
        <v/>
      </c>
      <c r="AU130" s="100" t="str">
        <f t="shared" si="69"/>
        <v/>
      </c>
      <c r="AV130" s="101" t="str">
        <f t="shared" si="78"/>
        <v/>
      </c>
      <c r="AW130" s="100" t="str">
        <f t="shared" si="70"/>
        <v/>
      </c>
      <c r="AX130" s="101" t="str">
        <f t="shared" si="79"/>
        <v/>
      </c>
      <c r="AY130" s="100" t="str">
        <f t="shared" si="71"/>
        <v/>
      </c>
      <c r="AZ130" s="101" t="str">
        <f t="shared" si="80"/>
        <v/>
      </c>
      <c r="BA130" s="102">
        <f t="shared" si="72"/>
        <v>0</v>
      </c>
    </row>
    <row r="131" spans="1:53" x14ac:dyDescent="0.3">
      <c r="A131" s="92">
        <f>[4]SockEst!A132</f>
        <v>45218</v>
      </c>
      <c r="B131" s="93">
        <f>[4]SockEst!B132</f>
        <v>292</v>
      </c>
      <c r="C131" s="94" t="str">
        <f t="shared" si="73"/>
        <v>GG</v>
      </c>
      <c r="D131" s="95" t="str">
        <f>IFERROR(VLOOKUP($A131,[5]qry_Whonnock_Species_Compositio!$A$1:$O$114,COLUMN([5]qry_Whonnock_Species_Compositio!B131), FALSE), "")</f>
        <v/>
      </c>
      <c r="E131" s="95" t="str">
        <f>IFERROR(VLOOKUP($A131,[5]qry_Whonnock_Species_Compositio!$A$1:$O$114,COLUMN([5]qry_Whonnock_Species_Compositio!C131), FALSE), "")</f>
        <v/>
      </c>
      <c r="F131" s="95" t="str">
        <f>IFERROR(VLOOKUP($A131,[5]qry_Whonnock_Species_Compositio!$A$1:$O$114,COLUMN([5]qry_Whonnock_Species_Compositio!D131), FALSE), "")</f>
        <v/>
      </c>
      <c r="G131" s="95" t="str">
        <f>IFERROR(VLOOKUP($A131,[5]qry_Whonnock_Species_Compositio!$A$1:$O$114,COLUMN([5]qry_Whonnock_Species_Compositio!E131), FALSE), "")</f>
        <v/>
      </c>
      <c r="H131" s="95" t="str">
        <f>IFERROR(VLOOKUP($A131,[5]qry_Whonnock_Species_Compositio!$A$1:$O$114,COLUMN([5]qry_Whonnock_Species_Compositio!F131), FALSE), "")</f>
        <v/>
      </c>
      <c r="I131" s="95" t="str">
        <f>IFERROR(VLOOKUP($A131,[5]qry_Whonnock_Species_Compositio!$A$1:$O$114,COLUMN([5]qry_Whonnock_Species_Compositio!G131), FALSE), "")</f>
        <v/>
      </c>
      <c r="J131" s="95" t="str">
        <f>IFERROR(VLOOKUP($A131,[5]qry_Whonnock_Species_Compositio!$A$1:$O$114,COLUMN([5]qry_Whonnock_Species_Compositio!H131), FALSE), "")</f>
        <v/>
      </c>
      <c r="K131" s="95" t="str">
        <f>IFERROR(VLOOKUP($A131,[5]qry_Whonnock_Species_Compositio!$A$1:$O$114,COLUMN([5]qry_Whonnock_Species_Compositio!I131), FALSE), "")</f>
        <v/>
      </c>
      <c r="L131" s="95" t="str">
        <f>IFERROR(VLOOKUP($A131,[5]qry_Whonnock_Species_Compositio!$A$1:$O$114,COLUMN([5]qry_Whonnock_Species_Compositio!J131), FALSE), "")</f>
        <v/>
      </c>
      <c r="M131" s="95" t="str">
        <f>IFERROR(VLOOKUP($A131,[5]qry_Whonnock_Species_Compositio!$A$1:$O$114,COLUMN([5]qry_Whonnock_Species_Compositio!K131), FALSE), "")</f>
        <v/>
      </c>
      <c r="N131" s="95" t="str">
        <f>IFERROR(VLOOKUP($A131,[5]qry_Whonnock_Species_Compositio!$A$1:$O$114,COLUMN([5]qry_Whonnock_Species_Compositio!L131), FALSE), "")</f>
        <v/>
      </c>
      <c r="O131" s="95" t="str">
        <f>IFERROR(VLOOKUP($A131,[5]qry_Whonnock_Species_Compositio!$A$1:$O$114,COLUMN([5]qry_Whonnock_Species_Compositio!M131), FALSE), "")</f>
        <v/>
      </c>
      <c r="P131" s="95" t="str">
        <f>IFERROR(VLOOKUP($A131,[5]qry_Whonnock_Species_Compositio!$A$1:$O$114,COLUMN([5]qry_Whonnock_Species_Compositio!N131), FALSE), "")</f>
        <v/>
      </c>
      <c r="Q131" s="95" t="str">
        <f>IFERROR(VLOOKUP($A131,[5]qry_Whonnock_Species_Compositio!$A$1:$O$114,COLUMN([5]qry_Whonnock_Species_Compositio!O131), FALSE), "")</f>
        <v/>
      </c>
      <c r="R131" s="96" t="str">
        <f t="shared" si="44"/>
        <v/>
      </c>
      <c r="S131" s="97" t="str">
        <f t="shared" si="45"/>
        <v/>
      </c>
      <c r="T131" s="98" t="str">
        <f t="shared" si="46"/>
        <v/>
      </c>
      <c r="U131" s="97" t="str">
        <f t="shared" si="47"/>
        <v/>
      </c>
      <c r="V131" s="97" t="str">
        <f t="shared" si="48"/>
        <v/>
      </c>
      <c r="W131" s="98" t="str">
        <f t="shared" si="49"/>
        <v/>
      </c>
      <c r="X131" s="97" t="str">
        <f t="shared" si="50"/>
        <v/>
      </c>
      <c r="Y131" s="97" t="str">
        <f t="shared" si="51"/>
        <v/>
      </c>
      <c r="Z131" s="98" t="str">
        <f t="shared" si="52"/>
        <v/>
      </c>
      <c r="AA131" s="97" t="str">
        <f t="shared" si="53"/>
        <v/>
      </c>
      <c r="AB131" s="97" t="str">
        <f t="shared" si="54"/>
        <v/>
      </c>
      <c r="AC131" s="98" t="str">
        <f t="shared" si="55"/>
        <v/>
      </c>
      <c r="AD131" s="97" t="str">
        <f t="shared" si="56"/>
        <v/>
      </c>
      <c r="AE131" s="97" t="str">
        <f t="shared" si="57"/>
        <v/>
      </c>
      <c r="AF131" s="98" t="str">
        <f t="shared" si="58"/>
        <v/>
      </c>
      <c r="AG131" s="97" t="str">
        <f t="shared" si="59"/>
        <v/>
      </c>
      <c r="AH131" s="97" t="str">
        <f t="shared" si="60"/>
        <v/>
      </c>
      <c r="AI131" s="98" t="str">
        <f t="shared" si="61"/>
        <v/>
      </c>
      <c r="AJ131" s="97" t="str">
        <f t="shared" si="62"/>
        <v/>
      </c>
      <c r="AK131" s="97" t="str">
        <f t="shared" si="63"/>
        <v/>
      </c>
      <c r="AL131" s="99" t="str">
        <f t="shared" si="64"/>
        <v/>
      </c>
      <c r="AM131" s="100" t="str">
        <f t="shared" si="65"/>
        <v/>
      </c>
      <c r="AN131" s="101" t="str">
        <f t="shared" si="74"/>
        <v/>
      </c>
      <c r="AO131" s="100" t="str">
        <f t="shared" si="66"/>
        <v/>
      </c>
      <c r="AP131" s="101" t="str">
        <f t="shared" si="75"/>
        <v/>
      </c>
      <c r="AQ131" s="100" t="str">
        <f t="shared" si="67"/>
        <v/>
      </c>
      <c r="AR131" s="101" t="str">
        <f t="shared" si="76"/>
        <v/>
      </c>
      <c r="AS131" s="100" t="str">
        <f t="shared" si="68"/>
        <v/>
      </c>
      <c r="AT131" s="101" t="str">
        <f t="shared" si="77"/>
        <v/>
      </c>
      <c r="AU131" s="100" t="str">
        <f t="shared" si="69"/>
        <v/>
      </c>
      <c r="AV131" s="101" t="str">
        <f t="shared" si="78"/>
        <v/>
      </c>
      <c r="AW131" s="100" t="str">
        <f t="shared" si="70"/>
        <v/>
      </c>
      <c r="AX131" s="101" t="str">
        <f t="shared" si="79"/>
        <v/>
      </c>
      <c r="AY131" s="100" t="str">
        <f t="shared" si="71"/>
        <v/>
      </c>
      <c r="AZ131" s="101" t="str">
        <f t="shared" si="80"/>
        <v/>
      </c>
      <c r="BA131" s="102">
        <f t="shared" si="72"/>
        <v>0</v>
      </c>
    </row>
    <row r="132" spans="1:53" x14ac:dyDescent="0.3">
      <c r="A132" s="92">
        <f>[4]SockEst!A133</f>
        <v>45219</v>
      </c>
      <c r="B132" s="93">
        <f>[4]SockEst!B133</f>
        <v>293</v>
      </c>
      <c r="C132" s="94" t="str">
        <f t="shared" si="73"/>
        <v>GG</v>
      </c>
      <c r="D132" s="95" t="str">
        <f>IFERROR(VLOOKUP($A132,[5]qry_Whonnock_Species_Compositio!$A$1:$O$114,COLUMN([5]qry_Whonnock_Species_Compositio!B132), FALSE), "")</f>
        <v/>
      </c>
      <c r="E132" s="95" t="str">
        <f>IFERROR(VLOOKUP($A132,[5]qry_Whonnock_Species_Compositio!$A$1:$O$114,COLUMN([5]qry_Whonnock_Species_Compositio!C132), FALSE), "")</f>
        <v/>
      </c>
      <c r="F132" s="95" t="str">
        <f>IFERROR(VLOOKUP($A132,[5]qry_Whonnock_Species_Compositio!$A$1:$O$114,COLUMN([5]qry_Whonnock_Species_Compositio!D132), FALSE), "")</f>
        <v/>
      </c>
      <c r="G132" s="95" t="str">
        <f>IFERROR(VLOOKUP($A132,[5]qry_Whonnock_Species_Compositio!$A$1:$O$114,COLUMN([5]qry_Whonnock_Species_Compositio!E132), FALSE), "")</f>
        <v/>
      </c>
      <c r="H132" s="95" t="str">
        <f>IFERROR(VLOOKUP($A132,[5]qry_Whonnock_Species_Compositio!$A$1:$O$114,COLUMN([5]qry_Whonnock_Species_Compositio!F132), FALSE), "")</f>
        <v/>
      </c>
      <c r="I132" s="95" t="str">
        <f>IFERROR(VLOOKUP($A132,[5]qry_Whonnock_Species_Compositio!$A$1:$O$114,COLUMN([5]qry_Whonnock_Species_Compositio!G132), FALSE), "")</f>
        <v/>
      </c>
      <c r="J132" s="95" t="str">
        <f>IFERROR(VLOOKUP($A132,[5]qry_Whonnock_Species_Compositio!$A$1:$O$114,COLUMN([5]qry_Whonnock_Species_Compositio!H132), FALSE), "")</f>
        <v/>
      </c>
      <c r="K132" s="95" t="str">
        <f>IFERROR(VLOOKUP($A132,[5]qry_Whonnock_Species_Compositio!$A$1:$O$114,COLUMN([5]qry_Whonnock_Species_Compositio!I132), FALSE), "")</f>
        <v/>
      </c>
      <c r="L132" s="95" t="str">
        <f>IFERROR(VLOOKUP($A132,[5]qry_Whonnock_Species_Compositio!$A$1:$O$114,COLUMN([5]qry_Whonnock_Species_Compositio!J132), FALSE), "")</f>
        <v/>
      </c>
      <c r="M132" s="95" t="str">
        <f>IFERROR(VLOOKUP($A132,[5]qry_Whonnock_Species_Compositio!$A$1:$O$114,COLUMN([5]qry_Whonnock_Species_Compositio!K132), FALSE), "")</f>
        <v/>
      </c>
      <c r="N132" s="95" t="str">
        <f>IFERROR(VLOOKUP($A132,[5]qry_Whonnock_Species_Compositio!$A$1:$O$114,COLUMN([5]qry_Whonnock_Species_Compositio!L132), FALSE), "")</f>
        <v/>
      </c>
      <c r="O132" s="95" t="str">
        <f>IFERROR(VLOOKUP($A132,[5]qry_Whonnock_Species_Compositio!$A$1:$O$114,COLUMN([5]qry_Whonnock_Species_Compositio!M132), FALSE), "")</f>
        <v/>
      </c>
      <c r="P132" s="95" t="str">
        <f>IFERROR(VLOOKUP($A132,[5]qry_Whonnock_Species_Compositio!$A$1:$O$114,COLUMN([5]qry_Whonnock_Species_Compositio!N132), FALSE), "")</f>
        <v/>
      </c>
      <c r="Q132" s="95" t="str">
        <f>IFERROR(VLOOKUP($A132,[5]qry_Whonnock_Species_Compositio!$A$1:$O$114,COLUMN([5]qry_Whonnock_Species_Compositio!O132), FALSE), "")</f>
        <v/>
      </c>
      <c r="R132" s="96" t="str">
        <f t="shared" si="44"/>
        <v/>
      </c>
      <c r="S132" s="97" t="str">
        <f t="shared" si="45"/>
        <v/>
      </c>
      <c r="T132" s="98" t="str">
        <f t="shared" si="46"/>
        <v/>
      </c>
      <c r="U132" s="97" t="str">
        <f t="shared" si="47"/>
        <v/>
      </c>
      <c r="V132" s="97" t="str">
        <f t="shared" si="48"/>
        <v/>
      </c>
      <c r="W132" s="98" t="str">
        <f t="shared" si="49"/>
        <v/>
      </c>
      <c r="X132" s="97" t="str">
        <f t="shared" si="50"/>
        <v/>
      </c>
      <c r="Y132" s="97" t="str">
        <f t="shared" si="51"/>
        <v/>
      </c>
      <c r="Z132" s="98" t="str">
        <f t="shared" si="52"/>
        <v/>
      </c>
      <c r="AA132" s="97" t="str">
        <f t="shared" si="53"/>
        <v/>
      </c>
      <c r="AB132" s="97" t="str">
        <f t="shared" si="54"/>
        <v/>
      </c>
      <c r="AC132" s="98" t="str">
        <f t="shared" si="55"/>
        <v/>
      </c>
      <c r="AD132" s="97" t="str">
        <f t="shared" si="56"/>
        <v/>
      </c>
      <c r="AE132" s="97" t="str">
        <f t="shared" si="57"/>
        <v/>
      </c>
      <c r="AF132" s="98" t="str">
        <f t="shared" si="58"/>
        <v/>
      </c>
      <c r="AG132" s="97" t="str">
        <f t="shared" si="59"/>
        <v/>
      </c>
      <c r="AH132" s="97" t="str">
        <f t="shared" si="60"/>
        <v/>
      </c>
      <c r="AI132" s="98" t="str">
        <f t="shared" si="61"/>
        <v/>
      </c>
      <c r="AJ132" s="97" t="str">
        <f t="shared" si="62"/>
        <v/>
      </c>
      <c r="AK132" s="97" t="str">
        <f t="shared" si="63"/>
        <v/>
      </c>
      <c r="AL132" s="99" t="str">
        <f t="shared" si="64"/>
        <v/>
      </c>
      <c r="AM132" s="100" t="str">
        <f t="shared" si="65"/>
        <v/>
      </c>
      <c r="AN132" s="101" t="str">
        <f t="shared" si="74"/>
        <v/>
      </c>
      <c r="AO132" s="100" t="str">
        <f t="shared" si="66"/>
        <v/>
      </c>
      <c r="AP132" s="101" t="str">
        <f t="shared" si="75"/>
        <v/>
      </c>
      <c r="AQ132" s="100" t="str">
        <f t="shared" si="67"/>
        <v/>
      </c>
      <c r="AR132" s="101" t="str">
        <f t="shared" si="76"/>
        <v/>
      </c>
      <c r="AS132" s="100" t="str">
        <f t="shared" si="68"/>
        <v/>
      </c>
      <c r="AT132" s="101" t="str">
        <f t="shared" si="77"/>
        <v/>
      </c>
      <c r="AU132" s="100" t="str">
        <f t="shared" si="69"/>
        <v/>
      </c>
      <c r="AV132" s="101" t="str">
        <f t="shared" si="78"/>
        <v/>
      </c>
      <c r="AW132" s="100" t="str">
        <f t="shared" si="70"/>
        <v/>
      </c>
      <c r="AX132" s="101" t="str">
        <f t="shared" si="79"/>
        <v/>
      </c>
      <c r="AY132" s="100" t="str">
        <f t="shared" si="71"/>
        <v/>
      </c>
      <c r="AZ132" s="101" t="str">
        <f t="shared" si="80"/>
        <v/>
      </c>
      <c r="BA132" s="102">
        <f t="shared" si="72"/>
        <v>0</v>
      </c>
    </row>
  </sheetData>
  <mergeCells count="25">
    <mergeCell ref="AU3:AV3"/>
    <mergeCell ref="AW3:AX3"/>
    <mergeCell ref="AY3:AZ3"/>
    <mergeCell ref="AG3:AI3"/>
    <mergeCell ref="AJ3:AL3"/>
    <mergeCell ref="AM3:AN3"/>
    <mergeCell ref="AO3:AP3"/>
    <mergeCell ref="AQ3:AR3"/>
    <mergeCell ref="AS3:AT3"/>
    <mergeCell ref="AD3:AF3"/>
    <mergeCell ref="BC1:BE1"/>
    <mergeCell ref="D2:Q2"/>
    <mergeCell ref="R2:AL2"/>
    <mergeCell ref="AM2:AZ2"/>
    <mergeCell ref="D3:E3"/>
    <mergeCell ref="F3:G3"/>
    <mergeCell ref="H3:I3"/>
    <mergeCell ref="J3:K3"/>
    <mergeCell ref="L3:M3"/>
    <mergeCell ref="N3:O3"/>
    <mergeCell ref="P3:Q3"/>
    <mergeCell ref="R3:T3"/>
    <mergeCell ref="U3:W3"/>
    <mergeCell ref="X3:Z3"/>
    <mergeCell ref="AA3:AC3"/>
  </mergeCells>
  <conditionalFormatting sqref="R5:AL132">
    <cfRule type="colorScale" priority="18">
      <colorScale>
        <cfvo type="min"/>
        <cfvo type="max"/>
        <color rgb="FFFCFCFF"/>
        <color rgb="FF63BE7B"/>
      </colorScale>
    </cfRule>
  </conditionalFormatting>
  <conditionalFormatting sqref="AN5:AN132 AR5:AR132 AT5:AT132 AX5:AX132 AZ5:AZ132 AP5:AP132 AV5:AV132">
    <cfRule type="colorScale" priority="17">
      <colorScale>
        <cfvo type="min"/>
        <cfvo type="max"/>
        <color rgb="FFFCFCFF"/>
        <color rgb="FF63BE7B"/>
      </colorScale>
    </cfRule>
  </conditionalFormatting>
  <conditionalFormatting sqref="BA5:BA132">
    <cfRule type="cellIs" dxfId="16" priority="13" operator="notEqual">
      <formula>1</formula>
    </cfRule>
    <cfRule type="cellIs" dxfId="15" priority="16" operator="between">
      <formula>0.001</formula>
      <formula>0.999</formula>
    </cfRule>
  </conditionalFormatting>
  <conditionalFormatting sqref="C5:C132">
    <cfRule type="cellIs" dxfId="14" priority="15" operator="equal">
      <formula>"TTL"</formula>
    </cfRule>
  </conditionalFormatting>
  <conditionalFormatting sqref="AO5:AO132">
    <cfRule type="containsBlanks" dxfId="13" priority="14">
      <formula>LEN(TRIM(AO5))=0</formula>
    </cfRule>
    <cfRule type="cellIs" dxfId="12" priority="19" operator="greaterThan">
      <formula>14</formula>
    </cfRule>
  </conditionalFormatting>
  <conditionalFormatting sqref="AM5:AM132">
    <cfRule type="containsBlanks" dxfId="11" priority="11">
      <formula>LEN(TRIM(AM5))=0</formula>
    </cfRule>
    <cfRule type="cellIs" dxfId="10" priority="12" operator="greaterThan">
      <formula>14</formula>
    </cfRule>
  </conditionalFormatting>
  <conditionalFormatting sqref="AQ5:AQ132">
    <cfRule type="containsBlanks" dxfId="9" priority="9">
      <formula>LEN(TRIM(AQ5))=0</formula>
    </cfRule>
    <cfRule type="cellIs" dxfId="8" priority="10" operator="greaterThan">
      <formula>14</formula>
    </cfRule>
  </conditionalFormatting>
  <conditionalFormatting sqref="AS5:AS132">
    <cfRule type="containsBlanks" dxfId="7" priority="7">
      <formula>LEN(TRIM(AS5))=0</formula>
    </cfRule>
    <cfRule type="cellIs" dxfId="6" priority="8" operator="greaterThan">
      <formula>14</formula>
    </cfRule>
  </conditionalFormatting>
  <conditionalFormatting sqref="AU5:AU132">
    <cfRule type="containsBlanks" dxfId="5" priority="5">
      <formula>LEN(TRIM(AU5))=0</formula>
    </cfRule>
    <cfRule type="cellIs" dxfId="4" priority="6" operator="greaterThan">
      <formula>14</formula>
    </cfRule>
  </conditionalFormatting>
  <conditionalFormatting sqref="AW5:AW132">
    <cfRule type="containsBlanks" dxfId="3" priority="3">
      <formula>LEN(TRIM(AW5))=0</formula>
    </cfRule>
    <cfRule type="cellIs" dxfId="2" priority="4" operator="greaterThan">
      <formula>14</formula>
    </cfRule>
  </conditionalFormatting>
  <conditionalFormatting sqref="AY5:AY132">
    <cfRule type="containsBlanks" dxfId="1" priority="1">
      <formula>LEN(TRIM(AY5))=0</formula>
    </cfRule>
    <cfRule type="cellIs" dxfId="0" priority="2" operator="greaterThan">
      <formula>14</formula>
    </cfRule>
  </conditionalFormatting>
  <hyperlinks>
    <hyperlink ref="G1" r:id="rId1" xr:uid="{D1577666-6E45-4A52-8CEE-FA6404452B8E}"/>
    <hyperlink ref="O1" r:id="rId2" xr:uid="{B745B9AE-B859-44C3-B1BF-29944AD565CB}"/>
  </hyperlinks>
  <pageMargins left="0.7" right="0.7" top="0.75" bottom="0.75" header="0.3" footer="0.3"/>
  <pageSetup orientation="portrait" horizontalDpi="1200" verticalDpi="1200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1. Mixture Model Inputs</vt:lpstr>
      <vt:lpstr>2. Salmon Passage by Bin</vt:lpstr>
      <vt:lpstr>3. Select Chinook Method</vt:lpstr>
      <vt:lpstr>FW Catch</vt:lpstr>
      <vt:lpstr>FW Summary</vt:lpstr>
      <vt:lpstr>Chinook All Ages Proportions</vt:lpstr>
      <vt:lpstr>Chinook Adult Proportions</vt:lpstr>
      <vt:lpstr>Chinook Jack Proportions</vt:lpstr>
      <vt:lpstr>Pink Proportion</vt:lpstr>
      <vt:lpstr>WhonSpComp</vt:lpstr>
      <vt:lpstr>ARISBin1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Taylor</dc:creator>
  <cp:lastModifiedBy>Hayward, Kristen</cp:lastModifiedBy>
  <dcterms:created xsi:type="dcterms:W3CDTF">2021-06-04T17:58:42Z</dcterms:created>
  <dcterms:modified xsi:type="dcterms:W3CDTF">2023-10-03T16:23:33Z</dcterms:modified>
</cp:coreProperties>
</file>